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5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6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DADOS\Google Drive\SisapVBAFramework\"/>
    </mc:Choice>
  </mc:AlternateContent>
  <bookViews>
    <workbookView xWindow="120" yWindow="75" windowWidth="13380" windowHeight="8070" tabRatio="896" firstSheet="2" activeTab="2"/>
  </bookViews>
  <sheets>
    <sheet name="Início" sheetId="8" state="hidden" r:id="rId1"/>
    <sheet name="Cálc" sheetId="36" state="hidden" r:id="rId2"/>
    <sheet name="Geral" sheetId="6" r:id="rId3"/>
    <sheet name="Pesquisa Rápida" sheetId="40" r:id="rId4"/>
    <sheet name="Dados do Servidor" sheetId="30" r:id="rId5"/>
    <sheet name="Dados de Formulários" sheetId="32" state="hidden" r:id="rId6"/>
    <sheet name="Designação" sheetId="33" r:id="rId7"/>
    <sheet name="Acerto - Designação" sheetId="1" state="hidden" r:id="rId8"/>
    <sheet name="FP" sheetId="31" r:id="rId9"/>
    <sheet name="Acerto - Vantagens" sheetId="35" state="hidden" r:id="rId10"/>
    <sheet name="Acerto - Descontos" sheetId="39" state="hidden" r:id="rId11"/>
    <sheet name="Faltas Histórico" sheetId="46" r:id="rId12"/>
    <sheet name="Faltas Consolidadas" sheetId="44" r:id="rId13"/>
    <sheet name="Mapa Menus Sisap" sheetId="37" state="hidden" r:id="rId14"/>
    <sheet name="Rateio" sheetId="26" state="hidden" r:id="rId15"/>
    <sheet name="A.Pgto" sheetId="17" state="hidden" r:id="rId16"/>
    <sheet name="AI" sheetId="15" state="hidden" r:id="rId17"/>
    <sheet name="M.Quinq" sheetId="27" state="hidden" r:id="rId18"/>
    <sheet name="G2" sheetId="5" state="hidden" r:id="rId19"/>
    <sheet name="Siged" sheetId="20" state="hidden" r:id="rId20"/>
    <sheet name="Certif" sheetId="14" state="hidden" r:id="rId21"/>
    <sheet name="T.Ciência" sheetId="19" state="hidden" r:id="rId22"/>
    <sheet name="ÚltRem." sheetId="25" state="hidden" r:id="rId23"/>
    <sheet name="&gt;10" sheetId="29" state="hidden" r:id="rId24"/>
    <sheet name="Prêm" sheetId="18" state="hidden" r:id="rId25"/>
    <sheet name="Escolas" sheetId="3" state="hidden" r:id="rId26"/>
    <sheet name="Mun." sheetId="28" state="hidden" r:id="rId27"/>
    <sheet name="Materias" sheetId="34" state="hidden" r:id="rId28"/>
    <sheet name="InstEns" sheetId="10" state="hidden" r:id="rId29"/>
    <sheet name="Cursos" sheetId="11" state="hidden" r:id="rId30"/>
    <sheet name="Mat" sheetId="16" state="hidden" r:id="rId31"/>
    <sheet name="C Horária" sheetId="9" state="hidden" r:id="rId32"/>
    <sheet name="Extenso" sheetId="2" state="hidden" r:id="rId33"/>
    <sheet name="Fev" sheetId="7" state="hidden" r:id="rId34"/>
  </sheets>
  <functionGroups builtInGroupCount="18"/>
  <externalReferences>
    <externalReference r:id="rId35"/>
    <externalReference r:id="rId36"/>
  </externalReferences>
  <definedNames>
    <definedName name="_e_" localSheetId="32">" e "</definedName>
    <definedName name="_xlnm._FilterDatabase" localSheetId="17" hidden="1">M.Quinq!$C$7:$AJ$24</definedName>
    <definedName name="_sp_" localSheetId="32">" "</definedName>
    <definedName name="Acerto.Vantagem.LinhaFormulario">'Acerto - Vantagens'!$A$1</definedName>
    <definedName name="_xlnm.Print_Area" localSheetId="23">'&gt;10'!$C$90:$AJ$130,'&gt;10'!$C$186:$AJ$250,'&gt;10'!$C$135:$AJ$182</definedName>
    <definedName name="_xlnm.Print_Area" localSheetId="15">A.Pgto!$C$21:$U$87</definedName>
    <definedName name="_xlnm.Print_Area" localSheetId="7">'Acerto - Designação'!$C$44:$U$99</definedName>
    <definedName name="_xlnm.Print_Area" localSheetId="16">AI!$C$63:$AH$118</definedName>
    <definedName name="_xlnm.Print_Area" localSheetId="31">'C Horária'!$C$4:$I$49</definedName>
    <definedName name="_xlnm.Print_Area" localSheetId="1">Cálc!$C$44:$U$99</definedName>
    <definedName name="_xlnm.Print_Area" localSheetId="20">Certif!$C$55:$AI$107</definedName>
    <definedName name="_xlnm.Print_Area" localSheetId="25">Escolas!$C$4:$P$269</definedName>
    <definedName name="_xlnm.Print_Area" localSheetId="12">'Faltas Consolidadas'!$AA$6:$AI$7</definedName>
    <definedName name="_xlnm.Print_Area" localSheetId="11">'Faltas Histórico'!$AB$6:$AK$7</definedName>
    <definedName name="_xlnm.Print_Area" localSheetId="8">FP!$C$146:$U$186,FP!$C$242:$U$306,FP!$C$190:$U$238,FP!$C$85:$U$142</definedName>
    <definedName name="_xlnm.Print_Area" localSheetId="18">'G2'!$C$87:$AQ$126</definedName>
    <definedName name="_xlnm.Print_Area" localSheetId="2">Geral!$C$4:$U$28</definedName>
    <definedName name="_xlnm.Print_Area" localSheetId="0">Início!$C$3:$L$24</definedName>
    <definedName name="_xlnm.Print_Area" localSheetId="28">InstEns!$C$4:$E$3661</definedName>
    <definedName name="_xlnm.Print_Area" localSheetId="17">M.Quinq!$C$3:$AJ$65</definedName>
    <definedName name="_xlnm.Print_Area" localSheetId="30">Mat!$C$4:$F$91</definedName>
    <definedName name="_xlnm.Print_Area" localSheetId="26">Mun.!$C$4:$H$268</definedName>
    <definedName name="_xlnm.Print_Area" localSheetId="24">Prêm!$C$22:$U$64</definedName>
    <definedName name="_xlnm.Print_Area" localSheetId="14">Rateio!$C$52:$U$107</definedName>
    <definedName name="_xlnm.Print_Area" localSheetId="19">Siged!$C$103:$E$111</definedName>
    <definedName name="_xlnm.Print_Area" localSheetId="21">T.Ciência!$C$34:$AI$83</definedName>
    <definedName name="_xlnm.Print_Area" localSheetId="22">ÚltRem.!$C$74:$U$131</definedName>
    <definedName name="Categorias.Profissional.ASBD1A">Designação!$Q$9</definedName>
    <definedName name="Categorias.Profissional.ATBD1A">Designação!$R$9:$R$10</definedName>
    <definedName name="Categorias.Profissional.EEBD1A">Designação!$S$9:$S$10</definedName>
    <definedName name="Categorias.Profissional.PEBD1A">Designação!$O$9</definedName>
    <definedName name="Categorias.Profissional.PEBS1A" localSheetId="11">Categorias.Profissional[[#This Row],[PEBS1A]]</definedName>
    <definedName name="Categorias.Profissional.PEBS1A">Categorias.Profissional[[#This Row],[PEBS1A]]</definedName>
    <definedName name="Cem" localSheetId="32">{"cento","duzentos","trezentos","quatrocentos","quinhentos","seiscentos","setecentos","oitocentos","novecentos"}</definedName>
    <definedName name="Designacao.Acerto.DescontoValeTransporte">'Acerto - Designação'!$G$40</definedName>
    <definedName name="Designacao.Acerto.DescontoValeTransporte.Valor">'Acerto - Designação'!$H$40</definedName>
    <definedName name="Designacao.Acerto.DiasAuxilioTransporte">'Acerto - Designação'!$H$38</definedName>
    <definedName name="Designacao.Acerto.Ocorrencia">'Acerto - Designação'!$K$41</definedName>
    <definedName name="Designacao.Acerto.PagaementoTotal">'Acerto - Designação'!$S$40</definedName>
    <definedName name="Designacao.Acerto.TotalAulasEC">'Acerto - Designação'!$F$22</definedName>
    <definedName name="Designacao.Acerto.TotalAulasRB">'Acerto - Designação'!$F$19</definedName>
    <definedName name="Designacao.Acerto.VerbaAbonoEC">'Acerto - Designação'!$G$59</definedName>
    <definedName name="Designacao.Acerto.VerbaAbonoEC.Valor">'Acerto - Designação'!$H$59</definedName>
    <definedName name="Designacao.Acerto.VerbaAbonoRB">'Acerto - Designação'!$G$58</definedName>
    <definedName name="Designacao.Acerto.VerbaAbonoRB.Valor">'Acerto - Designação'!$H$58</definedName>
    <definedName name="Designacao.Acerto.VerbaEC">'Acerto - Designação'!$K$58</definedName>
    <definedName name="Designacao.Acerto.VerbaEC.Valor">'Acerto - Designação'!$M$58</definedName>
    <definedName name="Designacao.Acerto.VerbaRB">'Acerto - Designação'!$C$58</definedName>
    <definedName name="Designacao.Acerto.VerbaRB.Valor">'Acerto - Designação'!$D$58</definedName>
    <definedName name="Designacao.Acerto.VerbaValeTransporte">'Acerto - Designação'!$C$60</definedName>
    <definedName name="Designacao.Acerto.VerbaValeTransporte.Valor">'Acerto - Designação'!$D$60</definedName>
    <definedName name="Designacao.Cargo">Designação!$D$12</definedName>
    <definedName name="Designacao.CategoriaProfisisonal">Designação!$D$13</definedName>
    <definedName name="Designacao.DataFinal">Designação!$D$20</definedName>
    <definedName name="Designacao.DataInicial">Designação!$D$19</definedName>
    <definedName name="Designacao.Municipio">Designação!$N$9</definedName>
    <definedName name="Designacao.SituacaoExercicio">Designação!$D$16</definedName>
    <definedName name="Designacao.SubstituidoAdmissao">Designação!$D$24</definedName>
    <definedName name="Designacao.SubstituidoGrupoNatureza">Designação!$D$25</definedName>
    <definedName name="Designacao.SubstituidoMaspDv">Designação!$D$23</definedName>
    <definedName name="Designacao.UnidadeAdministrativa">Designação!$D$6</definedName>
    <definedName name="Designacao.UnidadeAdministrativa.ZonaRural">Designação!$N$10</definedName>
    <definedName name="Designacao.Validacao.Cargos">Designação!$O$8:$S$8</definedName>
    <definedName name="Dez" localSheetId="32">{"dez","vinte","trinta","quarenta","cinquenta","sessenta","setenta","oitenta","noventa"}</definedName>
    <definedName name="Escolas.Municipios">Mun.!$C$4:$I$126</definedName>
    <definedName name="Escolas.Municipios.CodEscolas">Mun.!$C$6:$C$106</definedName>
    <definedName name="FPConversaoEspecie.CargaHorariaEC">FP!$M$30</definedName>
    <definedName name="FPConversaoEspecie.CargaHorariaECEX">FP!$U$30</definedName>
    <definedName name="FPConversaoEspecie.CargaHorariaEX">FP!$Q$30</definedName>
    <definedName name="FPConversaoEspecie.CargaHorariaRB">FP!$I$30</definedName>
    <definedName name="FPConversaoEspecie.Cargo.DataAposentadoria">FP!$J$29</definedName>
    <definedName name="FPConversaoEspecie.DataAposentadoria">FP!$X$6</definedName>
    <definedName name="FPConversaoEspecie.DataAposentadoria.Campo">FP!$R$31</definedName>
    <definedName name="FPConversaoEspecie.DataPublicacao">FP!$X$8</definedName>
    <definedName name="FPConversaoEspecie.OutosCampos.Funcao">FP!$S$58:$U$60</definedName>
    <definedName name="FPConversaoEspecie.OutosCampos.OutrasVant">FP!$H$74</definedName>
    <definedName name="FPConversaoEspecie.OutosCampos.OutrasVant.Verba">FP!$P$74</definedName>
    <definedName name="FPConversaoEspecie.OutosCampos.Porcentagem">FP!$R$54:$R$55</definedName>
    <definedName name="FPConversaoEspecie.OutosCampos.Quant">FP!$Q$41:$Q$52</definedName>
    <definedName name="FPConversaoEspecie.OutosCampos.Valores">FP!$S$62:$U$74</definedName>
    <definedName name="FPConversaoEspecie.OutosCampos.Verbas">FP!$P$38:$P$39</definedName>
    <definedName name="FPConversaoEspecie.OutrosCampos">FP!$P$38:$P$39,FP!$Q$41:$Q$52,FP!$R$54,FP!$R$55,FP!$S$58:$U$60,FP!$S$62:$U$74,FP!$P$74,FP!$H$74</definedName>
    <definedName name="FPConversaoEspecie.Publicacao.Ano">FP!$T$4</definedName>
    <definedName name="FPConversaoEspecie.Publicacao.Dia">FP!$P$4</definedName>
    <definedName name="FPConversaoEspecie.Publicacao.Mes">FP!$R$4</definedName>
    <definedName name="FPConversaoEspecie.Saldo.Dias">FP!$U$10</definedName>
    <definedName name="FPConversaoEspecie.Saldo.Meses">FP!$R$10</definedName>
    <definedName name="FPConversaoEspecie.SaldoTotalEmDias">FP!$X$10</definedName>
    <definedName name="FPConversaoEspecie.VencimentoRB">FP!$S$36</definedName>
    <definedName name="frmDesignacao.Left">'Dados de Formulários'!$B$7</definedName>
    <definedName name="frmDesignacao.Top">'Dados de Formulários'!$B$6</definedName>
    <definedName name="frmFaltasConsolidadas.Left">'Dados de Formulários'!$G$7</definedName>
    <definedName name="frmFaltasConsolidadas.Top">'Dados de Formulários'!$G$6</definedName>
    <definedName name="frmFeriasPremioConversao.Left">'Dados de Formulários'!$C$7</definedName>
    <definedName name="frmFeriasPremioConversao.Top">'Dados de Formulários'!$C$6</definedName>
    <definedName name="frmLogin.Impressora">'Dados de Formulários'!$A$4</definedName>
    <definedName name="frmLogin.Left">'Dados de Formulários'!$A$7</definedName>
    <definedName name="frmLogin.LembrarSenha">'Dados de Formulários'!$A$5</definedName>
    <definedName name="frmLogin.Masp">'Dados de Formulários'!$A$2</definedName>
    <definedName name="frmLogin.PID">'Dados de Formulários'!$A$8</definedName>
    <definedName name="frmLogin.Senha">'Dados de Formulários'!$A$3</definedName>
    <definedName name="frmLogin.Top">'Dados de Formulários'!$A$6</definedName>
    <definedName name="frmMapaMenus.Left">'Dados de Formulários'!$D$7</definedName>
    <definedName name="frmMapaMenus.Top">'Dados de Formulários'!$D$6</definedName>
    <definedName name="frmPesquisasRapidas.Adm">'Dados de Formulários'!$C$1</definedName>
    <definedName name="frmPesquisasRapidas.Left">'Dados de Formulários'!$F$7</definedName>
    <definedName name="frmPesquisasRapidas.MaspDv">'Dados de Formulários'!$B$1</definedName>
    <definedName name="frmPesquisasRapidas.Top">'Dados de Formulários'!$F$6</definedName>
    <definedName name="frmServidor.Left">'Dados de Formulários'!$E$7</definedName>
    <definedName name="frmServidor.Top">'Dados de Formulários'!$E$6</definedName>
    <definedName name="Materias.Cod" localSheetId="11">Materias[Cod_Materia]</definedName>
    <definedName name="Materias.Cod">Materias[Cod_Materia]</definedName>
    <definedName name="NaturezaFaltas.Codigo" localSheetId="11">NaturezaFalta12[Cod]</definedName>
    <definedName name="NaturezaFaltas.Codigo">NaturezaFalta[Cod]</definedName>
    <definedName name="OCem" localSheetId="32">"cem"</definedName>
    <definedName name="Plu" localSheetId="32">{""," mil"," milhões"," bilhões"," trilhões"}</definedName>
    <definedName name="Servidor.Admissao" localSheetId="8">'Dados do Servidor'!$D$6</definedName>
    <definedName name="Servidor.Admissao">'Dados do Servidor'!$D$6</definedName>
    <definedName name="Servidor.Cargo" localSheetId="8">'Dados do Servidor'!$D$11</definedName>
    <definedName name="Servidor.Cargo">'Dados do Servidor'!$D$11</definedName>
    <definedName name="Servidor.CodSituacaoFuncional">'Dados do Servidor'!$G$9</definedName>
    <definedName name="Servidor.CodSituacaoServidor">'Dados do Servidor'!$G$10</definedName>
    <definedName name="Servidor.DataAposentadoria">'Dados do Servidor'!$D$14</definedName>
    <definedName name="Servidor.Exercicio">'Dados do Servidor'!$D$13</definedName>
    <definedName name="Servidor.Lotacao" localSheetId="8">'Dados do Servidor'!$D$12</definedName>
    <definedName name="Servidor.Lotacao">'Dados do Servidor'!$D$12</definedName>
    <definedName name="Servidor.MaspDv" localSheetId="8">'Dados do Servidor'!$D$5</definedName>
    <definedName name="Servidor.MaspDv">'Dados do Servidor'!$D$5</definedName>
    <definedName name="Servidor.Nome" localSheetId="8">'Dados do Servidor'!$D$8</definedName>
    <definedName name="Servidor.Nome">'Dados do Servidor'!$D$8</definedName>
    <definedName name="Servidor.SituacaoFuncional">'Dados do Servidor'!$D$9</definedName>
    <definedName name="Servidor.SituacaoServidor">'Dados do Servidor'!$D$10</definedName>
    <definedName name="Sml" localSheetId="32">{"um","dois","três","quatro","cinco","seis","sete","oito","nove","dez","onze","doze","treze","quatorze","quinze","dezesseis","dezessete","dezoito","dezenove"}</definedName>
    <definedName name="Sng" localSheetId="32">{"um","mil","um milhão","um bilhão","um trilhão"}</definedName>
    <definedName name="TiposFalta.Codigo" localSheetId="11">TiposFalta10[Codigo]</definedName>
    <definedName name="TiposFalta.Codigo">TiposFalta[Codigo]</definedName>
  </definedNames>
  <calcPr calcId="162913"/>
</workbook>
</file>

<file path=xl/calcChain.xml><?xml version="1.0" encoding="utf-8"?>
<calcChain xmlns="http://schemas.openxmlformats.org/spreadsheetml/2006/main">
  <c r="I132" i="37" l="1"/>
  <c r="I131" i="37" l="1"/>
  <c r="I130" i="37"/>
  <c r="I129" i="37"/>
  <c r="I128" i="37"/>
  <c r="I127" i="37" l="1"/>
  <c r="I126" i="37"/>
  <c r="I125" i="37"/>
  <c r="I124" i="37"/>
  <c r="I123" i="37"/>
  <c r="I122" i="37"/>
  <c r="I121" i="37" l="1"/>
  <c r="I120" i="37"/>
  <c r="I119" i="37" l="1"/>
  <c r="I118" i="37"/>
  <c r="I117" i="37"/>
  <c r="I116" i="37"/>
  <c r="I115" i="37"/>
  <c r="I114" i="37"/>
  <c r="I113" i="37"/>
  <c r="I112" i="37"/>
  <c r="I111" i="37"/>
  <c r="I110" i="37"/>
  <c r="I109" i="37"/>
  <c r="I108" i="37"/>
  <c r="I107" i="37"/>
  <c r="I106" i="37"/>
  <c r="I105" i="37" l="1"/>
  <c r="I104" i="37"/>
  <c r="I27" i="37"/>
  <c r="I103" i="37" l="1"/>
  <c r="I102" i="37"/>
  <c r="I101" i="37" l="1"/>
  <c r="I100" i="37"/>
  <c r="I99" i="37"/>
  <c r="I98" i="37"/>
  <c r="I97" i="37"/>
  <c r="I96" i="37"/>
  <c r="I95" i="37"/>
  <c r="I94" i="37"/>
  <c r="I93" i="37"/>
  <c r="I92" i="37" l="1"/>
  <c r="I3" i="37" l="1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2" i="37" l="1"/>
  <c r="Q12" i="1" l="1"/>
  <c r="G9" i="1" l="1"/>
  <c r="C11" i="1"/>
  <c r="AG6" i="1"/>
  <c r="S12" i="36"/>
  <c r="O75" i="36"/>
  <c r="E75" i="36"/>
  <c r="C73" i="36"/>
  <c r="O68" i="36"/>
  <c r="E68" i="36"/>
  <c r="M64" i="36"/>
  <c r="C64" i="36"/>
  <c r="L55" i="36"/>
  <c r="O51" i="36"/>
  <c r="C51" i="36"/>
  <c r="N48" i="36"/>
  <c r="F48" i="36"/>
  <c r="I47" i="36"/>
  <c r="Y46" i="36"/>
  <c r="AH38" i="36"/>
  <c r="G33" i="36"/>
  <c r="O33" i="36" s="1"/>
  <c r="F33" i="36"/>
  <c r="E33" i="36"/>
  <c r="F32" i="36" s="1"/>
  <c r="G32" i="36"/>
  <c r="O32" i="36" s="1"/>
  <c r="E32" i="36"/>
  <c r="Y31" i="36"/>
  <c r="Q31" i="36"/>
  <c r="I31" i="36"/>
  <c r="C28" i="36"/>
  <c r="G28" i="36" s="1"/>
  <c r="G25" i="36"/>
  <c r="O26" i="36" s="1"/>
  <c r="C25" i="36"/>
  <c r="K25" i="36" s="1"/>
  <c r="AH22" i="36"/>
  <c r="G22" i="36"/>
  <c r="I22" i="36" s="1"/>
  <c r="K22" i="36" s="1"/>
  <c r="C22" i="36"/>
  <c r="AD19" i="36"/>
  <c r="G19" i="36"/>
  <c r="I19" i="36" s="1"/>
  <c r="C19" i="36"/>
  <c r="BB18" i="36"/>
  <c r="U18" i="36"/>
  <c r="O18" i="36"/>
  <c r="L18" i="36"/>
  <c r="K18" i="36"/>
  <c r="I18" i="36"/>
  <c r="G18" i="36"/>
  <c r="F18" i="36"/>
  <c r="C18" i="36"/>
  <c r="BB17" i="36"/>
  <c r="BB16" i="36"/>
  <c r="AD16" i="36"/>
  <c r="H16" i="36"/>
  <c r="BA13" i="36"/>
  <c r="AB13" i="36"/>
  <c r="Y13" i="36"/>
  <c r="AB12" i="36"/>
  <c r="Y12" i="36"/>
  <c r="AB11" i="36"/>
  <c r="Y11" i="36"/>
  <c r="AB9" i="36"/>
  <c r="Y9" i="36"/>
  <c r="R9" i="36"/>
  <c r="R62" i="36" s="1"/>
  <c r="I9" i="36"/>
  <c r="F62" i="36" s="1"/>
  <c r="F9" i="36"/>
  <c r="T8" i="36"/>
  <c r="Q8" i="36"/>
  <c r="S11" i="36" s="1"/>
  <c r="M38" i="36" s="1"/>
  <c r="AB7" i="36"/>
  <c r="Y7" i="36"/>
  <c r="AB6" i="36"/>
  <c r="F14" i="36" s="1"/>
  <c r="E16" i="36" s="1"/>
  <c r="Y6" i="36"/>
  <c r="H8" i="36" s="1"/>
  <c r="S4" i="36"/>
  <c r="U4" i="36" s="1"/>
  <c r="C4" i="36"/>
  <c r="I33" i="36" l="1"/>
  <c r="BB15" i="36"/>
  <c r="Q33" i="36"/>
  <c r="P38" i="36"/>
  <c r="C26" i="36"/>
  <c r="BB8" i="36"/>
  <c r="Q26" i="36"/>
  <c r="BA8" i="36" s="1"/>
  <c r="U14" i="36"/>
  <c r="H35" i="36" s="1"/>
  <c r="C53" i="36" s="1"/>
  <c r="O30" i="36"/>
  <c r="K28" i="36"/>
  <c r="I28" i="36"/>
  <c r="O29" i="36"/>
  <c r="O28" i="36"/>
  <c r="Q32" i="36"/>
  <c r="BB14" i="36"/>
  <c r="I32" i="36"/>
  <c r="O22" i="36"/>
  <c r="O24" i="36"/>
  <c r="I25" i="36"/>
  <c r="O23" i="36"/>
  <c r="O27" i="36"/>
  <c r="O25" i="36"/>
  <c r="BA14" i="36" l="1"/>
  <c r="K19" i="36"/>
  <c r="D59" i="36"/>
  <c r="U28" i="36"/>
  <c r="BB10" i="36"/>
  <c r="Q28" i="36"/>
  <c r="C30" i="36"/>
  <c r="Q30" i="36"/>
  <c r="BA12" i="36" s="1"/>
  <c r="BB12" i="36"/>
  <c r="Q27" i="36"/>
  <c r="BA9" i="36" s="1"/>
  <c r="BB9" i="36"/>
  <c r="C27" i="36"/>
  <c r="C29" i="36"/>
  <c r="BB11" i="36"/>
  <c r="Q29" i="36"/>
  <c r="BA11" i="36" s="1"/>
  <c r="U22" i="36"/>
  <c r="M58" i="36"/>
  <c r="Q22" i="36"/>
  <c r="BB4" i="36"/>
  <c r="BB7" i="36"/>
  <c r="U25" i="36"/>
  <c r="R58" i="36"/>
  <c r="Q25" i="36"/>
  <c r="Q23" i="36"/>
  <c r="BB5" i="36"/>
  <c r="C23" i="36"/>
  <c r="Q24" i="36"/>
  <c r="C24" i="36"/>
  <c r="BB6" i="36"/>
  <c r="O19" i="36"/>
  <c r="P59" i="36" l="1"/>
  <c r="BA6" i="36"/>
  <c r="R59" i="36"/>
  <c r="P58" i="36"/>
  <c r="BA7" i="36"/>
  <c r="Q19" i="36"/>
  <c r="BB1" i="36"/>
  <c r="K58" i="36"/>
  <c r="BA4" i="36"/>
  <c r="C59" i="36"/>
  <c r="BA10" i="36"/>
  <c r="O20" i="36"/>
  <c r="O21" i="36"/>
  <c r="G59" i="36"/>
  <c r="BA5" i="36"/>
  <c r="H59" i="36"/>
  <c r="Q21" i="36" l="1"/>
  <c r="BB3" i="36"/>
  <c r="C21" i="36"/>
  <c r="Q20" i="36"/>
  <c r="BB2" i="36"/>
  <c r="C20" i="36"/>
  <c r="F40" i="36"/>
  <c r="C40" i="36" s="1"/>
  <c r="S31" i="36"/>
  <c r="BA1" i="36"/>
  <c r="C58" i="36"/>
  <c r="D58" i="36"/>
  <c r="BA19" i="36" l="1"/>
  <c r="D40" i="36"/>
  <c r="C60" i="36"/>
  <c r="G40" i="36"/>
  <c r="BA21" i="36" s="1"/>
  <c r="C99" i="36"/>
  <c r="C98" i="36"/>
  <c r="M92" i="36"/>
  <c r="C87" i="36"/>
  <c r="C86" i="36"/>
  <c r="M80" i="36"/>
  <c r="O98" i="36"/>
  <c r="C96" i="36"/>
  <c r="E92" i="36"/>
  <c r="O86" i="36"/>
  <c r="C84" i="36"/>
  <c r="E80" i="36"/>
  <c r="F52" i="36"/>
  <c r="C34" i="36"/>
  <c r="BB13" i="36"/>
  <c r="M98" i="36"/>
  <c r="C93" i="36"/>
  <c r="C92" i="36"/>
  <c r="M86" i="36"/>
  <c r="C81" i="36"/>
  <c r="C80" i="36"/>
  <c r="E98" i="36"/>
  <c r="O92" i="36"/>
  <c r="C90" i="36"/>
  <c r="E86" i="36"/>
  <c r="O80" i="36"/>
  <c r="C78" i="36"/>
  <c r="C36" i="36"/>
  <c r="S33" i="36"/>
  <c r="BA2" i="36"/>
  <c r="G58" i="36"/>
  <c r="H58" i="36"/>
  <c r="BA3" i="36"/>
  <c r="M59" i="36"/>
  <c r="K59" i="36"/>
  <c r="J40" i="36" l="1"/>
  <c r="BB19" i="36"/>
  <c r="S40" i="36"/>
  <c r="K40" i="36"/>
  <c r="L40" i="36" s="1"/>
  <c r="C39" i="36"/>
  <c r="D60" i="36"/>
  <c r="K41" i="36"/>
  <c r="C54" i="36"/>
  <c r="Q55" i="36" l="1"/>
  <c r="C55" i="36" s="1"/>
  <c r="C56" i="36" s="1"/>
  <c r="C52" i="36"/>
  <c r="H40" i="36"/>
  <c r="BB21" i="36" s="1"/>
  <c r="G7" i="1" l="1"/>
  <c r="T6" i="1"/>
  <c r="G6" i="1"/>
  <c r="X8" i="31" l="1"/>
  <c r="X10" i="31"/>
  <c r="N10" i="33" l="1"/>
  <c r="N9" i="33"/>
  <c r="AJ38" i="1" l="1"/>
  <c r="AG46" i="1"/>
  <c r="A13" i="2"/>
  <c r="A12" i="2"/>
  <c r="C38" i="33" l="1"/>
  <c r="C37" i="33"/>
  <c r="C32" i="33" l="1"/>
  <c r="C33" i="33"/>
  <c r="C34" i="33"/>
  <c r="C35" i="33"/>
  <c r="C36" i="33"/>
  <c r="D11" i="33"/>
  <c r="D10" i="33"/>
  <c r="D9" i="33"/>
  <c r="C31" i="33"/>
  <c r="C30" i="33"/>
  <c r="C29" i="33"/>
  <c r="G7" i="31" l="1"/>
  <c r="I15" i="31" s="1"/>
  <c r="G6" i="31"/>
  <c r="K158" i="31" s="1"/>
  <c r="Q271" i="31"/>
  <c r="E271" i="31"/>
  <c r="Q263" i="31"/>
  <c r="E263" i="31"/>
  <c r="M259" i="31"/>
  <c r="Q273" i="31" s="1"/>
  <c r="C259" i="31"/>
  <c r="F257" i="31"/>
  <c r="H255" i="31"/>
  <c r="C253" i="31"/>
  <c r="N246" i="31"/>
  <c r="L231" i="31"/>
  <c r="H231" i="31"/>
  <c r="H230" i="31"/>
  <c r="H221" i="31"/>
  <c r="M213" i="31"/>
  <c r="S78" i="31" s="1"/>
  <c r="C213" i="31"/>
  <c r="M206" i="31"/>
  <c r="N193" i="31"/>
  <c r="N148" i="31"/>
  <c r="P135" i="31"/>
  <c r="N135" i="31"/>
  <c r="H135" i="31"/>
  <c r="C135" i="31"/>
  <c r="P134" i="31"/>
  <c r="N134" i="31"/>
  <c r="Q133" i="31"/>
  <c r="P133" i="31"/>
  <c r="N133" i="31"/>
  <c r="C133" i="31"/>
  <c r="P132" i="31"/>
  <c r="N132" i="31"/>
  <c r="C132" i="31"/>
  <c r="P131" i="31"/>
  <c r="N131" i="31"/>
  <c r="C131" i="31"/>
  <c r="P130" i="31"/>
  <c r="N130" i="31"/>
  <c r="C130" i="31"/>
  <c r="Q129" i="31"/>
  <c r="P129" i="31"/>
  <c r="N129" i="31"/>
  <c r="C129" i="31"/>
  <c r="Q128" i="31"/>
  <c r="P128" i="31"/>
  <c r="N128" i="31"/>
  <c r="C128" i="31"/>
  <c r="P127" i="31"/>
  <c r="N127" i="31"/>
  <c r="C127" i="31"/>
  <c r="P126" i="31"/>
  <c r="N126" i="31"/>
  <c r="C126" i="31"/>
  <c r="Q125" i="31"/>
  <c r="P125" i="31"/>
  <c r="N125" i="31"/>
  <c r="C125" i="31"/>
  <c r="Q124" i="31"/>
  <c r="P124" i="31"/>
  <c r="N124" i="31"/>
  <c r="C124" i="31"/>
  <c r="P123" i="31"/>
  <c r="N123" i="31"/>
  <c r="C123" i="31"/>
  <c r="N122" i="31"/>
  <c r="C122" i="31"/>
  <c r="Q121" i="31"/>
  <c r="P121" i="31"/>
  <c r="N121" i="31"/>
  <c r="C121" i="31"/>
  <c r="Q120" i="31"/>
  <c r="P120" i="31"/>
  <c r="N120" i="31"/>
  <c r="C120" i="31"/>
  <c r="P119" i="31"/>
  <c r="N119" i="31"/>
  <c r="C119" i="31"/>
  <c r="P118" i="31"/>
  <c r="N118" i="31"/>
  <c r="C118" i="31"/>
  <c r="P117" i="31"/>
  <c r="N117" i="31"/>
  <c r="C117" i="31"/>
  <c r="P116" i="31"/>
  <c r="N116" i="31"/>
  <c r="C116" i="31"/>
  <c r="P115" i="31"/>
  <c r="N115" i="31"/>
  <c r="C115" i="31"/>
  <c r="P114" i="31"/>
  <c r="N114" i="31"/>
  <c r="C114" i="31"/>
  <c r="P113" i="31"/>
  <c r="N113" i="31"/>
  <c r="C113" i="31"/>
  <c r="P112" i="31"/>
  <c r="N112" i="31"/>
  <c r="C112" i="31"/>
  <c r="P111" i="31"/>
  <c r="N111" i="31"/>
  <c r="C111" i="31"/>
  <c r="P110" i="31"/>
  <c r="N110" i="31"/>
  <c r="C110" i="31"/>
  <c r="P109" i="31"/>
  <c r="N109" i="31"/>
  <c r="C109" i="31"/>
  <c r="P108" i="31"/>
  <c r="N108" i="31"/>
  <c r="C108" i="31"/>
  <c r="P107" i="31"/>
  <c r="N107" i="31"/>
  <c r="C107" i="31"/>
  <c r="P106" i="31"/>
  <c r="N106" i="31"/>
  <c r="C106" i="31"/>
  <c r="P105" i="31"/>
  <c r="N105" i="31"/>
  <c r="C105" i="31"/>
  <c r="P104" i="31"/>
  <c r="N104" i="31"/>
  <c r="C104" i="31"/>
  <c r="P103" i="31"/>
  <c r="N103" i="31"/>
  <c r="C103" i="31"/>
  <c r="P102" i="31"/>
  <c r="N102" i="31"/>
  <c r="C102" i="31"/>
  <c r="P101" i="31"/>
  <c r="N101" i="31"/>
  <c r="C101" i="31"/>
  <c r="P100" i="31"/>
  <c r="N100" i="31"/>
  <c r="M100" i="31"/>
  <c r="C100" i="31"/>
  <c r="P99" i="31"/>
  <c r="N99" i="31"/>
  <c r="M99" i="31"/>
  <c r="C99" i="31"/>
  <c r="P98" i="31"/>
  <c r="N98" i="31"/>
  <c r="M98" i="31"/>
  <c r="C98" i="31"/>
  <c r="C97" i="31"/>
  <c r="U94" i="31"/>
  <c r="Q94" i="31"/>
  <c r="M94" i="31"/>
  <c r="I94" i="31"/>
  <c r="G92" i="31"/>
  <c r="N88" i="31"/>
  <c r="S77" i="31"/>
  <c r="S138" i="31" s="1"/>
  <c r="E77" i="31"/>
  <c r="E138" i="31" s="1"/>
  <c r="X74" i="31"/>
  <c r="S135" i="31" s="1"/>
  <c r="W74" i="31"/>
  <c r="Q135" i="31" s="1"/>
  <c r="X73" i="31"/>
  <c r="S134" i="31" s="1"/>
  <c r="W73" i="31"/>
  <c r="Q134" i="31" s="1"/>
  <c r="X72" i="31"/>
  <c r="S133" i="31" s="1"/>
  <c r="W72" i="31"/>
  <c r="X71" i="31"/>
  <c r="S132" i="31" s="1"/>
  <c r="W71" i="31"/>
  <c r="Q132" i="31" s="1"/>
  <c r="X70" i="31"/>
  <c r="S131" i="31" s="1"/>
  <c r="W70" i="31"/>
  <c r="Q131" i="31" s="1"/>
  <c r="X69" i="31"/>
  <c r="S130" i="31" s="1"/>
  <c r="W69" i="31"/>
  <c r="Q130" i="31" s="1"/>
  <c r="X68" i="31"/>
  <c r="S129" i="31" s="1"/>
  <c r="W68" i="31"/>
  <c r="X67" i="31"/>
  <c r="S128" i="31" s="1"/>
  <c r="W67" i="31"/>
  <c r="X66" i="31"/>
  <c r="S127" i="31" s="1"/>
  <c r="W66" i="31"/>
  <c r="Q127" i="31" s="1"/>
  <c r="X65" i="31"/>
  <c r="S126" i="31" s="1"/>
  <c r="W65" i="31"/>
  <c r="Q126" i="31" s="1"/>
  <c r="X64" i="31"/>
  <c r="S125" i="31" s="1"/>
  <c r="W64" i="31"/>
  <c r="X63" i="31"/>
  <c r="S124" i="31" s="1"/>
  <c r="W63" i="31"/>
  <c r="X62" i="31"/>
  <c r="S123" i="31" s="1"/>
  <c r="W62" i="31"/>
  <c r="Q123" i="31" s="1"/>
  <c r="AD61" i="31"/>
  <c r="S61" i="31"/>
  <c r="X61" i="31" s="1"/>
  <c r="S122" i="31" s="1"/>
  <c r="R61" i="31"/>
  <c r="W61" i="31" s="1"/>
  <c r="Q122" i="31" s="1"/>
  <c r="X60" i="31"/>
  <c r="S121" i="31" s="1"/>
  <c r="W60" i="31"/>
  <c r="X59" i="31"/>
  <c r="S120" i="31" s="1"/>
  <c r="W59" i="31"/>
  <c r="X58" i="31"/>
  <c r="S119" i="31" s="1"/>
  <c r="W58" i="31"/>
  <c r="Q119" i="31" s="1"/>
  <c r="AD56" i="31"/>
  <c r="S56" i="31"/>
  <c r="W56" i="31" s="1"/>
  <c r="Q117" i="31" s="1"/>
  <c r="R56" i="31"/>
  <c r="W55" i="31"/>
  <c r="Q116" i="31" s="1"/>
  <c r="S55" i="31"/>
  <c r="AG44" i="31" s="1"/>
  <c r="W54" i="31"/>
  <c r="Q115" i="31" s="1"/>
  <c r="S54" i="31"/>
  <c r="X54" i="31" s="1"/>
  <c r="S115" i="31" s="1"/>
  <c r="AD53" i="31"/>
  <c r="R53" i="31" s="1"/>
  <c r="S53" i="31"/>
  <c r="W53" i="31" s="1"/>
  <c r="Q114" i="31" s="1"/>
  <c r="R52" i="31"/>
  <c r="S52" i="31" s="1"/>
  <c r="X52" i="31" s="1"/>
  <c r="S113" i="31" s="1"/>
  <c r="R51" i="31"/>
  <c r="W51" i="31" s="1"/>
  <c r="Q112" i="31" s="1"/>
  <c r="R50" i="31"/>
  <c r="W50" i="31" s="1"/>
  <c r="Q111" i="31" s="1"/>
  <c r="R49" i="31"/>
  <c r="S49" i="31" s="1"/>
  <c r="X49" i="31" s="1"/>
  <c r="S110" i="31" s="1"/>
  <c r="R48" i="31"/>
  <c r="S48" i="31" s="1"/>
  <c r="X48" i="31" s="1"/>
  <c r="S109" i="31" s="1"/>
  <c r="R47" i="31"/>
  <c r="W47" i="31" s="1"/>
  <c r="Q108" i="31" s="1"/>
  <c r="R46" i="31"/>
  <c r="W46" i="31" s="1"/>
  <c r="Q107" i="31" s="1"/>
  <c r="R45" i="31"/>
  <c r="S45" i="31" s="1"/>
  <c r="X45" i="31" s="1"/>
  <c r="S106" i="31" s="1"/>
  <c r="BM44" i="31"/>
  <c r="BA44" i="31"/>
  <c r="AS44" i="31"/>
  <c r="AO44" i="31"/>
  <c r="R44" i="31"/>
  <c r="S44" i="31" s="1"/>
  <c r="X44" i="31" s="1"/>
  <c r="S105" i="31" s="1"/>
  <c r="BM43" i="31"/>
  <c r="BA43" i="31"/>
  <c r="AS43" i="31"/>
  <c r="AO43" i="31"/>
  <c r="R43" i="31"/>
  <c r="BM42" i="31"/>
  <c r="BA42" i="31"/>
  <c r="AS42" i="31"/>
  <c r="AO42" i="31"/>
  <c r="R42" i="31"/>
  <c r="R41" i="31"/>
  <c r="AC39" i="31"/>
  <c r="Y39" i="31"/>
  <c r="S39" i="31" s="1"/>
  <c r="X39" i="31" s="1"/>
  <c r="S100" i="31" s="1"/>
  <c r="W39" i="31"/>
  <c r="Q100" i="31" s="1"/>
  <c r="AC38" i="31"/>
  <c r="Y38" i="31"/>
  <c r="W38" i="31"/>
  <c r="Q99" i="31" s="1"/>
  <c r="AC37" i="31"/>
  <c r="Y37" i="31"/>
  <c r="W37" i="31"/>
  <c r="Q98" i="31" s="1"/>
  <c r="AX36" i="31"/>
  <c r="AU36" i="31"/>
  <c r="AR36" i="31"/>
  <c r="AO36" i="31"/>
  <c r="AK36" i="31"/>
  <c r="AC36" i="31"/>
  <c r="Y36" i="31"/>
  <c r="X36" i="31"/>
  <c r="S97" i="31" s="1"/>
  <c r="W36" i="31"/>
  <c r="Q97" i="31" s="1"/>
  <c r="Y34" i="31"/>
  <c r="N32" i="31"/>
  <c r="R32" i="31" s="1"/>
  <c r="X6" i="31" s="1"/>
  <c r="L31" i="31"/>
  <c r="C95" i="31" s="1"/>
  <c r="L29" i="31"/>
  <c r="E73" i="31" s="1"/>
  <c r="G28" i="31"/>
  <c r="N24" i="31"/>
  <c r="C15" i="31"/>
  <c r="C12" i="31"/>
  <c r="I11" i="31"/>
  <c r="K162" i="31" s="1"/>
  <c r="M7" i="31"/>
  <c r="T6" i="31"/>
  <c r="S27" i="31" s="1"/>
  <c r="S91" i="31" s="1"/>
  <c r="T160" i="31" l="1"/>
  <c r="W48" i="31"/>
  <c r="Q109" i="31" s="1"/>
  <c r="W52" i="31"/>
  <c r="Q113" i="31" s="1"/>
  <c r="W45" i="31"/>
  <c r="Q106" i="31" s="1"/>
  <c r="W44" i="31"/>
  <c r="Q105" i="31" s="1"/>
  <c r="W42" i="31"/>
  <c r="Q103" i="31" s="1"/>
  <c r="W49" i="31"/>
  <c r="Q110" i="31" s="1"/>
  <c r="Q8" i="31"/>
  <c r="R257" i="31" s="1"/>
  <c r="H8" i="31"/>
  <c r="F253" i="31"/>
  <c r="L39" i="31"/>
  <c r="L100" i="31" s="1"/>
  <c r="BI44" i="31"/>
  <c r="S139" i="31"/>
  <c r="E27" i="31"/>
  <c r="E91" i="31" s="1"/>
  <c r="U32" i="31"/>
  <c r="P61" i="31" s="1"/>
  <c r="P122" i="31" s="1"/>
  <c r="O250" i="31"/>
  <c r="O29" i="31"/>
  <c r="O93" i="31" s="1"/>
  <c r="S47" i="31"/>
  <c r="X47" i="31" s="1"/>
  <c r="S108" i="31" s="1"/>
  <c r="S51" i="31"/>
  <c r="X51" i="31" s="1"/>
  <c r="S112" i="31" s="1"/>
  <c r="C207" i="31"/>
  <c r="C283" i="31"/>
  <c r="M65" i="31"/>
  <c r="D65" i="31" s="1"/>
  <c r="Y30" i="31"/>
  <c r="BI43" i="31"/>
  <c r="BI42" i="31"/>
  <c r="L7" i="31"/>
  <c r="S46" i="31"/>
  <c r="X46" i="31" s="1"/>
  <c r="S107" i="31" s="1"/>
  <c r="S50" i="31"/>
  <c r="X50" i="31" s="1"/>
  <c r="S111" i="31" s="1"/>
  <c r="X55" i="31"/>
  <c r="S116" i="31" s="1"/>
  <c r="X56" i="31"/>
  <c r="S117" i="31" s="1"/>
  <c r="I95" i="31"/>
  <c r="K160" i="31"/>
  <c r="R207" i="31"/>
  <c r="J93" i="31"/>
  <c r="BA36" i="31"/>
  <c r="R40" i="31"/>
  <c r="W41" i="31"/>
  <c r="Q102" i="31" s="1"/>
  <c r="W43" i="31"/>
  <c r="Q104" i="31" s="1"/>
  <c r="X53" i="31"/>
  <c r="S114" i="31" s="1"/>
  <c r="AC44" i="31"/>
  <c r="C250" i="31"/>
  <c r="L38" i="31" l="1"/>
  <c r="L99" i="31" s="1"/>
  <c r="P28" i="31"/>
  <c r="R57" i="31"/>
  <c r="W57" i="31" s="1"/>
  <c r="Q118" i="31" s="1"/>
  <c r="L37" i="31"/>
  <c r="L98" i="31" s="1"/>
  <c r="L36" i="31"/>
  <c r="S40" i="31"/>
  <c r="W40" i="31"/>
  <c r="Q101" i="31" s="1"/>
  <c r="S38" i="31" l="1"/>
  <c r="X38" i="31" s="1"/>
  <c r="S99" i="31" s="1"/>
  <c r="S57" i="31"/>
  <c r="AK44" i="31" s="1"/>
  <c r="S37" i="31"/>
  <c r="X40" i="31"/>
  <c r="X37" i="31" l="1"/>
  <c r="S98" i="31" s="1"/>
  <c r="S41" i="31"/>
  <c r="X41" i="31" s="1"/>
  <c r="S102" i="31" s="1"/>
  <c r="AK42" i="31"/>
  <c r="AK43" i="31"/>
  <c r="X57" i="31"/>
  <c r="S118" i="31" s="1"/>
  <c r="S101" i="31"/>
  <c r="Y42" i="31" l="1"/>
  <c r="BQ42" i="31" s="1"/>
  <c r="S42" i="31" s="1"/>
  <c r="X42" i="31" s="1"/>
  <c r="S103" i="31" s="1"/>
  <c r="Y43" i="31"/>
  <c r="BQ43" i="31" s="1"/>
  <c r="S43" i="31" s="1"/>
  <c r="X43" i="31" s="1"/>
  <c r="S104" i="31" s="1"/>
  <c r="Y44" i="31"/>
  <c r="BQ44" i="31" s="1"/>
  <c r="X75" i="31" l="1"/>
  <c r="S75" i="31" s="1"/>
  <c r="C11" i="31" s="1"/>
  <c r="A11" i="2" s="1"/>
  <c r="Q289" i="31" l="1"/>
  <c r="C300" i="31"/>
  <c r="N296" i="31"/>
  <c r="Q281" i="31"/>
  <c r="C285" i="31"/>
  <c r="N306" i="31"/>
  <c r="N279" i="31"/>
  <c r="N289" i="31"/>
  <c r="C296" i="31"/>
  <c r="C289" i="31"/>
  <c r="C306" i="31"/>
  <c r="Q287" i="31"/>
  <c r="C251" i="31"/>
  <c r="N298" i="31"/>
  <c r="C304" i="31"/>
  <c r="N304" i="31"/>
  <c r="Q298" i="31"/>
  <c r="Q279" i="31"/>
  <c r="C279" i="31"/>
  <c r="C291" i="31"/>
  <c r="N281" i="31"/>
  <c r="C275" i="31"/>
  <c r="C277" i="31"/>
  <c r="E287" i="31"/>
  <c r="N287" i="31"/>
  <c r="C281" i="31"/>
  <c r="C302" i="31"/>
  <c r="C287" i="31"/>
  <c r="Q306" i="31"/>
  <c r="C298" i="31"/>
  <c r="E279" i="31"/>
  <c r="C293" i="31"/>
  <c r="S136" i="31"/>
  <c r="BB16" i="1"/>
  <c r="BB17" i="1"/>
  <c r="BB18" i="1"/>
  <c r="C21" i="19" l="1"/>
  <c r="G38" i="26" l="1"/>
  <c r="G37" i="26"/>
  <c r="F38" i="26"/>
  <c r="H38" i="26" s="1"/>
  <c r="F37" i="26"/>
  <c r="H37" i="26" s="1"/>
  <c r="D38" i="26"/>
  <c r="D37" i="26"/>
  <c r="C38" i="26"/>
  <c r="E38" i="26" s="1"/>
  <c r="C37" i="26"/>
  <c r="J37" i="26"/>
  <c r="J36" i="26"/>
  <c r="I37" i="26"/>
  <c r="K37" i="26" s="1"/>
  <c r="I36" i="26"/>
  <c r="K36" i="26" s="1"/>
  <c r="G36" i="26"/>
  <c r="F36" i="26"/>
  <c r="H36" i="26" s="1"/>
  <c r="E37" i="26"/>
  <c r="D36" i="26"/>
  <c r="C36" i="26"/>
  <c r="J35" i="26"/>
  <c r="I35" i="26"/>
  <c r="G35" i="26"/>
  <c r="F35" i="26"/>
  <c r="E36" i="26"/>
  <c r="D35" i="26"/>
  <c r="C35" i="26"/>
  <c r="E35" i="26" s="1"/>
  <c r="K35" i="26"/>
  <c r="I9" i="26"/>
  <c r="R9" i="26"/>
  <c r="H35" i="26" l="1"/>
  <c r="M19" i="26"/>
  <c r="M18" i="26"/>
  <c r="Q18" i="26"/>
  <c r="Q19" i="26"/>
  <c r="S18" i="26"/>
  <c r="J23" i="29" l="1"/>
  <c r="J33" i="29" s="1"/>
  <c r="C33" i="29"/>
  <c r="C42" i="29"/>
  <c r="F42" i="29" s="1"/>
  <c r="M44" i="29"/>
  <c r="L45" i="29"/>
  <c r="AG44" i="29" s="1"/>
  <c r="X45" i="29"/>
  <c r="AI45" i="29"/>
  <c r="C49" i="29" s="1"/>
  <c r="J47" i="29"/>
  <c r="L47" i="29" s="1"/>
  <c r="N47" i="29"/>
  <c r="N49" i="29" s="1"/>
  <c r="P47" i="29"/>
  <c r="P48" i="29" s="1"/>
  <c r="Q48" i="29" s="1"/>
  <c r="R47" i="29"/>
  <c r="R51" i="29" s="1"/>
  <c r="T47" i="29"/>
  <c r="V47" i="29" s="1"/>
  <c r="V48" i="29" s="1"/>
  <c r="W48" i="29" s="1"/>
  <c r="E49" i="29"/>
  <c r="C50" i="29"/>
  <c r="E50" i="29"/>
  <c r="F50" i="29"/>
  <c r="C51" i="29"/>
  <c r="E51" i="29"/>
  <c r="F51" i="29"/>
  <c r="P51" i="29"/>
  <c r="C23" i="29"/>
  <c r="G28" i="29"/>
  <c r="N51" i="29" l="1"/>
  <c r="N50" i="29"/>
  <c r="N48" i="29"/>
  <c r="O48" i="29" s="1"/>
  <c r="G49" i="29"/>
  <c r="V49" i="29" s="1"/>
  <c r="AH38" i="29"/>
  <c r="P49" i="29"/>
  <c r="T48" i="29"/>
  <c r="U48" i="29" s="1"/>
  <c r="J50" i="29"/>
  <c r="J48" i="29"/>
  <c r="K48" i="29" s="1"/>
  <c r="R50" i="29"/>
  <c r="R48" i="29"/>
  <c r="S48" i="29" s="1"/>
  <c r="P50" i="29"/>
  <c r="L50" i="29"/>
  <c r="L48" i="29"/>
  <c r="M48" i="29" s="1"/>
  <c r="L51" i="29"/>
  <c r="L49" i="29"/>
  <c r="R49" i="29"/>
  <c r="J49" i="29"/>
  <c r="X47" i="29"/>
  <c r="G40" i="29"/>
  <c r="AH39" i="29"/>
  <c r="G42" i="29"/>
  <c r="J42" i="29" s="1"/>
  <c r="J51" i="29"/>
  <c r="L23" i="29"/>
  <c r="L33" i="29" s="1"/>
  <c r="E29" i="29"/>
  <c r="H201" i="29"/>
  <c r="G50" i="29" l="1"/>
  <c r="G51" i="29" s="1"/>
  <c r="T51" i="29" s="1"/>
  <c r="AH51" i="29" s="1"/>
  <c r="T49" i="29"/>
  <c r="AH49" i="29" s="1"/>
  <c r="T50" i="29"/>
  <c r="AH50" i="29" s="1"/>
  <c r="X48" i="29"/>
  <c r="Y48" i="29" s="1"/>
  <c r="Z47" i="29"/>
  <c r="V51" i="29"/>
  <c r="D29" i="29"/>
  <c r="V50" i="29" l="1"/>
  <c r="AB47" i="29"/>
  <c r="Z48" i="29"/>
  <c r="AA48" i="29" s="1"/>
  <c r="X51" i="29"/>
  <c r="X50" i="29"/>
  <c r="X49" i="29"/>
  <c r="AI11" i="29"/>
  <c r="W11" i="29"/>
  <c r="Y11" i="29"/>
  <c r="AA11" i="29"/>
  <c r="AC11" i="29"/>
  <c r="AE11" i="29"/>
  <c r="AG11" i="29"/>
  <c r="O11" i="29"/>
  <c r="C70" i="29"/>
  <c r="F70" i="29" s="1"/>
  <c r="G69" i="29"/>
  <c r="J69" i="29" s="1"/>
  <c r="F69" i="29"/>
  <c r="C69" i="29"/>
  <c r="C67" i="29"/>
  <c r="E67" i="29" s="1"/>
  <c r="AH66" i="29"/>
  <c r="G66" i="29"/>
  <c r="AH65" i="29"/>
  <c r="AK65" i="29" s="1"/>
  <c r="G65" i="29"/>
  <c r="F65" i="29"/>
  <c r="E65" i="29"/>
  <c r="C65" i="29"/>
  <c r="AH64" i="29"/>
  <c r="AK64" i="29" s="1"/>
  <c r="G64" i="29"/>
  <c r="F64" i="29"/>
  <c r="E64" i="29"/>
  <c r="C64" i="29"/>
  <c r="AH63" i="29"/>
  <c r="AK63" i="29" s="1"/>
  <c r="G63" i="29"/>
  <c r="E63" i="29"/>
  <c r="C63" i="29"/>
  <c r="AF61" i="29"/>
  <c r="AF64" i="29" s="1"/>
  <c r="AD61" i="29"/>
  <c r="AD62" i="29" s="1"/>
  <c r="AE62" i="29" s="1"/>
  <c r="AB61" i="29"/>
  <c r="Z61" i="29"/>
  <c r="Z62" i="29" s="1"/>
  <c r="AA62" i="29" s="1"/>
  <c r="X61" i="29"/>
  <c r="X64" i="29" s="1"/>
  <c r="V61" i="29"/>
  <c r="V62" i="29" s="1"/>
  <c r="W62" i="29" s="1"/>
  <c r="T61" i="29"/>
  <c r="R61" i="29"/>
  <c r="R62" i="29" s="1"/>
  <c r="S62" i="29" s="1"/>
  <c r="P61" i="29"/>
  <c r="P64" i="29" s="1"/>
  <c r="N61" i="29"/>
  <c r="N62" i="29" s="1"/>
  <c r="O62" i="29" s="1"/>
  <c r="L61" i="29"/>
  <c r="J61" i="29"/>
  <c r="J62" i="29" s="1"/>
  <c r="K62" i="29" s="1"/>
  <c r="AI59" i="29"/>
  <c r="X59" i="29"/>
  <c r="L59" i="29"/>
  <c r="AG58" i="29"/>
  <c r="M58" i="29"/>
  <c r="F55" i="29"/>
  <c r="V72" i="29"/>
  <c r="Z49" i="29" l="1"/>
  <c r="Z51" i="29"/>
  <c r="Z50" i="29"/>
  <c r="AB50" i="29"/>
  <c r="AD47" i="29"/>
  <c r="AB48" i="29"/>
  <c r="AC48" i="29" s="1"/>
  <c r="R64" i="29"/>
  <c r="J24" i="29"/>
  <c r="J34" i="29" s="1"/>
  <c r="G67" i="29"/>
  <c r="J67" i="29" s="1"/>
  <c r="V63" i="29"/>
  <c r="V65" i="29"/>
  <c r="AD63" i="29"/>
  <c r="Z64" i="29"/>
  <c r="AD65" i="29"/>
  <c r="N63" i="29"/>
  <c r="J64" i="29"/>
  <c r="N65" i="29"/>
  <c r="G70" i="29"/>
  <c r="J70" i="29" s="1"/>
  <c r="L65" i="29"/>
  <c r="L63" i="29"/>
  <c r="L64" i="29"/>
  <c r="L62" i="29"/>
  <c r="M62" i="29" s="1"/>
  <c r="T65" i="29"/>
  <c r="T63" i="29"/>
  <c r="T64" i="29"/>
  <c r="T62" i="29"/>
  <c r="U62" i="29" s="1"/>
  <c r="AB65" i="29"/>
  <c r="AB63" i="29"/>
  <c r="AB64" i="29"/>
  <c r="AB62" i="29"/>
  <c r="AC62" i="29" s="1"/>
  <c r="M72" i="29"/>
  <c r="S72" i="29"/>
  <c r="E72" i="29"/>
  <c r="G72" i="29"/>
  <c r="J72" i="29"/>
  <c r="P62" i="29"/>
  <c r="Q62" i="29" s="1"/>
  <c r="X62" i="29"/>
  <c r="Y62" i="29" s="1"/>
  <c r="AF62" i="29"/>
  <c r="AG62" i="29" s="1"/>
  <c r="P63" i="29"/>
  <c r="X63" i="29"/>
  <c r="AF63" i="29"/>
  <c r="P65" i="29"/>
  <c r="X65" i="29"/>
  <c r="AF65" i="29"/>
  <c r="J63" i="29"/>
  <c r="R63" i="29"/>
  <c r="Z63" i="29"/>
  <c r="N64" i="29"/>
  <c r="V64" i="29"/>
  <c r="AD64" i="29"/>
  <c r="J65" i="29"/>
  <c r="R65" i="29"/>
  <c r="Z65" i="29"/>
  <c r="AB49" i="29" l="1"/>
  <c r="AB51" i="29"/>
  <c r="AD48" i="29"/>
  <c r="AE48" i="29" s="1"/>
  <c r="AF47" i="29"/>
  <c r="J37" i="29"/>
  <c r="J25" i="29"/>
  <c r="J27" i="29"/>
  <c r="G29" i="29" s="1"/>
  <c r="J26" i="29"/>
  <c r="K24" i="29"/>
  <c r="K34" i="29" s="1"/>
  <c r="L24" i="29"/>
  <c r="L34" i="29" s="1"/>
  <c r="N23" i="29"/>
  <c r="N33" i="29" s="1"/>
  <c r="C56" i="29"/>
  <c r="Y72" i="29" s="1"/>
  <c r="C55" i="29"/>
  <c r="C53" i="29"/>
  <c r="P72" i="29" s="1"/>
  <c r="G52" i="29"/>
  <c r="K12" i="27"/>
  <c r="J12" i="27"/>
  <c r="AF11" i="27"/>
  <c r="AD11" i="27"/>
  <c r="AB11" i="27"/>
  <c r="Z11" i="27"/>
  <c r="X11" i="27"/>
  <c r="V11" i="27"/>
  <c r="T11" i="27"/>
  <c r="R11" i="27"/>
  <c r="P11" i="27"/>
  <c r="N11" i="27"/>
  <c r="L11" i="27"/>
  <c r="J11" i="27"/>
  <c r="AD50" i="29" l="1"/>
  <c r="AF48" i="29"/>
  <c r="AG48" i="29" s="1"/>
  <c r="AD51" i="29"/>
  <c r="AD49" i="29"/>
  <c r="L37" i="29"/>
  <c r="L27" i="29"/>
  <c r="L26" i="29"/>
  <c r="L25" i="29"/>
  <c r="M24" i="29"/>
  <c r="M34" i="29" s="1"/>
  <c r="N24" i="29"/>
  <c r="N34" i="29" s="1"/>
  <c r="N37" i="29" s="1"/>
  <c r="P23" i="29"/>
  <c r="P33" i="29" s="1"/>
  <c r="E53" i="29"/>
  <c r="G53" i="29"/>
  <c r="J53" i="29" s="1"/>
  <c r="F56" i="29"/>
  <c r="AF50" i="29" l="1"/>
  <c r="AF49" i="29"/>
  <c r="AF51" i="29"/>
  <c r="N26" i="29"/>
  <c r="N27" i="29"/>
  <c r="N25" i="29"/>
  <c r="O24" i="29"/>
  <c r="O34" i="29" s="1"/>
  <c r="P24" i="29"/>
  <c r="P34" i="29" s="1"/>
  <c r="R23" i="29"/>
  <c r="R33" i="29" s="1"/>
  <c r="G56" i="29"/>
  <c r="J56" i="29" s="1"/>
  <c r="P73" i="29"/>
  <c r="P37" i="29" l="1"/>
  <c r="P27" i="29"/>
  <c r="P25" i="29"/>
  <c r="P26" i="29"/>
  <c r="Q24" i="29"/>
  <c r="Q34" i="29" s="1"/>
  <c r="R24" i="29"/>
  <c r="R34" i="29" s="1"/>
  <c r="T23" i="29"/>
  <c r="T33" i="29" s="1"/>
  <c r="Y73" i="29"/>
  <c r="R37" i="29" l="1"/>
  <c r="R27" i="29"/>
  <c r="R26" i="29"/>
  <c r="R25" i="29"/>
  <c r="S24" i="29"/>
  <c r="S34" i="29" s="1"/>
  <c r="T24" i="29"/>
  <c r="T34" i="29" s="1"/>
  <c r="V23" i="29"/>
  <c r="V33" i="29" s="1"/>
  <c r="AC250" i="29"/>
  <c r="V250" i="29"/>
  <c r="C250" i="29"/>
  <c r="V248" i="29"/>
  <c r="C248" i="29"/>
  <c r="C246" i="29"/>
  <c r="C244" i="29"/>
  <c r="AC242" i="29"/>
  <c r="V242" i="29"/>
  <c r="C242" i="29"/>
  <c r="V240" i="29"/>
  <c r="C240" i="29"/>
  <c r="C237" i="29"/>
  <c r="C235" i="29"/>
  <c r="V233" i="29"/>
  <c r="C233" i="29"/>
  <c r="AC231" i="29"/>
  <c r="V231" i="29"/>
  <c r="G231" i="29"/>
  <c r="C231" i="29"/>
  <c r="C229" i="29"/>
  <c r="C227" i="29"/>
  <c r="V225" i="29"/>
  <c r="C225" i="29"/>
  <c r="AC223" i="29"/>
  <c r="V223" i="29"/>
  <c r="G223" i="29"/>
  <c r="C223" i="29"/>
  <c r="C221" i="29"/>
  <c r="C219" i="29"/>
  <c r="AC215" i="29"/>
  <c r="G215" i="29"/>
  <c r="AC207" i="29"/>
  <c r="G207" i="29"/>
  <c r="C203" i="29"/>
  <c r="V190" i="29"/>
  <c r="H190" i="29"/>
  <c r="L189" i="29"/>
  <c r="T175" i="29"/>
  <c r="K175" i="29"/>
  <c r="K174" i="29"/>
  <c r="K165" i="29"/>
  <c r="T37" i="29" l="1"/>
  <c r="T25" i="29"/>
  <c r="T27" i="29"/>
  <c r="T26" i="29"/>
  <c r="U24" i="29"/>
  <c r="U34" i="29" s="1"/>
  <c r="V24" i="29"/>
  <c r="V34" i="29" s="1"/>
  <c r="X23" i="29"/>
  <c r="X33" i="29" s="1"/>
  <c r="R108" i="29"/>
  <c r="C149" i="29"/>
  <c r="H196" i="29" s="1"/>
  <c r="C196" i="29"/>
  <c r="U11" i="29"/>
  <c r="S11" i="29"/>
  <c r="Q11" i="29"/>
  <c r="M11" i="29"/>
  <c r="K11" i="29"/>
  <c r="V37" i="29" l="1"/>
  <c r="V25" i="29"/>
  <c r="V27" i="29"/>
  <c r="V26" i="29"/>
  <c r="W24" i="29"/>
  <c r="W34" i="29" s="1"/>
  <c r="X24" i="29"/>
  <c r="X34" i="29" s="1"/>
  <c r="Z23" i="29"/>
  <c r="Z33" i="29" s="1"/>
  <c r="AK49" i="29"/>
  <c r="AK51" i="29"/>
  <c r="H199" i="29"/>
  <c r="AK50" i="29"/>
  <c r="L55" i="1"/>
  <c r="X37" i="29" l="1"/>
  <c r="X27" i="29"/>
  <c r="Y24" i="29"/>
  <c r="Y34" i="29" s="1"/>
  <c r="Z24" i="29"/>
  <c r="Z34" i="29" s="1"/>
  <c r="AB23" i="29"/>
  <c r="AB33" i="29" s="1"/>
  <c r="AH52" i="29"/>
  <c r="G55" i="29" s="1"/>
  <c r="J55" i="29" s="1"/>
  <c r="E32" i="1"/>
  <c r="E33" i="1"/>
  <c r="F32" i="1" s="1"/>
  <c r="B5" i="2" a="1"/>
  <c r="Z37" i="29" l="1"/>
  <c r="Z27" i="29"/>
  <c r="AA24" i="29"/>
  <c r="AA34" i="29" s="1"/>
  <c r="AD23" i="29"/>
  <c r="AD33" i="29" s="1"/>
  <c r="AB24" i="29"/>
  <c r="AB34" i="29" s="1"/>
  <c r="AB37" i="29" s="1"/>
  <c r="F33" i="1"/>
  <c r="G32" i="1" s="1"/>
  <c r="A14" i="2"/>
  <c r="L14" i="2" s="1"/>
  <c r="B14" i="2" a="1"/>
  <c r="C194" i="29"/>
  <c r="Z193" i="29"/>
  <c r="C193" i="29"/>
  <c r="AE151" i="29"/>
  <c r="C151" i="29"/>
  <c r="U150" i="29"/>
  <c r="AH104" i="29"/>
  <c r="R104" i="29"/>
  <c r="R102" i="29"/>
  <c r="C15" i="29"/>
  <c r="U203" i="29" s="1"/>
  <c r="AE201" i="29"/>
  <c r="T7" i="29"/>
  <c r="AB27" i="29" l="1"/>
  <c r="AC24" i="29"/>
  <c r="AC34" i="29" s="1"/>
  <c r="AD24" i="29"/>
  <c r="AD34" i="29" s="1"/>
  <c r="AF23" i="29"/>
  <c r="AF33" i="29" s="1"/>
  <c r="AC225" i="29"/>
  <c r="AC233" i="29"/>
  <c r="U157" i="29"/>
  <c r="G33" i="1"/>
  <c r="F14" i="2"/>
  <c r="K14" i="2" s="1"/>
  <c r="M14" i="2"/>
  <c r="C14" i="2"/>
  <c r="H14" i="2" s="1"/>
  <c r="E14" i="2"/>
  <c r="J14" i="2" s="1"/>
  <c r="B14" i="2"/>
  <c r="G14" i="2" s="1"/>
  <c r="D14" i="2"/>
  <c r="I14" i="2" s="1"/>
  <c r="AC217" i="29"/>
  <c r="AD37" i="29" l="1"/>
  <c r="AD27" i="29"/>
  <c r="AE24" i="29"/>
  <c r="AE34" i="29" s="1"/>
  <c r="AF24" i="29"/>
  <c r="AF34" i="29" s="1"/>
  <c r="N14" i="2"/>
  <c r="AF37" i="29" l="1"/>
  <c r="AH37" i="29" s="1"/>
  <c r="AK37" i="29" s="1"/>
  <c r="AH35" i="29"/>
  <c r="AH36" i="29"/>
  <c r="AH25" i="29"/>
  <c r="AF27" i="29"/>
  <c r="AH27" i="29" s="1"/>
  <c r="AG24" i="29"/>
  <c r="AG34" i="29" s="1"/>
  <c r="H12" i="29"/>
  <c r="AH40" i="29" l="1"/>
  <c r="AH41" i="29"/>
  <c r="AH26" i="29"/>
  <c r="AK26" i="29" s="1"/>
  <c r="J73" i="29" s="1"/>
  <c r="AH28" i="29"/>
  <c r="AH29" i="29"/>
  <c r="AK25" i="29"/>
  <c r="G73" i="29" s="1"/>
  <c r="M73" i="29"/>
  <c r="H194" i="29"/>
  <c r="AH30" i="29" l="1"/>
  <c r="AH31" i="29"/>
  <c r="C19" i="1"/>
  <c r="F24" i="6" l="1"/>
  <c r="AH38" i="1" l="1"/>
  <c r="S38" i="1" s="1"/>
  <c r="Y31" i="1"/>
  <c r="Q87" i="17" l="1"/>
  <c r="Q79" i="17"/>
  <c r="N87" i="17" l="1"/>
  <c r="C81" i="17"/>
  <c r="N79" i="17"/>
  <c r="C79" i="17"/>
  <c r="N70" i="17"/>
  <c r="Q52" i="17"/>
  <c r="E52" i="17"/>
  <c r="Q44" i="17"/>
  <c r="E44" i="17"/>
  <c r="N85" i="17" l="1"/>
  <c r="C85" i="17"/>
  <c r="C77" i="17"/>
  <c r="C70" i="17"/>
  <c r="N68" i="17"/>
  <c r="C66" i="17"/>
  <c r="C83" i="17"/>
  <c r="C87" i="17"/>
  <c r="N77" i="17"/>
  <c r="C74" i="17"/>
  <c r="C72" i="17"/>
  <c r="Q68" i="17"/>
  <c r="E68" i="17"/>
  <c r="C68" i="17"/>
  <c r="C64" i="17"/>
  <c r="N62" i="17"/>
  <c r="Q60" i="17"/>
  <c r="E60" i="17"/>
  <c r="C58" i="17"/>
  <c r="C62" i="17"/>
  <c r="N60" i="17"/>
  <c r="C60" i="17"/>
  <c r="C56" i="17"/>
  <c r="Y46" i="1"/>
  <c r="Q31" i="1" l="1"/>
  <c r="BA13" i="1" l="1"/>
  <c r="T34" i="26"/>
  <c r="T33" i="26"/>
  <c r="T32" i="26"/>
  <c r="P34" i="26"/>
  <c r="P33" i="26"/>
  <c r="P32" i="26"/>
  <c r="R18" i="26" l="1"/>
  <c r="N18" i="26"/>
  <c r="R19" i="26"/>
  <c r="N19" i="26"/>
  <c r="T19" i="26"/>
  <c r="S19" i="26"/>
  <c r="T18" i="26"/>
  <c r="O19" i="26"/>
  <c r="P19" i="26" s="1"/>
  <c r="J11" i="17" l="1"/>
  <c r="K11" i="17"/>
  <c r="L11" i="17"/>
  <c r="M11" i="17"/>
  <c r="N11" i="17"/>
  <c r="O11" i="17"/>
  <c r="P11" i="17"/>
  <c r="Q11" i="17"/>
  <c r="R11" i="17"/>
  <c r="S11" i="17"/>
  <c r="T11" i="17"/>
  <c r="U11" i="17"/>
  <c r="I11" i="17"/>
  <c r="H11" i="17"/>
  <c r="C36" i="17" l="1"/>
  <c r="AI9" i="27" l="1"/>
  <c r="X37" i="27" l="1"/>
  <c r="S64" i="27"/>
  <c r="F61" i="27" l="1"/>
  <c r="F47" i="27"/>
  <c r="E57" i="27"/>
  <c r="E56" i="27"/>
  <c r="E43" i="27"/>
  <c r="E42" i="27"/>
  <c r="E55" i="27"/>
  <c r="E41" i="27"/>
  <c r="AI51" i="27"/>
  <c r="AI37" i="27"/>
  <c r="X51" i="27"/>
  <c r="M50" i="27"/>
  <c r="M36" i="27"/>
  <c r="P39" i="27"/>
  <c r="N39" i="27"/>
  <c r="L53" i="27"/>
  <c r="L54" i="27" s="1"/>
  <c r="M54" i="27" s="1"/>
  <c r="E64" i="27"/>
  <c r="AM9" i="27"/>
  <c r="AQ9" i="27"/>
  <c r="C62" i="27"/>
  <c r="C59" i="27"/>
  <c r="J53" i="27"/>
  <c r="J39" i="27"/>
  <c r="F33" i="27"/>
  <c r="E29" i="27"/>
  <c r="E28" i="27"/>
  <c r="E27" i="27"/>
  <c r="J25" i="27"/>
  <c r="AI23" i="27"/>
  <c r="X23" i="27"/>
  <c r="M22" i="27"/>
  <c r="C20" i="27"/>
  <c r="C19" i="27"/>
  <c r="V64" i="27" s="1"/>
  <c r="C17" i="27"/>
  <c r="F15" i="27"/>
  <c r="F29" i="27" s="1"/>
  <c r="C15" i="27"/>
  <c r="M64" i="27" s="1"/>
  <c r="F14" i="27"/>
  <c r="F28" i="27" s="1"/>
  <c r="C14" i="27"/>
  <c r="J64" i="27" s="1"/>
  <c r="C13" i="27"/>
  <c r="G64" i="27" s="1"/>
  <c r="J56" i="27" l="1"/>
  <c r="J54" i="27"/>
  <c r="K54" i="27" s="1"/>
  <c r="J42" i="27"/>
  <c r="J40" i="27"/>
  <c r="K40" i="27" s="1"/>
  <c r="F57" i="27"/>
  <c r="F56" i="27"/>
  <c r="R39" i="27"/>
  <c r="P40" i="27"/>
  <c r="Q40" i="27" s="1"/>
  <c r="N42" i="27"/>
  <c r="N43" i="27"/>
  <c r="N41" i="27"/>
  <c r="N40" i="27"/>
  <c r="O40" i="27" s="1"/>
  <c r="J26" i="27"/>
  <c r="K26" i="27" s="1"/>
  <c r="L12" i="27"/>
  <c r="M12" i="27" s="1"/>
  <c r="L51" i="27"/>
  <c r="AG50" i="27" s="1"/>
  <c r="G55" i="27" s="1"/>
  <c r="AG8" i="27"/>
  <c r="G13" i="27" s="1"/>
  <c r="J13" i="27" s="1"/>
  <c r="E17" i="27"/>
  <c r="L37" i="27"/>
  <c r="AG36" i="27" s="1"/>
  <c r="G41" i="27" s="1"/>
  <c r="F43" i="27"/>
  <c r="L39" i="27"/>
  <c r="F42" i="27"/>
  <c r="L25" i="27"/>
  <c r="L26" i="27" s="1"/>
  <c r="M26" i="27" s="1"/>
  <c r="N53" i="27"/>
  <c r="F20" i="27"/>
  <c r="L23" i="27"/>
  <c r="AG22" i="27" s="1"/>
  <c r="G27" i="27" s="1"/>
  <c r="J27" i="27" s="1"/>
  <c r="C34" i="27"/>
  <c r="C31" i="27"/>
  <c r="C33" i="27"/>
  <c r="C29" i="27"/>
  <c r="C27" i="27"/>
  <c r="C28" i="27"/>
  <c r="J41" i="27"/>
  <c r="J43" i="27"/>
  <c r="J55" i="27"/>
  <c r="J57" i="27"/>
  <c r="E59" i="27"/>
  <c r="F62" i="27"/>
  <c r="L55" i="27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20" i="26"/>
  <c r="K20" i="26"/>
  <c r="U20" i="26" s="1"/>
  <c r="P53" i="27" l="1"/>
  <c r="N56" i="27"/>
  <c r="N57" i="27"/>
  <c r="N55" i="27"/>
  <c r="N54" i="27"/>
  <c r="O54" i="27" s="1"/>
  <c r="L40" i="27"/>
  <c r="M40" i="27" s="1"/>
  <c r="T39" i="27"/>
  <c r="R40" i="27"/>
  <c r="S40" i="27" s="1"/>
  <c r="N12" i="27"/>
  <c r="O12" i="27" s="1"/>
  <c r="G14" i="27"/>
  <c r="J14" i="27" s="1"/>
  <c r="X53" i="27"/>
  <c r="X54" i="27" s="1"/>
  <c r="Y54" i="27" s="1"/>
  <c r="L27" i="27"/>
  <c r="N25" i="27"/>
  <c r="G28" i="27"/>
  <c r="C48" i="27"/>
  <c r="Y64" i="27" s="1"/>
  <c r="C45" i="27"/>
  <c r="P64" i="27" s="1"/>
  <c r="C42" i="27"/>
  <c r="C41" i="27"/>
  <c r="C47" i="27"/>
  <c r="C43" i="27"/>
  <c r="F34" i="27"/>
  <c r="G42" i="27"/>
  <c r="G43" i="27" s="1"/>
  <c r="L43" i="27" s="1"/>
  <c r="E31" i="27"/>
  <c r="G56" i="27"/>
  <c r="L56" i="27" s="1"/>
  <c r="L13" i="27"/>
  <c r="V21" i="26"/>
  <c r="V23" i="26"/>
  <c r="V27" i="26"/>
  <c r="V31" i="26"/>
  <c r="V32" i="26"/>
  <c r="V33" i="26"/>
  <c r="V34" i="26"/>
  <c r="K22" i="26"/>
  <c r="U22" i="26" s="1"/>
  <c r="K23" i="26"/>
  <c r="K24" i="26"/>
  <c r="U24" i="26" s="1"/>
  <c r="K25" i="26"/>
  <c r="U25" i="26" s="1"/>
  <c r="K26" i="26"/>
  <c r="U26" i="26" s="1"/>
  <c r="K27" i="26"/>
  <c r="U27" i="26" s="1"/>
  <c r="K28" i="26"/>
  <c r="U28" i="26" s="1"/>
  <c r="K29" i="26"/>
  <c r="U29" i="26" s="1"/>
  <c r="K30" i="26"/>
  <c r="V30" i="26" s="1"/>
  <c r="K31" i="26"/>
  <c r="U31" i="26" s="1"/>
  <c r="L31" i="26" s="1"/>
  <c r="K32" i="26"/>
  <c r="U32" i="26" s="1"/>
  <c r="L32" i="26" s="1"/>
  <c r="K33" i="26"/>
  <c r="U33" i="26" s="1"/>
  <c r="L33" i="26" s="1"/>
  <c r="K34" i="26"/>
  <c r="U34" i="26" s="1"/>
  <c r="L34" i="26" s="1"/>
  <c r="K21" i="26"/>
  <c r="U21" i="26" s="1"/>
  <c r="V20" i="26"/>
  <c r="Q35" i="26"/>
  <c r="Q37" i="26" s="1"/>
  <c r="M35" i="26"/>
  <c r="M37" i="26" s="1"/>
  <c r="R34" i="26"/>
  <c r="R33" i="26"/>
  <c r="R32" i="26"/>
  <c r="R31" i="26"/>
  <c r="R30" i="26"/>
  <c r="R29" i="26"/>
  <c r="R28" i="26"/>
  <c r="R27" i="26"/>
  <c r="R26" i="26"/>
  <c r="R25" i="26"/>
  <c r="R24" i="26"/>
  <c r="R23" i="26"/>
  <c r="R22" i="26"/>
  <c r="R21" i="26"/>
  <c r="N28" i="26"/>
  <c r="N34" i="26"/>
  <c r="N33" i="26"/>
  <c r="N32" i="26"/>
  <c r="N31" i="26"/>
  <c r="N30" i="26"/>
  <c r="N29" i="26"/>
  <c r="N27" i="26"/>
  <c r="N26" i="26"/>
  <c r="N25" i="26"/>
  <c r="N24" i="26"/>
  <c r="N23" i="26"/>
  <c r="N22" i="26"/>
  <c r="N21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J21" i="26"/>
  <c r="F21" i="26"/>
  <c r="L27" i="26" l="1"/>
  <c r="P27" i="26" s="1"/>
  <c r="V29" i="26"/>
  <c r="V24" i="26"/>
  <c r="V28" i="26"/>
  <c r="L28" i="26" s="1"/>
  <c r="L29" i="26"/>
  <c r="T29" i="26" s="1"/>
  <c r="V26" i="26"/>
  <c r="L26" i="26" s="1"/>
  <c r="V25" i="26"/>
  <c r="L25" i="26" s="1"/>
  <c r="U30" i="26"/>
  <c r="L30" i="26" s="1"/>
  <c r="P30" i="26" s="1"/>
  <c r="S35" i="26"/>
  <c r="S37" i="26" s="1"/>
  <c r="T31" i="26"/>
  <c r="T27" i="26"/>
  <c r="U23" i="26"/>
  <c r="L23" i="26" s="1"/>
  <c r="T23" i="26" s="1"/>
  <c r="L24" i="26"/>
  <c r="P24" i="26" s="1"/>
  <c r="V22" i="26"/>
  <c r="L22" i="26" s="1"/>
  <c r="T22" i="26" s="1"/>
  <c r="L41" i="27"/>
  <c r="L42" i="27"/>
  <c r="L28" i="27"/>
  <c r="J28" i="27"/>
  <c r="R53" i="27"/>
  <c r="P54" i="27"/>
  <c r="Q54" i="27" s="1"/>
  <c r="V39" i="27"/>
  <c r="T40" i="27"/>
  <c r="U40" i="27" s="1"/>
  <c r="P25" i="27"/>
  <c r="N26" i="27"/>
  <c r="O26" i="27" s="1"/>
  <c r="N14" i="27"/>
  <c r="L14" i="27"/>
  <c r="G15" i="27"/>
  <c r="G16" i="27" s="1"/>
  <c r="G17" i="27" s="1"/>
  <c r="P12" i="27"/>
  <c r="Q12" i="27" s="1"/>
  <c r="Z53" i="27"/>
  <c r="Z54" i="27" s="1"/>
  <c r="AA54" i="27" s="1"/>
  <c r="X56" i="27"/>
  <c r="X55" i="27"/>
  <c r="J15" i="27"/>
  <c r="C56" i="27"/>
  <c r="C55" i="27"/>
  <c r="C61" i="27"/>
  <c r="C57" i="27"/>
  <c r="F48" i="27"/>
  <c r="G29" i="27"/>
  <c r="G57" i="27"/>
  <c r="G44" i="27"/>
  <c r="G45" i="27" s="1"/>
  <c r="J45" i="27" s="1"/>
  <c r="E45" i="27"/>
  <c r="L21" i="26"/>
  <c r="T21" i="26" s="1"/>
  <c r="O34" i="26"/>
  <c r="S34" i="26"/>
  <c r="S33" i="26"/>
  <c r="O33" i="26"/>
  <c r="O32" i="26"/>
  <c r="S32" i="26"/>
  <c r="P31" i="26"/>
  <c r="P22" i="26" l="1"/>
  <c r="T28" i="26"/>
  <c r="P28" i="26"/>
  <c r="P26" i="26"/>
  <c r="T26" i="26"/>
  <c r="P23" i="26"/>
  <c r="T24" i="26"/>
  <c r="P29" i="26"/>
  <c r="P21" i="26"/>
  <c r="P25" i="26"/>
  <c r="T25" i="26"/>
  <c r="T30" i="26"/>
  <c r="L29" i="27"/>
  <c r="J29" i="27"/>
  <c r="N29" i="27"/>
  <c r="N28" i="27"/>
  <c r="N27" i="27"/>
  <c r="P56" i="27"/>
  <c r="T53" i="27"/>
  <c r="R54" i="27"/>
  <c r="S54" i="27" s="1"/>
  <c r="X39" i="27"/>
  <c r="V40" i="27"/>
  <c r="W40" i="27" s="1"/>
  <c r="R25" i="27"/>
  <c r="P26" i="27"/>
  <c r="Q26" i="27" s="1"/>
  <c r="J17" i="27"/>
  <c r="G20" i="27"/>
  <c r="J20" i="27" s="1"/>
  <c r="P14" i="27"/>
  <c r="N15" i="27"/>
  <c r="P13" i="27"/>
  <c r="N13" i="27"/>
  <c r="P15" i="27"/>
  <c r="L15" i="27"/>
  <c r="G30" i="27"/>
  <c r="G31" i="27" s="1"/>
  <c r="J31" i="27" s="1"/>
  <c r="G48" i="27"/>
  <c r="J48" i="27" s="1"/>
  <c r="L57" i="27"/>
  <c r="X57" i="27"/>
  <c r="AB53" i="27"/>
  <c r="AB54" i="27" s="1"/>
  <c r="AC54" i="27" s="1"/>
  <c r="Z56" i="27"/>
  <c r="Z55" i="27"/>
  <c r="Z57" i="27"/>
  <c r="P27" i="27"/>
  <c r="P43" i="27"/>
  <c r="P42" i="27"/>
  <c r="P41" i="27"/>
  <c r="P55" i="27"/>
  <c r="R57" i="27"/>
  <c r="P57" i="27"/>
  <c r="G58" i="27"/>
  <c r="G59" i="27" s="1"/>
  <c r="J59" i="27" s="1"/>
  <c r="L20" i="26"/>
  <c r="L35" i="26" l="1"/>
  <c r="L37" i="26" s="1"/>
  <c r="P28" i="27"/>
  <c r="V53" i="27"/>
  <c r="T54" i="27"/>
  <c r="U54" i="27" s="1"/>
  <c r="P29" i="27"/>
  <c r="Z39" i="27"/>
  <c r="X40" i="27"/>
  <c r="Y40" i="27" s="1"/>
  <c r="T25" i="27"/>
  <c r="R26" i="27"/>
  <c r="S26" i="27" s="1"/>
  <c r="R12" i="27"/>
  <c r="S12" i="27" s="1"/>
  <c r="G34" i="27"/>
  <c r="J34" i="27" s="1"/>
  <c r="G62" i="27"/>
  <c r="J62" i="27" s="1"/>
  <c r="AD53" i="27"/>
  <c r="AD54" i="27" s="1"/>
  <c r="AE54" i="27" s="1"/>
  <c r="AB57" i="27"/>
  <c r="AB55" i="27"/>
  <c r="AB56" i="27"/>
  <c r="R42" i="27"/>
  <c r="R43" i="27"/>
  <c r="R41" i="27"/>
  <c r="R55" i="27"/>
  <c r="R56" i="27"/>
  <c r="F20" i="26"/>
  <c r="J20" i="26"/>
  <c r="C19" i="26"/>
  <c r="V54" i="27" l="1"/>
  <c r="W54" i="27" s="1"/>
  <c r="AB39" i="27"/>
  <c r="Z40" i="27"/>
  <c r="AA40" i="27" s="1"/>
  <c r="R29" i="27"/>
  <c r="R28" i="27"/>
  <c r="R27" i="27"/>
  <c r="V25" i="27"/>
  <c r="T26" i="27"/>
  <c r="U26" i="27" s="1"/>
  <c r="T12" i="27"/>
  <c r="U12" i="27" s="1"/>
  <c r="R15" i="27"/>
  <c r="R14" i="27"/>
  <c r="R13" i="27"/>
  <c r="Y65" i="27"/>
  <c r="P65" i="27"/>
  <c r="AF53" i="27"/>
  <c r="AF54" i="27" s="1"/>
  <c r="AG54" i="27" s="1"/>
  <c r="AD56" i="27"/>
  <c r="AD55" i="27"/>
  <c r="AD57" i="27"/>
  <c r="T43" i="27"/>
  <c r="T42" i="27"/>
  <c r="T41" i="27"/>
  <c r="T57" i="27"/>
  <c r="T56" i="27"/>
  <c r="T55" i="27"/>
  <c r="R20" i="26"/>
  <c r="T20" i="26" s="1"/>
  <c r="T35" i="26" s="1"/>
  <c r="T37" i="26" s="1"/>
  <c r="N20" i="26"/>
  <c r="P20" i="26" s="1"/>
  <c r="G41" i="26"/>
  <c r="O83" i="26"/>
  <c r="E83" i="26"/>
  <c r="C81" i="26"/>
  <c r="O76" i="26"/>
  <c r="E76" i="26"/>
  <c r="M72" i="26"/>
  <c r="C72" i="26"/>
  <c r="C61" i="26"/>
  <c r="O59" i="26"/>
  <c r="C59" i="26"/>
  <c r="N56" i="26"/>
  <c r="F56" i="26"/>
  <c r="I55" i="26"/>
  <c r="Y54" i="26"/>
  <c r="C43" i="26" s="1"/>
  <c r="Y45" i="26"/>
  <c r="Q45" i="26"/>
  <c r="I45" i="26"/>
  <c r="C44" i="26"/>
  <c r="G44" i="26" s="1"/>
  <c r="AH42" i="26"/>
  <c r="AD41" i="26"/>
  <c r="C41" i="26"/>
  <c r="U40" i="26"/>
  <c r="O40" i="26"/>
  <c r="L40" i="26"/>
  <c r="K40" i="26"/>
  <c r="I40" i="26"/>
  <c r="G40" i="26"/>
  <c r="F40" i="26"/>
  <c r="C40" i="26"/>
  <c r="AD16" i="26"/>
  <c r="H16" i="26"/>
  <c r="P14" i="26"/>
  <c r="O14" i="26"/>
  <c r="AB13" i="26"/>
  <c r="Y13" i="26"/>
  <c r="AB12" i="26"/>
  <c r="Y12" i="26"/>
  <c r="AB11" i="26"/>
  <c r="Y11" i="26"/>
  <c r="AB9" i="26"/>
  <c r="Y9" i="26"/>
  <c r="R69" i="26"/>
  <c r="F69" i="26"/>
  <c r="F9" i="26"/>
  <c r="T8" i="26"/>
  <c r="S12" i="26" s="1"/>
  <c r="Q8" i="26"/>
  <c r="S11" i="26" s="1"/>
  <c r="AB7" i="26"/>
  <c r="Y7" i="26"/>
  <c r="AB6" i="26"/>
  <c r="Y6" i="26"/>
  <c r="S4" i="26" l="1"/>
  <c r="U4" i="26" s="1"/>
  <c r="R35" i="26"/>
  <c r="R37" i="26" s="1"/>
  <c r="C4" i="26"/>
  <c r="V57" i="27"/>
  <c r="V56" i="27"/>
  <c r="V55" i="27"/>
  <c r="T28" i="27"/>
  <c r="AD39" i="27"/>
  <c r="AB40" i="27"/>
  <c r="AC40" i="27" s="1"/>
  <c r="T29" i="27"/>
  <c r="T27" i="27"/>
  <c r="X25" i="27"/>
  <c r="V26" i="27"/>
  <c r="W26" i="27" s="1"/>
  <c r="X12" i="27"/>
  <c r="Y12" i="27" s="1"/>
  <c r="V12" i="27"/>
  <c r="T15" i="27"/>
  <c r="T14" i="27"/>
  <c r="T13" i="27"/>
  <c r="AB12" i="27"/>
  <c r="AC12" i="27" s="1"/>
  <c r="X15" i="27"/>
  <c r="AF57" i="27"/>
  <c r="AH57" i="27" s="1"/>
  <c r="AK57" i="27" s="1"/>
  <c r="AF56" i="27"/>
  <c r="AH56" i="27" s="1"/>
  <c r="AK56" i="27" s="1"/>
  <c r="AF55" i="27"/>
  <c r="AH55" i="27" s="1"/>
  <c r="AK55" i="27" s="1"/>
  <c r="V41" i="27"/>
  <c r="V42" i="27"/>
  <c r="V43" i="27"/>
  <c r="U14" i="26"/>
  <c r="F14" i="26"/>
  <c r="E16" i="26" s="1"/>
  <c r="H8" i="26"/>
  <c r="C42" i="26"/>
  <c r="G42" i="26" s="1"/>
  <c r="I41" i="26"/>
  <c r="G43" i="26"/>
  <c r="I44" i="26"/>
  <c r="O44" i="26" s="1"/>
  <c r="L68" i="15"/>
  <c r="AC65" i="15"/>
  <c r="AG65" i="15"/>
  <c r="K41" i="26" l="1"/>
  <c r="X13" i="27"/>
  <c r="AF39" i="27"/>
  <c r="AF40" i="27" s="1"/>
  <c r="AG40" i="27" s="1"/>
  <c r="AD40" i="27"/>
  <c r="AE40" i="27" s="1"/>
  <c r="V28" i="27"/>
  <c r="V29" i="27"/>
  <c r="V27" i="27"/>
  <c r="Z25" i="27"/>
  <c r="X26" i="27"/>
  <c r="Y26" i="27" s="1"/>
  <c r="X14" i="27"/>
  <c r="V15" i="27"/>
  <c r="W12" i="27"/>
  <c r="Z12" i="27"/>
  <c r="AA12" i="27" s="1"/>
  <c r="V13" i="27"/>
  <c r="V14" i="27"/>
  <c r="AD12" i="27"/>
  <c r="AE12" i="27" s="1"/>
  <c r="AB13" i="27"/>
  <c r="AB15" i="27"/>
  <c r="AB14" i="27"/>
  <c r="AH58" i="27"/>
  <c r="G61" i="27" s="1"/>
  <c r="J61" i="27" s="1"/>
  <c r="X41" i="27"/>
  <c r="X43" i="27"/>
  <c r="X42" i="27"/>
  <c r="P35" i="26"/>
  <c r="P37" i="26" s="1"/>
  <c r="U44" i="26"/>
  <c r="Q44" i="26"/>
  <c r="K44" i="26"/>
  <c r="I42" i="26"/>
  <c r="K42" i="26" s="1"/>
  <c r="I43" i="26"/>
  <c r="K43" i="26" s="1"/>
  <c r="O41" i="26"/>
  <c r="Q41" i="26" s="1"/>
  <c r="H82" i="25"/>
  <c r="F82" i="25"/>
  <c r="X28" i="27" l="1"/>
  <c r="X29" i="27"/>
  <c r="X27" i="27"/>
  <c r="AB25" i="27"/>
  <c r="Z26" i="27"/>
  <c r="AA26" i="27" s="1"/>
  <c r="Z14" i="27"/>
  <c r="Z13" i="27"/>
  <c r="Z15" i="27"/>
  <c r="AF12" i="27"/>
  <c r="AG12" i="27" s="1"/>
  <c r="AD14" i="27"/>
  <c r="AD15" i="27"/>
  <c r="AD13" i="27"/>
  <c r="Z29" i="27"/>
  <c r="Z27" i="27"/>
  <c r="Z42" i="27"/>
  <c r="Z41" i="27"/>
  <c r="Z43" i="27"/>
  <c r="O42" i="26"/>
  <c r="O43" i="26"/>
  <c r="Q43" i="26" s="1"/>
  <c r="L7" i="25"/>
  <c r="S67" i="25" s="1"/>
  <c r="S127" i="25" s="1"/>
  <c r="P123" i="25"/>
  <c r="N123" i="25"/>
  <c r="H123" i="25"/>
  <c r="C123" i="25"/>
  <c r="P122" i="25"/>
  <c r="N122" i="25"/>
  <c r="C122" i="25"/>
  <c r="P121" i="25"/>
  <c r="N121" i="25"/>
  <c r="C121" i="25"/>
  <c r="P120" i="25"/>
  <c r="N120" i="25"/>
  <c r="C120" i="25"/>
  <c r="P119" i="25"/>
  <c r="N119" i="25"/>
  <c r="C119" i="25"/>
  <c r="P118" i="25"/>
  <c r="N118" i="25"/>
  <c r="C118" i="25"/>
  <c r="P117" i="25"/>
  <c r="N117" i="25"/>
  <c r="C117" i="25"/>
  <c r="P116" i="25"/>
  <c r="N116" i="25"/>
  <c r="C116" i="25"/>
  <c r="P115" i="25"/>
  <c r="N115" i="25"/>
  <c r="C115" i="25"/>
  <c r="P114" i="25"/>
  <c r="N114" i="25"/>
  <c r="C114" i="25"/>
  <c r="P113" i="25"/>
  <c r="N113" i="25"/>
  <c r="C113" i="25"/>
  <c r="P112" i="25"/>
  <c r="N112" i="25"/>
  <c r="C112" i="25"/>
  <c r="P111" i="25"/>
  <c r="N111" i="25"/>
  <c r="C111" i="25"/>
  <c r="N110" i="25"/>
  <c r="P109" i="25"/>
  <c r="N109" i="25"/>
  <c r="C109" i="25"/>
  <c r="P108" i="25"/>
  <c r="N108" i="25"/>
  <c r="C108" i="25"/>
  <c r="P107" i="25"/>
  <c r="N107" i="25"/>
  <c r="C107" i="25"/>
  <c r="P106" i="25"/>
  <c r="N106" i="25"/>
  <c r="C106" i="25"/>
  <c r="P105" i="25"/>
  <c r="N105" i="25"/>
  <c r="C105" i="25"/>
  <c r="P104" i="25"/>
  <c r="N104" i="25"/>
  <c r="C104" i="25"/>
  <c r="P103" i="25"/>
  <c r="N103" i="25"/>
  <c r="C103" i="25"/>
  <c r="P102" i="25"/>
  <c r="N102" i="25"/>
  <c r="C102" i="25"/>
  <c r="P101" i="25"/>
  <c r="N101" i="25"/>
  <c r="C101" i="25"/>
  <c r="P100" i="25"/>
  <c r="N100" i="25"/>
  <c r="C100" i="25"/>
  <c r="P99" i="25"/>
  <c r="N99" i="25"/>
  <c r="C99" i="25"/>
  <c r="P98" i="25"/>
  <c r="N98" i="25"/>
  <c r="C98" i="25"/>
  <c r="P97" i="25"/>
  <c r="N97" i="25"/>
  <c r="C97" i="25"/>
  <c r="P96" i="25"/>
  <c r="N96" i="25"/>
  <c r="C96" i="25"/>
  <c r="P95" i="25"/>
  <c r="N95" i="25"/>
  <c r="C95" i="25"/>
  <c r="P94" i="25"/>
  <c r="N94" i="25"/>
  <c r="C94" i="25"/>
  <c r="P93" i="25"/>
  <c r="N93" i="25"/>
  <c r="C93" i="25"/>
  <c r="P92" i="25"/>
  <c r="N92" i="25"/>
  <c r="C92" i="25"/>
  <c r="P91" i="25"/>
  <c r="N91" i="25"/>
  <c r="C91" i="25"/>
  <c r="P90" i="25"/>
  <c r="N90" i="25"/>
  <c r="C90" i="25"/>
  <c r="P89" i="25"/>
  <c r="N89" i="25"/>
  <c r="M89" i="25"/>
  <c r="C89" i="25"/>
  <c r="P88" i="25"/>
  <c r="N88" i="25"/>
  <c r="M88" i="25"/>
  <c r="C88" i="25"/>
  <c r="P87" i="25"/>
  <c r="N87" i="25"/>
  <c r="M87" i="25"/>
  <c r="C87" i="25"/>
  <c r="C86" i="25"/>
  <c r="U83" i="25"/>
  <c r="Q83" i="25"/>
  <c r="M83" i="25"/>
  <c r="I83" i="25"/>
  <c r="S66" i="25"/>
  <c r="S126" i="25" s="1"/>
  <c r="E66" i="25"/>
  <c r="E126" i="25" s="1"/>
  <c r="X63" i="25"/>
  <c r="S123" i="25" s="1"/>
  <c r="W63" i="25"/>
  <c r="Q123" i="25" s="1"/>
  <c r="X62" i="25"/>
  <c r="S122" i="25" s="1"/>
  <c r="W62" i="25"/>
  <c r="Q122" i="25" s="1"/>
  <c r="X61" i="25"/>
  <c r="S121" i="25" s="1"/>
  <c r="W61" i="25"/>
  <c r="Q121" i="25" s="1"/>
  <c r="X60" i="25"/>
  <c r="S120" i="25" s="1"/>
  <c r="W60" i="25"/>
  <c r="Q120" i="25" s="1"/>
  <c r="X59" i="25"/>
  <c r="S119" i="25" s="1"/>
  <c r="W59" i="25"/>
  <c r="Q119" i="25" s="1"/>
  <c r="X58" i="25"/>
  <c r="S118" i="25" s="1"/>
  <c r="W58" i="25"/>
  <c r="Q118" i="25" s="1"/>
  <c r="X57" i="25"/>
  <c r="S117" i="25" s="1"/>
  <c r="W57" i="25"/>
  <c r="Q117" i="25" s="1"/>
  <c r="X56" i="25"/>
  <c r="S116" i="25" s="1"/>
  <c r="W56" i="25"/>
  <c r="Q116" i="25" s="1"/>
  <c r="X55" i="25"/>
  <c r="S115" i="25" s="1"/>
  <c r="W55" i="25"/>
  <c r="Q115" i="25" s="1"/>
  <c r="X54" i="25"/>
  <c r="S114" i="25" s="1"/>
  <c r="W54" i="25"/>
  <c r="Q114" i="25" s="1"/>
  <c r="X53" i="25"/>
  <c r="S113" i="25" s="1"/>
  <c r="W53" i="25"/>
  <c r="Q113" i="25" s="1"/>
  <c r="X52" i="25"/>
  <c r="S112" i="25" s="1"/>
  <c r="W52" i="25"/>
  <c r="Q112" i="25" s="1"/>
  <c r="X51" i="25"/>
  <c r="S111" i="25" s="1"/>
  <c r="W51" i="25"/>
  <c r="Q111" i="25" s="1"/>
  <c r="AD50" i="25"/>
  <c r="X49" i="25"/>
  <c r="S109" i="25" s="1"/>
  <c r="W49" i="25"/>
  <c r="Q109" i="25" s="1"/>
  <c r="X48" i="25"/>
  <c r="S108" i="25" s="1"/>
  <c r="W48" i="25"/>
  <c r="Q108" i="25" s="1"/>
  <c r="X47" i="25"/>
  <c r="S107" i="25" s="1"/>
  <c r="W47" i="25"/>
  <c r="Q107" i="25" s="1"/>
  <c r="W45" i="25"/>
  <c r="Q105" i="25" s="1"/>
  <c r="S45" i="25"/>
  <c r="X45" i="25" s="1"/>
  <c r="S105" i="25" s="1"/>
  <c r="W44" i="25"/>
  <c r="Q104" i="25" s="1"/>
  <c r="S44" i="25"/>
  <c r="X44" i="25" s="1"/>
  <c r="S104" i="25" s="1"/>
  <c r="AD43" i="25"/>
  <c r="R42" i="25"/>
  <c r="S42" i="25" s="1"/>
  <c r="X42" i="25" s="1"/>
  <c r="S102" i="25" s="1"/>
  <c r="R41" i="25"/>
  <c r="W41" i="25" s="1"/>
  <c r="Q101" i="25" s="1"/>
  <c r="R40" i="25"/>
  <c r="W40" i="25" s="1"/>
  <c r="Q100" i="25" s="1"/>
  <c r="R39" i="25"/>
  <c r="S39" i="25" s="1"/>
  <c r="X39" i="25" s="1"/>
  <c r="S99" i="25" s="1"/>
  <c r="R38" i="25"/>
  <c r="W38" i="25" s="1"/>
  <c r="Q98" i="25" s="1"/>
  <c r="R37" i="25"/>
  <c r="W37" i="25" s="1"/>
  <c r="Q97" i="25" s="1"/>
  <c r="R36" i="25"/>
  <c r="W36" i="25" s="1"/>
  <c r="Q96" i="25" s="1"/>
  <c r="R35" i="25"/>
  <c r="W35" i="25" s="1"/>
  <c r="Q95" i="25" s="1"/>
  <c r="BA34" i="25"/>
  <c r="AW34" i="25"/>
  <c r="AS34" i="25"/>
  <c r="R34" i="25"/>
  <c r="W34" i="25" s="1"/>
  <c r="Q94" i="25" s="1"/>
  <c r="BA33" i="25"/>
  <c r="AW33" i="25"/>
  <c r="AS33" i="25"/>
  <c r="R33" i="25"/>
  <c r="W33" i="25" s="1"/>
  <c r="Q93" i="25" s="1"/>
  <c r="BA32" i="25"/>
  <c r="AW32" i="25"/>
  <c r="AS32" i="25"/>
  <c r="R32" i="25"/>
  <c r="W32" i="25" s="1"/>
  <c r="Q92" i="25" s="1"/>
  <c r="R31" i="25"/>
  <c r="W31" i="25" s="1"/>
  <c r="Q91" i="25" s="1"/>
  <c r="AC29" i="25"/>
  <c r="Y29" i="25"/>
  <c r="S29" i="25" s="1"/>
  <c r="X29" i="25" s="1"/>
  <c r="S89" i="25" s="1"/>
  <c r="W29" i="25"/>
  <c r="Q89" i="25" s="1"/>
  <c r="AC28" i="25"/>
  <c r="Y28" i="25"/>
  <c r="S28" i="25" s="1"/>
  <c r="X28" i="25" s="1"/>
  <c r="S88" i="25" s="1"/>
  <c r="W28" i="25"/>
  <c r="Q88" i="25" s="1"/>
  <c r="AC27" i="25"/>
  <c r="Y27" i="25"/>
  <c r="S27" i="25" s="1"/>
  <c r="W27" i="25"/>
  <c r="Q87" i="25" s="1"/>
  <c r="AO26" i="25"/>
  <c r="AK26" i="25"/>
  <c r="AC26" i="25"/>
  <c r="Y26" i="25"/>
  <c r="X26" i="25"/>
  <c r="W26" i="25"/>
  <c r="Q86" i="25" s="1"/>
  <c r="Y24" i="25"/>
  <c r="N22" i="25"/>
  <c r="R22" i="25" s="1"/>
  <c r="C84" i="25"/>
  <c r="O19" i="25"/>
  <c r="J82" i="25" s="1"/>
  <c r="L19" i="25"/>
  <c r="G18" i="25"/>
  <c r="G81" i="25" s="1"/>
  <c r="S17" i="25"/>
  <c r="S80" i="25" s="1"/>
  <c r="E17" i="25"/>
  <c r="E80" i="25" s="1"/>
  <c r="N14" i="25"/>
  <c r="N77" i="25" s="1"/>
  <c r="L28" i="25" l="1"/>
  <c r="L88" i="25" s="1"/>
  <c r="L29" i="25"/>
  <c r="L89" i="25" s="1"/>
  <c r="AG34" i="25"/>
  <c r="Z28" i="27"/>
  <c r="AD25" i="27"/>
  <c r="AB26" i="27"/>
  <c r="AC26" i="27" s="1"/>
  <c r="AF14" i="27"/>
  <c r="AH14" i="27" s="1"/>
  <c r="AK14" i="27" s="1"/>
  <c r="AF15" i="27"/>
  <c r="AH15" i="27" s="1"/>
  <c r="AK15" i="27" s="1"/>
  <c r="AF13" i="27"/>
  <c r="AH13" i="27" s="1"/>
  <c r="AK13" i="27" s="1"/>
  <c r="AB43" i="27"/>
  <c r="AB41" i="27"/>
  <c r="AB42" i="27"/>
  <c r="U42" i="26"/>
  <c r="Q42" i="26"/>
  <c r="S45" i="26" s="1"/>
  <c r="U43" i="26"/>
  <c r="R43" i="25"/>
  <c r="S43" i="25" s="1"/>
  <c r="AC34" i="25" s="1"/>
  <c r="L27" i="25"/>
  <c r="L87" i="25" s="1"/>
  <c r="AS26" i="25"/>
  <c r="S35" i="25"/>
  <c r="X35" i="25" s="1"/>
  <c r="S95" i="25" s="1"/>
  <c r="S37" i="25"/>
  <c r="X37" i="25" s="1"/>
  <c r="S97" i="25" s="1"/>
  <c r="I84" i="25"/>
  <c r="U22" i="25"/>
  <c r="R50" i="25" s="1"/>
  <c r="S38" i="25"/>
  <c r="X38" i="25" s="1"/>
  <c r="S98" i="25" s="1"/>
  <c r="S36" i="25"/>
  <c r="X36" i="25" s="1"/>
  <c r="S96" i="25" s="1"/>
  <c r="X27" i="25"/>
  <c r="S87" i="25" s="1"/>
  <c r="L82" i="25"/>
  <c r="Y20" i="25"/>
  <c r="S31" i="25"/>
  <c r="X31" i="25" s="1"/>
  <c r="S91" i="25" s="1"/>
  <c r="W39" i="25"/>
  <c r="Q99" i="25" s="1"/>
  <c r="W42" i="25"/>
  <c r="Q102" i="25" s="1"/>
  <c r="S86" i="25"/>
  <c r="R30" i="25"/>
  <c r="S40" i="25"/>
  <c r="X40" i="25" s="1"/>
  <c r="S100" i="25" s="1"/>
  <c r="S41" i="25"/>
  <c r="X41" i="25" s="1"/>
  <c r="S101" i="25" s="1"/>
  <c r="W50" i="25" l="1"/>
  <c r="Q110" i="25" s="1"/>
  <c r="S50" i="25"/>
  <c r="X50" i="25" s="1"/>
  <c r="S110" i="25" s="1"/>
  <c r="P18" i="25"/>
  <c r="R46" i="25"/>
  <c r="W46" i="25" s="1"/>
  <c r="Q106" i="25" s="1"/>
  <c r="AB29" i="27"/>
  <c r="AB28" i="27"/>
  <c r="AB27" i="27"/>
  <c r="AF25" i="27"/>
  <c r="AF26" i="27" s="1"/>
  <c r="AG26" i="27" s="1"/>
  <c r="AD26" i="27"/>
  <c r="AE26" i="27" s="1"/>
  <c r="AH16" i="27"/>
  <c r="G19" i="27" s="1"/>
  <c r="J19" i="27" s="1"/>
  <c r="AD29" i="27"/>
  <c r="AD27" i="27"/>
  <c r="AD43" i="27"/>
  <c r="AD42" i="27"/>
  <c r="AD41" i="27"/>
  <c r="C107" i="26"/>
  <c r="C106" i="26"/>
  <c r="M100" i="26"/>
  <c r="C95" i="26"/>
  <c r="C94" i="26"/>
  <c r="M88" i="26"/>
  <c r="C48" i="26"/>
  <c r="C62" i="26" s="1"/>
  <c r="E106" i="26"/>
  <c r="O100" i="26"/>
  <c r="C98" i="26"/>
  <c r="E94" i="26"/>
  <c r="O88" i="26"/>
  <c r="C86" i="26"/>
  <c r="C66" i="26"/>
  <c r="M106" i="26"/>
  <c r="C101" i="26"/>
  <c r="C100" i="26"/>
  <c r="M94" i="26"/>
  <c r="C89" i="26"/>
  <c r="C88" i="26"/>
  <c r="O106" i="26"/>
  <c r="C104" i="26"/>
  <c r="E100" i="26"/>
  <c r="O94" i="26"/>
  <c r="C92" i="26"/>
  <c r="E88" i="26"/>
  <c r="C60" i="26"/>
  <c r="X43" i="25"/>
  <c r="S103" i="25" s="1"/>
  <c r="W43" i="25"/>
  <c r="Q103" i="25" s="1"/>
  <c r="W30" i="25"/>
  <c r="Q90" i="25" s="1"/>
  <c r="S30" i="25"/>
  <c r="P50" i="25"/>
  <c r="P110" i="25" s="1"/>
  <c r="L26" i="25"/>
  <c r="S46" i="25" l="1"/>
  <c r="AK34" i="25" s="1"/>
  <c r="AD28" i="27"/>
  <c r="AF28" i="27"/>
  <c r="AH28" i="27" s="1"/>
  <c r="AK28" i="27" s="1"/>
  <c r="AF29" i="27"/>
  <c r="AH29" i="27" s="1"/>
  <c r="AK29" i="27" s="1"/>
  <c r="AF27" i="27"/>
  <c r="AH27" i="27" s="1"/>
  <c r="AK27" i="27" s="1"/>
  <c r="AF43" i="27"/>
  <c r="AH43" i="27" s="1"/>
  <c r="AK43" i="27" s="1"/>
  <c r="AF42" i="27"/>
  <c r="AH42" i="27" s="1"/>
  <c r="AK42" i="27" s="1"/>
  <c r="AF41" i="27"/>
  <c r="AH41" i="27" s="1"/>
  <c r="AK41" i="27" s="1"/>
  <c r="AO32" i="25"/>
  <c r="AO34" i="25"/>
  <c r="AO33" i="25"/>
  <c r="AK33" i="25"/>
  <c r="X46" i="25"/>
  <c r="S106" i="25" s="1"/>
  <c r="X30" i="25"/>
  <c r="Y34" i="25"/>
  <c r="Y33" i="25"/>
  <c r="Y32" i="25"/>
  <c r="AK32" i="25" l="1"/>
  <c r="BE32" i="25" s="1"/>
  <c r="S32" i="25" s="1"/>
  <c r="X32" i="25" s="1"/>
  <c r="S92" i="25" s="1"/>
  <c r="AH30" i="27"/>
  <c r="G33" i="27" s="1"/>
  <c r="J33" i="27" s="1"/>
  <c r="AH44" i="27"/>
  <c r="G47" i="27" s="1"/>
  <c r="J47" i="27" s="1"/>
  <c r="M65" i="27"/>
  <c r="G65" i="27"/>
  <c r="J65" i="27"/>
  <c r="BE33" i="25"/>
  <c r="S33" i="25" s="1"/>
  <c r="X33" i="25" s="1"/>
  <c r="S93" i="25" s="1"/>
  <c r="BE34" i="25"/>
  <c r="S34" i="25" s="1"/>
  <c r="X34" i="25" s="1"/>
  <c r="S94" i="25" s="1"/>
  <c r="S90" i="25"/>
  <c r="V65" i="27" l="1"/>
  <c r="X64" i="25"/>
  <c r="S64" i="25" s="1"/>
  <c r="S124" i="25" l="1"/>
  <c r="AP90" i="5"/>
  <c r="E49" i="9" l="1"/>
  <c r="E48" i="9"/>
  <c r="E47" i="9"/>
  <c r="E46" i="9"/>
  <c r="E45" i="9"/>
  <c r="E44" i="9"/>
  <c r="E43" i="9"/>
  <c r="E42" i="9"/>
  <c r="E41" i="9"/>
  <c r="E40" i="9"/>
  <c r="E39" i="9"/>
  <c r="E38" i="9"/>
  <c r="E37" i="9"/>
  <c r="I36" i="9"/>
  <c r="E36" i="9"/>
  <c r="I35" i="9"/>
  <c r="E35" i="9"/>
  <c r="I34" i="9"/>
  <c r="E34" i="9"/>
  <c r="I33" i="9"/>
  <c r="E33" i="9"/>
  <c r="I32" i="9"/>
  <c r="E32" i="9"/>
  <c r="M13" i="2" l="1"/>
  <c r="B13" i="2" l="1" a="1"/>
  <c r="E13" i="2" s="1"/>
  <c r="J13" i="2" s="1"/>
  <c r="C13" i="2"/>
  <c r="H13" i="2" s="1"/>
  <c r="B12" i="2" a="1"/>
  <c r="M12" i="2"/>
  <c r="B13" i="2"/>
  <c r="G13" i="2" s="1"/>
  <c r="F13" i="2" l="1"/>
  <c r="K13" i="2" s="1"/>
  <c r="D13" i="2"/>
  <c r="I13" i="2" s="1"/>
  <c r="M11" i="2"/>
  <c r="B11" i="2" a="1"/>
  <c r="B11" i="2" s="1"/>
  <c r="G11" i="2" s="1"/>
  <c r="F11" i="2"/>
  <c r="K11" i="2" s="1"/>
  <c r="E11" i="2"/>
  <c r="J11" i="2" s="1"/>
  <c r="D11" i="2"/>
  <c r="I11" i="2" s="1"/>
  <c r="L11" i="2"/>
  <c r="C12" i="2"/>
  <c r="H12" i="2" s="1"/>
  <c r="E12" i="2"/>
  <c r="J12" i="2" s="1"/>
  <c r="B12" i="2"/>
  <c r="G12" i="2" s="1"/>
  <c r="F12" i="2"/>
  <c r="K12" i="2" s="1"/>
  <c r="D12" i="2"/>
  <c r="I12" i="2" s="1"/>
  <c r="N13" i="2" l="1"/>
  <c r="C11" i="2"/>
  <c r="H11" i="2" s="1"/>
  <c r="N11" i="2" s="1"/>
  <c r="F251" i="31" s="1"/>
  <c r="N12" i="2"/>
  <c r="C205" i="31" s="1"/>
  <c r="C111" i="20" l="1"/>
  <c r="C110" i="20"/>
  <c r="C109" i="20"/>
  <c r="C108" i="20"/>
  <c r="C107" i="20"/>
  <c r="C106" i="20"/>
  <c r="C105" i="20"/>
  <c r="C104" i="20"/>
  <c r="C103" i="20"/>
  <c r="D111" i="20"/>
  <c r="D110" i="20"/>
  <c r="D109" i="20"/>
  <c r="D108" i="20"/>
  <c r="D107" i="20"/>
  <c r="D104" i="20"/>
  <c r="D4" i="20"/>
  <c r="D103" i="20" s="1"/>
  <c r="C64" i="1"/>
  <c r="D7" i="20"/>
  <c r="D106" i="20" s="1"/>
  <c r="R9" i="1"/>
  <c r="D6" i="20"/>
  <c r="D105" i="20" s="1"/>
  <c r="I9" i="1"/>
  <c r="D5" i="20"/>
  <c r="F9" i="1"/>
  <c r="C15" i="17" l="1"/>
  <c r="S12" i="18" l="1"/>
  <c r="C39" i="18"/>
  <c r="M40" i="18"/>
  <c r="M43" i="18"/>
  <c r="M42" i="18"/>
  <c r="C42" i="18"/>
  <c r="M41" i="18"/>
  <c r="M39" i="18"/>
  <c r="C40" i="18"/>
  <c r="C41" i="18"/>
  <c r="M51" i="18"/>
  <c r="K39" i="18" l="1"/>
  <c r="C45" i="18"/>
  <c r="T43" i="18"/>
  <c r="T42" i="18"/>
  <c r="K42" i="18"/>
  <c r="T41" i="18"/>
  <c r="K41" i="18"/>
  <c r="T40" i="18"/>
  <c r="K40" i="18"/>
  <c r="T39" i="18"/>
  <c r="C38" i="18"/>
  <c r="N38" i="18" l="1"/>
  <c r="J36" i="18"/>
  <c r="R29" i="18"/>
  <c r="O29" i="18"/>
  <c r="D28" i="18"/>
  <c r="E22" i="18"/>
  <c r="S36" i="18" l="1"/>
  <c r="J11" i="18" l="1"/>
  <c r="J10" i="18"/>
  <c r="S13" i="18"/>
  <c r="J16" i="18" s="1"/>
  <c r="C49" i="18" l="1"/>
  <c r="C18" i="18"/>
  <c r="C47" i="18"/>
  <c r="J14" i="18"/>
  <c r="S47" i="18"/>
  <c r="C31" i="18"/>
  <c r="M45" i="18"/>
  <c r="K45" i="18"/>
  <c r="J13" i="18"/>
  <c r="J12" i="18"/>
  <c r="C12" i="18" l="1"/>
  <c r="AG10" i="18" l="1"/>
  <c r="H11" i="18"/>
  <c r="H36" i="18" s="1"/>
  <c r="H8" i="18"/>
  <c r="Q8" i="18"/>
  <c r="S16" i="18" l="1"/>
  <c r="S18" i="18" s="1"/>
  <c r="S49" i="18" s="1"/>
  <c r="C56" i="19"/>
  <c r="R23" i="19"/>
  <c r="AE74" i="19" s="1"/>
  <c r="T74" i="19"/>
  <c r="N14" i="19"/>
  <c r="J44" i="19" s="1"/>
  <c r="N13" i="19"/>
  <c r="J43" i="19" s="1"/>
  <c r="H13" i="19"/>
  <c r="S76" i="19" l="1"/>
  <c r="C76" i="19"/>
  <c r="C30" i="18"/>
  <c r="A10" i="2" s="1"/>
  <c r="L10" i="2" s="1"/>
  <c r="T45" i="18"/>
  <c r="A9" i="2"/>
  <c r="C25" i="1"/>
  <c r="G25" i="1" s="1"/>
  <c r="U74" i="19" l="1"/>
  <c r="C22" i="1"/>
  <c r="C28" i="1"/>
  <c r="G28" i="1" s="1"/>
  <c r="U18" i="1"/>
  <c r="O18" i="1"/>
  <c r="L18" i="1"/>
  <c r="I18" i="1"/>
  <c r="AD16" i="1"/>
  <c r="AD19" i="1"/>
  <c r="AH22" i="1"/>
  <c r="G22" i="1" l="1"/>
  <c r="K18" i="1"/>
  <c r="G19" i="1"/>
  <c r="H16" i="1"/>
  <c r="I17" i="17"/>
  <c r="C31" i="17" s="1"/>
  <c r="C66" i="14" l="1"/>
  <c r="B10" i="2" a="1"/>
  <c r="AD53" i="19"/>
  <c r="AD41" i="19"/>
  <c r="H41" i="19"/>
  <c r="C38" i="19"/>
  <c r="R39" i="19" s="1"/>
  <c r="C39" i="19"/>
  <c r="C77" i="19"/>
  <c r="B9" i="2" a="1"/>
  <c r="A8" i="2"/>
  <c r="B8" i="2" s="1" a="1"/>
  <c r="F80" i="14"/>
  <c r="F79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F78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M77" i="14"/>
  <c r="F77" i="14"/>
  <c r="C77" i="14"/>
  <c r="Z77" i="14"/>
  <c r="C100" i="14"/>
  <c r="R101" i="14" s="1"/>
  <c r="I31" i="1"/>
  <c r="M64" i="1" s="1"/>
  <c r="C101" i="14"/>
  <c r="Z78" i="14"/>
  <c r="AE78" i="14"/>
  <c r="Z79" i="14"/>
  <c r="AE79" i="14"/>
  <c r="Z80" i="14"/>
  <c r="AE80" i="14"/>
  <c r="Z81" i="14"/>
  <c r="AE81" i="14"/>
  <c r="Z82" i="14"/>
  <c r="AE82" i="14"/>
  <c r="Z83" i="14"/>
  <c r="AE83" i="14"/>
  <c r="Z84" i="14"/>
  <c r="AE84" i="14"/>
  <c r="Z85" i="14"/>
  <c r="AE85" i="14"/>
  <c r="Z86" i="14"/>
  <c r="AE86" i="14"/>
  <c r="Z87" i="14"/>
  <c r="AE87" i="14"/>
  <c r="Z88" i="14"/>
  <c r="AE88" i="14"/>
  <c r="Z89" i="14"/>
  <c r="AE89" i="14"/>
  <c r="Z90" i="14"/>
  <c r="AE90" i="14"/>
  <c r="Z91" i="14"/>
  <c r="AE91" i="14"/>
  <c r="Z92" i="14"/>
  <c r="AE92" i="14"/>
  <c r="Z93" i="14"/>
  <c r="AE93" i="14"/>
  <c r="Z94" i="14"/>
  <c r="AE94" i="14"/>
  <c r="Z95" i="14"/>
  <c r="AE95" i="14"/>
  <c r="Z96" i="14"/>
  <c r="AE96" i="14"/>
  <c r="Z97" i="14"/>
  <c r="AE97" i="14"/>
  <c r="Z98" i="14"/>
  <c r="AE98" i="14"/>
  <c r="AE77" i="14"/>
  <c r="Z99" i="14"/>
  <c r="C74" i="14"/>
  <c r="T73" i="14"/>
  <c r="O73" i="14"/>
  <c r="N73" i="14"/>
  <c r="I73" i="14"/>
  <c r="C73" i="14"/>
  <c r="C72" i="14"/>
  <c r="C71" i="14"/>
  <c r="F65" i="14"/>
  <c r="P64" i="14"/>
  <c r="F64" i="14"/>
  <c r="F63" i="14"/>
  <c r="AE48" i="14"/>
  <c r="Z48" i="14"/>
  <c r="F17" i="14" s="1"/>
  <c r="F68" i="14" s="1"/>
  <c r="O63" i="18"/>
  <c r="E63" i="18"/>
  <c r="C61" i="18"/>
  <c r="O55" i="18"/>
  <c r="E55" i="18"/>
  <c r="C51" i="18"/>
  <c r="C29" i="18"/>
  <c r="N26" i="18"/>
  <c r="F26" i="18"/>
  <c r="I25" i="18"/>
  <c r="R34" i="18"/>
  <c r="F34" i="18"/>
  <c r="L7" i="18"/>
  <c r="M40" i="17"/>
  <c r="Q70" i="17" l="1"/>
  <c r="Q62" i="17"/>
  <c r="Q54" i="17"/>
  <c r="L8" i="2"/>
  <c r="E8" i="2"/>
  <c r="J8" i="2" s="1"/>
  <c r="B10" i="2"/>
  <c r="G10" i="2" s="1"/>
  <c r="D10" i="2"/>
  <c r="I10" i="2" s="1"/>
  <c r="F10" i="2"/>
  <c r="K10" i="2" s="1"/>
  <c r="C10" i="2"/>
  <c r="H10" i="2" s="1"/>
  <c r="E10" i="2"/>
  <c r="J10" i="2" s="1"/>
  <c r="M10" i="2"/>
  <c r="M9" i="2"/>
  <c r="L9" i="2"/>
  <c r="C9" i="2"/>
  <c r="H9" i="2" s="1"/>
  <c r="E9" i="2"/>
  <c r="J9" i="2" s="1"/>
  <c r="B9" i="2"/>
  <c r="G9" i="2" s="1"/>
  <c r="D9" i="2"/>
  <c r="I9" i="2" s="1"/>
  <c r="F9" i="2"/>
  <c r="K9" i="2" s="1"/>
  <c r="C8" i="2"/>
  <c r="H8" i="2" s="1"/>
  <c r="M8" i="2"/>
  <c r="B8" i="2"/>
  <c r="G8" i="2" s="1"/>
  <c r="F8" i="2"/>
  <c r="K8" i="2" s="1"/>
  <c r="D8" i="2"/>
  <c r="I8" i="2" s="1"/>
  <c r="AE99" i="14"/>
  <c r="Q8" i="17"/>
  <c r="R38" i="17" s="1"/>
  <c r="H8" i="17"/>
  <c r="F38" i="17" s="1"/>
  <c r="R31" i="15"/>
  <c r="R90" i="15" s="1"/>
  <c r="R32" i="15"/>
  <c r="R91" i="15" s="1"/>
  <c r="R33" i="15"/>
  <c r="R92" i="15" s="1"/>
  <c r="R34" i="15"/>
  <c r="R93" i="15" s="1"/>
  <c r="R35" i="15"/>
  <c r="R94" i="15" s="1"/>
  <c r="R36" i="15"/>
  <c r="R95" i="15" s="1"/>
  <c r="R30" i="15"/>
  <c r="X9" i="5"/>
  <c r="X92" i="5" s="1"/>
  <c r="A6" i="2"/>
  <c r="M6" i="2" s="1"/>
  <c r="J14" i="14"/>
  <c r="O28" i="17"/>
  <c r="C40" i="17"/>
  <c r="C30" i="17"/>
  <c r="C29" i="17"/>
  <c r="C28" i="17"/>
  <c r="N25" i="17"/>
  <c r="F25" i="17"/>
  <c r="I24" i="17"/>
  <c r="Y23" i="17"/>
  <c r="AB7" i="17"/>
  <c r="Y7" i="17"/>
  <c r="L7" i="17"/>
  <c r="AB6" i="17"/>
  <c r="Y6" i="17"/>
  <c r="E116" i="15"/>
  <c r="E115" i="15"/>
  <c r="E114" i="15"/>
  <c r="E113" i="15"/>
  <c r="E112" i="15"/>
  <c r="E111" i="15"/>
  <c r="E110" i="15"/>
  <c r="E109" i="15"/>
  <c r="E108" i="15"/>
  <c r="P104" i="15"/>
  <c r="L104" i="15"/>
  <c r="E104" i="15"/>
  <c r="P103" i="15"/>
  <c r="L103" i="15"/>
  <c r="E103" i="15"/>
  <c r="P102" i="15"/>
  <c r="L102" i="15"/>
  <c r="E102" i="15"/>
  <c r="P101" i="15"/>
  <c r="L101" i="15"/>
  <c r="E101" i="15"/>
  <c r="P100" i="15"/>
  <c r="L100" i="15"/>
  <c r="E100" i="15"/>
  <c r="P99" i="15"/>
  <c r="L99" i="15"/>
  <c r="E99" i="15"/>
  <c r="U95" i="15"/>
  <c r="P95" i="15"/>
  <c r="L95" i="15"/>
  <c r="I95" i="15"/>
  <c r="G95" i="15"/>
  <c r="E95" i="15"/>
  <c r="U94" i="15"/>
  <c r="P94" i="15"/>
  <c r="L94" i="15"/>
  <c r="I94" i="15"/>
  <c r="G94" i="15"/>
  <c r="E94" i="15"/>
  <c r="U93" i="15"/>
  <c r="P93" i="15"/>
  <c r="L93" i="15"/>
  <c r="I93" i="15"/>
  <c r="G93" i="15"/>
  <c r="E93" i="15"/>
  <c r="U92" i="15"/>
  <c r="P92" i="15"/>
  <c r="L92" i="15"/>
  <c r="I92" i="15"/>
  <c r="G92" i="15"/>
  <c r="E92" i="15"/>
  <c r="U91" i="15"/>
  <c r="P91" i="15"/>
  <c r="L91" i="15"/>
  <c r="I91" i="15"/>
  <c r="G91" i="15"/>
  <c r="E91" i="15"/>
  <c r="U90" i="15"/>
  <c r="P90" i="15"/>
  <c r="L90" i="15"/>
  <c r="I90" i="15"/>
  <c r="G90" i="15"/>
  <c r="E90" i="15"/>
  <c r="U89" i="15"/>
  <c r="P89" i="15"/>
  <c r="L89" i="15"/>
  <c r="I89" i="15"/>
  <c r="G89" i="15"/>
  <c r="E89" i="15"/>
  <c r="P85" i="15"/>
  <c r="L85" i="15"/>
  <c r="I85" i="15"/>
  <c r="G85" i="15"/>
  <c r="E85" i="15"/>
  <c r="P84" i="15"/>
  <c r="L84" i="15"/>
  <c r="I84" i="15"/>
  <c r="G84" i="15"/>
  <c r="E84" i="15"/>
  <c r="P83" i="15"/>
  <c r="L83" i="15"/>
  <c r="I83" i="15"/>
  <c r="G83" i="15"/>
  <c r="E83" i="15"/>
  <c r="P82" i="15"/>
  <c r="L82" i="15"/>
  <c r="I82" i="15"/>
  <c r="G82" i="15"/>
  <c r="E82" i="15"/>
  <c r="P81" i="15"/>
  <c r="L81" i="15"/>
  <c r="I81" i="15"/>
  <c r="G81" i="15"/>
  <c r="E81" i="15"/>
  <c r="P80" i="15"/>
  <c r="L80" i="15"/>
  <c r="I80" i="15"/>
  <c r="G80" i="15"/>
  <c r="E80" i="15"/>
  <c r="P79" i="15"/>
  <c r="L79" i="15"/>
  <c r="I79" i="15"/>
  <c r="G79" i="15"/>
  <c r="E79" i="15"/>
  <c r="P78" i="15"/>
  <c r="L78" i="15"/>
  <c r="I78" i="15"/>
  <c r="G78" i="15"/>
  <c r="E78" i="15"/>
  <c r="P77" i="15"/>
  <c r="L77" i="15"/>
  <c r="I77" i="15"/>
  <c r="G77" i="15"/>
  <c r="E77" i="15"/>
  <c r="P76" i="15"/>
  <c r="L76" i="15"/>
  <c r="I76" i="15"/>
  <c r="G76" i="15"/>
  <c r="E76" i="15"/>
  <c r="P75" i="15"/>
  <c r="L75" i="15"/>
  <c r="I75" i="15"/>
  <c r="G75" i="15"/>
  <c r="E75" i="15"/>
  <c r="P74" i="15"/>
  <c r="L74" i="15"/>
  <c r="I74" i="15"/>
  <c r="G74" i="15"/>
  <c r="E74" i="15"/>
  <c r="P73" i="15"/>
  <c r="L73" i="15"/>
  <c r="I73" i="15"/>
  <c r="G73" i="15"/>
  <c r="E73" i="15"/>
  <c r="P72" i="15"/>
  <c r="L72" i="15"/>
  <c r="I72" i="15"/>
  <c r="G72" i="15"/>
  <c r="E72" i="15"/>
  <c r="O51" i="1"/>
  <c r="A7" i="2"/>
  <c r="M7" i="2" s="1"/>
  <c r="O15" i="14"/>
  <c r="O14" i="14"/>
  <c r="X97" i="5"/>
  <c r="V97" i="5"/>
  <c r="Z97" i="5"/>
  <c r="L6" i="2" l="1"/>
  <c r="B6" i="2" a="1"/>
  <c r="E6" i="2" s="1"/>
  <c r="J6" i="2" s="1"/>
  <c r="B7" i="2" a="1"/>
  <c r="E7" i="2" s="1"/>
  <c r="J7" i="2" s="1"/>
  <c r="H66" i="14"/>
  <c r="N10" i="2"/>
  <c r="F30" i="18" s="1"/>
  <c r="N9" i="2"/>
  <c r="C24" i="19" s="1"/>
  <c r="N8" i="2"/>
  <c r="I20" i="19" s="1"/>
  <c r="C54" i="19" s="1"/>
  <c r="L7" i="2"/>
  <c r="R89" i="15"/>
  <c r="C6" i="2"/>
  <c r="H6" i="2" s="1"/>
  <c r="B6" i="2"/>
  <c r="G6" i="2" s="1"/>
  <c r="F6" i="2"/>
  <c r="K6" i="2" s="1"/>
  <c r="C7" i="2"/>
  <c r="H7" i="2" s="1"/>
  <c r="B7" i="2"/>
  <c r="G7" i="2" s="1"/>
  <c r="F7" i="2"/>
  <c r="K7" i="2" s="1"/>
  <c r="D6" i="2" l="1"/>
  <c r="I6" i="2" s="1"/>
  <c r="N6" i="2" s="1"/>
  <c r="D7" i="2"/>
  <c r="I7" i="2" s="1"/>
  <c r="N7" i="2" s="1"/>
  <c r="C75" i="19"/>
  <c r="I19" i="1"/>
  <c r="T8" i="1"/>
  <c r="G18" i="1"/>
  <c r="F18" i="1"/>
  <c r="C18" i="1"/>
  <c r="S12" i="1" l="1"/>
  <c r="Q11" i="1" s="1"/>
  <c r="K17" i="14"/>
  <c r="K68" i="14" s="1"/>
  <c r="F29" i="17"/>
  <c r="AB13" i="1"/>
  <c r="Y13" i="1"/>
  <c r="C51" i="1"/>
  <c r="P38" i="1" l="1"/>
  <c r="Q8" i="1"/>
  <c r="S11" i="1" s="1"/>
  <c r="I25" i="1"/>
  <c r="I28" i="1"/>
  <c r="I22" i="1"/>
  <c r="E23" i="9"/>
  <c r="E22" i="9"/>
  <c r="E21" i="9"/>
  <c r="E20" i="9"/>
  <c r="E19" i="9"/>
  <c r="E18" i="9"/>
  <c r="E17" i="9"/>
  <c r="E16" i="9"/>
  <c r="E15" i="9"/>
  <c r="E14" i="9"/>
  <c r="E13" i="9"/>
  <c r="I12" i="9"/>
  <c r="E12" i="9"/>
  <c r="I11" i="9"/>
  <c r="E11" i="9"/>
  <c r="I10" i="9"/>
  <c r="E10" i="9"/>
  <c r="I9" i="9"/>
  <c r="E9" i="9"/>
  <c r="I8" i="9"/>
  <c r="E8" i="9"/>
  <c r="M38" i="1" l="1"/>
  <c r="C4" i="1"/>
  <c r="S4" i="1"/>
  <c r="U4" i="1" s="1"/>
  <c r="Y12" i="1"/>
  <c r="Y11" i="1"/>
  <c r="Y9" i="1"/>
  <c r="Y7" i="1"/>
  <c r="Y6" i="1"/>
  <c r="AA110" i="5"/>
  <c r="AA115" i="5"/>
  <c r="X110" i="5"/>
  <c r="X115" i="5"/>
  <c r="J110" i="5"/>
  <c r="J115" i="5"/>
  <c r="G110" i="5"/>
  <c r="G115" i="5"/>
  <c r="C110" i="5"/>
  <c r="C115" i="5"/>
  <c r="AA105" i="5"/>
  <c r="X105" i="5"/>
  <c r="J105" i="5"/>
  <c r="G105" i="5"/>
  <c r="C105" i="5"/>
  <c r="N124" i="5"/>
  <c r="C126" i="5"/>
  <c r="AA125" i="5"/>
  <c r="C125" i="5"/>
  <c r="AG125" i="5"/>
  <c r="C123" i="5"/>
  <c r="AG122" i="5"/>
  <c r="AA122" i="5"/>
  <c r="N121" i="5"/>
  <c r="O38" i="5"/>
  <c r="O121" i="5" s="1"/>
  <c r="O41" i="5"/>
  <c r="O124" i="5" s="1"/>
  <c r="AI120" i="5"/>
  <c r="C120" i="5"/>
  <c r="AA100" i="5"/>
  <c r="X100" i="5"/>
  <c r="J100" i="5"/>
  <c r="G100" i="5"/>
  <c r="C100" i="5"/>
  <c r="AA99" i="5"/>
  <c r="X99" i="5"/>
  <c r="J99" i="5"/>
  <c r="G99" i="5"/>
  <c r="C99" i="5"/>
  <c r="Y97" i="5"/>
  <c r="W97" i="5"/>
  <c r="Q97" i="5"/>
  <c r="C94" i="5"/>
  <c r="AE92" i="5"/>
  <c r="Y92" i="5"/>
  <c r="T92" i="5"/>
  <c r="C90" i="5"/>
  <c r="AO90" i="5"/>
  <c r="AN90" i="5"/>
  <c r="AM87" i="5"/>
  <c r="Q88" i="5"/>
  <c r="C89" i="5"/>
  <c r="AQ87" i="5"/>
  <c r="AP87" i="5"/>
  <c r="AO87" i="5"/>
  <c r="Q87" i="5"/>
  <c r="E88" i="5"/>
  <c r="E87" i="5"/>
  <c r="F42" i="5"/>
  <c r="F125" i="5" s="1"/>
  <c r="C41" i="5"/>
  <c r="C124" i="5" s="1"/>
  <c r="C38" i="5"/>
  <c r="C121" i="5" s="1"/>
  <c r="AJ9" i="5"/>
  <c r="AJ92" i="5" s="1"/>
  <c r="C9" i="5"/>
  <c r="C92" i="5" s="1"/>
  <c r="H7" i="5"/>
  <c r="H90" i="5" s="1"/>
  <c r="H6" i="8"/>
  <c r="C73" i="1"/>
  <c r="O75" i="1"/>
  <c r="E75" i="1"/>
  <c r="O68" i="1"/>
  <c r="E68" i="1"/>
  <c r="U14" i="1" l="1"/>
  <c r="H35" i="1" s="1"/>
  <c r="C53" i="1" s="1"/>
  <c r="H8" i="1"/>
  <c r="O32" i="1" l="1"/>
  <c r="O33" i="1"/>
  <c r="AB9" i="1"/>
  <c r="AB7" i="1"/>
  <c r="BB15" i="1" l="1"/>
  <c r="I33" i="1"/>
  <c r="Q33" i="1"/>
  <c r="BB14" i="1"/>
  <c r="Q32" i="1"/>
  <c r="BA14" i="1" s="1"/>
  <c r="I32" i="1"/>
  <c r="N48" i="1"/>
  <c r="F48" i="1"/>
  <c r="I47" i="1"/>
  <c r="AB12" i="1"/>
  <c r="AB11" i="1"/>
  <c r="AB6" i="1"/>
  <c r="F62" i="1" l="1"/>
  <c r="K25" i="1" l="1"/>
  <c r="K28" i="1"/>
  <c r="K22" i="1"/>
  <c r="K19" i="1"/>
  <c r="R62" i="1"/>
  <c r="O23" i="1" l="1"/>
  <c r="BB5" i="1" s="1"/>
  <c r="O24" i="1"/>
  <c r="BB6" i="1" s="1"/>
  <c r="O20" i="1"/>
  <c r="BB2" i="1" s="1"/>
  <c r="O21" i="1"/>
  <c r="BB3" i="1" s="1"/>
  <c r="O30" i="1"/>
  <c r="O29" i="1"/>
  <c r="O27" i="1"/>
  <c r="BB9" i="1" s="1"/>
  <c r="O26" i="1"/>
  <c r="F14" i="1"/>
  <c r="Q26" i="1" l="1"/>
  <c r="BA8" i="1" s="1"/>
  <c r="BB8" i="1"/>
  <c r="Q29" i="1"/>
  <c r="BA11" i="1" s="1"/>
  <c r="BB11" i="1"/>
  <c r="Q30" i="1"/>
  <c r="BA12" i="1" s="1"/>
  <c r="BB12" i="1"/>
  <c r="Q20" i="1"/>
  <c r="Q27" i="1"/>
  <c r="BA9" i="1" s="1"/>
  <c r="Q24" i="1"/>
  <c r="BA6" i="1" s="1"/>
  <c r="Q23" i="1"/>
  <c r="BA5" i="1" s="1"/>
  <c r="Q21" i="1"/>
  <c r="BA3" i="1" s="1"/>
  <c r="E16" i="1"/>
  <c r="O22" i="1" s="1"/>
  <c r="BA2" i="1" l="1"/>
  <c r="H58" i="1"/>
  <c r="C23" i="1"/>
  <c r="BB4" i="1"/>
  <c r="P59" i="1"/>
  <c r="R59" i="1"/>
  <c r="K59" i="1"/>
  <c r="M59" i="1"/>
  <c r="G58" i="1"/>
  <c r="G59" i="1"/>
  <c r="H59" i="1"/>
  <c r="C24" i="1"/>
  <c r="O25" i="1"/>
  <c r="BB7" i="1" s="1"/>
  <c r="O19" i="1"/>
  <c r="BB1" i="1" s="1"/>
  <c r="O28" i="1"/>
  <c r="BB10" i="1" s="1"/>
  <c r="M58" i="1"/>
  <c r="U22" i="1"/>
  <c r="Q22" i="1"/>
  <c r="BA4" i="1" s="1"/>
  <c r="C21" i="1" l="1"/>
  <c r="C20" i="1"/>
  <c r="C30" i="1"/>
  <c r="C29" i="1"/>
  <c r="C27" i="1"/>
  <c r="C26" i="1"/>
  <c r="U25" i="1"/>
  <c r="D59" i="1"/>
  <c r="R58" i="1"/>
  <c r="Q25" i="1"/>
  <c r="Q19" i="1"/>
  <c r="U28" i="1"/>
  <c r="Q28" i="1"/>
  <c r="K58" i="1"/>
  <c r="BA1" i="1" l="1"/>
  <c r="C58" i="1"/>
  <c r="P58" i="1"/>
  <c r="BA7" i="1"/>
  <c r="C59" i="1"/>
  <c r="BA10" i="1"/>
  <c r="S31" i="1"/>
  <c r="BB13" i="1" s="1"/>
  <c r="D58" i="1" l="1"/>
  <c r="C36" i="1"/>
  <c r="K41" i="1" s="1"/>
  <c r="S33" i="1"/>
  <c r="C78" i="1"/>
  <c r="M98" i="1"/>
  <c r="C93" i="1"/>
  <c r="E98" i="1"/>
  <c r="C84" i="1"/>
  <c r="C90" i="1"/>
  <c r="M80" i="1"/>
  <c r="O98" i="1"/>
  <c r="M92" i="1"/>
  <c r="C98" i="1"/>
  <c r="C86" i="1"/>
  <c r="E92" i="1"/>
  <c r="O80" i="1"/>
  <c r="C92" i="1"/>
  <c r="E86" i="1"/>
  <c r="E80" i="1"/>
  <c r="C80" i="1"/>
  <c r="C99" i="1"/>
  <c r="C81" i="1"/>
  <c r="M86" i="1"/>
  <c r="O86" i="1"/>
  <c r="C96" i="1"/>
  <c r="O92" i="1"/>
  <c r="C87" i="1"/>
  <c r="C54" i="1" l="1"/>
  <c r="K40" i="1"/>
  <c r="F40" i="1"/>
  <c r="C40" i="1" s="1"/>
  <c r="BA19" i="1" s="1"/>
  <c r="C39" i="1"/>
  <c r="A4" i="2"/>
  <c r="L4" i="2" s="1"/>
  <c r="B4" i="2" a="1"/>
  <c r="G40" i="1" l="1"/>
  <c r="BA21" i="1" s="1"/>
  <c r="C60" i="1"/>
  <c r="D40" i="1"/>
  <c r="BB19" i="1" s="1"/>
  <c r="M4" i="2"/>
  <c r="F4" i="2"/>
  <c r="K4" i="2" s="1"/>
  <c r="D4" i="2"/>
  <c r="I4" i="2" s="1"/>
  <c r="E4" i="2"/>
  <c r="J4" i="2" s="1"/>
  <c r="B4" i="2"/>
  <c r="G4" i="2" s="1"/>
  <c r="C4" i="2"/>
  <c r="H4" i="2" s="1"/>
  <c r="L40" i="1" l="1"/>
  <c r="D60" i="1"/>
  <c r="S40" i="1"/>
  <c r="Q55" i="1" s="1"/>
  <c r="J40" i="1"/>
  <c r="N4" i="2"/>
  <c r="H40" i="1" l="1"/>
  <c r="BB21" i="1" s="1"/>
  <c r="C52" i="1"/>
  <c r="A5" i="2" s="1"/>
  <c r="C55" i="1"/>
  <c r="C56" i="1" s="1"/>
  <c r="C46" i="26"/>
  <c r="F60" i="26" s="1"/>
  <c r="C34" i="1"/>
  <c r="L5" i="2" l="1"/>
  <c r="B5" i="2"/>
  <c r="G5" i="2" s="1"/>
  <c r="C5" i="2"/>
  <c r="H5" i="2" s="1"/>
  <c r="E5" i="2"/>
  <c r="J5" i="2" s="1"/>
  <c r="F5" i="2"/>
  <c r="K5" i="2" s="1"/>
  <c r="M5" i="2"/>
  <c r="D5" i="2"/>
  <c r="I5" i="2" s="1"/>
  <c r="N5" i="2" l="1"/>
  <c r="F52" i="1" s="1"/>
  <c r="V73" i="29"/>
</calcChain>
</file>

<file path=xl/comments1.xml><?xml version="1.0" encoding="utf-8"?>
<comments xmlns="http://schemas.openxmlformats.org/spreadsheetml/2006/main">
  <authors>
    <author>SEEMG</author>
  </authors>
  <commentList>
    <comment ref="D6" authorId="0" shapeId="0">
      <text>
        <r>
          <rPr>
            <sz val="9"/>
            <color indexed="81"/>
            <rFont val="Segoe UI"/>
            <family val="2"/>
          </rPr>
          <t xml:space="preserve">Alt + ▼
Para Exibir Opções
</t>
        </r>
      </text>
    </comment>
    <comment ref="D12" authorId="0" shapeId="0">
      <text>
        <r>
          <rPr>
            <b/>
            <sz val="9"/>
            <color indexed="81"/>
            <rFont val="Segoe UI"/>
            <family val="2"/>
          </rPr>
          <t xml:space="preserve">Alt + ▼
Para Exibir Opções
</t>
        </r>
      </text>
    </comment>
    <comment ref="D13" authorId="0" shapeId="0">
      <text>
        <r>
          <rPr>
            <b/>
            <sz val="9"/>
            <color indexed="81"/>
            <rFont val="Segoe UI"/>
            <family val="2"/>
          </rPr>
          <t>Alt + ▼
Para Exibir Opções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<sst xmlns="http://schemas.openxmlformats.org/spreadsheetml/2006/main" count="30732" uniqueCount="9775">
  <si>
    <t>CÁLCULO VALOR DIAS TRABALHADOS (A PAGAR EM ATRASO)</t>
  </si>
  <si>
    <t>MaSP:</t>
  </si>
  <si>
    <t>Elizabet das Graças Limido Santos</t>
  </si>
  <si>
    <t>Nome do Servidor:</t>
  </si>
  <si>
    <t>Código da Escola:</t>
  </si>
  <si>
    <t>INEP</t>
  </si>
  <si>
    <t>SIAD</t>
  </si>
  <si>
    <t>ESCOLA</t>
  </si>
  <si>
    <t>ENDEREÇO</t>
  </si>
  <si>
    <t>BAIRRO</t>
  </si>
  <si>
    <t>TELEFONE</t>
  </si>
  <si>
    <t>MUNICÍPIO</t>
  </si>
  <si>
    <t>DIRETOR(A)</t>
  </si>
  <si>
    <t>MaSP</t>
  </si>
  <si>
    <t>Rua Exemplo, 000</t>
  </si>
  <si>
    <t>Exemplo</t>
  </si>
  <si>
    <t>0000-0000</t>
  </si>
  <si>
    <t>Exemplo de Município</t>
  </si>
  <si>
    <t>Machado de Assis</t>
  </si>
  <si>
    <t>Centro</t>
  </si>
  <si>
    <t>3324-1337</t>
  </si>
  <si>
    <t>Água Comprida</t>
  </si>
  <si>
    <t>São Geraldo</t>
  </si>
  <si>
    <t>3662-3679</t>
  </si>
  <si>
    <t>Araxá</t>
  </si>
  <si>
    <t>Santa Luzia</t>
  </si>
  <si>
    <t>3661-1206</t>
  </si>
  <si>
    <t>3661-1881</t>
  </si>
  <si>
    <t>São Pedro</t>
  </si>
  <si>
    <t>3661-4550</t>
  </si>
  <si>
    <t>Maria Cristina Cunha</t>
  </si>
  <si>
    <t>3661-4639</t>
  </si>
  <si>
    <t>Maria América de Fátima Moura</t>
  </si>
  <si>
    <t>Silvéria</t>
  </si>
  <si>
    <t>3662-2869</t>
  </si>
  <si>
    <t>Ivone Ribeiro da Silva Borges</t>
  </si>
  <si>
    <t>Alvorada</t>
  </si>
  <si>
    <t>3662-1155</t>
  </si>
  <si>
    <t>Carmen Helena Chaves Durão</t>
  </si>
  <si>
    <t>Santa Rita</t>
  </si>
  <si>
    <t>3661-1924</t>
  </si>
  <si>
    <t>Renata de Castro Machado</t>
  </si>
  <si>
    <t>Rua Terezinha Natal Contato, 169</t>
  </si>
  <si>
    <t>3661-2764</t>
  </si>
  <si>
    <t>Antônio Ernani de Carvalho</t>
  </si>
  <si>
    <t>Santo Antônio</t>
  </si>
  <si>
    <t>3661-2484</t>
  </si>
  <si>
    <t>3661-1522</t>
  </si>
  <si>
    <t>Mangueiras</t>
  </si>
  <si>
    <t>3662-4035</t>
  </si>
  <si>
    <t>Vicentina Aparecida Ribeiro Borges</t>
  </si>
  <si>
    <t>3662-3140</t>
  </si>
  <si>
    <t>Zulma Moreira de Melo</t>
  </si>
  <si>
    <t>Urciano Lemos</t>
  </si>
  <si>
    <t>3662-5189</t>
  </si>
  <si>
    <t>Maria Cristina de Oliveira Barreto</t>
  </si>
  <si>
    <t>3322-1144</t>
  </si>
  <si>
    <t>Campo Florido</t>
  </si>
  <si>
    <t>37-3426-2150</t>
  </si>
  <si>
    <t>Campos Altos</t>
  </si>
  <si>
    <t>Roberto Gonçalves da Silva</t>
  </si>
  <si>
    <t>37-3426-1293</t>
  </si>
  <si>
    <t>Adriana Hayakawa Angelo Teixeira</t>
  </si>
  <si>
    <t>Bom Sucesso</t>
  </si>
  <si>
    <t>Carneirinho</t>
  </si>
  <si>
    <t>3457-1135</t>
  </si>
  <si>
    <t>Maria Cristina Ruza de Queiroz</t>
  </si>
  <si>
    <t>Distrito de São Sebastião do Pontal</t>
  </si>
  <si>
    <t>3455-1154</t>
  </si>
  <si>
    <t>Donizetti Severino de Godoy</t>
  </si>
  <si>
    <t>Comendador Gomes</t>
  </si>
  <si>
    <t>3423-1212</t>
  </si>
  <si>
    <t>Vânia Maria Ferreira Duarte</t>
  </si>
  <si>
    <t>3321-1356</t>
  </si>
  <si>
    <t>Conceição das Alagoas</t>
  </si>
  <si>
    <t>Patrícia Pedrosa de Sene</t>
  </si>
  <si>
    <t>Jardim Acapulco</t>
  </si>
  <si>
    <t>3321-3305</t>
  </si>
  <si>
    <t>Lidia Nara de Sene Oliveira</t>
  </si>
  <si>
    <t>3353-1221</t>
  </si>
  <si>
    <t>Conquista</t>
  </si>
  <si>
    <t>Francisco de Assis Fernandes da Silva</t>
  </si>
  <si>
    <t>3325-1036</t>
  </si>
  <si>
    <t>Delta</t>
  </si>
  <si>
    <t>Marilza Faustino</t>
  </si>
  <si>
    <t>Vila Arruda</t>
  </si>
  <si>
    <t>3428-2122</t>
  </si>
  <si>
    <t>Fronteira</t>
  </si>
  <si>
    <t>Ipê Amarelo</t>
  </si>
  <si>
    <t>3423-5503</t>
  </si>
  <si>
    <t>Frutal</t>
  </si>
  <si>
    <t>Estudantil</t>
  </si>
  <si>
    <t>3421-9275</t>
  </si>
  <si>
    <t>Magali Martins Rodovalho</t>
  </si>
  <si>
    <t>Princesa Isabel</t>
  </si>
  <si>
    <t>3421-8685</t>
  </si>
  <si>
    <t>Nossa Senhora Aparecida</t>
  </si>
  <si>
    <t>3421-2786</t>
  </si>
  <si>
    <t>Alto Boa Vista</t>
  </si>
  <si>
    <t>3421-8592</t>
  </si>
  <si>
    <t>Jurandy José da Silva</t>
  </si>
  <si>
    <t>Distrito de Aparecida de Minas</t>
  </si>
  <si>
    <t>3425-1359</t>
  </si>
  <si>
    <t>3424-2187</t>
  </si>
  <si>
    <t>Itapagipe</t>
  </si>
  <si>
    <t>3424-2161</t>
  </si>
  <si>
    <t>Fazenda Serra da Moeda</t>
  </si>
  <si>
    <t>3424-2112</t>
  </si>
  <si>
    <t>Clodoaldo Queiroz Menezes Barbosa</t>
  </si>
  <si>
    <t>Boa Vista</t>
  </si>
  <si>
    <t>3411-0328</t>
  </si>
  <si>
    <t>3411-1159</t>
  </si>
  <si>
    <t>3411-0305</t>
  </si>
  <si>
    <t>Julia Benedita Machado</t>
  </si>
  <si>
    <t>Tiradentes</t>
  </si>
  <si>
    <t>3411-1298</t>
  </si>
  <si>
    <t>3411-7114</t>
  </si>
  <si>
    <t>Humaitá</t>
  </si>
  <si>
    <t>3453-1344</t>
  </si>
  <si>
    <t>Limeira do Oeste</t>
  </si>
  <si>
    <t>Elissandro de Souza Norte</t>
  </si>
  <si>
    <t>3355-1218</t>
  </si>
  <si>
    <t>Pedrinópolis</t>
  </si>
  <si>
    <t>3426-1077</t>
  </si>
  <si>
    <t>Pirajuba</t>
  </si>
  <si>
    <t>3427-2030</t>
  </si>
  <si>
    <t>Planura</t>
  </si>
  <si>
    <t>3637-1223</t>
  </si>
  <si>
    <t>Pratinha</t>
  </si>
  <si>
    <t>Eliete Aparecida Martins Borges</t>
  </si>
  <si>
    <t>Bela Vista II</t>
  </si>
  <si>
    <t>3351-1177</t>
  </si>
  <si>
    <t>Sacramento</t>
  </si>
  <si>
    <t>Alice Jerônimo de Melo</t>
  </si>
  <si>
    <t>3351-1597</t>
  </si>
  <si>
    <t>Mônica Vieira Almeida</t>
  </si>
  <si>
    <t>Tania Aparecida Moreno</t>
  </si>
  <si>
    <t>Maria Rosa</t>
  </si>
  <si>
    <t>3351-1899</t>
  </si>
  <si>
    <t>3354-1324</t>
  </si>
  <si>
    <t>São Francisco de Sales</t>
  </si>
  <si>
    <t>3413-1231</t>
  </si>
  <si>
    <t>Maria Aparecida da Silva Freitas</t>
  </si>
  <si>
    <t>3633-1133</t>
  </si>
  <si>
    <t>Tapira</t>
  </si>
  <si>
    <t>Eida Gomes de Souza Carvalho</t>
  </si>
  <si>
    <t>Centro Interescolar Estadual de Línguas</t>
  </si>
  <si>
    <t>Santa Maria</t>
  </si>
  <si>
    <t>3314-8232</t>
  </si>
  <si>
    <t>Uberaba</t>
  </si>
  <si>
    <t>Romina Souza Azevedo dos Santos</t>
  </si>
  <si>
    <t>Centro de Orientação Pesquisa Ensino Especial</t>
  </si>
  <si>
    <t>Mercês</t>
  </si>
  <si>
    <t>3325-4413</t>
  </si>
  <si>
    <t>3311-5499</t>
  </si>
  <si>
    <t>Conservatório Estadual de Música Renato Frateschi</t>
  </si>
  <si>
    <t>Leblon</t>
  </si>
  <si>
    <t>3312-2392</t>
  </si>
  <si>
    <t>Abadia</t>
  </si>
  <si>
    <t>3312-2991</t>
  </si>
  <si>
    <t>Carla Beatriz Papini Pinheiro Machado</t>
  </si>
  <si>
    <t>3332-6954</t>
  </si>
  <si>
    <t>Jardim Induberaba</t>
  </si>
  <si>
    <t>3336-1291</t>
  </si>
  <si>
    <t>Costa Teles</t>
  </si>
  <si>
    <t>3313-1707</t>
  </si>
  <si>
    <t>Regina Celia de Lima</t>
  </si>
  <si>
    <t>Parque São Geraldo</t>
  </si>
  <si>
    <t>3336-4684</t>
  </si>
  <si>
    <t>Estados Unidos</t>
  </si>
  <si>
    <t>3332-1115</t>
  </si>
  <si>
    <t>Marilda Alves Timóteo de Carvalho</t>
  </si>
  <si>
    <t>Margarida Rosa de Azevedo</t>
  </si>
  <si>
    <t>Josafredo Mota</t>
  </si>
  <si>
    <t>3312-9087</t>
  </si>
  <si>
    <t>Célia Regina Donato Caetano</t>
  </si>
  <si>
    <t>Parque das Américas</t>
  </si>
  <si>
    <t>3336-3011</t>
  </si>
  <si>
    <t>Denise Dumont Costa</t>
  </si>
  <si>
    <t>Jardim América</t>
  </si>
  <si>
    <t>3314-2824</t>
  </si>
  <si>
    <t>Vila Boa Vista</t>
  </si>
  <si>
    <t>3322-4140</t>
  </si>
  <si>
    <t>Zânia Maria Brito Caparelli</t>
  </si>
  <si>
    <t>Santa Marta</t>
  </si>
  <si>
    <t>3332-0671</t>
  </si>
  <si>
    <t>Tutunas</t>
  </si>
  <si>
    <t>3315-4692</t>
  </si>
  <si>
    <t>Ricardo Cesar de Oliveira Brito</t>
  </si>
  <si>
    <t>Alfredo Freire</t>
  </si>
  <si>
    <t>3316-2670</t>
  </si>
  <si>
    <t>Parque das Gameleiras</t>
  </si>
  <si>
    <t>3314-5031</t>
  </si>
  <si>
    <t>Lucilane Silva Barbosa</t>
  </si>
  <si>
    <t>Jardim Elza Amui</t>
  </si>
  <si>
    <t>3322-9197</t>
  </si>
  <si>
    <t>Nanciorlei Paula Souza Oliveira</t>
  </si>
  <si>
    <t>Fabrício</t>
  </si>
  <si>
    <t>Arquelau</t>
  </si>
  <si>
    <t>3313-3456</t>
  </si>
  <si>
    <t>Eliana Lombardi de Cuba</t>
  </si>
  <si>
    <t>3321-7066</t>
  </si>
  <si>
    <t>São Benedito</t>
  </si>
  <si>
    <t>3338-3911</t>
  </si>
  <si>
    <t>3332-3212</t>
  </si>
  <si>
    <t>3322-6626</t>
  </si>
  <si>
    <t>3322-2010</t>
  </si>
  <si>
    <t>3312-9932</t>
  </si>
  <si>
    <t>3312-9449</t>
  </si>
  <si>
    <t>Guanabara</t>
  </si>
  <si>
    <t>3338-8864</t>
  </si>
  <si>
    <t>3336-2901</t>
  </si>
  <si>
    <t>Ariana de Oliveira Souto</t>
  </si>
  <si>
    <t>3338-6820</t>
  </si>
  <si>
    <t>Silvana Bernardes Ferreira</t>
  </si>
  <si>
    <t>Amoroso Costa</t>
  </si>
  <si>
    <t>3322-5334</t>
  </si>
  <si>
    <t>Marise Alves Ranuzi</t>
  </si>
  <si>
    <t>3321-6619</t>
  </si>
  <si>
    <t>José Ronan Borges</t>
  </si>
  <si>
    <t>3314-2976</t>
  </si>
  <si>
    <t>3322-2190</t>
  </si>
  <si>
    <t>Anésia Marina dos Santos Silva</t>
  </si>
  <si>
    <t>3314-7866</t>
  </si>
  <si>
    <t>Henrique de Oliveira Moreira</t>
  </si>
  <si>
    <t>Colégio Tiradentes da PMMG</t>
  </si>
  <si>
    <t>Pacaembu</t>
  </si>
  <si>
    <t>3311-2300</t>
  </si>
  <si>
    <t>Residencial 2000</t>
  </si>
  <si>
    <t>Distrito de Ponte Alta</t>
  </si>
  <si>
    <t>3352-1611</t>
  </si>
  <si>
    <t>Humberto Silva</t>
  </si>
  <si>
    <t>3456-1324</t>
  </si>
  <si>
    <t>União de Minas</t>
  </si>
  <si>
    <t>3323-1137</t>
  </si>
  <si>
    <t>Veríssimo</t>
  </si>
  <si>
    <t>E.E. Fictícia Exemplo</t>
  </si>
  <si>
    <t>E.E. José Acácio da Silva</t>
  </si>
  <si>
    <t>E.E. Armando Santos</t>
  </si>
  <si>
    <t>E.E. Coronel José Adolfo de Aguiar</t>
  </si>
  <si>
    <t>E.E. Delfim Moreira</t>
  </si>
  <si>
    <t>E.E. Dom José Gaspar</t>
  </si>
  <si>
    <t>E.E. Doutor Eduardo Montandon</t>
  </si>
  <si>
    <t>E.E. Lia Salgado</t>
  </si>
  <si>
    <t>E.E. Loren Rios Feres</t>
  </si>
  <si>
    <t>E.E. Luiza de Oliveira Faria</t>
  </si>
  <si>
    <t>E.E. Maria de Magalhães</t>
  </si>
  <si>
    <t>E.E. Padre Anacleto Giraldi</t>
  </si>
  <si>
    <t>E.E. Padre João Botelho</t>
  </si>
  <si>
    <t>E.E. Pio XII</t>
  </si>
  <si>
    <t>E.E. Professor Luiz Antônio Corrêa Oliveira</t>
  </si>
  <si>
    <t>E.E. Rotary</t>
  </si>
  <si>
    <t>E.E. Vasco Santos</t>
  </si>
  <si>
    <t>E.E. Padre Henrique Peeters</t>
  </si>
  <si>
    <t>E.E. Deiró Borges</t>
  </si>
  <si>
    <t>E.E. Doutor José Cordeiro de Campos</t>
  </si>
  <si>
    <t>E.E. Padre Clemente de Maleto</t>
  </si>
  <si>
    <t>E.E. Bom Sucesso</t>
  </si>
  <si>
    <t>E.E. Marechal Hermes</t>
  </si>
  <si>
    <t>E.E. Professor Antônio da Silva</t>
  </si>
  <si>
    <t>E.E. Comendador Gomes</t>
  </si>
  <si>
    <t>E.E. Herculégio Antônio Borges</t>
  </si>
  <si>
    <t>E.E. José Alexandre Miziara</t>
  </si>
  <si>
    <t>E.E. Ivan Mattar Soukef</t>
  </si>
  <si>
    <t>E.E. João Kopke</t>
  </si>
  <si>
    <t>E.E. Geralda Carvalho de Souza</t>
  </si>
  <si>
    <t>E.E. Lauriston Souza</t>
  </si>
  <si>
    <t>E.E. Maestro Josino de Oliveira</t>
  </si>
  <si>
    <t>E.E. Professor Bandeira</t>
  </si>
  <si>
    <t>E.E. Vicente Macedo</t>
  </si>
  <si>
    <t>E.E. Presidente Tancredo Neves</t>
  </si>
  <si>
    <t>E.E. Alonso de Morais Andrade</t>
  </si>
  <si>
    <t>E.E. Santo Antônio</t>
  </si>
  <si>
    <t>E.E. Serra da Moeda</t>
  </si>
  <si>
    <t>E.E. Antônio Ferreira Barbosa</t>
  </si>
  <si>
    <t>E.E. Joaquim Tiago de Queiroz</t>
  </si>
  <si>
    <t>E.E. Nossa Senhora de Lourdes</t>
  </si>
  <si>
    <t>E.E. Tiradentes</t>
  </si>
  <si>
    <t>E.E. Dom Alexandre</t>
  </si>
  <si>
    <t>E.E. Izoldino Soares de Freitas</t>
  </si>
  <si>
    <t>E.E. Professor Leão Coelho de Almeida</t>
  </si>
  <si>
    <t>E.E. Coronel Oscar de Castro</t>
  </si>
  <si>
    <t>E.E. Alysson Roberto Bruno</t>
  </si>
  <si>
    <t>E.E. Marlene Martins Reis</t>
  </si>
  <si>
    <t>E.E. Barão da Rifaina</t>
  </si>
  <si>
    <t>E.E. Coronel José Afonso de Almeida</t>
  </si>
  <si>
    <t>E.E. Doutor Afonso Pena Júnior</t>
  </si>
  <si>
    <t>E.E. Sinhana Borges</t>
  </si>
  <si>
    <t>E.E. Santa Juliana</t>
  </si>
  <si>
    <t>E.E. São Francisco de Sales</t>
  </si>
  <si>
    <t>E.E. Professora Cecília Mª de Resende Neves</t>
  </si>
  <si>
    <t>E.E. América</t>
  </si>
  <si>
    <t>E.E. Anexa à SUPAM</t>
  </si>
  <si>
    <t>E.E. Aurélio Luiz da Costa</t>
  </si>
  <si>
    <t>E.E. Bernardo Vasconcelos</t>
  </si>
  <si>
    <t>E.E. Boulanger Pucci</t>
  </si>
  <si>
    <t>E.E. Brasil</t>
  </si>
  <si>
    <t>E.E. Carmelita Carvalho Garcia</t>
  </si>
  <si>
    <t>E.E. Dom Eduardo</t>
  </si>
  <si>
    <t>E.E. Doutor José Mendonça</t>
  </si>
  <si>
    <t>E.E. Felício de Paiva</t>
  </si>
  <si>
    <t>E.E. Fidélis Reis</t>
  </si>
  <si>
    <t>E.E. Frei Leopoldo de Castelnuovo</t>
  </si>
  <si>
    <t>E.E. Gabriel Toti</t>
  </si>
  <si>
    <t>E.E. Geraldino Rodrigues da Cunha</t>
  </si>
  <si>
    <t>E.E. Henrique Kruger</t>
  </si>
  <si>
    <t>E.E. Horizonta Lemos</t>
  </si>
  <si>
    <t>E.E. Irmão Afonso</t>
  </si>
  <si>
    <t>E.E. Lauro Fontoura</t>
  </si>
  <si>
    <t>E.E. Leandro Antonio de Vito</t>
  </si>
  <si>
    <t>E.E. Marechal Humberto de Alencar Castelo Branco</t>
  </si>
  <si>
    <t>E.E. Miguel Laterza</t>
  </si>
  <si>
    <t>E.E. Minas Gerais</t>
  </si>
  <si>
    <t>E.E. Nossa Senhora da Abadia</t>
  </si>
  <si>
    <t>E.E. Paulo José Derenusson</t>
  </si>
  <si>
    <t>E.E. Presidente João Pinheiro</t>
  </si>
  <si>
    <t>E.E. Professora Corina de Oliveira</t>
  </si>
  <si>
    <t>E.E. Professor Alceu Novaes</t>
  </si>
  <si>
    <t>E.E. Professor Chaves</t>
  </si>
  <si>
    <t>E.E. Professor Hildebrando Pontes</t>
  </si>
  <si>
    <t>E.E. Professor Minervino Cesarino</t>
  </si>
  <si>
    <t>E.E. Quintiliano Jardim</t>
  </si>
  <si>
    <t>E.E. Santa Terezinha</t>
  </si>
  <si>
    <t>E.E. São Benedito</t>
  </si>
  <si>
    <t>E.E. Francisco Cândido Xavier</t>
  </si>
  <si>
    <t>E.E. Aloízio Castanheira</t>
  </si>
  <si>
    <t>E.E. Dom Pedro II</t>
  </si>
  <si>
    <t>Decomposição</t>
  </si>
  <si>
    <t>Parte Inteira</t>
  </si>
  <si>
    <t>Moeda</t>
  </si>
  <si>
    <t>Centavos</t>
  </si>
  <si>
    <t>Valor por Extenso</t>
  </si>
  <si>
    <t>Valor a converter</t>
  </si>
  <si>
    <t>trilhões</t>
  </si>
  <si>
    <t>bilhões</t>
  </si>
  <si>
    <t>milhões</t>
  </si>
  <si>
    <t>milhares</t>
  </si>
  <si>
    <t>unidades</t>
  </si>
  <si>
    <t>GUIA DE OCORRÊNCIA N.º 02</t>
  </si>
  <si>
    <t>/</t>
  </si>
  <si>
    <t>PÁG.</t>
  </si>
  <si>
    <t>(Da S.R.E. para Escola)</t>
  </si>
  <si>
    <t>SOLICITAÇÃO DE CORREÇÕES (URGENTE)</t>
  </si>
  <si>
    <t>Diretoria de Pessoal</t>
  </si>
  <si>
    <t>SISAP – S.R.E.:</t>
  </si>
  <si>
    <t>Secretaria de Estado de Educação – MG</t>
  </si>
  <si>
    <t>Maria Célia da Cunha Ferreira</t>
  </si>
  <si>
    <t>CARGO</t>
  </si>
  <si>
    <t>VALOR</t>
  </si>
  <si>
    <t>CONTROLE</t>
  </si>
  <si>
    <t>C A D A S T R O</t>
  </si>
  <si>
    <t>REMUNERAÇÃO:</t>
  </si>
  <si>
    <t>FORMULÁRIO PARA AUTORIZAÇÃO DE PAGAMENTO</t>
  </si>
  <si>
    <t>Decreto 43.441 de 17 de Julho de 2003</t>
  </si>
  <si>
    <t>DENOMINAÇÃO DO ÓRGÃO:</t>
  </si>
  <si>
    <t>SECRETARIA DE ESTADO DE EDUCAÇÃO - MG</t>
  </si>
  <si>
    <t>UNIDADE:</t>
  </si>
  <si>
    <t>Superintendência Regional Ensino de</t>
  </si>
  <si>
    <t>Informo que será taxado a favor do (a) servidor (a):</t>
  </si>
  <si>
    <t>, a importância de</t>
  </si>
  <si>
    <t>, MaSP nº</t>
  </si>
  <si>
    <t>N.º de Admissão:</t>
  </si>
  <si>
    <t>lotado(a) na(o):</t>
  </si>
  <si>
    <r>
      <rPr>
        <u/>
        <sz val="12"/>
        <color theme="1"/>
        <rFont val="Times New Roman"/>
        <family val="1"/>
      </rPr>
      <t>CÓDIGO DE VERBAS</t>
    </r>
    <r>
      <rPr>
        <sz val="12"/>
        <color theme="1"/>
        <rFont val="Times New Roman"/>
        <family val="1"/>
      </rPr>
      <t>:</t>
    </r>
  </si>
  <si>
    <t>do Município de</t>
  </si>
  <si>
    <t>,</t>
  </si>
  <si>
    <t>Taxador:</t>
  </si>
  <si>
    <t>Nome:</t>
  </si>
  <si>
    <t>CERTIFICO OS VALORES A SEREM TAXADOS E AUTORIZO O PAGAMENTO</t>
  </si>
  <si>
    <t>Assinatura:</t>
  </si>
  <si>
    <t>PLANILHAS PARA USO SISAP</t>
  </si>
  <si>
    <t xml:space="preserve">      Superintendência Regional de Ensino de</t>
  </si>
  <si>
    <t xml:space="preserve">       Secretaria de Estado de Educação</t>
  </si>
  <si>
    <t xml:space="preserve">       Diretora de Pessoal - DIPE</t>
  </si>
  <si>
    <t xml:space="preserve">       Setor de Pagamento</t>
  </si>
  <si>
    <t xml:space="preserve">       Estado de Minas Gerais</t>
  </si>
  <si>
    <t>CÓDIGO:</t>
  </si>
  <si>
    <t>MUNICÍPIO:</t>
  </si>
  <si>
    <t>Analisando os Quadros Informativos e Relatórios de Servidores dessa Unidade de Ensino, verificamos as incorreções abaixo relacionadas, para as quais solicitamos a fineza de retificar e, se for o caso, remeter a documentação faltante.</t>
  </si>
  <si>
    <t>Devolver até</t>
  </si>
  <si>
    <t>N.º ADM.</t>
  </si>
  <si>
    <t>NOME DO SERVIDOR</t>
  </si>
  <si>
    <t>INFORMAÇÕES</t>
  </si>
  <si>
    <t>Nome e MaSP Legível do Coordenador de Taxação:</t>
  </si>
  <si>
    <t>1ª Via: Escola - 2ª Via: S.R.E.</t>
  </si>
  <si>
    <t>Nome e MaSP Legível do Supervisor de Taxação:</t>
  </si>
  <si>
    <t>DATA:</t>
  </si>
  <si>
    <t>Obs.: Esta Guia de Ocorrência n.º 2 deverá ser anexada à Guia de Ocorrência n.º 1, sendo relacionados os acertos para serem processados no SISAP.</t>
  </si>
  <si>
    <t>carimbo</t>
  </si>
  <si>
    <t>Recibo de Entrega: Data ___/___/_____</t>
  </si>
  <si>
    <t>ASSINATURA / NOME LEGÍVEL</t>
  </si>
  <si>
    <t>Verba</t>
  </si>
  <si>
    <t>Total a Pagar</t>
  </si>
  <si>
    <t>N.º Aulas Semanais</t>
  </si>
  <si>
    <t>C.H. Mensal</t>
  </si>
  <si>
    <t>C.H. Diária</t>
  </si>
  <si>
    <t>AULAS OBRIGATÓRIAS</t>
  </si>
  <si>
    <t>EXIGÊNCIA CURRICULAR</t>
  </si>
  <si>
    <t>C.H. Mensal (h/a)</t>
  </si>
  <si>
    <t>Iturama</t>
  </si>
  <si>
    <t>Distrito de Alexandrita</t>
  </si>
  <si>
    <t>Distrito de Estrela da Barra</t>
  </si>
  <si>
    <t>Santa Terezinha</t>
  </si>
  <si>
    <t>Data Final p/ Pagamento:</t>
  </si>
  <si>
    <t>PERÍODO DA DESIGNAÇÃO ULTRAPASSA O MÊS DE INÍCIO?</t>
  </si>
  <si>
    <t>Final:</t>
  </si>
  <si>
    <t>Início:</t>
  </si>
  <si>
    <t>Remuneração:</t>
  </si>
  <si>
    <t>sigla:</t>
  </si>
  <si>
    <t>Código</t>
  </si>
  <si>
    <t>Dv</t>
  </si>
  <si>
    <t>Nome</t>
  </si>
  <si>
    <t xml:space="preserve">Associacao Cultural e Educacional de Barretos                    </t>
  </si>
  <si>
    <t xml:space="preserve">ABEU FACULDADES INTEGRADAS NILOPOLIS                             </t>
  </si>
  <si>
    <t xml:space="preserve">ABL E ASSOCIADOS - CURSOS E TREINAMENTOS EM TURISMO S/S LTDA.    </t>
  </si>
  <si>
    <t xml:space="preserve">ABRA - UNIDADE SANTA CRUZ                                        </t>
  </si>
  <si>
    <t xml:space="preserve">ABRA - UNIDADE TATUAPE                                           </t>
  </si>
  <si>
    <t xml:space="preserve">ABRAMISA                                                         </t>
  </si>
  <si>
    <t xml:space="preserve">ACADEMIA DE BALLET TANIA FERREIRA                                </t>
  </si>
  <si>
    <t xml:space="preserve">ACADEMIA DE CIENCIA E TECNOLOGIA                                 </t>
  </si>
  <si>
    <t xml:space="preserve">ACADEMIA DE COMERCIO SAO JOSE                                    </t>
  </si>
  <si>
    <t xml:space="preserve">ACADEMIA DE MUSICA LORENZO FERNANDEZ                             </t>
  </si>
  <si>
    <t xml:space="preserve">ACADEMIA DE POLICIA CIVIL DE MINAS GERAIS                        </t>
  </si>
  <si>
    <t xml:space="preserve">ACADEMIA DE POLICIA MILITAR                                      </t>
  </si>
  <si>
    <t xml:space="preserve">ACADEMIA INTERNACIONAL DE MEDICINA ESTETICA                      </t>
  </si>
  <si>
    <t xml:space="preserve">ALLEGRO - ESCOLA TECNICA DE MUSICA                               </t>
  </si>
  <si>
    <t xml:space="preserve">ALPHA ESCOLA TECNICA COMERCIAL SAO BERNARDO                      </t>
  </si>
  <si>
    <t xml:space="preserve">ALTERNATIVA CENTRO DE FORMACAO PROFISSIONAL DE ENFERMAGEM        </t>
  </si>
  <si>
    <t xml:space="preserve">ALVORADA COLEGIO                                                 </t>
  </si>
  <si>
    <t xml:space="preserve">ALVORADA DO SABER INST EDUCACIONAL                               </t>
  </si>
  <si>
    <t xml:space="preserve">ALVORADA INSTITUTO DE EDUCACAO E CULTURA                         </t>
  </si>
  <si>
    <t xml:space="preserve">AMERICAN TYPE CULTURE COLLECTION                                 </t>
  </si>
  <si>
    <t xml:space="preserve">ANGLO                                                            </t>
  </si>
  <si>
    <t xml:space="preserve">ANGLO COSMOPOLIS                                                 </t>
  </si>
  <si>
    <t xml:space="preserve">ANJO DA GUARDA COLEGIO                                           </t>
  </si>
  <si>
    <t xml:space="preserve">APM ESCOLAL MUNICIPAL DE AMERICO DE CAMPOS                       </t>
  </si>
  <si>
    <t xml:space="preserve">APRENDER PRODUZIR JUNTOS DE TEOFILO OTONI                        </t>
  </si>
  <si>
    <t xml:space="preserve">APROVE CONCURSOS                                                 </t>
  </si>
  <si>
    <t xml:space="preserve">ARMANDO BAYEUX DA SILVA PROF ETE                                 </t>
  </si>
  <si>
    <t xml:space="preserve">ARQUITEC ESCOLA DE ARTE E DESIGN                                 </t>
  </si>
  <si>
    <t xml:space="preserve">ARS NOVA BALLET CARLA PACHECO                                    </t>
  </si>
  <si>
    <t xml:space="preserve">ASSOC BRASILEIRA DE FARMACEUTICOS HOMEOPATAS                     </t>
  </si>
  <si>
    <t xml:space="preserve">ASSOC DE CULTURA FRANCO BRASILEIRA                               </t>
  </si>
  <si>
    <t xml:space="preserve">ASSOC DE MEDICINA INTENSIVA BRASILEIRA                           </t>
  </si>
  <si>
    <t xml:space="preserve">ASSOC NACIONAL DE FARMACEUTICOS MAGISTRAIS                       </t>
  </si>
  <si>
    <t xml:space="preserve">ASSOC PAULISTA DE HOMEOPATIA                                     </t>
  </si>
  <si>
    <t xml:space="preserve">ASSOC TERAPEUTAS OCUPACIONAIS DO ESTADO DO RJ                    </t>
  </si>
  <si>
    <t xml:space="preserve">ASSOCIACAO BRASILEIRA DE ENFERMAGEM                              </t>
  </si>
  <si>
    <t xml:space="preserve">ASSOCIACAO BRASILEIRA DE NUTROLOGIA                              </t>
  </si>
  <si>
    <t xml:space="preserve">ASSOCIACAO BRASILEIRA DE ODONTOLOGIA                             </t>
  </si>
  <si>
    <t xml:space="preserve">ASSOCIACAO COMERCIAL E INDUSTRIAL DE ARAXA                       </t>
  </si>
  <si>
    <t xml:space="preserve">ASSOCIACAO DE ENSINOS INTENSIVOS EM ORG HOSPITALAR               </t>
  </si>
  <si>
    <t xml:space="preserve">ASSOCIACAO DOS CIRURGIOES DENTISTAS DE CAMPINAS                  </t>
  </si>
  <si>
    <t xml:space="preserve">ASSOCIACAO DOS DIPLOMADOS DA ESCOLA SUPERIOR DE GUERRA           </t>
  </si>
  <si>
    <t xml:space="preserve">ASSOCIACAO MEDICA BRASILEIRA                                     </t>
  </si>
  <si>
    <t xml:space="preserve">ASSOCIACAO MEDICA HOMEOPATICA DE MINAS GERAIS                    </t>
  </si>
  <si>
    <t xml:space="preserve">ASSOCIACAO PAULISTA DE CIRURGIOES DENTISTAS                      </t>
  </si>
  <si>
    <t xml:space="preserve">ASSOCIACAO PESTALOZZI DE MINAS GERAIS                            </t>
  </si>
  <si>
    <t xml:space="preserve">ASSPE - CONSULTORIA E ASSESSORIA PEDAGOGICA                      </t>
  </si>
  <si>
    <t xml:space="preserve">ATALIBA AMADEU SEVA DOUTOR ESCOLA MUNICIPAL                      </t>
  </si>
  <si>
    <t xml:space="preserve">ATENEU SANTISTA JUNIOR - VILA BELMIRO                            </t>
  </si>
  <si>
    <t xml:space="preserve">BALE RENATA CELIDONIO                                            </t>
  </si>
  <si>
    <t xml:space="preserve">BARAO DE MAUA COLEGIO                                            </t>
  </si>
  <si>
    <t xml:space="preserve">BAUHAUS CENTRO DE FORMACAO TECNICA E ARTISTICA.                  </t>
  </si>
  <si>
    <t xml:space="preserve">BEETHOVEN INSTITUTO DE ARTE E MUSICA                             </t>
  </si>
  <si>
    <t xml:space="preserve">BENTO DA SILVA EPSG ATENEU                                       </t>
  </si>
  <si>
    <t xml:space="preserve">BI SOCIAL QUARESMA                                               </t>
  </si>
  <si>
    <t xml:space="preserve">BIT COMPANY                                                      </t>
  </si>
  <si>
    <t xml:space="preserve">C.E. ALMTE. TAMANDARE                                            </t>
  </si>
  <si>
    <t xml:space="preserve">C.E. BUARQUE DE NAZARETH                                         </t>
  </si>
  <si>
    <t xml:space="preserve">C.E. CORONEL BENJAMIN GUIMARAES                                  </t>
  </si>
  <si>
    <t xml:space="preserve">Centro de Ensino Superior de Valenca                             </t>
  </si>
  <si>
    <t xml:space="preserve">Centro de Ensino Unificado de Brasilia - CEUB                    </t>
  </si>
  <si>
    <t xml:space="preserve">Centro de Pesquisas Educacionais de Des. de RH - CEPEDERH        </t>
  </si>
  <si>
    <t xml:space="preserve">Centro Universitario da Fundacao Educacional Guaxupe             </t>
  </si>
  <si>
    <t xml:space="preserve">Centro Universitario de Brasilia - UNICEUB                       </t>
  </si>
  <si>
    <t xml:space="preserve">Centro Universitario de Caratinga - UNEC                         </t>
  </si>
  <si>
    <t xml:space="preserve">Centro Universitario de Itajuba                                  </t>
  </si>
  <si>
    <t xml:space="preserve">Centro Universitario de Jales - UNIJALES                         </t>
  </si>
  <si>
    <t xml:space="preserve">Centro Universitario de Patos de Minas                           </t>
  </si>
  <si>
    <t xml:space="preserve">Centro Universitario de Rio Preto                                </t>
  </si>
  <si>
    <t xml:space="preserve">Centro Universitario de Volta Redonda                            </t>
  </si>
  <si>
    <t xml:space="preserve">Centro Universitario de Votuporanga                              </t>
  </si>
  <si>
    <t xml:space="preserve">Centro Universitario do Cerrado Patrocinio - UNICERP             </t>
  </si>
  <si>
    <t xml:space="preserve">Centro Universitario do Planalto de Araxa - UNIARAXa             </t>
  </si>
  <si>
    <t xml:space="preserve">Centro Universitario do Sul de Minas                             </t>
  </si>
  <si>
    <t xml:space="preserve">Centro Universitario do Triangulo                                </t>
  </si>
  <si>
    <t xml:space="preserve">Centro Universitario Fundacao Santo Andre                        </t>
  </si>
  <si>
    <t xml:space="preserve">Centro Universitario Geraldo Di Biase                            </t>
  </si>
  <si>
    <t xml:space="preserve">Centro Universitario Geraldo Di Biase - UGB                      </t>
  </si>
  <si>
    <t xml:space="preserve">Centro Universitario Sao Camilo - Espirito Santo - CUSC          </t>
  </si>
  <si>
    <t xml:space="preserve">Centro Universitario Sao Camilo - SAO CAMILO                     </t>
  </si>
  <si>
    <t xml:space="preserve">Centro Universitario Una - UNA                                   </t>
  </si>
  <si>
    <t xml:space="preserve">Centro Universitario Volta Redonda                               </t>
  </si>
  <si>
    <t xml:space="preserve">Colegio de Aplicacao do Instituto Sup. de Educacao de Cataguases </t>
  </si>
  <si>
    <t xml:space="preserve">Colegio Universitario de Aplicacao da UNINCOR                    </t>
  </si>
  <si>
    <t xml:space="preserve">CAD - CENTRO AVANCADO DE DANCA                                   </t>
  </si>
  <si>
    <t xml:space="preserve">CADEM SUPLETIVOS                                                 </t>
  </si>
  <si>
    <t xml:space="preserve">CAEL - COLEGIO DE APLICACAO EMMANUEL LEONTSINIS                  </t>
  </si>
  <si>
    <t xml:space="preserve">CAIXA ESCOLAR LANA NAVES LADEIRA                                 </t>
  </si>
  <si>
    <t xml:space="preserve">CANDELARIA COLEGIO ENS. MEDIO E PROFISSIONALIZANTE               </t>
  </si>
  <si>
    <t xml:space="preserve">CASA DE SAUDE E MATERNIDADE ERNESTO GAZZOLI                      </t>
  </si>
  <si>
    <t xml:space="preserve">CASA DE SAUDE SANTA CASA                                         </t>
  </si>
  <si>
    <t xml:space="preserve">CASA DE SAUDE SANTA CLARA S.A                                    </t>
  </si>
  <si>
    <t xml:space="preserve">CASA DE SAUDE SANTA MARCELINA                                    </t>
  </si>
  <si>
    <t xml:space="preserve">CASA DE SAUDE SAO JOSE                                           </t>
  </si>
  <si>
    <t xml:space="preserve">CASA DO MOINHO                                                   </t>
  </si>
  <si>
    <t xml:space="preserve">CASINHA DENGO DENGO                                              </t>
  </si>
  <si>
    <t xml:space="preserve">CASTELLI ESCOLA SUPERIOR DE HOTELARIA                            </t>
  </si>
  <si>
    <t xml:space="preserve">CBS EDUCACAO PROFISSIONALIZANTE                                  </t>
  </si>
  <si>
    <t xml:space="preserve">CCB - CENTRO DE CAPACITACAO EM BELEZA E SAUDE LTDA               </t>
  </si>
  <si>
    <t xml:space="preserve">CEAD - CENTRO DE ENSINO A DISTANCIA                              </t>
  </si>
  <si>
    <t xml:space="preserve">CEAGRIM - CAMARA ESPECIALIZADA DE ENGENHARIA DE AGRIMENSURA      </t>
  </si>
  <si>
    <t xml:space="preserve">CEAMV - CENTRO DE ESTUDOS ALAISE MARCONDES VELOSO                </t>
  </si>
  <si>
    <t xml:space="preserve">CEATA - CENTRO DE ESTUDOS DE ACUPUNTURA E TERAPIAS ALTERNATIVAS  </t>
  </si>
  <si>
    <t xml:space="preserve">CECAP - CENTRO DE ENSINO CAPACITACAO E APERFEICOAMENTO PROF      </t>
  </si>
  <si>
    <t xml:space="preserve">CECON - CENTRO DE EDUCACAO PROFISSIONAL                          </t>
  </si>
  <si>
    <t xml:space="preserve">CEDAF - CENTRAL DE ENSINO E DESENVOLVIMENTO AGRARIO DE FLORESTAL </t>
  </si>
  <si>
    <t xml:space="preserve">CEDTEC - CENTRO DE ESPECIALIZACAO E DESENVOLVIMENTO TECNICO      </t>
  </si>
  <si>
    <t xml:space="preserve">CEDUC - CENTRO DE EDUCACAO                                       </t>
  </si>
  <si>
    <t xml:space="preserve">CEDULC - CENTRO EDUCACIONAL E LABORATORIO DE CULTURA             </t>
  </si>
  <si>
    <t xml:space="preserve">CEENPRO - CENTRO EVANGELICO DE ENSINO PROFISSIONALIZANTE         </t>
  </si>
  <si>
    <t xml:space="preserve">CEFAE - CENTRO DE FORMACAO DE TECNICO E AUXILIAR DE ENFERMAGEM   </t>
  </si>
  <si>
    <t xml:space="preserve">CEFAN - CENTRO DE EDUCACAO FISICA ALMIRANTE ADALBERTO NUNES      </t>
  </si>
  <si>
    <t xml:space="preserve">CEFAP - CENTRO DE FORMACAO E APRIMORAMENTO PROFISSIONAL          </t>
  </si>
  <si>
    <t xml:space="preserve">CEFEMG- CENTRO DE FORMACAO EM ENFERMAGEM DE MINAS GERAIS         </t>
  </si>
  <si>
    <t xml:space="preserve">CEFET URUTAI                                                     </t>
  </si>
  <si>
    <t xml:space="preserve">CEFOR - ASSIS                                                    </t>
  </si>
  <si>
    <t xml:space="preserve">CEFOR E.A.E. H.R.V.R.- VALE DO RIBEIRA                           </t>
  </si>
  <si>
    <t xml:space="preserve">CEFOR SP                                                         </t>
  </si>
  <si>
    <t xml:space="preserve">CEFOR/ARARAQUARA                                                 </t>
  </si>
  <si>
    <t xml:space="preserve">CEGEP                                                            </t>
  </si>
  <si>
    <t xml:space="preserve">CEMAD DE VOTUPORANGA                                             </t>
  </si>
  <si>
    <t xml:space="preserve">CEMAH - UNID.I                                                   </t>
  </si>
  <si>
    <t xml:space="preserve">CEME - CENTRO EDUCACIONAL MULTIPLA ESCOLHA                       </t>
  </si>
  <si>
    <t xml:space="preserve">CEMEP - CENTRO METROPOLITANO DE ENSINO PROFISSIONAL              </t>
  </si>
  <si>
    <t xml:space="preserve">CEMUS                                                            </t>
  </si>
  <si>
    <t xml:space="preserve">CENE                                                             </t>
  </si>
  <si>
    <t xml:space="preserve">CENTEA                                                           </t>
  </si>
  <si>
    <t xml:space="preserve">CENTRO DE APERF E POS GRAD DA FUND EDUCAC DE FERNANDOPOLIS       </t>
  </si>
  <si>
    <t xml:space="preserve">CENTRO DE APERFEICOAMENTO E TREINAMENTO DE PROF DE ODONTOLOGIA   </t>
  </si>
  <si>
    <t xml:space="preserve">CENTRO DE ATUALIZACAO EM DIREITO                                 </t>
  </si>
  <si>
    <t xml:space="preserve">CENTRO DE CULTURA MUSICAL                                        </t>
  </si>
  <si>
    <t xml:space="preserve">CENTRO DE EDUCACAO BRASILEIRO                                    </t>
  </si>
  <si>
    <t xml:space="preserve">CENTRO DE EDUCACAO ESPECIAL INAPLIC                              </t>
  </si>
  <si>
    <t xml:space="preserve">CENTRO DE EDUCACAO INTEGRADA DO VALE DO SAO FRANCISCO            </t>
  </si>
  <si>
    <t xml:space="preserve">CENTRO DE EDUCACAO PROFISSIONAL BIT COMPANY OSASCO               </t>
  </si>
  <si>
    <t xml:space="preserve">CENTRO DE EDUCACAO PROFISSIONAL BIT COMPANY VILA MARIANA         </t>
  </si>
  <si>
    <t xml:space="preserve">CENTRO DE EDUCACAO PROFISSIONAL DE SAO JOAO DA BOA VISTA         </t>
  </si>
  <si>
    <t xml:space="preserve">CENTRO DE EDUCACAO PROFISSIONAL NOVO MILENIO                     </t>
  </si>
  <si>
    <t xml:space="preserve">CENTRO DE EDUCACAO PROFISSIONAL TIRADENTES                       </t>
  </si>
  <si>
    <t xml:space="preserve">CENTRO DE EDUCACAO TECNOLOGICA NOVO RUMO                         </t>
  </si>
  <si>
    <t xml:space="preserve">CENTRO DE ENS SUP DE LAFAIETE                                    </t>
  </si>
  <si>
    <t xml:space="preserve">CENTRO DE ENS SUP DO EXTREMO SUL DA BAHIA                        </t>
  </si>
  <si>
    <t xml:space="preserve">CENTRO DE ENS TECNICO E PROFISSIONALIZANTE - CETEP SAO SEBASTIAO </t>
  </si>
  <si>
    <t xml:space="preserve">CENTRO DE ENS TECNICO E PROFISSIONALIZANTE - CETEP VOLTA REDONDA </t>
  </si>
  <si>
    <t xml:space="preserve">CENTRO DE ENSINO ABREU CARVALHO                                  </t>
  </si>
  <si>
    <t xml:space="preserve">CENTRO DE ENSINO ARTISITICO CARLOS GOMES                         </t>
  </si>
  <si>
    <t xml:space="preserve">CENTRO DE ENSINO ARTISTICO DE ANDRADINA                          </t>
  </si>
  <si>
    <t xml:space="preserve">CENTRO DE ENSINO INTEGRADO WELLINGTON                            </t>
  </si>
  <si>
    <t xml:space="preserve">CENTRO DE ENSINO METODO                                          </t>
  </si>
  <si>
    <t xml:space="preserve">CENTRO DE ENSINO SUPERIOR DE CATALAO                             </t>
  </si>
  <si>
    <t xml:space="preserve">CENTRO DE ENSINO SUPERIOR DE JATAI                               </t>
  </si>
  <si>
    <t xml:space="preserve">CENTRO DE ENSINO SUPERIOR DE JUIZ DE FORA - CES/JF               </t>
  </si>
  <si>
    <t xml:space="preserve">CENTRO DE ENSINO SUPERIOR DE PRESIDENTE EPTACIO                  </t>
  </si>
  <si>
    <t xml:space="preserve">CENTRO DE ENSINO SUPERIOR DE UBERABA - CESUBE                    </t>
  </si>
  <si>
    <t xml:space="preserve">CENTRO DE ENSINO SUPERIOR DE VOLTA REDONDA                       </t>
  </si>
  <si>
    <t xml:space="preserve">CENTRO DE ENSINO SUPLETIVO PROMOVE                               </t>
  </si>
  <si>
    <t xml:space="preserve">CENTRO DE ESPECIALIZACAO EM FONOAUDIOLOGIA                       </t>
  </si>
  <si>
    <t xml:space="preserve">CENTRO DE ESTUDOS DA AREA JURIDICA FEDERAL                       </t>
  </si>
  <si>
    <t xml:space="preserve">CENTRO DE ESTUDOS DE CIENCIAS ODONTOLOGICAS IPIRANGA             </t>
  </si>
  <si>
    <t xml:space="preserve">CENTRO DE ESTUDOS DE COSMETOLOGIA APLICADA                       </t>
  </si>
  <si>
    <t xml:space="preserve">CENTRO DE ESTUDOS DE JUIZ DE FORA                                </t>
  </si>
  <si>
    <t xml:space="preserve">CENTRO DE ESTUDOS DE SAUDE LOPES                                 </t>
  </si>
  <si>
    <t xml:space="preserve">CENTRO DE ESTUDOS E PESQUISAS EDUCACIONAIS DE MINAS GERAIS       </t>
  </si>
  <si>
    <t xml:space="preserve">CENTRO DE ESTUDOS E TRATAMENTO ODONTOLOGICO                      </t>
  </si>
  <si>
    <t xml:space="preserve">CENTRO DE ESTUDOS PAULO BRAZ                                     </t>
  </si>
  <si>
    <t xml:space="preserve">CENTRO DE ESTUDOS SUPERIORES APRENDIZ - CESA                     </t>
  </si>
  <si>
    <t xml:space="preserve">CENTRO DE ESTUDOS SUPERIORES DE MACEIO                           </t>
  </si>
  <si>
    <t>CENTRO DE FORMACAO E AP CIENCIAS DA SAUDE - INST DO CORACAO INCOR</t>
  </si>
  <si>
    <t xml:space="preserve">CENTRO DE FORMACAO E AP TECNICO CIENTIFICO YOLANDA SALIM         </t>
  </si>
  <si>
    <t xml:space="preserve">CENTRO DE FORMACAO E APERFEICOAMENTO PROFISSIONAL - CEFAP        </t>
  </si>
  <si>
    <t xml:space="preserve">CENTRO DE FORMACAO EM SAUDE COLETIVA                             </t>
  </si>
  <si>
    <t xml:space="preserve">CENTRO DE FORMACAO PROFISSIONAL  - CFP ARG (SENAI/MG)            </t>
  </si>
  <si>
    <t xml:space="preserve">CENTRO DE FORMACAO PROFISSIONAL - CFP AG                         </t>
  </si>
  <si>
    <t xml:space="preserve">CENTRO DE FORMACAO PROFISSIONAL - CFP BARBACENA                  </t>
  </si>
  <si>
    <t xml:space="preserve">CENTRO DE FORMACAO PROFISSIONAL - CFP DG (SENAI/MG)              </t>
  </si>
  <si>
    <t xml:space="preserve">CENTRO DE FORMACAO PROFISSIONAL - CFP IF (SENAI/MG)              </t>
  </si>
  <si>
    <t xml:space="preserve">CENTRO DE FORMACAO PROFISSIONAL - CFP JFN                        </t>
  </si>
  <si>
    <t xml:space="preserve">CENTRO DE FORMACAO PROFISSIONAL - CFP JIP (SENAI/MG)             </t>
  </si>
  <si>
    <t xml:space="preserve">CENTRO DE FORMACAO PROFISSIONAL - CFP LP (SENAI/MG)              </t>
  </si>
  <si>
    <t xml:space="preserve">CENTRO DE FORMACAO PROFISSIONAL - CFP OC (SENAI/MG)              </t>
  </si>
  <si>
    <t xml:space="preserve">CENTRO DE FORMACAO PROFISSIONAL - CFP SAT (SENAI/MG)             </t>
  </si>
  <si>
    <t xml:space="preserve">CENTRO DE FORMACAO PROFISSIONAL - CFP TAF (SENAI/MG)             </t>
  </si>
  <si>
    <t xml:space="preserve">CENTRO DE FORMACAO PROFISSIONAL - VILA VELHA                     </t>
  </si>
  <si>
    <t xml:space="preserve">CENTRO DE FORMACAO PROFISSIONAL - VITORIA                        </t>
  </si>
  <si>
    <t xml:space="preserve">CENTRO DE FORMACAO PROFISSIONAL "DR CELSO CHARURI"               </t>
  </si>
  <si>
    <t xml:space="preserve">CENTRO DE FORMACAO PROFISSIONAL ANAVIO BRAZ DE QUEIROZ           </t>
  </si>
  <si>
    <t xml:space="preserve">CENTRO DE FORMACAO PROFISSIONAL ANIELO GRECO                     </t>
  </si>
  <si>
    <t xml:space="preserve">CENTRO DE FORMACAO PROFISSIONAL BEZERRA DE ARAUJO                </t>
  </si>
  <si>
    <t xml:space="preserve">CENTRO DE FORMACAO PROFISSIONAL BOM PASTOR                       </t>
  </si>
  <si>
    <t xml:space="preserve">CENTRO DE FORMACAO PROFISSIONAL DE BELO HORIZONTE                </t>
  </si>
  <si>
    <t xml:space="preserve">CENTRO DE FORMACAO PROFISSIONAL DE GOVERNADOR VALADARES          </t>
  </si>
  <si>
    <t xml:space="preserve">CENTRO DE FORMACAO PROFISSIONAL DE NIVEL MEDIO                   </t>
  </si>
  <si>
    <t xml:space="preserve">CENTRO DE FORMACAO PROFISSIONAL EUVALDO LODI                     </t>
  </si>
  <si>
    <t xml:space="preserve">CENTRO DE FORMACAO PROFISSIONAL GERSON DIAS                      </t>
  </si>
  <si>
    <t xml:space="preserve">CENTRO DE FORMACAO PROFISSIONAL GONZAGA DA COSTA                 </t>
  </si>
  <si>
    <t xml:space="preserve">CENTRO DE FORMACAO PROFISSIONAL JOAO CARLOS GIOVANNINI - CFP     </t>
  </si>
  <si>
    <t xml:space="preserve">CENTRO DE FORMACAO PROFISSIONAL NANSEN ARAUJO                    </t>
  </si>
  <si>
    <t xml:space="preserve">CENTRO DE FORMACAO PROFISSIONAL PAULO DE TARSO                   </t>
  </si>
  <si>
    <t xml:space="preserve">CENTRO DE FORMACAO PROFISSIONAL SAO VICENTE DE PAULO             </t>
  </si>
  <si>
    <t xml:space="preserve">CENTRO DE PESQUISAS RENE RACHOU                                  </t>
  </si>
  <si>
    <t xml:space="preserve">CENTRO DE POS GRAD PESQUISA E EXTENSAO OSWALDO CRUZ              </t>
  </si>
  <si>
    <t xml:space="preserve">CENTRO DE PSICODRAMA DO RIO DE JANEIRO                           </t>
  </si>
  <si>
    <t xml:space="preserve">CENTRO DE REABILITACAO DO RIO DE JANEIRO                         </t>
  </si>
  <si>
    <t xml:space="preserve">CENTRO DE REABILITACAO INFANTIL ALBANO REIS                      </t>
  </si>
  <si>
    <t xml:space="preserve">CENTRO DE REABILITACAO NEURO OCLUSAL                             </t>
  </si>
  <si>
    <t xml:space="preserve">CENTRO DE REFERENCIA PROFESSOR HELIO FRAGA                       </t>
  </si>
  <si>
    <t xml:space="preserve">CENTRO DE TECNOLOGIA E CIENCIA - CETEC - ETEP                    </t>
  </si>
  <si>
    <t xml:space="preserve">CENTRO DE TECNOLOGIA PARA A PRATICA DA TELEMEDICINA              </t>
  </si>
  <si>
    <t xml:space="preserve">CENTRO DE TREINAMENTO SENAI ALFRIED KRUPP                        </t>
  </si>
  <si>
    <t xml:space="preserve">CENTRO DE TREINAMENTO SENAI ARARAS                               </t>
  </si>
  <si>
    <t xml:space="preserve">CENTRO DE TREINAMENTO SENAI AVAK BEDOUIAN                        </t>
  </si>
  <si>
    <t xml:space="preserve">CENTRO DE TREINAMENTO SENAI COMENDADOR SANTORO MIRONE            </t>
  </si>
  <si>
    <t xml:space="preserve">CENTRO DE TREINAMENTO SENAI EDWARD SAVIO                         </t>
  </si>
  <si>
    <t xml:space="preserve">CENTRO DE TREINAMENTO SENAI ETTORE ZANINI                        </t>
  </si>
  <si>
    <t xml:space="preserve">CENTRO DE TREINAMENTO SENAI LENCOIS PAULISTA                     </t>
  </si>
  <si>
    <t xml:space="preserve">CENTRO DE TREINAMENTO SENAI MOGI GUACU                           </t>
  </si>
  <si>
    <t xml:space="preserve">CENTRO ED DE SEG DO TRABALHO E SAUDE OCUPACIONAL DE PIRASSUNUNGA </t>
  </si>
  <si>
    <t xml:space="preserve">CENTRO ED METROP DE APERFEICOAMENTO EM CIENCIAS DA SAUDE         </t>
  </si>
  <si>
    <t xml:space="preserve">CENTRO EDUC DE NOVA IGUACU                                       </t>
  </si>
  <si>
    <t xml:space="preserve">CENTRO EDUC METROPOLITANO APERF CIENCIAS DA SAUDE                </t>
  </si>
  <si>
    <t xml:space="preserve">CENTRO EDUCACIONAL                                               </t>
  </si>
  <si>
    <t xml:space="preserve">CENTRO EDUCACIONAL AGOSTINHO PORTO                               </t>
  </si>
  <si>
    <t xml:space="preserve">CENTRO EDUCACIONAL ALFA                                          </t>
  </si>
  <si>
    <t xml:space="preserve">CENTRO EDUCACIONAL CAXIENSE                                      </t>
  </si>
  <si>
    <t xml:space="preserve">CENTRO EDUCACIONAL CEPRO                                         </t>
  </si>
  <si>
    <t xml:space="preserve">CENTRO EDUCACIONAL CONCEICAO FERREIRA NUNES                      </t>
  </si>
  <si>
    <t xml:space="preserve">CENTRO EDUCACIONAL COZZOLINO                                     </t>
  </si>
  <si>
    <t xml:space="preserve">CENTRO EDUCACIONAL DE ARACRUZ                                    </t>
  </si>
  <si>
    <t xml:space="preserve">CENTRO EDUCACIONAL DE CONSELHEIRO LAFAIETE                       </t>
  </si>
  <si>
    <t xml:space="preserve">CENTRO EDUCACIONAL DE FORMACAO TECNOLOGICA PARA A SAUDE          </t>
  </si>
  <si>
    <t xml:space="preserve">CENTRO EDUCACIONAL DE NITEROI                                    </t>
  </si>
  <si>
    <t xml:space="preserve">CENTRO EDUCACIONAL DE PEDREIRA                                   </t>
  </si>
  <si>
    <t xml:space="preserve">CENTRO EDUCACIONAL DELFOS                                        </t>
  </si>
  <si>
    <t xml:space="preserve">CENTRO EDUCACIONAL DESAFIO                                       </t>
  </si>
  <si>
    <t xml:space="preserve">CENTRO EDUCACIONAL DIRECTUS                                      </t>
  </si>
  <si>
    <t xml:space="preserve">CENTRO EDUCACIONAL DO VALE DO RIO GRANDE                         </t>
  </si>
  <si>
    <t xml:space="preserve">CENTRO EDUCACIONAL DOMINIO                                       </t>
  </si>
  <si>
    <t xml:space="preserve">CENTRO EDUCACIONAL E TECNICO DE CATANDUVA                        </t>
  </si>
  <si>
    <t xml:space="preserve">CENTRO EDUCACIONAL E TECNICO, DE MONTE AZUL PAULISTA             </t>
  </si>
  <si>
    <t xml:space="preserve">CENTRO EDUCACIONAL ESPECIALIZADO EM SAUDE                        </t>
  </si>
  <si>
    <t xml:space="preserve">CENTRO EDUCACIONAL ETIP                                          </t>
  </si>
  <si>
    <t xml:space="preserve">CENTRO EDUCACIONAL ETIP MASTER                                   </t>
  </si>
  <si>
    <t xml:space="preserve">CENTRO EDUCACIONAL FERNANDO BRUCOLI                              </t>
  </si>
  <si>
    <t xml:space="preserve">CENTRO EDUCACIONAL FLUMINENSE DE MERITI                          </t>
  </si>
  <si>
    <t xml:space="preserve">CENTRO EDUCACIONAL GENOMA                                        </t>
  </si>
  <si>
    <t xml:space="preserve">CENTRO EDUCACIONAL IMPAR                                         </t>
  </si>
  <si>
    <t xml:space="preserve">CENTRO EDUCACIONAL IRMA SIMPLICIANA                              </t>
  </si>
  <si>
    <t xml:space="preserve">CENTRO EDUCACIONAL JULIA CORDEIRO                                </t>
  </si>
  <si>
    <t xml:space="preserve">CENTRO EDUCACIONAL MAGNUS                                        </t>
  </si>
  <si>
    <t xml:space="preserve">CENTRO EDUCACIONAL MILLENIUM                                     </t>
  </si>
  <si>
    <t xml:space="preserve">CENTRO EDUCACIONAL ORION                                         </t>
  </si>
  <si>
    <t xml:space="preserve">CENTRO EDUCACIONAL PALMARES                                      </t>
  </si>
  <si>
    <t xml:space="preserve">CENTRO EDUCACIONAL PROFISSIONALIZANTE DE JOSE BONIFACIO          </t>
  </si>
  <si>
    <t xml:space="preserve">CENTRO EDUCACIONAL RADIER                                        </t>
  </si>
  <si>
    <t xml:space="preserve">CENTRO EDUCACIONAL SAINT GERMAIN                                 </t>
  </si>
  <si>
    <t xml:space="preserve">CENTRO EDUCACIONAL SALUTE                                        </t>
  </si>
  <si>
    <t xml:space="preserve">CENTRO EDUCACIONAL SANTA LUZ                                     </t>
  </si>
  <si>
    <t xml:space="preserve">CENTRO EDUCACIONAL SAO CAMILO                                    </t>
  </si>
  <si>
    <t xml:space="preserve">CENTRO EDUCACIONAL SAO JOAO BATISTA                              </t>
  </si>
  <si>
    <t xml:space="preserve">CENTRO EDUCACIONAL SAO VITOR                                     </t>
  </si>
  <si>
    <t xml:space="preserve">CENTRO EDUCACIONAL TECNICO E DE ARTES PROFISSIONAIS              </t>
  </si>
  <si>
    <t xml:space="preserve">CENTRO EDUCACIONAL TECNICO ODONTOLOGICO                          </t>
  </si>
  <si>
    <t xml:space="preserve">CENTRO EDUCACIONAL TECNICO SUZANENSE S/C LTDA                    </t>
  </si>
  <si>
    <t xml:space="preserve">CENTRO EDUCACIONAL TECNOLOGICO NOVA DIMENSAO                     </t>
  </si>
  <si>
    <t xml:space="preserve">CENTRO EDUCACIONAL TRIANGULO                                     </t>
  </si>
  <si>
    <t xml:space="preserve">CENTRO EDUCACIONAL UD                                            </t>
  </si>
  <si>
    <t xml:space="preserve">CENTRO EDUCACIONAL VISAO                                         </t>
  </si>
  <si>
    <t xml:space="preserve">CENTRO EDUCACIONAL VITORIA                                       </t>
  </si>
  <si>
    <t xml:space="preserve">CENTRO FEDERAL DE EDUCACAO TECNOLOGICA - BI                      </t>
  </si>
  <si>
    <t xml:space="preserve">CENTRO FEDERAL DE EDUCACAO TECNOLOGICA - NILOPOLIS               </t>
  </si>
  <si>
    <t xml:space="preserve">CENTRO FEDERAL DE EDUCACAO TECNOLOGICA - RIO DE JANEIRO          </t>
  </si>
  <si>
    <t xml:space="preserve">CENTRO FEDERAL DE EDUCACAO TECNOLOGICA DA BAHIA - CEFET/BA       </t>
  </si>
  <si>
    <t xml:space="preserve">CENTRO FEDERAL DE EDUCACAO TECNOLOGICA DA PARAIBA - CEFET-PB     </t>
  </si>
  <si>
    <t xml:space="preserve">CENTRO FEDERAL DE EDUCACAO TECNOLOGICA DE ALAGOAS - CEFET-AL     </t>
  </si>
  <si>
    <t xml:space="preserve">CENTRO FEDERAL DE EDUCACAO TECNOLOGICA DE BAMBUI - CEFET-BAMBUI  </t>
  </si>
  <si>
    <t xml:space="preserve">CENTRO FEDERAL DE EDUCACAO TECNOLOGICA DE BENTO GONCALVES        </t>
  </si>
  <si>
    <t xml:space="preserve">CENTRO FEDERAL DE EDUCACAO TECNOLOGICA DE CAMPOS - CEFET         </t>
  </si>
  <si>
    <t xml:space="preserve">CENTRO FEDERAL DE EDUCACAO TECNOLOGICA DE CUIABA - CEFETCBA      </t>
  </si>
  <si>
    <t xml:space="preserve">CENTRO FEDERAL DE EDUCACAO TECNOLOGICA DE GOIAS - CEFET/GO       </t>
  </si>
  <si>
    <t>CENTRO FEDERAL DE EDUCACAO TECNOLOGICA DE JANUARIA - CEFET JANUAR</t>
  </si>
  <si>
    <t>CENTRO FEDERAL DE EDUCACAO TECNOLOGICA DE MINAS GERAIS - CEFET MG</t>
  </si>
  <si>
    <t xml:space="preserve">CENTRO FEDERAL DE EDUCACAO TECNOLOGICA DE OURO PRETO - CEFET/OP  </t>
  </si>
  <si>
    <t xml:space="preserve">CENTRO FEDERAL DE EDUCACAO TECNOLOGICA DE PELOTAS - CEFET/RS     </t>
  </si>
  <si>
    <t xml:space="preserve">CENTRO FEDERAL DE EDUCACAO TECNOLOGICA DE PERNAMBUCO - CEFET/PE  </t>
  </si>
  <si>
    <t>CENTRO FEDERAL DE EDUCACAO TECNOLOGICA DE PETROLINA - CEFET-PETRO</t>
  </si>
  <si>
    <t xml:space="preserve">CENTRO FEDERAL DE EDUCACAO TECNOLOGICA DE RIO POMBA - CEFET-RP   </t>
  </si>
  <si>
    <t xml:space="preserve">CENTRO FEDERAL DE EDUCACAO TECNOLOGICA DE RIO VERDE              </t>
  </si>
  <si>
    <t xml:space="preserve">CENTRO FEDERAL DE EDUCACAO TECNOLOGICA DE RORAIMA - CEFET-RR     </t>
  </si>
  <si>
    <t xml:space="preserve">CENTRO FEDERAL DE EDUCACAO TECNOLOGICA DE SANTA CATARINA         </t>
  </si>
  <si>
    <t xml:space="preserve">CENTRO FEDERAL DE EDUCACAO TECNOLOGICA DE SAO PAULO - CEFET/SP   </t>
  </si>
  <si>
    <t xml:space="preserve">CENTRO FEDERAL DE EDUCACAO TECNOLOGICA DE SAO VICENTE DO SUL     </t>
  </si>
  <si>
    <t xml:space="preserve">CENTRO FEDERAL DE EDUCACAO TECNOLOGICA DE SERGIPE - CEFETSE      </t>
  </si>
  <si>
    <t>CENTRO FEDERAL DE EDUCACAO TECNOLOGICA DE UBERABA - CEFET UBERABA</t>
  </si>
  <si>
    <t xml:space="preserve">CENTRO FEDERAL DE EDUCACAO TECNOLOGICA DE URUTAI - CEFET-UR      </t>
  </si>
  <si>
    <t xml:space="preserve">CENTRO FEDERAL DE EDUCACAO TECNOLOGICA DO AMAZONAS - CEFET/AM    </t>
  </si>
  <si>
    <t xml:space="preserve">CENTRO FEDERAL DE EDUCACAO TECNOLOGICA DO CEARA - CEFETCE        </t>
  </si>
  <si>
    <t xml:space="preserve">CENTRO FEDERAL DE EDUCACAO TECNOLOGICA DO ESPIRITO SANTO         </t>
  </si>
  <si>
    <t xml:space="preserve">CENTRO FEDERAL DE EDUCACAO TECNOLOGICA DO MARANHAO - CEFET-MA    </t>
  </si>
  <si>
    <t xml:space="preserve">CENTRO FEDERAL DE EDUCACAO TECNOLOGICA DO MATO GROSSO - CEFET-MT </t>
  </si>
  <si>
    <t xml:space="preserve">CENTRO FEDERAL DE EDUCACAO TECNOLOGICA DO PARA - CEFET/PA        </t>
  </si>
  <si>
    <t xml:space="preserve">CENTRO FEDERAL DE EDUCACAO TECNOLOGICA DO PARANA - CEFET/PR      </t>
  </si>
  <si>
    <t xml:space="preserve">CENTRO FEDERAL DE EDUCACAO TECNOLOGICA DO PIAUI - CEFET/PI       </t>
  </si>
  <si>
    <t xml:space="preserve">CENTRO FEDERAL DE EDUCACAO TECNOLOGICA DO RIO GRANDE DO NORTE    </t>
  </si>
  <si>
    <t xml:space="preserve">CENTRO FEDERAL DE EDUCACAO TECNOLOGICA UBERABA                   </t>
  </si>
  <si>
    <t xml:space="preserve">CENTRO FEDERAL DE EDUCACAO TECNOLOGICA-ES SEDE                   </t>
  </si>
  <si>
    <t xml:space="preserve">CENTRO FEDERAL DE EDUCACAO TECNOLOGICA-ES UNED COLATINA          </t>
  </si>
  <si>
    <t xml:space="preserve">CENTRO FEDERAL DE EDUCACAO TECNOLOGICA-ES UNED SERRA             </t>
  </si>
  <si>
    <t xml:space="preserve">CENTRO FEDERAL DE EDUCACAO TECNOLOGICA-RJ                        </t>
  </si>
  <si>
    <t xml:space="preserve">CENTRO FEDERAL DE EDUCACAO TECNOLOGICA-RJ UNED DE NOVA IGUACU    </t>
  </si>
  <si>
    <t xml:space="preserve">CENTRO FORMADOR DE RECURSOS HUMANOS PARA SAUDE                   </t>
  </si>
  <si>
    <t xml:space="preserve">CENTRO INTEGRADO DE CURSOS LTDA                                  </t>
  </si>
  <si>
    <t xml:space="preserve">CENTRO INTEGRADO DE EXPRESSAO IDALTO FLORES DE CARVALHO          </t>
  </si>
  <si>
    <t xml:space="preserve">CENTRO INTERESCOLAR - HCFMRP - USP                               </t>
  </si>
  <si>
    <t xml:space="preserve">CENTRO MUN DE ENS PROFISSIONALIZANTE OSMAR PASSARELLI SILVEIRA   </t>
  </si>
  <si>
    <t xml:space="preserve">CENTRO PEDAGOGICO ARCO-IRIS                                      </t>
  </si>
  <si>
    <t xml:space="preserve">CENTRO POLITECNICO, TREINAMENTO, ENSINO E PESQUISA               </t>
  </si>
  <si>
    <t xml:space="preserve">CENTRO PROFISSIONALIZANTE DE ENFERMAGEM SOUZA CASTRO             </t>
  </si>
  <si>
    <t xml:space="preserve">CENTRO REG UNIVERS DO ESPIRITO SANTO DO PINHAL                   </t>
  </si>
  <si>
    <t xml:space="preserve">CENTRO REGIONAL DE ESTUDOS EM CIENCIAS HUMANAS - CRECIH          </t>
  </si>
  <si>
    <t xml:space="preserve">CENTRO SAO CAMILO DE DESENVOLVIMENTO EM ADMINISTRACAO DA SAUDE   </t>
  </si>
  <si>
    <t xml:space="preserve">CENTRO SUL FLUMINENSE DE ESTUDOS SUPLETIVOS                      </t>
  </si>
  <si>
    <t xml:space="preserve">CENTRO SUPERIOR DE ENSINO E PESQUISA DE MACHADO - CESEP          </t>
  </si>
  <si>
    <t xml:space="preserve">CENTRO TECNICO DE EDUCACAO PROFISSIONAL                          </t>
  </si>
  <si>
    <t xml:space="preserve">CENTRO TECNICO DE INFORMATICA BIT COMPANY FRANCA                 </t>
  </si>
  <si>
    <t xml:space="preserve">CENTRO TECNICO EDUCACIONAL - APCD                                </t>
  </si>
  <si>
    <t xml:space="preserve">CENTRO TECNICO EDUCACIONAL FILGUEIRAS                            </t>
  </si>
  <si>
    <t xml:space="preserve">CENTRO TECNICO ELZA ROCHA RODRIGUES                              </t>
  </si>
  <si>
    <t xml:space="preserve">CENTRO TECNICO FLUMINENSE - CETEF                                </t>
  </si>
  <si>
    <t xml:space="preserve">CENTRO TECNICO PROFISSIONAL DE ANDRELANDIA                       </t>
  </si>
  <si>
    <t xml:space="preserve">CENTRO TECNOLOGICO DA FUNDACAO PAULISTA                          </t>
  </si>
  <si>
    <t xml:space="preserve">CENTRO TECNOLOGICO DE MECATRONICA MARIA MADALENA NOGUEIRA        </t>
  </si>
  <si>
    <t xml:space="preserve">CENTRO TECNOLOGICO DOUTOR JOSEPH HEIN                            </t>
  </si>
  <si>
    <t xml:space="preserve">CENTRO TREIN DE PROF DE GINASIOS ORIENTADOS PARA O TRABALHO      </t>
  </si>
  <si>
    <t xml:space="preserve">CENTRO UNIV ASSUNCAO                                             </t>
  </si>
  <si>
    <t xml:space="preserve">CENTRO UNIV DA FUND EDUCAC DE BARRETOS                           </t>
  </si>
  <si>
    <t xml:space="preserve">CENTRO UNIV DE VARZEA GRANDE                                     </t>
  </si>
  <si>
    <t xml:space="preserve">CENTRO UNIV DO INST MAUA DE TECNOLOGIA                           </t>
  </si>
  <si>
    <t xml:space="preserve">CENTRO UNIV IBERO AMERICANO                                      </t>
  </si>
  <si>
    <t xml:space="preserve">CENTRO UNIV LEONARDO DA VINCI                                    </t>
  </si>
  <si>
    <t xml:space="preserve">CENTRO UNIVERSITARIO "BARAO DE MAUA" - CBM                       </t>
  </si>
  <si>
    <t xml:space="preserve">CENTRO UNIVERSITARIO ADVENTISTA DE SAO PAULO                     </t>
  </si>
  <si>
    <t xml:space="preserve">CENTRO UNIVERSITARIO ALVARES PENTEADO                            </t>
  </si>
  <si>
    <t xml:space="preserve">CENTRO UNIVERSITARIO AMPARENSE                                   </t>
  </si>
  <si>
    <t xml:space="preserve">CENTRO UNIVERSITARIO AUGUSTO MOTTA - UNISUAM                     </t>
  </si>
  <si>
    <t xml:space="preserve">CENTRO UNIVERSITARIO BELAS ARTES                                 </t>
  </si>
  <si>
    <t xml:space="preserve">CENTRO UNIVERSITARIO CARIOCA - UNICARIOCA                        </t>
  </si>
  <si>
    <t xml:space="preserve">CENTRO UNIVERSITARIO CATOLICO SALESIANO AUXILIUM                 </t>
  </si>
  <si>
    <t xml:space="preserve">CENTRO UNIVERSITARIO CELSO LISBOA - CEUCEL                       </t>
  </si>
  <si>
    <t xml:space="preserve">CENTRO UNIVERSITARIO CENTRAL PAULISTA - UNICEP                   </t>
  </si>
  <si>
    <t xml:space="preserve">CENTRO UNIVERSITARIO CLARETIANO                                  </t>
  </si>
  <si>
    <t xml:space="preserve">CENTRO UNIVERSITARIO CURITIBA                                    </t>
  </si>
  <si>
    <t xml:space="preserve">CENTRO UNIVERSITARIO DA CIDADE - UNIVERCIDADE                    </t>
  </si>
  <si>
    <t xml:space="preserve">CENTRO UNIVERSITARIO DA FUNDACAO DE ENSINO OCTAVIO BASTOS        </t>
  </si>
  <si>
    <t xml:space="preserve">CENTRO UNIVERSITARIO DA FUNDACAO EDUCACIONAL GUAXUPE - UNIFEG    </t>
  </si>
  <si>
    <t xml:space="preserve">CENTRO UNIVERSITARIO DAS FACULDADES METROPOLITANAS UNIDAS - FMU  </t>
  </si>
  <si>
    <t xml:space="preserve">CENTRO UNIVERSITARIO DE ANAPOLIS                                 </t>
  </si>
  <si>
    <t xml:space="preserve">CENTRO UNIVERSITARIO DE ARARAQUARA - UNIARA                      </t>
  </si>
  <si>
    <t xml:space="preserve">CENTRO UNIVERSITARIO DE ARARAS                                   </t>
  </si>
  <si>
    <t xml:space="preserve">CENTRO UNIVERSITARIO DE BARRA MANSA                              </t>
  </si>
  <si>
    <t xml:space="preserve">CENTRO UNIVERSITARIO DE BELO HORIZONTE - UNI-BH                  </t>
  </si>
  <si>
    <t xml:space="preserve">CENTRO UNIVERSITARIO DE BRASILIA - UNICEUB                       </t>
  </si>
  <si>
    <t xml:space="preserve">CENTRO UNIVERSITARIO DE CARATINGA - UNEC.                        </t>
  </si>
  <si>
    <t xml:space="preserve">CENTRO UNIVERSITARIO DE FORMIGA - UNIFORMG                       </t>
  </si>
  <si>
    <t xml:space="preserve">CENTRO UNIVERSITARIO DE FRANCA                                   </t>
  </si>
  <si>
    <t xml:space="preserve">CENTRO UNIVERSITARIO DE ITAJUBA                                  </t>
  </si>
  <si>
    <t xml:space="preserve">CENTRO UNIVERSITARIO DE LAVRAS - UNILAVRAS                       </t>
  </si>
  <si>
    <t xml:space="preserve">CENTRO UNIVERSITARIO DE MARINGA                                  </t>
  </si>
  <si>
    <t xml:space="preserve">CENTRO UNIVERSITARIO DE PATOS DE MINAS - UNIPAM                  </t>
  </si>
  <si>
    <t xml:space="preserve">CENTRO UNIVERSITARIO DE RIO PRETO - UNIRP                        </t>
  </si>
  <si>
    <t xml:space="preserve">CENTRO UNIVERSITARIO DE SETE LAGOAS                              </t>
  </si>
  <si>
    <t xml:space="preserve">CENTRO UNIVERSITARIO DO CERRADO-PATROCINIO - UNICERP             </t>
  </si>
  <si>
    <t xml:space="preserve">CENTRO UNIVERSITARIO DO CONSERVATORIO BRASILEIRO DE MUSICA       </t>
  </si>
  <si>
    <t xml:space="preserve">CENTRO UNIVERSITARIO DO DISTRITO FEDERAL - UNIDF                 </t>
  </si>
  <si>
    <t xml:space="preserve">CENTRO UNIVERSITARIO DO LESTE DE MINAS GERAIS - UNILESTEMG       </t>
  </si>
  <si>
    <t xml:space="preserve">CENTRO UNIVERSITARIO DO MARANHAO                                 </t>
  </si>
  <si>
    <t xml:space="preserve">CENTRO UNIVERSITARIO DO NORTE PAULISTA                           </t>
  </si>
  <si>
    <t xml:space="preserve">CENTRO UNIVERSITARIO DO PLANALTO DE ARAXA - UNIARAXA             </t>
  </si>
  <si>
    <t xml:space="preserve">CENTRO UNIVERSITARIO DO SUL DE MINAS - UNIS-MG                   </t>
  </si>
  <si>
    <t xml:space="preserve">CENTRO UNIVERSITARIO DO TRIANGULO - UNITRI                       </t>
  </si>
  <si>
    <t xml:space="preserve">CENTRO UNIVERSITARIO EURIPIDES DE MARILIA                        </t>
  </si>
  <si>
    <t xml:space="preserve">CENTRO UNIVERSITARIO EURO-AMERICANO - UNIEURO                    </t>
  </si>
  <si>
    <t xml:space="preserve">CENTRO UNIVERSITARIO FIEO                                        </t>
  </si>
  <si>
    <t xml:space="preserve">CENTRO UNIVERSITARIO FILADELFIA                                  </t>
  </si>
  <si>
    <t xml:space="preserve">CENTRO UNIVERSITARIO FLUMINENSE                                  </t>
  </si>
  <si>
    <t xml:space="preserve">CENTRO UNIVERSITARIO FRANCISCANO DO PARANA                       </t>
  </si>
  <si>
    <t xml:space="preserve">CENTRO UNIVERSITARIO FUMEC                                       </t>
  </si>
  <si>
    <t xml:space="preserve">CENTRO UNIVERSITARIO HERMINIO OMETTO                             </t>
  </si>
  <si>
    <t xml:space="preserve">CENTRO UNIVERSITARIO JORGE AMADO                                 </t>
  </si>
  <si>
    <t xml:space="preserve">CENTRO UNIVERSITARIO LUSIADA                                     </t>
  </si>
  <si>
    <t xml:space="preserve">CENTRO UNIVERSITARIO METODISTA BENNETT                           </t>
  </si>
  <si>
    <t xml:space="preserve">CENTRO UNIVERSITARIO METODISTA IZABELA HENDRIX - UNIZABELA       </t>
  </si>
  <si>
    <t xml:space="preserve">CENTRO UNIVERSITARIO MOACYR SREDER BASTOS                        </t>
  </si>
  <si>
    <t xml:space="preserve">CENTRO UNIVERSITARIO MOURA LACERDA                               </t>
  </si>
  <si>
    <t xml:space="preserve">CENTRO UNIVERSITARIO NEWTON PAIVA                                </t>
  </si>
  <si>
    <t xml:space="preserve">CENTRO UNIVERSITARIO NOVE DE JULHO                               </t>
  </si>
  <si>
    <t xml:space="preserve">CENTRO UNIVERSITARIO PADRE ANCHIETA                              </t>
  </si>
  <si>
    <t xml:space="preserve">CENTRO UNIVERSITARIO PAULISTANA - UNIPAULISTANA                  </t>
  </si>
  <si>
    <t xml:space="preserve">CENTRO UNIVERSITARIO PLANALTO DO DISTRITO FEDERAL - UNIPLAN      </t>
  </si>
  <si>
    <t xml:space="preserve">CENTRO UNIVERSITARIO PLINIO LEITE - UNIPLI                       </t>
  </si>
  <si>
    <t xml:space="preserve">CENTRO UNIVERSITARIO SALESIANO DE SAO PAULO                      </t>
  </si>
  <si>
    <t xml:space="preserve">CENTRO UNIVERSITARIO SANT┤ANNA - UNISANT'ANNA                    </t>
  </si>
  <si>
    <t xml:space="preserve">CENTRO UNIVERSITARIO SENAC                                       </t>
  </si>
  <si>
    <t xml:space="preserve">CENTRO UNIVERSITARIO SERRA DOS ORGAOS - UNIFESO                  </t>
  </si>
  <si>
    <t xml:space="preserve">CENTRO UNIVERSITARIO UDF                                         </t>
  </si>
  <si>
    <t xml:space="preserve">CENTRO UNIVERSITARIO UNA - UNA                                   </t>
  </si>
  <si>
    <t xml:space="preserve">CENTRO UNIVERSITARIO VILA VELHA                                  </t>
  </si>
  <si>
    <t xml:space="preserve">CENTRO UNIVERSITARIO VOTUPORANGA                                 </t>
  </si>
  <si>
    <t xml:space="preserve">CEPA- CENTRO DE ESTUDOS PROFISSIONALIZANTES ALFA                 </t>
  </si>
  <si>
    <t xml:space="preserve">CEPEIM - CENTRO DE ENSINO E PESQUISA INTEGRADO MICROWAY          </t>
  </si>
  <si>
    <t xml:space="preserve">CEPEP  - CENTRO PUBLICO DE EDUCACAO PROFISSIONAL DE JAGUARIUNA   </t>
  </si>
  <si>
    <t xml:space="preserve">CEPES - CENTRO DE ESTUDOS POLITICOS E SOCIAIS                    </t>
  </si>
  <si>
    <t xml:space="preserve">CEPHAS - CENTRO DE EDUCACAO PROFISSIONAL HELIO AUGUSTO DE SOUZA  </t>
  </si>
  <si>
    <t xml:space="preserve">CEPIN - CENTRO DE EDUCACAO PROFISSIONAL DE INDAIATUBA            </t>
  </si>
  <si>
    <t xml:space="preserve">CEPROCAMP - CENTRO DE EDUCACAO PROFISSIONAL DE CAMPINAS          </t>
  </si>
  <si>
    <t xml:space="preserve">CEPROENF - CENTRO PROFISSIONAL DE ENFERMAGEM                     </t>
  </si>
  <si>
    <t xml:space="preserve">CEPROLIN - CENTRO DE EDUCACAO PROFISSIONAL NO LITORAL NORTE      </t>
  </si>
  <si>
    <t xml:space="preserve">CEPROSIND - CENTRO DE ED PROF SINSAUDE DE RIBEIRAO PRETO         </t>
  </si>
  <si>
    <t xml:space="preserve">CEPROVI - CENTRO DE EDUCACAO PROFISSIONAL DE VINHEDO             </t>
  </si>
  <si>
    <t xml:space="preserve">CESG - CENTRO DE EDUCACAO PROFISSIONAL DE SAO GOTARDO            </t>
  </si>
  <si>
    <t xml:space="preserve">CESV - CENTRO DE ENSINO SUPERIOR DE PRESIDENTE VENCESLAU         </t>
  </si>
  <si>
    <t xml:space="preserve">CET - CENTRO DE ENSINO TECNCO                                    </t>
  </si>
  <si>
    <t xml:space="preserve">CETEA - CENTRO DE ENSINO E TECNOLOGIA DE ARACATUBA               </t>
  </si>
  <si>
    <t xml:space="preserve">CETEB                                                            </t>
  </si>
  <si>
    <t xml:space="preserve">CETEF - CENTRO TECNOLOGICO DE FUNDICAO MARCELINO CORRADI         </t>
  </si>
  <si>
    <t xml:space="preserve">CETEM - CENTRO DE ESTUDOS TEMATICOS DE ADMINISTRACAO PUBLICA     </t>
  </si>
  <si>
    <t xml:space="preserve">CETEP - CENTRO DE EDUCACAO TECNOLOGICA E PROFISSIONALIZANTE      </t>
  </si>
  <si>
    <t xml:space="preserve">CETEP - CENTRO DE ENSINO TECNICO E PROFISSIONALIZANTE            </t>
  </si>
  <si>
    <t xml:space="preserve">CETEPRO - CENTRO TECNICO DE ENSINO PROFISSIONALIZANTE            </t>
  </si>
  <si>
    <t xml:space="preserve">CETOC - CENTRO DE EDUCACAO TECNOLOGICA OSWALDO CRUZ              </t>
  </si>
  <si>
    <t xml:space="preserve">CETP - CENTRO DE ENSINO TECNICO PROFISSIONALIZANTE               </t>
  </si>
  <si>
    <t xml:space="preserve">CIEC - CENTRO INTEGRADO DE EDUCACAO CONTINUADA                   </t>
  </si>
  <si>
    <t xml:space="preserve">CIEN - CENTRO INTEGRADO DE ENFERMAGEM                            </t>
  </si>
  <si>
    <t xml:space="preserve">CIMA ESCOLA TECNICA - UNIDADE CENTRO                             </t>
  </si>
  <si>
    <t xml:space="preserve">CIMA ESCOLA TECNICA - UNIDADE COSMOS                             </t>
  </si>
  <si>
    <t xml:space="preserve">CIMA ESCOLA TECNICA - UNIDADE DE SAO GONCALO                     </t>
  </si>
  <si>
    <t xml:space="preserve">CIMA ESCOLA TECNICA - UNIDADE DE VASSOURAS                       </t>
  </si>
  <si>
    <t xml:space="preserve">CIRCUITO ESCOLA TECNICA NA AREA DA SAUDE                         </t>
  </si>
  <si>
    <t xml:space="preserve">CLIMICA PROFESOR JOSE KOS                                        </t>
  </si>
  <si>
    <t xml:space="preserve">CLINICA DE OTORRINOLARINGOLOGIA DO INSTITUTO PENIDO BURNIER      </t>
  </si>
  <si>
    <t xml:space="preserve">CLINICA DE PSICOLOGIA APLICADA LTDA                              </t>
  </si>
  <si>
    <t xml:space="preserve">CLINICA DE REPOUSO SANTA FE                                      </t>
  </si>
  <si>
    <t xml:space="preserve">CLUBE DOS DECORADORES DO RIO DE JANEIRO                          </t>
  </si>
  <si>
    <t xml:space="preserve">CNEC - CAMPANHA NACIONAL DE ESCOLAS DA COMUNIDADE                </t>
  </si>
  <si>
    <t>COL TEC AGRICOLA ILDEFONSO BASTOS BORGES DA UN FEDERAL FLUMINENSE</t>
  </si>
  <si>
    <t xml:space="preserve">COLEGIO "LEAO XIII"                                              </t>
  </si>
  <si>
    <t xml:space="preserve">COLEGIO "MONSENHOR JOAO SANDOVAL PACHECO"                        </t>
  </si>
  <si>
    <t xml:space="preserve">COLEGIO ADELIA CAMARGO CORREA - BERTIOGA                         </t>
  </si>
  <si>
    <t xml:space="preserve">COLEGIO ADELIA CAMARGO CORREA - GUARUJA                          </t>
  </si>
  <si>
    <t xml:space="preserve">COLEGIO ADVENTISTA DE MOGI DAS CRUZES                            </t>
  </si>
  <si>
    <t xml:space="preserve">COLEGIO AFONSO PENA                                              </t>
  </si>
  <si>
    <t xml:space="preserve">COLEGIO AGRICOLA BRASILIA                                        </t>
  </si>
  <si>
    <t xml:space="preserve">COLEGIO AGRICOLA COOPER-RURAL                                    </t>
  </si>
  <si>
    <t xml:space="preserve">COLEGIO AGRICOLA NILO PECANHA - UNIVERSIDADE FEDERAL FLUMINENSE  </t>
  </si>
  <si>
    <t xml:space="preserve">COLEGIO AGRICOLA PROFESSOR GUSTAVO AUGUSTO LIMA                  </t>
  </si>
  <si>
    <t xml:space="preserve">COLEGIO AGRICOLA VERSIANE ATHAYDE                                </t>
  </si>
  <si>
    <t xml:space="preserve">COLEGIO AGULHAS NEGRAS                                           </t>
  </si>
  <si>
    <t xml:space="preserve">COLEGIO ALBERT EINSTEIN                                          </t>
  </si>
  <si>
    <t xml:space="preserve">COLEGIO ALBERTO SANTOS DUMONT                                    </t>
  </si>
  <si>
    <t xml:space="preserve">COLEGIO ALEM                                                     </t>
  </si>
  <si>
    <t xml:space="preserve">COLEGIO ALIADO                                                   </t>
  </si>
  <si>
    <t xml:space="preserve">COLEGIO ALPHA NACOES UNIDAS                                      </t>
  </si>
  <si>
    <t xml:space="preserve">COLEGIO ALVARES DE AZEVEDO                                       </t>
  </si>
  <si>
    <t xml:space="preserve">COLEGIO AMERICA DO NORTE                                         </t>
  </si>
  <si>
    <t xml:space="preserve">COLEGIO ANALISE                                                  </t>
  </si>
  <si>
    <t xml:space="preserve">COLEGIO ANGLO                                                    </t>
  </si>
  <si>
    <t xml:space="preserve">COLEGIO ANGLO AMERICANO                                          </t>
  </si>
  <si>
    <t xml:space="preserve">COLEGIO ANGLO CLARETIANO                                         </t>
  </si>
  <si>
    <t xml:space="preserve">COLEGIO ANTARES                                                  </t>
  </si>
  <si>
    <t xml:space="preserve">COLEGIO ANTONIO AFONSO                                           </t>
  </si>
  <si>
    <t xml:space="preserve">COLEGIO ANTONIO HUBACK                                           </t>
  </si>
  <si>
    <t xml:space="preserve">COLEGIO APOLLO 12                                                </t>
  </si>
  <si>
    <t xml:space="preserve">COLEGIO ARCHIMEDES                                               </t>
  </si>
  <si>
    <t xml:space="preserve">COLEGIO ARQUIDIOCESANO DE OURO BRANCO                            </t>
  </si>
  <si>
    <t xml:space="preserve">COLEGIO ARTE CULTURA                                             </t>
  </si>
  <si>
    <t xml:space="preserve">COLEGIO ATENAS                                                   </t>
  </si>
  <si>
    <t xml:space="preserve">COLEGIO ATENEU CACHOEIRENSE                                      </t>
  </si>
  <si>
    <t xml:space="preserve">COLEGIO ATENEU CAMPINENSE DT JOAQUIM FRANCISCO DA COSTA EDUARDO  </t>
  </si>
  <si>
    <t xml:space="preserve">COLEGIO ATENEU SANTISTA                                          </t>
  </si>
  <si>
    <t xml:space="preserve">COLEGIO ATIBAIA - ESCOLA DE ENS FUND, MEDIO E PROF               </t>
  </si>
  <si>
    <t xml:space="preserve">COLEGIO AUGUSTO MAIA                                             </t>
  </si>
  <si>
    <t xml:space="preserve">COLEGIO AURELIO S/C LTDA.                                        </t>
  </si>
  <si>
    <t xml:space="preserve">COLEGIO AVANCE                                                   </t>
  </si>
  <si>
    <t xml:space="preserve">COLEGIO BANDEIRANTES                                             </t>
  </si>
  <si>
    <t xml:space="preserve">COLEGIO BARAO DE MAUA DE INDAIATUBA                              </t>
  </si>
  <si>
    <t xml:space="preserve">COLEGIO BARRETOS                                                 </t>
  </si>
  <si>
    <t xml:space="preserve">COLEGIO BASIC                                                    </t>
  </si>
  <si>
    <t xml:space="preserve">COLEGIO BATISTA DE CAMPINAS                                      </t>
  </si>
  <si>
    <t xml:space="preserve">COLEGIO BATISTA DE VARGINHA                                      </t>
  </si>
  <si>
    <t xml:space="preserve">COLEGIO BATISTA FLUMINENSE                                       </t>
  </si>
  <si>
    <t xml:space="preserve">COLEGIO BATISTA MINEIRO                                          </t>
  </si>
  <si>
    <t xml:space="preserve">COLEGIO BEKA                                                     </t>
  </si>
  <si>
    <t xml:space="preserve">COLEGIO BELMIRO ALVES PEREIRA                                    </t>
  </si>
  <si>
    <t xml:space="preserve">COLEGIO BENJAMIN CONSTANT                                        </t>
  </si>
  <si>
    <t xml:space="preserve">COLEGIO BERLAAR NOSSA SENHORA DO PATROCINIO                      </t>
  </si>
  <si>
    <t xml:space="preserve">COLEGIO BEZERRA DE ARAUJO FILIAL                                 </t>
  </si>
  <si>
    <t xml:space="preserve">COLEGIO BEZERRA DE MENEZES                                       </t>
  </si>
  <si>
    <t xml:space="preserve">COLEGIO BILAC                                                    </t>
  </si>
  <si>
    <t xml:space="preserve">COLEGIO BRAGA MELLO                                              </t>
  </si>
  <si>
    <t xml:space="preserve">COLEGIO BRAS LEME                                                </t>
  </si>
  <si>
    <t xml:space="preserve">COLEGIO BRASIL                                                   </t>
  </si>
  <si>
    <t xml:space="preserve">COLEGIO BRASILEIRO DE ACUPUNTURA E TERAPIAS TRADICIONAIS         </t>
  </si>
  <si>
    <t xml:space="preserve">COLEGIO BRASILEIRO DE BIOLOGISTAS CLINICOS                       </t>
  </si>
  <si>
    <t xml:space="preserve">COLEGIO BRASILEIRO DE CIRURGIA DIGESTIVA                         </t>
  </si>
  <si>
    <t xml:space="preserve">COLEGIO BRASILEIRO DE RADIOLOGIA                                 </t>
  </si>
  <si>
    <t xml:space="preserve">COLEGIO BUARQUE DE MACEDO                                        </t>
  </si>
  <si>
    <t xml:space="preserve">COLEGIO CARLOS GOMES                                             </t>
  </si>
  <si>
    <t xml:space="preserve">COLEGIO CARLOS MAGNO RIBEIRAO                                    </t>
  </si>
  <si>
    <t xml:space="preserve">COLEGIO CARLOS RENE EGG                                          </t>
  </si>
  <si>
    <t xml:space="preserve">COLEGIO CASIMIRO DE ABREU                                        </t>
  </si>
  <si>
    <t xml:space="preserve">COLEGIO CASTRO ALVES                                             </t>
  </si>
  <si>
    <t xml:space="preserve">COLEGIO CASTRO ALVES - UNIDADE II                                </t>
  </si>
  <si>
    <t xml:space="preserve">COLEGIO CAVLAC                                                   </t>
  </si>
  <si>
    <t xml:space="preserve">COLEGIO CECILIA MEIRELES                                         </t>
  </si>
  <si>
    <t xml:space="preserve">COLEGIO CENECISTA DOMICIANO VIEIRA                               </t>
  </si>
  <si>
    <t xml:space="preserve">COLEGIO CENECISTA IGUABA                                         </t>
  </si>
  <si>
    <t xml:space="preserve">COLEGIO CENECISTA JUVENTINO DIAS                                 </t>
  </si>
  <si>
    <t xml:space="preserve">COLEGIO CENECISTA ORLANDO RANGEL                                 </t>
  </si>
  <si>
    <t xml:space="preserve">COLEGIO CENECISTA SANTA MONICA                                   </t>
  </si>
  <si>
    <t xml:space="preserve">COLEGIO CENTENARIO                                               </t>
  </si>
  <si>
    <t xml:space="preserve">COLEGIO CENTRAL                                                  </t>
  </si>
  <si>
    <t xml:space="preserve">COLEGIO CETEC                                                    </t>
  </si>
  <si>
    <t xml:space="preserve">COLEGIO CHAFIK SAAB                                              </t>
  </si>
  <si>
    <t xml:space="preserve">COLEGIO CHIP                                                     </t>
  </si>
  <si>
    <t xml:space="preserve">COLEGIO CHIP DE 2  GRAU TECNICO                                  </t>
  </si>
  <si>
    <t xml:space="preserve">COLEGIO CIDADE - UNIDADE MADUREIRA                               </t>
  </si>
  <si>
    <t xml:space="preserve">COLEGIO CIDADE DE FERNANDOPOLIS                                  </t>
  </si>
  <si>
    <t xml:space="preserve">COLEGIO CIDADE DE SALTO                                          </t>
  </si>
  <si>
    <t xml:space="preserve">COLEGIO COC INTEGRADO                                            </t>
  </si>
  <si>
    <t xml:space="preserve">COLEGIO COLISEU DE PATROCINIO                                    </t>
  </si>
  <si>
    <t xml:space="preserve">COLEGIO COMERCIAL DE CACAPAVA                                    </t>
  </si>
  <si>
    <t xml:space="preserve">COLEGIO COMERCIAL DE ITAPETINGA                                  </t>
  </si>
  <si>
    <t xml:space="preserve">COLEGIO COMERCIAL DE TAUBATE                                     </t>
  </si>
  <si>
    <t xml:space="preserve">COLEGIO COMERCIAL DE VOTUPORANGA                                 </t>
  </si>
  <si>
    <t xml:space="preserve">COLEGIO COMERCIAL DO INSTITUTO BANDEIRANTES DE EDUCACAO          </t>
  </si>
  <si>
    <t xml:space="preserve">COLEGIO COMERCIAL DR JOAO ROMEIRO                                </t>
  </si>
  <si>
    <t xml:space="preserve">COLEGIO COMERCIAL SANTO ANTONIO                                  </t>
  </si>
  <si>
    <t xml:space="preserve">COLEGIO CONHECER                                                 </t>
  </si>
  <si>
    <t xml:space="preserve">COLEGIO CRIATIVO                                                 </t>
  </si>
  <si>
    <t xml:space="preserve">COLEGIO CRISTO REI                                               </t>
  </si>
  <si>
    <t xml:space="preserve">COLEGIO CRUZEIRO DO SUL - UNIDADE I                              </t>
  </si>
  <si>
    <t xml:space="preserve">COLEGIO CRYSTELLO                                                </t>
  </si>
  <si>
    <t xml:space="preserve">COLEGIO CULTURA E ARTE                                           </t>
  </si>
  <si>
    <t xml:space="preserve">COLEGIO CURSO LIDER                                              </t>
  </si>
  <si>
    <t xml:space="preserve">COLEGIO D. PEDRO I                                               </t>
  </si>
  <si>
    <t xml:space="preserve">COLEGIO D. PEDRO II                                              </t>
  </si>
  <si>
    <t xml:space="preserve">COLEGIO DA FUNDACAO DE SAO JOSE DO RIO PARDO                     </t>
  </si>
  <si>
    <t xml:space="preserve">COLEGIO DA POLICIA MILITAR - UNIDADE CENTRO                      </t>
  </si>
  <si>
    <t xml:space="preserve">COLEGIO DAS AMERICAS                                             </t>
  </si>
  <si>
    <t xml:space="preserve">COLEGIO DE APLICACAO DA UNIVERSIDADE IGUACU                      </t>
  </si>
  <si>
    <t xml:space="preserve">COLEGIO DE APLICACAO FACSAL                                      </t>
  </si>
  <si>
    <t xml:space="preserve">COLEGIO DE AUTOMACAO LENZ                                        </t>
  </si>
  <si>
    <t xml:space="preserve">COLEGIO DE VILA GUSTAVO                                          </t>
  </si>
  <si>
    <t xml:space="preserve">COLEGIO DELTA                                                    </t>
  </si>
  <si>
    <t xml:space="preserve">COLEGIO DESAFIO                                                  </t>
  </si>
  <si>
    <t xml:space="preserve">COLEGIO DESTAQUE                                                 </t>
  </si>
  <si>
    <t xml:space="preserve">COLEGIO DIFERENCIAL S/C                                          </t>
  </si>
  <si>
    <t xml:space="preserve">COLEGIO DIMENSAO                                                 </t>
  </si>
  <si>
    <t xml:space="preserve">COLEGIO DIRETRIZ - UNIDADE BETIM                                 </t>
  </si>
  <si>
    <t xml:space="preserve">COLEGIO DIVINO SALVADOR                                          </t>
  </si>
  <si>
    <t xml:space="preserve">COLEGIO DOM BOSCO                                                </t>
  </si>
  <si>
    <t xml:space="preserve">COLEGIO DOM MACARIO SCHMITT                                      </t>
  </si>
  <si>
    <t xml:space="preserve">COLEGIO DOM OTON MOTA                                            </t>
  </si>
  <si>
    <t xml:space="preserve">COLEGIO DOMINANTE                                                </t>
  </si>
  <si>
    <t xml:space="preserve">COLEGIO DOMINGOS DE MORAES                                       </t>
  </si>
  <si>
    <t xml:space="preserve">COLEGIO DON DOMENICO                                             </t>
  </si>
  <si>
    <t xml:space="preserve">COLEGIO DOUTOR BERNARDINO DE CAMPOS                              </t>
  </si>
  <si>
    <t xml:space="preserve">COLEGIO DOUTOR FERNANDO COSTA                                    </t>
  </si>
  <si>
    <t xml:space="preserve">COLEGIO DR CLOVIS BEVILACQUA                                     </t>
  </si>
  <si>
    <t xml:space="preserve">COLEGIO DUQUE DE CAXIAS                                          </t>
  </si>
  <si>
    <t xml:space="preserve">COLEGIO DYNASTE                                                  </t>
  </si>
  <si>
    <t xml:space="preserve">COLEGIO E CURSO MOVA                                             </t>
  </si>
  <si>
    <t xml:space="preserve">COLEGIO E CURSO PHOENIX                                          </t>
  </si>
  <si>
    <t xml:space="preserve">COLEGIO E ESCOLA TECNICA SILVA E SOUZA                           </t>
  </si>
  <si>
    <t xml:space="preserve">COLEGIO EDUCAP                                                   </t>
  </si>
  <si>
    <t xml:space="preserve">COLEGIO ELITE                                                    </t>
  </si>
  <si>
    <t xml:space="preserve">COLEGIO ESTACAO                                                  </t>
  </si>
  <si>
    <t xml:space="preserve">COLEGIO ESTADUAL CIRCULO OPERARIO                                </t>
  </si>
  <si>
    <t xml:space="preserve">COLEGIO ESTADUAL FAGUNDES VARELA                                 </t>
  </si>
  <si>
    <t xml:space="preserve">COLEGIO ESTADUAL HILTON GAMA                                     </t>
  </si>
  <si>
    <t xml:space="preserve">COLEGIO ESTRUTURAL                                               </t>
  </si>
  <si>
    <t xml:space="preserve">COLEGIO ETEP - ESCOLA TECNICA DE PASSOS                          </t>
  </si>
  <si>
    <t xml:space="preserve">COLEGIO EVANGELICO ALMEIDA BARROS                                </t>
  </si>
  <si>
    <t xml:space="preserve">COLEGIO EVOLUCAO                                                 </t>
  </si>
  <si>
    <t xml:space="preserve">COLEGIO EVOLUCAO - OBJETIVO                                      </t>
  </si>
  <si>
    <t xml:space="preserve">COLEGIO EXCELENCIA                                               </t>
  </si>
  <si>
    <t xml:space="preserve">COLEGIO EXITUS                                                   </t>
  </si>
  <si>
    <t xml:space="preserve">COLEGIO FENIX                                                    </t>
  </si>
  <si>
    <t xml:space="preserve">COLEGIO FERNAO DIAS PAIS                                         </t>
  </si>
  <si>
    <t xml:space="preserve">COLEGIO FERREIRA ALVES                                           </t>
  </si>
  <si>
    <t xml:space="preserve">COLEGIO FERREIRA MARTINS                                         </t>
  </si>
  <si>
    <t xml:space="preserve">COLEGIO FILOMENA DE MARCO                                        </t>
  </si>
  <si>
    <t xml:space="preserve">COLEGIO FLAMA                                                    </t>
  </si>
  <si>
    <t xml:space="preserve">COLEGIO FLAVIO PINHEIRO                                          </t>
  </si>
  <si>
    <t xml:space="preserve">COLEGIO FLORESTAN FERNANDES - UNIDADE I                          </t>
  </si>
  <si>
    <t xml:space="preserve">COLEGIO FRANCISCANO SANTO INACIO                                 </t>
  </si>
  <si>
    <t xml:space="preserve">COLEGIO FREINET                                                  </t>
  </si>
  <si>
    <t xml:space="preserve">COLEGIO GALVAO II                                                </t>
  </si>
  <si>
    <t xml:space="preserve">COLEGIO GAUDIUM ET SPES                                          </t>
  </si>
  <si>
    <t xml:space="preserve">COLEGIO GLOBAL                                                   </t>
  </si>
  <si>
    <t xml:space="preserve">COLEGIO GUARULHOS                                                </t>
  </si>
  <si>
    <t xml:space="preserve">COLEGIO GUGLIELMO MARCONI                                        </t>
  </si>
  <si>
    <t xml:space="preserve">COLEGIO GUNNAR VINGREN                                           </t>
  </si>
  <si>
    <t xml:space="preserve">COLEGIO HUMBERTO DE CAMPOS                                       </t>
  </si>
  <si>
    <t xml:space="preserve">COLEGIO IARA MARIA COIMBRA - UNIDADE I                           </t>
  </si>
  <si>
    <t xml:space="preserve">COLEGIO IARA MARIA COIMBRA - UNIDADE II                          </t>
  </si>
  <si>
    <t xml:space="preserve">COLEGIO IBTA                                                     </t>
  </si>
  <si>
    <t xml:space="preserve">COLEGIO IBTA - CAMPINAS                                          </t>
  </si>
  <si>
    <t xml:space="preserve">COLEGIO ICT                                                      </t>
  </si>
  <si>
    <t xml:space="preserve">COLEGIO IMPACTO                                                  </t>
  </si>
  <si>
    <t xml:space="preserve">COLEGIO INTEGRACAO                                               </t>
  </si>
  <si>
    <t xml:space="preserve">COLEGIO INTEGRADO MARZA                                          </t>
  </si>
  <si>
    <t xml:space="preserve">COLEGIO INTEGRADO SAO FRANCISCO                                  </t>
  </si>
  <si>
    <t xml:space="preserve">COLEGIO INTEGRAL INACI                                           </t>
  </si>
  <si>
    <t xml:space="preserve">COLEGIO ITALO BRASILEIRO                                         </t>
  </si>
  <si>
    <t xml:space="preserve">COLEGIO IVO DE ALMEIDA                                           </t>
  </si>
  <si>
    <t xml:space="preserve">COLEGIO JOAO DE MELO MACEDO                                      </t>
  </si>
  <si>
    <t xml:space="preserve">COLEGIO JOAO PAULO                                               </t>
  </si>
  <si>
    <t xml:space="preserve">COLEGIO JOAO PAULO I                                             </t>
  </si>
  <si>
    <t xml:space="preserve">COLEGIO JULIO VERNE                                              </t>
  </si>
  <si>
    <t xml:space="preserve">COLEGIO LA SALLE                                                 </t>
  </si>
  <si>
    <t xml:space="preserve">COLEGIO LAPA                                                     </t>
  </si>
  <si>
    <t xml:space="preserve">COLEGIO LAVOISIER                                                </t>
  </si>
  <si>
    <t xml:space="preserve">COLEGIO LEME AMSTALDEN                                           </t>
  </si>
  <si>
    <t xml:space="preserve">COLEGIO LEMOS DE CASTRO                                          </t>
  </si>
  <si>
    <t xml:space="preserve">COLEGIO LIDER                                                    </t>
  </si>
  <si>
    <t xml:space="preserve">COLEGIO LOSANGO DE FORMIGA                                       </t>
  </si>
  <si>
    <t xml:space="preserve">COLEGIO LUMEN                                                    </t>
  </si>
  <si>
    <t xml:space="preserve">COLEGIO LUSIADAS                                                 </t>
  </si>
  <si>
    <t xml:space="preserve">COLEGIO MACEDO SOARES                                            </t>
  </si>
  <si>
    <t xml:space="preserve">COLEGIO MAESTRO                                                  </t>
  </si>
  <si>
    <t xml:space="preserve">COLEGIO MAGNOSABER                                               </t>
  </si>
  <si>
    <t xml:space="preserve">COLEGIO MANTIQUEIRA                                              </t>
  </si>
  <si>
    <t xml:space="preserve">COLEGIO MANUEL BANDEIRA                                          </t>
  </si>
  <si>
    <t xml:space="preserve">COLEGIO MARCTEL                                                  </t>
  </si>
  <si>
    <t xml:space="preserve">COLEGIO MARIA JOSE                                               </t>
  </si>
  <si>
    <t xml:space="preserve">COLEGIO MARTINEZ                                                 </t>
  </si>
  <si>
    <t xml:space="preserve">COLEGIO MARY WARD                                                </t>
  </si>
  <si>
    <t xml:space="preserve">COLEGIO MATER AMABILIS                                           </t>
  </si>
  <si>
    <t xml:space="preserve">COLEGIO MAXIMUS                                                  </t>
  </si>
  <si>
    <t xml:space="preserve">COLEGIO MEMORIAL                                                 </t>
  </si>
  <si>
    <t xml:space="preserve">COLEGIO MERCURIO                                                 </t>
  </si>
  <si>
    <t xml:space="preserve">COLEGIO MERE MARIE THEODORE VOIRON                               </t>
  </si>
  <si>
    <t xml:space="preserve">COLEGIO META                                                     </t>
  </si>
  <si>
    <t xml:space="preserve">COLEGIO META LUX                                                 </t>
  </si>
  <si>
    <t xml:space="preserve">COLEGIO MINAS GERAIS                                             </t>
  </si>
  <si>
    <t xml:space="preserve">COLEGIO MONSENHOR ALEXANDRE VENANCIO ARMINAS                     </t>
  </si>
  <si>
    <t xml:space="preserve">COLEGIO MONSENHOR D'AMATO                                        </t>
  </si>
  <si>
    <t xml:space="preserve">COLEGIO MONSENHOR JOSE NUNES                                     </t>
  </si>
  <si>
    <t xml:space="preserve">COLEGIO MONTEIRO LOBATO                                          </t>
  </si>
  <si>
    <t xml:space="preserve">COLEGIO MORUMBI SUL                                              </t>
  </si>
  <si>
    <t xml:space="preserve">COLEGIO MUNICIPAL ARCEBURGUENSE                                  </t>
  </si>
  <si>
    <t xml:space="preserve">COLEGIO MUNICIPAL DOUTOR JOSE VARGAS DE SOUZA                    </t>
  </si>
  <si>
    <t xml:space="preserve">COLEGIO MUNICIPAL PREFEIRUTA ABEILARD PEREIRA                    </t>
  </si>
  <si>
    <t xml:space="preserve">COLEGIO MUNICIPAL PROFESSOR OLIMPIO DOS SANTOS                   </t>
  </si>
  <si>
    <t xml:space="preserve">COLEGIO MUNICIPAL URIEL ALVIM                                    </t>
  </si>
  <si>
    <t xml:space="preserve">COLEGIO NETWORK                                                  </t>
  </si>
  <si>
    <t xml:space="preserve">COLEGIO NOSSA SENHORA DAS BROTAS                                 </t>
  </si>
  <si>
    <t xml:space="preserve">COLEGIO NOSSA SENHORA DE LOURDES                                 </t>
  </si>
  <si>
    <t xml:space="preserve">COLEGIO NOSSA SENHORA DE NAZARE                                  </t>
  </si>
  <si>
    <t xml:space="preserve">COLEGIO NOSSA SENHORA DO CARMO                                   </t>
  </si>
  <si>
    <t xml:space="preserve">COLEGIO NOVE DE JULHO                                            </t>
  </si>
  <si>
    <t xml:space="preserve">COLEGIO NOVO HORIZONTE                                           </t>
  </si>
  <si>
    <t xml:space="preserve">COLEGIO NOVO HORIZONTE LTDA                                      </t>
  </si>
  <si>
    <t xml:space="preserve">COLEGIO NOVO MILLENIUN                                           </t>
  </si>
  <si>
    <t xml:space="preserve">COLEGIO OBJETIVO BERTIOGA                                        </t>
  </si>
  <si>
    <t xml:space="preserve">COLEGIO OBJETIVO DE AVARE                                        </t>
  </si>
  <si>
    <t xml:space="preserve">COLEGIO OBJETIVO DE JAGUARIUNA - UNID 1                          </t>
  </si>
  <si>
    <t xml:space="preserve">COLEGIO OLIVEIRA TELLES                                          </t>
  </si>
  <si>
    <t xml:space="preserve">COLEGIO OPCAO                                                    </t>
  </si>
  <si>
    <t xml:space="preserve">COLEGIO OPCAO - EDUCACAO BASICA E PROFISSIONAL                   </t>
  </si>
  <si>
    <t xml:space="preserve">COLEGIO ORLANDO GARCIA DA SILVEIRA                               </t>
  </si>
  <si>
    <t xml:space="preserve">COLEGIO PADRE CURVELO                                            </t>
  </si>
  <si>
    <t xml:space="preserve">COLEGIO PADRE EUSTAQUIO                                          </t>
  </si>
  <si>
    <t xml:space="preserve">COLEGIO PANAMERICANO                                             </t>
  </si>
  <si>
    <t xml:space="preserve">COLEGIO PARAGUACU II                                             </t>
  </si>
  <si>
    <t xml:space="preserve">COLEGIO PASCHOAL DANTAS I,II,III                                 </t>
  </si>
  <si>
    <t xml:space="preserve">COLEGIO PATROCINIO DE SAO JOSE                                   </t>
  </si>
  <si>
    <t xml:space="preserve">COLEGIO PEDRO II                                                 </t>
  </si>
  <si>
    <t xml:space="preserve">COLEGIO PEDRO II - UNIDADE ESCOLAR CENTRO                        </t>
  </si>
  <si>
    <t xml:space="preserve">COLEGIO PEDRO II - UNIDADE ESCOLAR TIJUCA II                     </t>
  </si>
  <si>
    <t xml:space="preserve">COLEGIO PINHEIROS                                                </t>
  </si>
  <si>
    <t xml:space="preserve">COLEGIO PINHEIROS DE MOCOCA                                      </t>
  </si>
  <si>
    <t xml:space="preserve">COLEGIO PIO XII                                                  </t>
  </si>
  <si>
    <t xml:space="preserve">COLEGIO PIRACICABANO                                             </t>
  </si>
  <si>
    <t xml:space="preserve">COLEGIO PIRAMIDE                                                 </t>
  </si>
  <si>
    <t xml:space="preserve">COLEGIO PIRAMIDE DE ALMENARA                                     </t>
  </si>
  <si>
    <t xml:space="preserve">COLEGIO PODIUM                                                   </t>
  </si>
  <si>
    <t xml:space="preserve">COLEGIO POLIBRASIL                                               </t>
  </si>
  <si>
    <t xml:space="preserve">COLEGIO POLICURSOS                                               </t>
  </si>
  <si>
    <t xml:space="preserve">COLEGIO POLITECNICO BENTO QUIRINO - UNIDADE I                    </t>
  </si>
  <si>
    <t xml:space="preserve">COLEGIO POLITECNICO BENTO QUIRINO - UNIDADE II                   </t>
  </si>
  <si>
    <t xml:space="preserve">COLEGIO POLITECNICO BENTO QUIRINO - UNIDADE III                  </t>
  </si>
  <si>
    <t xml:space="preserve">COLEGIO POLITECNICO DE SOROCABA                                  </t>
  </si>
  <si>
    <t xml:space="preserve">COLEGIO POLITECNICO EGO SUM UN II                                </t>
  </si>
  <si>
    <t xml:space="preserve">COLEGIO POP ESCOLA DE ENSINO FUNDAMENTAL E MEDIO                 </t>
  </si>
  <si>
    <t xml:space="preserve">COLEGIO POPULUS INTERATIVO                                       </t>
  </si>
  <si>
    <t xml:space="preserve">COLEGIO PORTINARI                                                </t>
  </si>
  <si>
    <t xml:space="preserve">COLEGIO POSITIVUS                                                </t>
  </si>
  <si>
    <t xml:space="preserve">COLEGIO POUSO ALEGRE                                             </t>
  </si>
  <si>
    <t xml:space="preserve">COLEGIO PRAXIS                                                   </t>
  </si>
  <si>
    <t xml:space="preserve">COLEGIO PRAXIS - UNIDADE ADOLFO PINHEIRO                         </t>
  </si>
  <si>
    <t xml:space="preserve">COLEGIO PRAXIS GUARUJA                                           </t>
  </si>
  <si>
    <t xml:space="preserve">COLEGIO PRESIDENTE WENCESLAU BRAS                                </t>
  </si>
  <si>
    <t xml:space="preserve">COLEGIO PRINCESA ISABEL                                          </t>
  </si>
  <si>
    <t xml:space="preserve">COLEGIO PROFESSOR JUNIOR                                         </t>
  </si>
  <si>
    <t xml:space="preserve">COLEGIO PROFESSOR PATITUCCI                                      </t>
  </si>
  <si>
    <t xml:space="preserve">COLEGIO PROFISSIONALIZANTE SANTOS MAIA                           </t>
  </si>
  <si>
    <t xml:space="preserve">COLEGIO PROGRESSO CAMPINEIRO                                     </t>
  </si>
  <si>
    <t xml:space="preserve">COLEGIO PROGRESSO CENTRO                                         </t>
  </si>
  <si>
    <t xml:space="preserve">COLEGIO PROGRESSO VILA GALVAO                                    </t>
  </si>
  <si>
    <t xml:space="preserve">COLEGIO PROJECAO                                                 </t>
  </si>
  <si>
    <t xml:space="preserve">COLEGIO PROJECAO - UNIDADE II                                    </t>
  </si>
  <si>
    <t xml:space="preserve">COLEGIO RAMOS DE AZEVEDO II                                      </t>
  </si>
  <si>
    <t xml:space="preserve">COLEGIO RAMOS LOPES                                              </t>
  </si>
  <si>
    <t xml:space="preserve">COLEGIO RAZAO                                                    </t>
  </si>
  <si>
    <t xml:space="preserve">COLEGIO REALENGO                                                 </t>
  </si>
  <si>
    <t xml:space="preserve">COLEGIO REINO DE EDUCACAO BASICA                                 </t>
  </si>
  <si>
    <t xml:space="preserve">COLEGIO RENASCER                                                 </t>
  </si>
  <si>
    <t xml:space="preserve">COLEGIO RESULTANTE II                                            </t>
  </si>
  <si>
    <t xml:space="preserve">COLEGIO RIO BRANCO                                               </t>
  </si>
  <si>
    <t xml:space="preserve">COLEGIO ROCHA MARMO                                              </t>
  </si>
  <si>
    <t xml:space="preserve">COLEGIO ROCHA MARMO - UNIDADE BERTIOGA                           </t>
  </si>
  <si>
    <t xml:space="preserve">COLEGIO ROMAN                                                    </t>
  </si>
  <si>
    <t xml:space="preserve">COLEGIO ROMAN - DIADEMA                                          </t>
  </si>
  <si>
    <t xml:space="preserve">COLEGIO SAGRADO CORACAO DE JESUS                                 </t>
  </si>
  <si>
    <t xml:space="preserve">COLEGIO SALESIANO DOM BOSCO - AMERICANA                          </t>
  </si>
  <si>
    <t xml:space="preserve">COLEGIO SALESIANO DOM BOSCO - PIRACICABA                         </t>
  </si>
  <si>
    <t xml:space="preserve">COLEGIO SALESIANO DOM HENRIQUE MOURAO                            </t>
  </si>
  <si>
    <t xml:space="preserve">COLEGIO SALESIANO DOM LUIZ LASAGNA                               </t>
  </si>
  <si>
    <t xml:space="preserve">COLEGIO SANT'ANNA GLOBAL                                         </t>
  </si>
  <si>
    <t xml:space="preserve">COLEGIO SANTA CATARINA                                           </t>
  </si>
  <si>
    <t xml:space="preserve">COLEGIO SANTA CECILIA                                            </t>
  </si>
  <si>
    <t xml:space="preserve">COLEGIO SANTA CLARA                                              </t>
  </si>
  <si>
    <t xml:space="preserve">COLEGIO SANTA INES                                               </t>
  </si>
  <si>
    <t xml:space="preserve">COLEGIO SANTA ISABEL                                             </t>
  </si>
  <si>
    <t xml:space="preserve">COLEGIO SANTA LUZIA                                              </t>
  </si>
  <si>
    <t xml:space="preserve">COLEGIO SANTA MARIA                                              </t>
  </si>
  <si>
    <t xml:space="preserve">COLEGIO SANTA MARIA DE NAZARE                                    </t>
  </si>
  <si>
    <t xml:space="preserve">COLEGIO SANTA PAULA                                              </t>
  </si>
  <si>
    <t xml:space="preserve">COLEGIO SANTA RITA DE CASSIA                                     </t>
  </si>
  <si>
    <t xml:space="preserve">COLEGIO SANTA RITA DE CASSIA - UNIDADE VILA PRUDENTE             </t>
  </si>
  <si>
    <t xml:space="preserve">COLEGIO SANTANA                                                  </t>
  </si>
  <si>
    <t xml:space="preserve">COLEGIO SANTO INACIO                                             </t>
  </si>
  <si>
    <t xml:space="preserve">COLEGIO SAO CAMILO                                               </t>
  </si>
  <si>
    <t xml:space="preserve">COLEGIO SAO CAMILO UNIDADE II                                    </t>
  </si>
  <si>
    <t xml:space="preserve">COLEGIO SAO GONCALO                                              </t>
  </si>
  <si>
    <t xml:space="preserve">COLEGIO SAO JOSE                                                 </t>
  </si>
  <si>
    <t xml:space="preserve">COLEGIO SAO JUDAS TADEU                                          </t>
  </si>
  <si>
    <t xml:space="preserve">COLEGIO SAO LEOPOLDO                                             </t>
  </si>
  <si>
    <t xml:space="preserve">COLEGIO SAO LUCAS                                                </t>
  </si>
  <si>
    <t xml:space="preserve">COLEGIO SAO MATHEUS                                              </t>
  </si>
  <si>
    <t xml:space="preserve">COLEGIO SAO MIGUEL                                               </t>
  </si>
  <si>
    <t xml:space="preserve">COLEGIO SAO PAULO                                                </t>
  </si>
  <si>
    <t xml:space="preserve">COLEGIO SAO SABAS                                                </t>
  </si>
  <si>
    <t xml:space="preserve">COLEGIO SAO SEBASTIAO                                            </t>
  </si>
  <si>
    <t xml:space="preserve">COLEGIO SAO VICENTE DE PAULA DE NOVA LIMA                        </t>
  </si>
  <si>
    <t xml:space="preserve">COLEGIO SATELITE                                                 </t>
  </si>
  <si>
    <t xml:space="preserve">COLEGIO SELETIVO                                                 </t>
  </si>
  <si>
    <t xml:space="preserve">COLEGIO SERELEPE                                                 </t>
  </si>
  <si>
    <t xml:space="preserve">COLEGIO SERRANO GUARDIA                                          </t>
  </si>
  <si>
    <t xml:space="preserve">COLEGIO SERVITA SAO JOSE                                         </t>
  </si>
  <si>
    <t xml:space="preserve">COLEGIO SETA                                                     </t>
  </si>
  <si>
    <t xml:space="preserve">COLEGIO SETEMBRO                                                 </t>
  </si>
  <si>
    <t xml:space="preserve">COLEGIO SIGMA DE EDUCACAO BASICA E PROFISSIONAL                  </t>
  </si>
  <si>
    <t xml:space="preserve">COLEGIO SIR ISAAC NEWTON                                         </t>
  </si>
  <si>
    <t xml:space="preserve">COLEGIO SOLUCAO                                                  </t>
  </si>
  <si>
    <t xml:space="preserve">COLEGIO SOUZA LIMA                                               </t>
  </si>
  <si>
    <t xml:space="preserve">COLEGIO SOUZA LOPEZ                                              </t>
  </si>
  <si>
    <t xml:space="preserve">COLEGIO SOUZA MARQUES                                            </t>
  </si>
  <si>
    <t xml:space="preserve">COLEGIO SRA. DA PENA                                             </t>
  </si>
  <si>
    <t xml:space="preserve">COLEGIO SUL FLUMINENSE DE APLICACAO                              </t>
  </si>
  <si>
    <t xml:space="preserve">COLEGIO SUPER ENSINO                                             </t>
  </si>
  <si>
    <t xml:space="preserve">COLEGIO TABLEAU - CARAGUATATUBA                                  </t>
  </si>
  <si>
    <t xml:space="preserve">COLEGIO TABLEAU - JACAREI                                        </t>
  </si>
  <si>
    <t xml:space="preserve">COLEGIO TABLEAU - MOGI DAS CRUZES                                </t>
  </si>
  <si>
    <t xml:space="preserve">COLEGIO TABLEAU - PINDAMANHAGABA                                 </t>
  </si>
  <si>
    <t xml:space="preserve">COLEGIO TABLEAU - SAO JOSE DOS CAMPOS                            </t>
  </si>
  <si>
    <t xml:space="preserve">COLEGIO TABLEAU - TAUBATE                                        </t>
  </si>
  <si>
    <t xml:space="preserve">COLEGIO TABLEAU DE GUARATINGUETA                                 </t>
  </si>
  <si>
    <t xml:space="preserve">COLEGIO TABLEAU DE JUNDIAI                                       </t>
  </si>
  <si>
    <t xml:space="preserve">COLEGIO TEC - X                                                  </t>
  </si>
  <si>
    <t xml:space="preserve">COLEGIO TECNICO AGRICOLA DE POMPEIA                              </t>
  </si>
  <si>
    <t xml:space="preserve">COLEGIO TECNICO AVANCADO DE ASSIS                                </t>
  </si>
  <si>
    <t xml:space="preserve">COLEGIO TECNICO BRASILIA                                         </t>
  </si>
  <si>
    <t xml:space="preserve">COLEGIO TECNICO CECON - CARMO                                    </t>
  </si>
  <si>
    <t xml:space="preserve">COLEGIO TECNICO CECON - ITAUNA                                   </t>
  </si>
  <si>
    <t xml:space="preserve">COLEGIO TECNICO DIRECIONAL                                       </t>
  </si>
  <si>
    <t xml:space="preserve">COLEGIO TECNICO DO CENTRO PEDAGOGICO DA UFMG                     </t>
  </si>
  <si>
    <t xml:space="preserve">COLEGIO TECNICO DOUTOR FRANCISCO LOGATT                          </t>
  </si>
  <si>
    <t xml:space="preserve">COLEGIO TECNICO ELEVACAO                                         </t>
  </si>
  <si>
    <t xml:space="preserve">COLEGIO TECNICO IBRAFEM                                          </t>
  </si>
  <si>
    <t xml:space="preserve">COLEGIO TECNICO IBRAFEM ARARAQUARA                               </t>
  </si>
  <si>
    <t xml:space="preserve">COLEGIO TECNICO INDUSTRIAL DE CAMPINAS - COTICAMP                </t>
  </si>
  <si>
    <t xml:space="preserve">COLEGIO TECNICO JOAO PAULO I - FREGUESIA DO O                    </t>
  </si>
  <si>
    <t xml:space="preserve">COLEGIO TECNICO JOAO PAULO I - UNIDADE GUARULHOS                 </t>
  </si>
  <si>
    <t xml:space="preserve">COLEGIO TECNICO JOAO PAULO I - UNIDADE PIRITUBA                  </t>
  </si>
  <si>
    <t xml:space="preserve">COLEGIO TECNICO JOAO PAULO I UNIDADE DE OSASCO                   </t>
  </si>
  <si>
    <t xml:space="preserve">COLEGIO TECNICO JOSE PARDINE                                     </t>
  </si>
  <si>
    <t xml:space="preserve">COLEGIO TECNICO MARECHAL RONDON                                  </t>
  </si>
  <si>
    <t xml:space="preserve">COLEGIO TECNICO MUNICIPAL "EURIDES DE ALMEIDA"                   </t>
  </si>
  <si>
    <t xml:space="preserve">COLEGIO TECNICO NOSSA SENHORA DAS GRACAS                         </t>
  </si>
  <si>
    <t xml:space="preserve">COLEGIO TECNICO NOVA VISAO                                       </t>
  </si>
  <si>
    <t xml:space="preserve">COLEGIO TECNICO PROFESSOR JOAO CARROZZO                          </t>
  </si>
  <si>
    <t xml:space="preserve">COLEGIO TECNICO RENASCER                                         </t>
  </si>
  <si>
    <t xml:space="preserve">COLEGIO TECNICO ROSA MARIYN                                      </t>
  </si>
  <si>
    <t xml:space="preserve">COLEGIO TECNICO SANTA GIULIA                                     </t>
  </si>
  <si>
    <t xml:space="preserve">COLEGIO TECNICO SANTA MARIA GORETTI                              </t>
  </si>
  <si>
    <t xml:space="preserve">COLEGIO TECNICO SANTA ROSA                                       </t>
  </si>
  <si>
    <t xml:space="preserve">COLEGIO TECNICO SAO BENTO - UNIDADE DE FERRAZ                    </t>
  </si>
  <si>
    <t xml:space="preserve">COLEGIO TECNICO SAO FRANCISCO                                    </t>
  </si>
  <si>
    <t xml:space="preserve">COLEGIO TECNICO SAO FRANCISCO DE ASSIS                           </t>
  </si>
  <si>
    <t xml:space="preserve">COLEGIO TECNICO SAO JOSE                                         </t>
  </si>
  <si>
    <t xml:space="preserve">COLEGIO TECNICO SAO MARCOS                                       </t>
  </si>
  <si>
    <t xml:space="preserve">COLEGIO TECNICO SOARES DE OLIVEIRA                               </t>
  </si>
  <si>
    <t xml:space="preserve">COLEGIO TECNICO STANDARD                                         </t>
  </si>
  <si>
    <t xml:space="preserve">COLEGIO TECNO-SERT CURSOS PROFISSIONALIZANTES                    </t>
  </si>
  <si>
    <t xml:space="preserve">COLEGIO TECNOLOGICO DA AERP                                      </t>
  </si>
  <si>
    <t xml:space="preserve">COLEGIO TECNOLOGICO DELFIM MOREIRA                               </t>
  </si>
  <si>
    <t xml:space="preserve">COLEGIO TERMOMECANICA                                            </t>
  </si>
  <si>
    <t xml:space="preserve">COLEGIO TIRADENTES DA POLICIA MILITAR - MG                       </t>
  </si>
  <si>
    <t xml:space="preserve">COLEGIO TITO NOVAIS                                              </t>
  </si>
  <si>
    <t xml:space="preserve">COLEGIO TORRICELLI                                               </t>
  </si>
  <si>
    <t xml:space="preserve">COLEGIO UBERABA                                                  </t>
  </si>
  <si>
    <t xml:space="preserve">COLEGIO UNITAU                                                   </t>
  </si>
  <si>
    <t xml:space="preserve">COLEGIO UNIVERSITARIO DE SOROCABA                                </t>
  </si>
  <si>
    <t xml:space="preserve">COLEGIO UNIVERSITAS                                              </t>
  </si>
  <si>
    <t xml:space="preserve">COLEGIO UNOESTE                                                  </t>
  </si>
  <si>
    <t xml:space="preserve">COLEGIO VALCAM - EDUCACAO BASICA E EDUCACAO PROFISSIONAL         </t>
  </si>
  <si>
    <t xml:space="preserve">COLEGIO VALENCIANO SAO JOSE DE APLICACAO                         </t>
  </si>
  <si>
    <t xml:space="preserve">COLEGIO VAN GOGH - HOLAMBRA                                      </t>
  </si>
  <si>
    <t xml:space="preserve">COLEGIO VIANNA                                                   </t>
  </si>
  <si>
    <t xml:space="preserve">COLEGIO VICENTE LESSA                                            </t>
  </si>
  <si>
    <t xml:space="preserve">COLEGIO VILLA LOBOS                                              </t>
  </si>
  <si>
    <t xml:space="preserve">COLEGIO VISCONDE DE PORTO SEGURO - UNIDADE II                    </t>
  </si>
  <si>
    <t xml:space="preserve">COLEGIO VITORIA                                                  </t>
  </si>
  <si>
    <t xml:space="preserve">COLEGIO WAKIGAWA                                                 </t>
  </si>
  <si>
    <t xml:space="preserve">COLEGIO WASHINGTON                                               </t>
  </si>
  <si>
    <t xml:space="preserve">COLEGIO XXV DE ABRIL                                             </t>
  </si>
  <si>
    <t xml:space="preserve">COLEGIO ZETA OBJETIVO                                            </t>
  </si>
  <si>
    <t xml:space="preserve">COLEGIO 1  DE MAIO                                               </t>
  </si>
  <si>
    <t xml:space="preserve">COLEGIO 20 DE NOVEMBRO                                           </t>
  </si>
  <si>
    <t xml:space="preserve">COLEGIO 24 DE MARCO                                              </t>
  </si>
  <si>
    <t xml:space="preserve">COLEGIO 24 DE MARCO - UNIDADE FREGUESIA DO O                     </t>
  </si>
  <si>
    <t xml:space="preserve">COLEGIO 24 DE MARCO - UNIDADE LARGO DO SOCORRO                   </t>
  </si>
  <si>
    <t xml:space="preserve">COLEGIO 3D                                                       </t>
  </si>
  <si>
    <t xml:space="preserve">COLEVIO VISCONDE DE PORTO SEGURO - UNIDADE III                   </t>
  </si>
  <si>
    <t xml:space="preserve">COLUMBIA UNIVERSITY                                              </t>
  </si>
  <si>
    <t xml:space="preserve">COMPLEXO EDUC VILAR DOS TELES                                    </t>
  </si>
  <si>
    <t xml:space="preserve">COMPLEXO EDUCACIONAL - EDUQ                                      </t>
  </si>
  <si>
    <t xml:space="preserve">CONJUNTO EDUCACIONAL SOARES DE ALMEIDA                           </t>
  </si>
  <si>
    <t xml:space="preserve">CONSELHO COMUNITARIO - UNAI                                      </t>
  </si>
  <si>
    <t xml:space="preserve">CONSELHO FEDERAL DE MEDICINA                                     </t>
  </si>
  <si>
    <t xml:space="preserve">CONSELHO FEDERAL DE ODONTOLOGIA                                  </t>
  </si>
  <si>
    <t xml:space="preserve">CONSELHO REGIONA DE MEDICINA DO ESPIRITO SANTO                   </t>
  </si>
  <si>
    <t xml:space="preserve">CONSELHO REGIONAL DE MEDICINA                                    </t>
  </si>
  <si>
    <t xml:space="preserve">CONSELHO REGIONAL DE MEDICINA DO ESTADO DO RIO DE JANEIRO        </t>
  </si>
  <si>
    <t xml:space="preserve">CONSELHO REGIONAL DE ODONTOLOGIA DE MINAS GERAIS                 </t>
  </si>
  <si>
    <t xml:space="preserve">CONSELHO REGIONAL DE PSICOLOGIA                                  </t>
  </si>
  <si>
    <t xml:space="preserve">CONSERVATORIO ARTISTICO MUSIAL MAESTRO PEDRO SALLA               </t>
  </si>
  <si>
    <t xml:space="preserve">CONSERVATORIO BRASILEIRO DE MUSICA                               </t>
  </si>
  <si>
    <t xml:space="preserve">CONSERVATORIO CARLOS GOMES                                       </t>
  </si>
  <si>
    <t xml:space="preserve">CONSERVATORIO DE MUSICA HAYDN                                    </t>
  </si>
  <si>
    <t xml:space="preserve">CONSERVATORIO DO TUCURUVI                                        </t>
  </si>
  <si>
    <t xml:space="preserve">CONSERVATORIO ESTADUAL DE MUSICA LORENZO FERNANDES               </t>
  </si>
  <si>
    <t xml:space="preserve">CONSERVATORIO ESTADUAL DE MUSICA RENATO FRATESCHI                </t>
  </si>
  <si>
    <t xml:space="preserve">CONSERVATORIO HARMONY MUSIC                                      </t>
  </si>
  <si>
    <t xml:space="preserve">CONSERVATORIO JAUENSE DE MUSICA                                  </t>
  </si>
  <si>
    <t xml:space="preserve">CONSERVATORIO MUN. CACILDA BECKER                                </t>
  </si>
  <si>
    <t xml:space="preserve">CONSERVATORIO MUSICAL                                            </t>
  </si>
  <si>
    <t xml:space="preserve">CONSERVATORIO MUSICAL "FRUTUOSO VIANA"                           </t>
  </si>
  <si>
    <t xml:space="preserve">CONSERVATORIO MUSICAL AMADEUS                                    </t>
  </si>
  <si>
    <t xml:space="preserve">CONSERVATORIO MUSICAL ANTONIO FERRUCIO VIVIANI                   </t>
  </si>
  <si>
    <t xml:space="preserve">CONSERVATORIO MUSICAL ARTE E SOM                                 </t>
  </si>
  <si>
    <t xml:space="preserve">CONSERVATORIO MUSICAL DE UBERLANDIA                              </t>
  </si>
  <si>
    <t xml:space="preserve">CONSERVATORIO MUSICAL E ARTISTICO CARLOS GOMES                   </t>
  </si>
  <si>
    <t xml:space="preserve">CONSERVATORIO MUSICAL HEITOR VILLA-LOBOS                         </t>
  </si>
  <si>
    <t xml:space="preserve">CONSERVATORIO MUSICAL JARDIM AMERICA                             </t>
  </si>
  <si>
    <t xml:space="preserve">CONSERVATORIO MUSICAL JARDIM SAO PAULO                           </t>
  </si>
  <si>
    <t xml:space="preserve">CONSERVATORIO MUSICAL JOAO BAPTISTA JULIAO                       </t>
  </si>
  <si>
    <t xml:space="preserve">CONSERVATORIO MUSICAL LEOPOLDO MIGUEZ                            </t>
  </si>
  <si>
    <t xml:space="preserve">CONSERVATORIO MUSICAL LINS DE VASCONCELOS                        </t>
  </si>
  <si>
    <t xml:space="preserve">CONSERVATORIO MUSICAL MAESTRO JULIAO                             </t>
  </si>
  <si>
    <t xml:space="preserve">CONSERVATORIO MUSICAL MARAIZA                                    </t>
  </si>
  <si>
    <t xml:space="preserve">CONSERVATORIO MUSICAL MOZART                                     </t>
  </si>
  <si>
    <t xml:space="preserve">CONSERVATORIO MUSICAL MUNICIPAL DE PRESIDENTE EPITACIO           </t>
  </si>
  <si>
    <t xml:space="preserve">CONSERVATORIO MUSICAL ROGERIO KOURY                              </t>
  </si>
  <si>
    <t xml:space="preserve">CONSERVATORIO MUSICAL SANTA CECILIA                              </t>
  </si>
  <si>
    <t xml:space="preserve">CONSERVATORIO MUSICAL VILLA LOBOS S/C LTDA - ME                  </t>
  </si>
  <si>
    <t xml:space="preserve">CONSERVATORIO MUSICAL VILLA-LOBOS                                </t>
  </si>
  <si>
    <t xml:space="preserve">CONSERVATORIO NACIONAL DE CULTURA MUSICAL                        </t>
  </si>
  <si>
    <t xml:space="preserve">CONSEVATORIO SANTA CECILIA                                       </t>
  </si>
  <si>
    <t xml:space="preserve">CONSULTORIA TECNICA EDUCACIONAL                                  </t>
  </si>
  <si>
    <t xml:space="preserve">CONTRAPONTO ESCOLA MUSICAL E ARTISTICA                           </t>
  </si>
  <si>
    <t xml:space="preserve">COORDENACAO DE APERFEICOAMENTO DE PESSOAL DE NIVEL SUPERIOR      </t>
  </si>
  <si>
    <t xml:space="preserve">CORNELL UNIVERSITY                                               </t>
  </si>
  <si>
    <t xml:space="preserve">COTAR - COLEGIO TECNICO ALCENDINO REZENDE                        </t>
  </si>
  <si>
    <t xml:space="preserve">COTEMAR - COLEGIO TECNICO MARTINS                                </t>
  </si>
  <si>
    <t xml:space="preserve">COTET - COLEGIO TECNICO DE TAUBATE                               </t>
  </si>
  <si>
    <t xml:space="preserve">COTUCA - COLEGIO TECNICO DE CAMPINAS - UNICAMP                   </t>
  </si>
  <si>
    <t xml:space="preserve">CPT - CENTRO DE EDUCACAO PROFISSIONAL E TECNOLOGICA DE GUARULHOS </t>
  </si>
  <si>
    <t xml:space="preserve">CRUZ VERMELHA BRASILEIRA - FILIAL DO ESTADO DE SAO PAULO         </t>
  </si>
  <si>
    <t xml:space="preserve">CTA - CENTRO DE TECNOLOGIA APLICADA                              </t>
  </si>
  <si>
    <t xml:space="preserve">CTA - COLEGIO TECNICO AGRICOLA                                   </t>
  </si>
  <si>
    <t xml:space="preserve">CTUR - COLEGIO TECNICO DA UFRJ                                   </t>
  </si>
  <si>
    <t xml:space="preserve">CULT FORMACAO E CULTURA                                          </t>
  </si>
  <si>
    <t xml:space="preserve">CURSO CENTRAL                                                    </t>
  </si>
  <si>
    <t xml:space="preserve">CURSO DE ENFERMAGEM CUIDADO HUMANO                               </t>
  </si>
  <si>
    <t xml:space="preserve">CURSO DE ENFERMAGEM NOVA FRIBURGO                                </t>
  </si>
  <si>
    <t xml:space="preserve">CURSO DE ENFERMAGEM O MEU SONHO                                  </t>
  </si>
  <si>
    <t xml:space="preserve">CURSO DE INSTRUMENTACAO CIRURGICA ANNA MARIA BARTHEL LTDA        </t>
  </si>
  <si>
    <t xml:space="preserve">CURSO DE INSTRUMENTACAO CIRURGICA S.M.                           </t>
  </si>
  <si>
    <t xml:space="preserve">CURSO E COLEGIO EVOLUCAO                                         </t>
  </si>
  <si>
    <t xml:space="preserve">CURSO E COLEGIO PROCOTIL                                         </t>
  </si>
  <si>
    <t xml:space="preserve">CURSO LAPRODENT                                                  </t>
  </si>
  <si>
    <t xml:space="preserve">CURSO SANTA MARTHA                                               </t>
  </si>
  <si>
    <t xml:space="preserve">CURSO TAVARES LYRA                                               </t>
  </si>
  <si>
    <t xml:space="preserve">CURSO TECNICO E AUXILIAR DE ENFERMAGEM SAO FRANCISCO DE ASSIS    </t>
  </si>
  <si>
    <t xml:space="preserve">CURSOS PREVE - UNIDADE I                                         </t>
  </si>
  <si>
    <t xml:space="preserve">CURSOS TECNICOS DE BEBEDOURO                                     </t>
  </si>
  <si>
    <t xml:space="preserve">CURSOS TECNICOS DE SERTAOZINHO                                   </t>
  </si>
  <si>
    <t xml:space="preserve">DALTRO NETTO                                                     </t>
  </si>
  <si>
    <t xml:space="preserve">DIRETRIZ CENTRO DE ENSINO TECNICO                                </t>
  </si>
  <si>
    <t xml:space="preserve">DIRETRIZ COLEGIO POLITECNICO                                     </t>
  </si>
  <si>
    <t xml:space="preserve">DIRETRIZ CURSOS PROFISSIONALIZANTES                              </t>
  </si>
  <si>
    <t xml:space="preserve">DOKIMOS CONSERVATORIO MUSICAL                                    </t>
  </si>
  <si>
    <t xml:space="preserve">E. DE MEDICINA DA SANTA CASA DE MISERICORDIA DE VITORIA          </t>
  </si>
  <si>
    <t xml:space="preserve">E. SUP. DE CIENCIAS DA SANTA CASA DE MISERICORDIA DE VITORIA     </t>
  </si>
  <si>
    <t xml:space="preserve">E.E. MARECHAL DO AR EDUARDO GOMES                                </t>
  </si>
  <si>
    <t xml:space="preserve">E.E.DOUTORFELICIO LAURITO                                        </t>
  </si>
  <si>
    <t xml:space="preserve">E.E.M.E.P.J.A EMBAIXADOR ASSIS CHATEAUBRIAND                     </t>
  </si>
  <si>
    <t xml:space="preserve">E.E.P.G. GALERIA SANTISTA                                        </t>
  </si>
  <si>
    <t xml:space="preserve">E.E.SENADOR JOAO GALEAO CARVALHAL                                </t>
  </si>
  <si>
    <t xml:space="preserve">E.T.E. PADRE JOSE NUNES DIAS                                     </t>
  </si>
  <si>
    <t xml:space="preserve">Escola de Engenharia de Uberaba                                  </t>
  </si>
  <si>
    <t xml:space="preserve">Escola de Engenharia Kennedy - EEK                               </t>
  </si>
  <si>
    <t xml:space="preserve">Escola de Governo Professor Paulo Neves de Carvalho - EG         </t>
  </si>
  <si>
    <t xml:space="preserve">Escola Superior de Educacao Fisica de Cruzeiro - ESEFIC          </t>
  </si>
  <si>
    <t xml:space="preserve">Escola Superior de Educacao Fisica de Jundiai                    </t>
  </si>
  <si>
    <t>Estabelecimentos de Ens. Sup. Integrados de Fernandopolis - EESIF</t>
  </si>
  <si>
    <t xml:space="preserve">EACON - ESCOLA TECNICA CONGONHAS                                 </t>
  </si>
  <si>
    <t xml:space="preserve">EAF - ESCOLA AGROTECNICA FEDERAL DE ALEGRE                       </t>
  </si>
  <si>
    <t xml:space="preserve">EAF - ESCOLA AGROTECNICA FEDERAL DE COLATINA                     </t>
  </si>
  <si>
    <t xml:space="preserve">EAF - ESCOLA AGROTECNICA FEDERAL DE MACHADO                      </t>
  </si>
  <si>
    <t xml:space="preserve">EAF - ESCOLA AGROTECNICA FEDERAL DE MUZAMBINHO                   </t>
  </si>
  <si>
    <t xml:space="preserve">EAF - ESCOLA AGROTECNICA FEDERAL DE SALINAS                      </t>
  </si>
  <si>
    <t xml:space="preserve">EAF - ESCOLA AGROTECNICA FEDERAL DE SANTA TERESA                 </t>
  </si>
  <si>
    <t xml:space="preserve">EAF - ESCOLA AGROTECNICA FEDERAL DE SAO JOAO EVANGELISTA         </t>
  </si>
  <si>
    <t xml:space="preserve">EAF - ESCOLA AGROTECNICA FEDERAL DE UBERLANDIA                   </t>
  </si>
  <si>
    <t xml:space="preserve">ECOLE DES HAUTES ETUDES EN SCIENCES SOCIALES                     </t>
  </si>
  <si>
    <t xml:space="preserve">EDEFLON - ESCOLA ENFERMAGEM FLORENCE NIGHTINGALE                 </t>
  </si>
  <si>
    <t xml:space="preserve">EDUC SENHOR DO BONFIM                                            </t>
  </si>
  <si>
    <t xml:space="preserve">EDUCACIONAL NOSSA SENHORA DA PENHA                               </t>
  </si>
  <si>
    <t xml:space="preserve">EDUCANDARIO SAGRADOS CORACOES DE JESUS E MARIA                   </t>
  </si>
  <si>
    <t xml:space="preserve">EDUCANDARIO SANTA RITA DE CASSIA                                 </t>
  </si>
  <si>
    <t xml:space="preserve">EDUCANDARIO SAO PAULO DA CRUZ                                    </t>
  </si>
  <si>
    <t xml:space="preserve">EDUCANDARIO SUL AMERICANO                                        </t>
  </si>
  <si>
    <t xml:space="preserve">EE ANTONIO DUTRA                                                 </t>
  </si>
  <si>
    <t xml:space="preserve">EE CASIMIRO DE ABREU                                             </t>
  </si>
  <si>
    <t xml:space="preserve">EE DE SAO PAULO                                                  </t>
  </si>
  <si>
    <t xml:space="preserve">EE DOM JOSE GASPAR                                               </t>
  </si>
  <si>
    <t xml:space="preserve">EE DOUTOR LELIO TOLEDO PIZA E ALMEIDA                            </t>
  </si>
  <si>
    <t xml:space="preserve">EESAND - ESCOLA DE ENFERMAGEM E SAUDE NOVA DIMENSAO              </t>
  </si>
  <si>
    <t xml:space="preserve">EESJB                                                            </t>
  </si>
  <si>
    <t xml:space="preserve">EFOP/MG - ESCOLA TECNICA DE FORMACAO PROFISSIONAL                </t>
  </si>
  <si>
    <t xml:space="preserve">ELTEC BUDAPEST                                                   </t>
  </si>
  <si>
    <t xml:space="preserve">EM DOUTOR NAUFAL ANTONIO MOURANI                                 </t>
  </si>
  <si>
    <t xml:space="preserve">EMEB-P PROFESSOR JOSE BARRETO COELHO                             </t>
  </si>
  <si>
    <t xml:space="preserve">EMEFEM - ESC MUN DE ENS FUNDAMENTAL E MEDIO RUI BARBOSA          </t>
  </si>
  <si>
    <t>EMEFEP - ESC MUN DE ENS FUND E PROF ACACIO DE PAULA LEITE SAMPAIO</t>
  </si>
  <si>
    <t xml:space="preserve">EMILIO ROMI COMENDADOR E.E                                       </t>
  </si>
  <si>
    <t xml:space="preserve">ENFERMAP                                                         </t>
  </si>
  <si>
    <t xml:space="preserve">ENFERMIG - ESCOLA DE ENFERMAGEM DE MINAS GERAIS                  </t>
  </si>
  <si>
    <t xml:space="preserve">ENFESP - ENFERMAGEM ESPECIALIZADA                                </t>
  </si>
  <si>
    <t xml:space="preserve">ENIAC COLEGIO DE INFORMATICA                                     </t>
  </si>
  <si>
    <t xml:space="preserve">ENTEC ENSINO E TECNOLOGIA                                        </t>
  </si>
  <si>
    <t xml:space="preserve">EPHIGENIA CARDOSO MACHADO FORTUNATO PROFA EE                     </t>
  </si>
  <si>
    <t xml:space="preserve">EPSG STELLA MARIS                                                </t>
  </si>
  <si>
    <t xml:space="preserve">EPSJV - ESCOLA POLITECNICA DE SAUDE JOAQUIM VENANCIO FIOCRUZ     </t>
  </si>
  <si>
    <t xml:space="preserve">ERAP - ESCOLA DE RECICLAGEM E APERFEICOAMENTO PROFISSIONAL       </t>
  </si>
  <si>
    <t xml:space="preserve">ESAUP - ESCOLA DE SAUDE DE PIRACICABA                            </t>
  </si>
  <si>
    <t xml:space="preserve">ESC ARTES PLASTICAS DA FUND MINEIRA DE ARTE ALEIJADINHO          </t>
  </si>
  <si>
    <t xml:space="preserve">ESC BRAS DE ADM PUB DA FUND GETULIO VARGAS                       </t>
  </si>
  <si>
    <t xml:space="preserve">ESC DE BIBLIOTECONOMIA DA FUND DE ENS SUP DO OESTE DE MINAS      </t>
  </si>
  <si>
    <t xml:space="preserve">ESC DE ED BASICA DA FUND INSTITUTO TECNOLOGICO DE OSASCO - UN. I </t>
  </si>
  <si>
    <t xml:space="preserve">ESC DE ED BASICA E EDUCACAO PROFISSIONAL NOSSA SENHORA DAS DORES </t>
  </si>
  <si>
    <t>ESC DE ED BASICA E PROFISSIONAL DO INST EDUCACIONAL DE ADAMANTINA</t>
  </si>
  <si>
    <t xml:space="preserve">ESC DE ED BASICA E PROFISSIONAL FUND BRADESCO DE CAMPINAS        </t>
  </si>
  <si>
    <t xml:space="preserve">ESC DE ENFERMAGEM DO ESTADO DO RIO DE JANEIRO                    </t>
  </si>
  <si>
    <t xml:space="preserve">ESC DE ENFERMEIRAS DO HOSP SAO PAULO                             </t>
  </si>
  <si>
    <t xml:space="preserve">ESC DE ULTRA SONOGRAFIA E RECICLAGEM MEDICA DE RIB PRETO         </t>
  </si>
  <si>
    <t xml:space="preserve">ESC ENGENHARIA DA ASSOC EDUC VEIGA DE ALMEIDA                    </t>
  </si>
  <si>
    <t xml:space="preserve">ESC MUN DE ENS PROFISSIONALIZANTE PR HUGO SARMENTO               </t>
  </si>
  <si>
    <t xml:space="preserve">ESC MUSICA E BELAS ARTES DO PARANA                               </t>
  </si>
  <si>
    <t xml:space="preserve">ESC PARA ENFERMEIROS PROFISS IRMAS DA MISERICORDIA               </t>
  </si>
  <si>
    <t xml:space="preserve">ESC SUP ABERTA DO BRASIL                                         </t>
  </si>
  <si>
    <t xml:space="preserve">ESC SUP DE AGRICUL E VETERINARIA DO ESTADO DE MG                 </t>
  </si>
  <si>
    <t xml:space="preserve">ESC SUP DE AGRONOMIA DE PARAGUACU PAULISTA                       </t>
  </si>
  <si>
    <t xml:space="preserve">ESC SUP DE CIENCIAS CONTABEIS E ADMINISTRATIVAS DE ITUIUTABA     </t>
  </si>
  <si>
    <t xml:space="preserve">ESC SUP DE EDUCACAO DE CRUZEIRO                                  </t>
  </si>
  <si>
    <t xml:space="preserve">ESC SUP DE EDUCACAO FISICA DO EST DE PERNAMBUCO                  </t>
  </si>
  <si>
    <t xml:space="preserve">ESC SUP EM MEIO AMBIENTE DA FUND EDUC VALE DO SAO FRANCISCO      </t>
  </si>
  <si>
    <t xml:space="preserve">ESC SUPERIOR DE ED FISICA DE SAO CAETANO DO SUL                  </t>
  </si>
  <si>
    <t xml:space="preserve">ESC TEC DE ENFERMAGEM E INST CIRURGICA ELISABETH ROMBACH         </t>
  </si>
  <si>
    <t xml:space="preserve">ESC TEC DE PROTESE DENT PROF CELSO EDUARDO DE MORAES BARBOSA     </t>
  </si>
  <si>
    <t xml:space="preserve">ESCAMP ESCOLA TECNICA DE ENSINO CAMPINAS                         </t>
  </si>
  <si>
    <t xml:space="preserve">ESCOLA "CAP" CENTRO DE APRENDIZAGEM PROFISSIONAL                 </t>
  </si>
  <si>
    <t xml:space="preserve">ESCOLA ABRA ACADEMIA DE ARTE BRASIL                              </t>
  </si>
  <si>
    <t xml:space="preserve">ESCOLA ADOCI                                                     </t>
  </si>
  <si>
    <t xml:space="preserve">ESCOLA AGRICOLA TERRA MAE                                        </t>
  </si>
  <si>
    <t xml:space="preserve">ESCOLA AGROTECNICA DE BARREIROS                                  </t>
  </si>
  <si>
    <t xml:space="preserve">ESCOLA AGROTECNICA DE CATU                                       </t>
  </si>
  <si>
    <t xml:space="preserve">ESCOLA AGROTECNICA DE SANTA TEREZA                               </t>
  </si>
  <si>
    <t xml:space="preserve">ESCOLA AGROTECNICA FEDERAL                                       </t>
  </si>
  <si>
    <t xml:space="preserve">ESCOLA AGROTECNICA FEDERAL DE ALEGRETE - EAFA                    </t>
  </si>
  <si>
    <t xml:space="preserve">ESCOLA AGROTECNICA FEDERAL DE BAMBUI                             </t>
  </si>
  <si>
    <t xml:space="preserve">ESCOLA AGROTECNICA FEDERAL DE BARBACENA                          </t>
  </si>
  <si>
    <t xml:space="preserve">ESCOLA AGROTECNICA FEDERAL DE BARBACENA -                        </t>
  </si>
  <si>
    <t xml:space="preserve">ESCOLA AGROTECNICA FEDERAL DE CONCORDIA - EAFC                   </t>
  </si>
  <si>
    <t xml:space="preserve">ESCOLA AGROTECNICA FEDERAL DE IGUATU -                           </t>
  </si>
  <si>
    <t xml:space="preserve">ESCOLA AGROTECNICA FEDERAL DE INCONFIDENTES - EAFI               </t>
  </si>
  <si>
    <t xml:space="preserve">ESCOLA AGROTECNICA FEDERAL DE MACHADO - EAFM                     </t>
  </si>
  <si>
    <t xml:space="preserve">ESCOLA AGROTECNICA FEDERAL DE MUZAMBINHO - EAFMUZ                </t>
  </si>
  <si>
    <t xml:space="preserve">ESCOLA AGROTECNICA FEDERAL DE RIO POMBA                          </t>
  </si>
  <si>
    <t xml:space="preserve">ESCOLA AGROTECNICA FEDERAL DE RIO VERDE                          </t>
  </si>
  <si>
    <t xml:space="preserve">ESCOLA AGROTECNICA FEDERAL DE SALINAS - EAFSALINAS               </t>
  </si>
  <si>
    <t xml:space="preserve">ESCOLA AGROTECNICA FEDERAL DE SAO JOAO EVANGELISTA               </t>
  </si>
  <si>
    <t xml:space="preserve">ESCOLA AGROTECNICA FEDERAL DE SATUBA - EAFSATUBA                 </t>
  </si>
  <si>
    <t xml:space="preserve">ESCOLA AGROTECNICA FEDERAL DE UBERABA                            </t>
  </si>
  <si>
    <t xml:space="preserve">ESCOLA AGROTECNICA FEDERAL DE UBERLANDIA - EAFUDI                </t>
  </si>
  <si>
    <t xml:space="preserve">ESCOLA ALBERTO SANTOS DUMONT                                     </t>
  </si>
  <si>
    <t xml:space="preserve">ESCOLA ALMEIDA SANTOS                                            </t>
  </si>
  <si>
    <t xml:space="preserve">ESCOLA ALTERNATIVA                                               </t>
  </si>
  <si>
    <t xml:space="preserve">ESCOLA ALTO PADRAO DE TUPA                                       </t>
  </si>
  <si>
    <t xml:space="preserve">ESCOLA ANGEL VIANNA                                              </t>
  </si>
  <si>
    <t xml:space="preserve">ESCOLA ARQUIMEDES                                                </t>
  </si>
  <si>
    <t xml:space="preserve">ESCOLA ARTISTICA ERNESTO NAZARETH                                </t>
  </si>
  <si>
    <t xml:space="preserve">ESCOLA ARTISTICO CULTURAL PIRASSUNUNGA                           </t>
  </si>
  <si>
    <t xml:space="preserve">ESCOLA ASSEDIPA DE ENSINO FUNDAMENTAL E MEDIO                    </t>
  </si>
  <si>
    <t xml:space="preserve">ESCOLA AUXILIAR DE ENFERMAGEM ANTONINA NEVES                     </t>
  </si>
  <si>
    <t xml:space="preserve">ESCOLA BAHIANA DE MEDICINA E SAUDE PUBLICA                       </t>
  </si>
  <si>
    <t xml:space="preserve">ESCOLA BIBLIOTECO DA FUND EDUC COMUN FORMIGUENSE                 </t>
  </si>
  <si>
    <t xml:space="preserve">ESCOLA BIOTEC DA PRAIA GRANDE                                    </t>
  </si>
  <si>
    <t xml:space="preserve">ESCOLA BIOTEC DE ATIBAIA                                         </t>
  </si>
  <si>
    <t xml:space="preserve">ESCOLA BIOTEC DE BRAGANCA PAULISTA                               </t>
  </si>
  <si>
    <t xml:space="preserve">ESCOLA BRASILEIRA DE ADMINISTRACAO PUBLICA E DE EMPRESAS - EBAPE </t>
  </si>
  <si>
    <t xml:space="preserve">ESCOLA BRASILEIRA DE ECONOMIA E FINANCAS -                       </t>
  </si>
  <si>
    <t xml:space="preserve">ESCOLA BRASILEIRA DE OSTEOPATIA                                  </t>
  </si>
  <si>
    <t xml:space="preserve">ESCOLA CENECISTA DE 1. E 2. GRAUS AFRANIO PEIXOTO                </t>
  </si>
  <si>
    <t xml:space="preserve">ESCOLA CICI-CURSOS E PALESTRAS                                   </t>
  </si>
  <si>
    <t xml:space="preserve">ESCOLA COMENDADOR GERALDO FREIRE DA SILVA                        </t>
  </si>
  <si>
    <t xml:space="preserve">ESCOLA CONTEC - VILA VELHA                                       </t>
  </si>
  <si>
    <t xml:space="preserve">ESCOLA DE ADMINISTRACAO DE EMPRESAS DE ITUIUTABA                 </t>
  </si>
  <si>
    <t xml:space="preserve">ESCOLA DE ADMINISTRACAO DE EMPRESAS DE SAO PAULO - FGV-EAESP     </t>
  </si>
  <si>
    <t xml:space="preserve">ESCOLA DE ADMINISTRACAO FAZENDARIA                               </t>
  </si>
  <si>
    <t xml:space="preserve">ESCOLA DE APLICACAO DA FUPAC                                     </t>
  </si>
  <si>
    <t>ESCOLA DE ARQUITETURA E URBANISMO DE SAO PAULO - ESCOLA DA CIDADE</t>
  </si>
  <si>
    <t xml:space="preserve">ESCOLA DE ARTE RODRIGO MELO FRANCO DE ANDRADE                    </t>
  </si>
  <si>
    <t xml:space="preserve">ESCOLA DE ARTES "HEITOR VILLA-LOBOS"                             </t>
  </si>
  <si>
    <t xml:space="preserve">ESCOLA DE BASE FERRAZENSE                                        </t>
  </si>
  <si>
    <t xml:space="preserve">ESCOLA DE CANCEROLOGIA DR PAULO PRATA                            </t>
  </si>
  <si>
    <t xml:space="preserve">ESCOLA DE CIENCIAS MEDICAS DE ALAGOAS                            </t>
  </si>
  <si>
    <t xml:space="preserve">ESCOLA DE CIENCIAS MEDICAS DE VOLTA REDONDA                      </t>
  </si>
  <si>
    <t xml:space="preserve">ESCOLA DE COMERCIO                                               </t>
  </si>
  <si>
    <t xml:space="preserve">ESCOLA DE COMERCIO D. PEDRO II                                   </t>
  </si>
  <si>
    <t xml:space="preserve">ESCOLA DE DANCA CATIA CAMPOS ACADEMY                             </t>
  </si>
  <si>
    <t xml:space="preserve">ESCOLA DE DANCA PETITE DANSE                                     </t>
  </si>
  <si>
    <t xml:space="preserve">ESCOLA DE DANCAS PASSARO DE FOGO                                 </t>
  </si>
  <si>
    <t xml:space="preserve">ESCOLA DE DIREITO DE SAO PAULO - EDESP                           </t>
  </si>
  <si>
    <t xml:space="preserve">ESCOLA DE DIREITO DO RIO DE JANEIRO - DIREITO RIO                </t>
  </si>
  <si>
    <t xml:space="preserve">ESCOLA DE ECONOMIA DE SAO PAULO - EESP                           </t>
  </si>
  <si>
    <t xml:space="preserve">ESCOLA DE EDUCACAO BASICA ANITA GAMO                             </t>
  </si>
  <si>
    <t xml:space="preserve">ESCOLA DE EDUCACAO BASICA DA FITO - UN. 2                        </t>
  </si>
  <si>
    <t xml:space="preserve">ESCOLA DE EDUCACAO BASICA E PROFISSIONAL                         </t>
  </si>
  <si>
    <t xml:space="preserve">ESCOLA DE EDUCACAO BASICA E PROFISSIONAL FUNDACAO BRADESCO       </t>
  </si>
  <si>
    <t xml:space="preserve">ESCOLA DE EDUCACAO FISICA DA MARINHA                             </t>
  </si>
  <si>
    <t xml:space="preserve">ESCOLA DE EDUCACAO FISICA DE CARATINGA                           </t>
  </si>
  <si>
    <t xml:space="preserve">ESCOLA DE EDUCACAO FISICA DE MINAS GERAIS                        </t>
  </si>
  <si>
    <t xml:space="preserve">ESCOLA DE EDUCACAO FISICA DE SAO CARLOS                          </t>
  </si>
  <si>
    <t xml:space="preserve">ESCOLA DE EDUCACAO FISICA DE VOLTA REDONDA                       </t>
  </si>
  <si>
    <t xml:space="preserve">ESCOLA DE EDUCACAO FISICA DO EXERCITO                            </t>
  </si>
  <si>
    <t xml:space="preserve">ESCOLA DE EDUCACAO PROFISSIONAL                                  </t>
  </si>
  <si>
    <t xml:space="preserve">ESCOLA DE ENFERM DA FUND. ANTONIO PRUDENTE                       </t>
  </si>
  <si>
    <t xml:space="preserve">ESCOLA DE ENFERM FRIEDERIKE FLIEDNER                             </t>
  </si>
  <si>
    <t xml:space="preserve">ESCOLA DE ENFERMAGEM - HOSPITAL SIRIO LIBANES                    </t>
  </si>
  <si>
    <t xml:space="preserve">ESCOLA DE ENFERMAGEM - MAURICIO DE MEDEIROS                      </t>
  </si>
  <si>
    <t xml:space="preserve">ESCOLA DE ENFERMAGEM ABC                                         </t>
  </si>
  <si>
    <t xml:space="preserve">ESCOLA DE ENFERMAGEM BABY GONCALVES                              </t>
  </si>
  <si>
    <t xml:space="preserve">ESCOLA DE ENFERMAGEM CARLOS CHAGAS                               </t>
  </si>
  <si>
    <t xml:space="preserve">ESCOLA DE ENFERMAGEM CAROLINA MALHEIROS                          </t>
  </si>
  <si>
    <t xml:space="preserve">ESCOLA DE ENFERMAGEM CRUZ VERMELHA                               </t>
  </si>
  <si>
    <t xml:space="preserve">ESCOLA DE ENFERMAGEM DA FUNDACAO TEC EDUCACIONAL SOUZA MARQUES   </t>
  </si>
  <si>
    <t xml:space="preserve">ESCOLA DE ENFERMAGEM DA SANTA CASA                               </t>
  </si>
  <si>
    <t xml:space="preserve">ESCOLA DE ENFERMAGEM DO CETEC                                    </t>
  </si>
  <si>
    <t xml:space="preserve">ESCOLA DE ENFERMAGEM DO HOSPITAL ADVENTISTA SILVESTRE            </t>
  </si>
  <si>
    <t xml:space="preserve">ESCOLA DE ENFERMAGEM DO HOSPITAL STELLA MARIS SALUS INFIRMORUM   </t>
  </si>
  <si>
    <t xml:space="preserve">ESCOLA DE ENFERMAGEM DONA ROSA MARINE                            </t>
  </si>
  <si>
    <t xml:space="preserve">ESCOLA DE ENFERMAGEM DOUTOR BENEDITO MEIRELLES                   </t>
  </si>
  <si>
    <t xml:space="preserve">ESCOLA DE ENFERMAGEM DOUTOR GUALTER NUNES                        </t>
  </si>
  <si>
    <t xml:space="preserve">ESCOLA DE ENFERMAGEM DOUTOR JOSE MARIA DE ALKMIN                 </t>
  </si>
  <si>
    <t xml:space="preserve">ESCOLA DE ENFERMAGEM DR MARIO VRANDECIC                          </t>
  </si>
  <si>
    <t xml:space="preserve">ESCOLA DE ENFERMAGEM EL SHADAY DE PRAIA GRANDE                   </t>
  </si>
  <si>
    <t xml:space="preserve">ESCOLA DE ENFERMAGEM FLORENCE                                    </t>
  </si>
  <si>
    <t xml:space="preserve">ESCOLA DE ENFERMAGEM FLORENCE NIGHTINGALE                        </t>
  </si>
  <si>
    <t xml:space="preserve">ESCOLA DE ENFERMAGEM FREI EUGENIO                                </t>
  </si>
  <si>
    <t xml:space="preserve">ESCOLA DE ENFERMAGEM GENERAL ROBERT WOOD JOHNSON                 </t>
  </si>
  <si>
    <t xml:space="preserve">ESCOLA DE ENFERMAGEM HERMANTINA BERALDO                          </t>
  </si>
  <si>
    <t xml:space="preserve">ESCOLA DE ENFERMAGEM IRMA SCHEILLA                               </t>
  </si>
  <si>
    <t xml:space="preserve">ESCOLA DE ENFERMAGEM JOAO PAULO II                               </t>
  </si>
  <si>
    <t xml:space="preserve">ESCOLA DE ENFERMAGEM MADRE THEREZA DE CALCUTA LTDA               </t>
  </si>
  <si>
    <t xml:space="preserve">ESCOLA DE ENFERMAGEM METROPOLITANA                               </t>
  </si>
  <si>
    <t xml:space="preserve">ESCOLA DE ENFERMAGEM NOSSA SENHORA DO PILAR                      </t>
  </si>
  <si>
    <t xml:space="preserve">ESCOLA DE ENFERMAGEM PAULISTA                                    </t>
  </si>
  <si>
    <t xml:space="preserve">ESCOLA DE ENFERMAGEM PROFESSOR CLOVIS SALGADO                    </t>
  </si>
  <si>
    <t xml:space="preserve">ESCOLA DE ENFERMAGEM SANTA CATARINA                              </t>
  </si>
  <si>
    <t xml:space="preserve">ESCOLA DE ENFERMAGEM SANTA CLARA                                 </t>
  </si>
  <si>
    <t xml:space="preserve">ESCOLA DE ENFERMAGEM SANTA EMILIA DE RODAT                       </t>
  </si>
  <si>
    <t xml:space="preserve">ESCOLA DE ENFERMAGEM SANTA RITA DE CASSIA                        </t>
  </si>
  <si>
    <t xml:space="preserve">ESCOLA DE ENFERMAGEM SAO BERNARDO - UNIDADE I - OSASCO           </t>
  </si>
  <si>
    <t xml:space="preserve">ESCOLA DE ENFERMAGEM SAO BERNARDO - UNIDADE III - CARAPICUIBA    </t>
  </si>
  <si>
    <t xml:space="preserve">ESCOLA DE ENFERMAGEM SAO BERNARDO - UNIDADE VILA MARIANA         </t>
  </si>
  <si>
    <t xml:space="preserve">ESCOLA DE ENFERMAGEM SAO BERNARDO -UNIDADE VILA MARIA            </t>
  </si>
  <si>
    <t xml:space="preserve">ESCOLA DE ENFERMAGEM SAO BERNARDO UNIDADE DA LAPA                </t>
  </si>
  <si>
    <t xml:space="preserve">ESCOLA DE ENFERMAGEM SAO BERNARDO UNIDADE DE SAO MATEUS          </t>
  </si>
  <si>
    <t xml:space="preserve">ESCOLA DE ENFERMAGEM SAO BERNARDO UNIDADE SAO MIGUEL             </t>
  </si>
  <si>
    <t xml:space="preserve">ESCOLA DE ENFERMAGEM SAO JOAO DE DEUS                            </t>
  </si>
  <si>
    <t xml:space="preserve">ESCOLA DE ENFERMAGEM SAO JOAQUIM                                 </t>
  </si>
  <si>
    <t xml:space="preserve">ESCOLA DE ENFERMAGEM SAO JOSE                                    </t>
  </si>
  <si>
    <t xml:space="preserve">ESCOLA DE ENFERMAGEM SAUDE E VIDA                                </t>
  </si>
  <si>
    <t xml:space="preserve">ESCOLA DE ENFERMAGEM SKIN LINE                                   </t>
  </si>
  <si>
    <t xml:space="preserve">ESCOLA DE ENFERMAGEM SPICILEGIUM DEI                             </t>
  </si>
  <si>
    <t xml:space="preserve">ESCOLA DE ENFERMAGEM WENCESLAU BRAZ - EEWB                       </t>
  </si>
  <si>
    <t xml:space="preserve">ESCOLA DE ENGENHARIA DE JUIZ DE FORA                             </t>
  </si>
  <si>
    <t xml:space="preserve">ESCOLA DE ENGENHARIA DE PIRACICABA - EEP                         </t>
  </si>
  <si>
    <t xml:space="preserve">ESCOLA DE ENGENHARIA KENNEDY - EEK                               </t>
  </si>
  <si>
    <t xml:space="preserve">ESCOLA DE ENSINO ARTISTICO GENIOS DA MUSICA DE CARDOSO           </t>
  </si>
  <si>
    <t xml:space="preserve">ESCOLA DE ENSINO ARTISTICO SANTA CECILIA                         </t>
  </si>
  <si>
    <t xml:space="preserve">ESCOLA DE ENSINO ARTISTICO SEAMI                                 </t>
  </si>
  <si>
    <t xml:space="preserve">ESCOLA DE ENSINO FUNDAMENTAL E MEDIO "E T L" DE LINS             </t>
  </si>
  <si>
    <t xml:space="preserve">ESCOLA DE ENSINO PROFISSIONAL APROVE                             </t>
  </si>
  <si>
    <t xml:space="preserve">ESCOLA DE ENSINO SUPERIOR ALTERNATIVO                            </t>
  </si>
  <si>
    <t xml:space="preserve">ESCOLA DE ENSINO TECNICO EURIPEDES BARSANULFO                    </t>
  </si>
  <si>
    <t xml:space="preserve">ESCOLA DE ESPECIALIZACAO EM SAUDE PUBLICA                        </t>
  </si>
  <si>
    <t xml:space="preserve">ESCOLA DE ESTUDOS SUPERIORES DE VICOSA - ESUV                    </t>
  </si>
  <si>
    <t xml:space="preserve">ESCOLA DE FARMACIA DE OURO PRETO                                 </t>
  </si>
  <si>
    <t xml:space="preserve">ESCOLA DE FARMACIA E ODONTOLOGIA DE ALFENAS                      </t>
  </si>
  <si>
    <t xml:space="preserve">ESCOLA DE FORMACAO DE ESPECIALISTAS EMPRESARIAIS                 </t>
  </si>
  <si>
    <t xml:space="preserve">ESCOLA DE FORMACAO DE OFICIAIS DA MARINHA DO BRASIL              </t>
  </si>
  <si>
    <t xml:space="preserve">ESCOLA DE FORMACAO ESP DE TECNICOS EM RADIOLOGIA E IMAGENOLOGIA  </t>
  </si>
  <si>
    <t xml:space="preserve">ESCOLA DE HOTELARIA E TURISMO DE SAO PAULO                       </t>
  </si>
  <si>
    <t xml:space="preserve">ESCOLA DE MEDICINA E CIRURGIA DE UBERLANDIA                      </t>
  </si>
  <si>
    <t xml:space="preserve">ESCOLA DE MEDICINA E CIRURGIA DO RIO DE JANEIRO                  </t>
  </si>
  <si>
    <t xml:space="preserve">ESCOLA DE MEDICINA SOUZA MARQUES - FTESM                         </t>
  </si>
  <si>
    <t xml:space="preserve">ESCOLA DE MUSICA ARTES E MELODIAS                                </t>
  </si>
  <si>
    <t xml:space="preserve">ESCOLA DE MUSICA ERNESTO NAZARETH                                </t>
  </si>
  <si>
    <t xml:space="preserve">ESCOLA DE MUSICA SAO PEDRO                                       </t>
  </si>
  <si>
    <t xml:space="preserve">ESCOLA DE MUSICA VILLA LOBOS                                     </t>
  </si>
  <si>
    <t xml:space="preserve">ESCOLA DE ODONTOLOGIA DE VOLTA REDONDA                           </t>
  </si>
  <si>
    <t xml:space="preserve">ESCOLA DE POS GRADUACAO CARLOS CHAGAS                            </t>
  </si>
  <si>
    <t xml:space="preserve">ESCOLA DE POS GRADUACAO EM ECONOMIA DA FUNDACAO GETULIO VARGAS   </t>
  </si>
  <si>
    <t xml:space="preserve">ESCOLA DE PROTESE DENTARIA DA FDCTO                              </t>
  </si>
  <si>
    <t xml:space="preserve">ESCOLA DE PROTESE DENTARIA DE RIBEIRAO PRETO                     </t>
  </si>
  <si>
    <t xml:space="preserve">ESCOLA DE PSICANALISE DO BRASIL                                  </t>
  </si>
  <si>
    <t xml:space="preserve">ESCOLA DE QUIMICA                                                </t>
  </si>
  <si>
    <t xml:space="preserve">ESCOLA DE SAO SILVESTRE                                          </t>
  </si>
  <si>
    <t xml:space="preserve">ESCOLA DE SAUDE DO HOSPITAL NAVAL MARCILIO DIAS                  </t>
  </si>
  <si>
    <t xml:space="preserve">ESCOLA DE SAUDE PUBLICA DE MINAS GERAIS                          </t>
  </si>
  <si>
    <t xml:space="preserve">ESCOLA DE SOCIOLOGIA E POLITICA DE SAO PAULO - ESP               </t>
  </si>
  <si>
    <t xml:space="preserve">ESCOLA DE TEATRO EWERTON DE CASTRO                               </t>
  </si>
  <si>
    <t xml:space="preserve">ESCOLA DE TEATRO PERSONA                                         </t>
  </si>
  <si>
    <t xml:space="preserve">ESCOLA DE 2O GRAU AVARE                                          </t>
  </si>
  <si>
    <t xml:space="preserve">ESCOLA DEODORO DE ARRUDA CAMPOS                                  </t>
  </si>
  <si>
    <t xml:space="preserve">ESCOLA DINAMICA                                                  </t>
  </si>
  <si>
    <t xml:space="preserve">ESCOLA DOM INACIO                                                </t>
  </si>
  <si>
    <t xml:space="preserve">ESCOLA E CONSERVATORIO DE MUSICA E ARTES VINICIUS DE MORAES      </t>
  </si>
  <si>
    <t xml:space="preserve">ESCOLA EDUCATIVA                                                 </t>
  </si>
  <si>
    <t xml:space="preserve">ESCOLA EL SHADAY                                                 </t>
  </si>
  <si>
    <t xml:space="preserve">ESCOLA EL SHANDAY DE SANTOS                                      </t>
  </si>
  <si>
    <t xml:space="preserve">ESCOLA ENFERMAGEM DA SANTA CASA DE MISERICORDIA                  </t>
  </si>
  <si>
    <t xml:space="preserve">ESCOLA EPTEC                                                     </t>
  </si>
  <si>
    <t xml:space="preserve">ESCOLA ESTADUAL CLOVIS SALGADO                                   </t>
  </si>
  <si>
    <t xml:space="preserve">ESCOLA ESTADUAL DE FURNAS                                        </t>
  </si>
  <si>
    <t xml:space="preserve">ESCOLA ESTADUAL DONA BERENICE DE MAGALHAES PINTO                 </t>
  </si>
  <si>
    <t xml:space="preserve">ESCOLA ESTADUAL DONA INDA                                        </t>
  </si>
  <si>
    <t xml:space="preserve">ESCOLA ESTADUAL IMACULADA CONCEICAO                              </t>
  </si>
  <si>
    <t xml:space="preserve">ESCOLA ESTADUAL NOSSA SENHORA DO CARMO                           </t>
  </si>
  <si>
    <t xml:space="preserve">ESCOLA ESTADUAL ORDEM E PROGRESSO                                </t>
  </si>
  <si>
    <t xml:space="preserve">ESCOLA ESTADUAL PROFESSOR ARLINDO PEREIRA                        </t>
  </si>
  <si>
    <t xml:space="preserve">ESCOLA ESTADUAL PROFESSORA JULIA KUBITSCHEK                      </t>
  </si>
  <si>
    <t xml:space="preserve">ESCOLA ESTADUAL QUINTO ALVES TOLENTINO                           </t>
  </si>
  <si>
    <t xml:space="preserve">ESCOLA ESTADUAL SANTA TEREZA                                     </t>
  </si>
  <si>
    <t xml:space="preserve">ESCOLA ESTADUAL TEOTONIO ALVES PEREIRA                           </t>
  </si>
  <si>
    <t xml:space="preserve">ESCOLA ESTADUAL 9 DE JULHO                                       </t>
  </si>
  <si>
    <t xml:space="preserve">ESCOLA EXISTENCIAL OTAVIO DE OLIVEIRA BRASIL                     </t>
  </si>
  <si>
    <t xml:space="preserve">ESCOLA FAMILIA AGRICOLA BONTEMPO                                 </t>
  </si>
  <si>
    <t xml:space="preserve">ESCOLA FEDERAL DE ENGENHARIA DE ITAJUBA                          </t>
  </si>
  <si>
    <t xml:space="preserve">ESCOLA FEGO CAMARGO                                              </t>
  </si>
  <si>
    <t xml:space="preserve">ESCOLA GALENO DE DIVINOLANDIA                                    </t>
  </si>
  <si>
    <t xml:space="preserve">ESCOLA GALENO DE EDUCACAO BASICA E PROFISSIONAL                  </t>
  </si>
  <si>
    <t xml:space="preserve">ESCOLA GALENO DE GUAXUPE                                         </t>
  </si>
  <si>
    <t xml:space="preserve">ESCOLA GLOBAL DE EDUCACAO PROFISSIONAL                           </t>
  </si>
  <si>
    <t xml:space="preserve">ESCOLA GRIFO                                                     </t>
  </si>
  <si>
    <t xml:space="preserve">ESCOLA GUARUJA DE ENFERMAGEM                                     </t>
  </si>
  <si>
    <t xml:space="preserve">ESCOLA GUIGNARD                                                  </t>
  </si>
  <si>
    <t xml:space="preserve">ESCOLA HUMANIVERSIDADE HOLISTICA                                 </t>
  </si>
  <si>
    <t xml:space="preserve">ESCOLA IDEAL DE AUXILIAR E DE TECNICO EM ENFERMAGEM              </t>
  </si>
  <si>
    <t xml:space="preserve">ESCOLA INDUSTRIAL                                                </t>
  </si>
  <si>
    <t xml:space="preserve">ESCOLA INFO JARDINS                                              </t>
  </si>
  <si>
    <t xml:space="preserve">ESCOLA INTERACAO                                                 </t>
  </si>
  <si>
    <t xml:space="preserve">ESCOLA INTERNACIONAL DE FORMACAO GERENCIAL                       </t>
  </si>
  <si>
    <t xml:space="preserve">ESCOLA IRMA GENCIANA                                             </t>
  </si>
  <si>
    <t xml:space="preserve">ESCOLA JARDINS DAS ACASIAS                                       </t>
  </si>
  <si>
    <t xml:space="preserve">ESCOLA JOAO XXIII                                                </t>
  </si>
  <si>
    <t xml:space="preserve">ESCOLA JUNQUEIRA ORTIZ                                           </t>
  </si>
  <si>
    <t xml:space="preserve">ESCOLA KENNEDY                                                   </t>
  </si>
  <si>
    <t xml:space="preserve">ESCOLA MADRE PAULINA                                             </t>
  </si>
  <si>
    <t xml:space="preserve">ESCOLA MASTER                                                    </t>
  </si>
  <si>
    <t xml:space="preserve">ESCOLA MEDIA DE AGRICULTURA DE FLORESTAL                         </t>
  </si>
  <si>
    <t xml:space="preserve">ESCOLA META                                                      </t>
  </si>
  <si>
    <t xml:space="preserve">ESCOLA MODELO                                                    </t>
  </si>
  <si>
    <t xml:space="preserve">ESCOLA MUN DE ENS ARTISTICO ITAPOLIS                             </t>
  </si>
  <si>
    <t xml:space="preserve">ESCOLA MUNICIPAL ADELINO BORDIGNON                               </t>
  </si>
  <si>
    <t xml:space="preserve">ESCOLA MUNICIPAL ALVARO CALLADO                                  </t>
  </si>
  <si>
    <t xml:space="preserve">ESCOLA MUNICIPAL ANA ELISA LISBOA GREGORI                        </t>
  </si>
  <si>
    <t xml:space="preserve">ESCOLA MUNICIPAL ANTONIO D"ASSIS MARTINS                         </t>
  </si>
  <si>
    <t xml:space="preserve">ESCOLA MUNICIPAL DE ARTES MARIA JOSE GUEDES                      </t>
  </si>
  <si>
    <t xml:space="preserve">ESCOLA MUNICIPAL DE CIENCIAS AERONAUTICAS                        </t>
  </si>
  <si>
    <t xml:space="preserve">ESCOLA MUNICIPAL DE FORMACAO TECNICA PROFISSIONAL                </t>
  </si>
  <si>
    <t xml:space="preserve">ESCOLA MUNICIPAL DE SANTA FE DO SUL                              </t>
  </si>
  <si>
    <t xml:space="preserve">ESCOLA MUNICIPAL DOUTOR JOSE JANUARIO DE MAGALHAES               </t>
  </si>
  <si>
    <t xml:space="preserve">ESCOLA MUNICIPAL DOUTOR LEANDRO FRANCESCHINI                     </t>
  </si>
  <si>
    <t xml:space="preserve">ESCOLA MUNICIPAL JOAO ELIAS MARGUTTI                             </t>
  </si>
  <si>
    <t xml:space="preserve">ESCOLA MUNICIPAL JOAQUIM GIRALDI                                 </t>
  </si>
  <si>
    <t xml:space="preserve">ESCOLA MUNICIPAL JOSE MIRANDA SOBRINHO                           </t>
  </si>
  <si>
    <t xml:space="preserve">ESCOLA MUNICIPAL PRESIDENTE RAUL SOARES                          </t>
  </si>
  <si>
    <t xml:space="preserve">ESCOLA MUNICIPAL PROFESSOR TABAJARA PEDROSO                      </t>
  </si>
  <si>
    <t xml:space="preserve">ESCOLA MUNICIPAL 1. DE MAIO II                                   </t>
  </si>
  <si>
    <t xml:space="preserve">ESCOLA MUSICAL HENRIQUE OSWALD                                   </t>
  </si>
  <si>
    <t xml:space="preserve">ESCOLA NACIONAL DE ADM PUB                                       </t>
  </si>
  <si>
    <t xml:space="preserve">ESCOLA NACIONAL DE CIENCIAS ESTATISTICAS - ENCE                  </t>
  </si>
  <si>
    <t xml:space="preserve">ESCOLA NACIONAL DE SAUDE PUBLICA SERGIO AROUCA                   </t>
  </si>
  <si>
    <t xml:space="preserve">ESCOLA NACIONAL DE SEGUROS - FUNENSEG                            </t>
  </si>
  <si>
    <t xml:space="preserve">ESCOLA NORMAL DE MIGUELOPOLIS                                    </t>
  </si>
  <si>
    <t xml:space="preserve">ESCOLA NOSSA SENHORA DAS DORES - MONTESSORI                      </t>
  </si>
  <si>
    <t xml:space="preserve">ESCOLA NOSSA SENHORA DO CARMO                                    </t>
  </si>
  <si>
    <t xml:space="preserve">ESCOLA NOVAERENSE                                                </t>
  </si>
  <si>
    <t xml:space="preserve">ESCOLA OFICINA DE ARTES                                          </t>
  </si>
  <si>
    <t xml:space="preserve">ESCOLA OURO BRANCO                                               </t>
  </si>
  <si>
    <t xml:space="preserve">ESCOLA PADRE GUILHERME PETERS                                    </t>
  </si>
  <si>
    <t xml:space="preserve">ESCOLA PADRE SIMON                                               </t>
  </si>
  <si>
    <t xml:space="preserve">ESCOLA PAULISTA                                                  </t>
  </si>
  <si>
    <t xml:space="preserve">ESCOLA PAULISTA DE EDUCACAO BASICA                               </t>
  </si>
  <si>
    <t xml:space="preserve">ESCOLA PAULISTA DE ENFERMAGEM                                    </t>
  </si>
  <si>
    <t xml:space="preserve">ESCOLA PAULISTA DE ENFERMAGEM - VILA CLEMENTINO                  </t>
  </si>
  <si>
    <t xml:space="preserve">ESCOLA POLITECNICA USP                                           </t>
  </si>
  <si>
    <t xml:space="preserve">ESCOLA PRO-ARTE                                                  </t>
  </si>
  <si>
    <t xml:space="preserve">ESCOLA PRO-ARTE CAMPINAS                                         </t>
  </si>
  <si>
    <t xml:space="preserve">ESCOLA PROFESSOR GIORDANO MESTRINELLI                            </t>
  </si>
  <si>
    <t xml:space="preserve">ESCOLA PROFESSOR LUIZ ROSA                                       </t>
  </si>
  <si>
    <t xml:space="preserve">ESCOLA PROFESSOR MANOEL MESSIAS DE SOUZA                         </t>
  </si>
  <si>
    <t xml:space="preserve">ESCOLA PROFISIONAL DOM BOSCO                                     </t>
  </si>
  <si>
    <t xml:space="preserve">ESCOLA PROFISSIONAL DE ATIBAIA                                   </t>
  </si>
  <si>
    <t xml:space="preserve">ESCOLA PROFISSIONAL NOSSA SENHORA DE FATIMA                      </t>
  </si>
  <si>
    <t xml:space="preserve">ESCOLA PROFISSIONALIZANTE BIOTEC                                 </t>
  </si>
  <si>
    <t xml:space="preserve">ESCOLA PROFISSIONALIZANTE SANTO AGOSTINHO                        </t>
  </si>
  <si>
    <t xml:space="preserve">ESCOLA SAGRADA FAMILIA                                           </t>
  </si>
  <si>
    <t xml:space="preserve">ESCOLA SANTA APOLONIA                                            </t>
  </si>
  <si>
    <t xml:space="preserve">ESCOLA SANTA CLARA                                               </t>
  </si>
  <si>
    <t xml:space="preserve">ESCOLA SANTA MARINA                                              </t>
  </si>
  <si>
    <t xml:space="preserve">ESCOLA SAO CAMILO - JACAREI                                      </t>
  </si>
  <si>
    <t xml:space="preserve">ESCOLA SAO CAMILO - SANTA ISABEL                                 </t>
  </si>
  <si>
    <t xml:space="preserve">ESCOLA SAO JUDAS TADEU                                           </t>
  </si>
  <si>
    <t xml:space="preserve">ESCOLA SAO RAPHAEL ESCOLA                                        </t>
  </si>
  <si>
    <t xml:space="preserve">ESCOLA SAUDE E VIDA                                              </t>
  </si>
  <si>
    <t xml:space="preserve">ESCOLA SENAI A. JACOB LAFER                                      </t>
  </si>
  <si>
    <t xml:space="preserve">ESCOLA SENAI ALMIRANTE TAMANDARE                                 </t>
  </si>
  <si>
    <t xml:space="preserve">ESCOLA SENAI ANCHIETA                                            </t>
  </si>
  <si>
    <t xml:space="preserve">ESCOLA SENAI ANTONIO ADOLPHO LOBBE                               </t>
  </si>
  <si>
    <t xml:space="preserve">ESCOLA SENAI ANTONIO DEVISATE                                    </t>
  </si>
  <si>
    <t xml:space="preserve">ESCOLA SENAI ANTONIO ERMIRIO DE MORAES                           </t>
  </si>
  <si>
    <t xml:space="preserve">ESCOLA SENAI ANTONIO SOUZA NOSCHESE                              </t>
  </si>
  <si>
    <t xml:space="preserve">ESCOLA SENAI ARMANDO DE ARRUDA PEREIRA                           </t>
  </si>
  <si>
    <t xml:space="preserve">ESCOLA SENAI ARY TORRES                                          </t>
  </si>
  <si>
    <t xml:space="preserve">ESCOLA SENAI CARLOS PASQUALE                                     </t>
  </si>
  <si>
    <t xml:space="preserve">ESCOLA SENAI CONDE ALEXANDRE SICILIANO                           </t>
  </si>
  <si>
    <t xml:space="preserve">ESCOLA SENAI CONDE JOSE VICENTE DE AZEVEDO                       </t>
  </si>
  <si>
    <t xml:space="preserve">ESCOLA SENAI DUQUE DE CAXIAS                                     </t>
  </si>
  <si>
    <t xml:space="preserve">ESCOLA SENAI ENG. ADRIANO JOSE MARCHINI                          </t>
  </si>
  <si>
    <t xml:space="preserve">ESCOLA SENAI ENG. JAMES C. STEWART                               </t>
  </si>
  <si>
    <t xml:space="preserve">ESCOLA SENAI ENG. OCTAVIO MARCONDES FERRAZ                       </t>
  </si>
  <si>
    <t xml:space="preserve">ESCOLA SENAI FELIX GUISARD                                       </t>
  </si>
  <si>
    <t xml:space="preserve">ESCOLA SENAI FRANCISCO MATARAZZO                                 </t>
  </si>
  <si>
    <t xml:space="preserve">ESCOLA SENAI FREDERICO JACOB                                     </t>
  </si>
  <si>
    <t xml:space="preserve">ESCOLA SENAI FUNDACAO ZERRENER                                   </t>
  </si>
  <si>
    <t xml:space="preserve">ESCOLA SENAI GASPAR RICARDO JUNIOR                               </t>
  </si>
  <si>
    <t xml:space="preserve">ESCOLA SENAI HENRIQUE LUPO                                       </t>
  </si>
  <si>
    <t xml:space="preserve">ESCOLA SENAI HERMENEGILDO CAMPOS DE ALMEIDA                      </t>
  </si>
  <si>
    <t xml:space="preserve">ESCOLA SENAI HORACIO AUGUSTO DA SILVEIRA                         </t>
  </si>
  <si>
    <t xml:space="preserve">ESCOLA SENAI ITALO BOLOGNA                                       </t>
  </si>
  <si>
    <t xml:space="preserve">ESCOLA SENAI JOAO MARTINS COUBE                                  </t>
  </si>
  <si>
    <t xml:space="preserve">ESCOLA SENAI JOSE POLIZOTTO                                      </t>
  </si>
  <si>
    <t xml:space="preserve">ESCOLA SENAI LUIZ SCAVONE                                        </t>
  </si>
  <si>
    <t xml:space="preserve">ESCOLA SENAI LUIZ SIMON                                          </t>
  </si>
  <si>
    <t xml:space="preserve">ESCOLA SENAI LUIZ VARGA                                          </t>
  </si>
  <si>
    <t xml:space="preserve">ESCOLA SENAI MANOEL JOSE FERREIRA                                </t>
  </si>
  <si>
    <t xml:space="preserve">ESCOLA SENAI MANUEL GARCIA FILHO                                 </t>
  </si>
  <si>
    <t xml:space="preserve">ESCOLA SENAI MARCIO BAGUEIRA LEAL                                </t>
  </si>
  <si>
    <t xml:space="preserve">ESCOLA SENAI MARIANO FERRAZ                                      </t>
  </si>
  <si>
    <t xml:space="preserve">ESCOLA SENAI MARIO AMATO                                         </t>
  </si>
  <si>
    <t xml:space="preserve">ESCOLA SENAI MARIO DEDINI                                        </t>
  </si>
  <si>
    <t xml:space="preserve">ESCOLA SENAI MERCEDEZ BENZ                                       </t>
  </si>
  <si>
    <t xml:space="preserve">ESCOLA SENAI MORVAN FIGUEIREDO                                   </t>
  </si>
  <si>
    <t xml:space="preserve">ESCOLA SENAI NADIR DIAS DE FIGUEIREDO                            </t>
  </si>
  <si>
    <t xml:space="preserve">ESCOLA SENAI NAMI JAFET                                          </t>
  </si>
  <si>
    <t xml:space="preserve">ESCOLA SENAI ORLANDO LAVIERO FERRAIUOLO                          </t>
  </si>
  <si>
    <t xml:space="preserve">ESCOLA SENAI OSCAR RODRIGUES ALVES                               </t>
  </si>
  <si>
    <t xml:space="preserve">ESCOLA SENAI PROFESSOR DOUTOR EURYCLIDES DE JESUS ZERBINI        </t>
  </si>
  <si>
    <t xml:space="preserve">ESCOLA SENAI PROFESSOR JOAO BAPTISTA SALLES DA SILVA             </t>
  </si>
  <si>
    <t xml:space="preserve">ESCOLA SENAI PROFESSOR VICENTE AMATO                             </t>
  </si>
  <si>
    <t xml:space="preserve">ESCOLA SENAI ROBERTO MANGE                                       </t>
  </si>
  <si>
    <t xml:space="preserve">ESCOLA SENAI ROBERTO SIMONSEN                                    </t>
  </si>
  <si>
    <t xml:space="preserve">ESCOLA SENAI SANTANA DE PARNAIBA                                 </t>
  </si>
  <si>
    <t xml:space="preserve">ESCOLA SENAI SANTO PASCHOAL CREPALDI                             </t>
  </si>
  <si>
    <t xml:space="preserve">ESCOLA SENAI SANTOS DUMONT                                       </t>
  </si>
  <si>
    <t xml:space="preserve">ESCOLA SENAI SUICO-BRASILEIRA                                    </t>
  </si>
  <si>
    <t xml:space="preserve">ESCOLA SENAI THEOBALDO DE NIGRIS                                 </t>
  </si>
  <si>
    <t xml:space="preserve">ESCOLA SENAI VOLKSWAGEN                                          </t>
  </si>
  <si>
    <t xml:space="preserve">ESCOLA SOLUCOES                                                  </t>
  </si>
  <si>
    <t xml:space="preserve">ESCOLA SOPHIA MARCHETTI                                          </t>
  </si>
  <si>
    <t xml:space="preserve">ESCOLA SUPERIOR DE ADM., MARKETING E COMUNICACAO DE BRASILIA     </t>
  </si>
  <si>
    <t xml:space="preserve">ESCOLA SUPERIOR DE ADMINISTRACAO DE EMPRESAS - INEA FACULDADES   </t>
  </si>
  <si>
    <t xml:space="preserve">ESCOLA SUPERIOR DE ADMINISTRACAO E GESTAO - ESAG                 </t>
  </si>
  <si>
    <t xml:space="preserve">ESCOLA SUPERIOR DE ADMINISTRACAO POSTAL                          </t>
  </si>
  <si>
    <t>ESCOLA SUPERIOR DE ADMINISTRACAO, MARKETING E COMUNICACAO DE UBER</t>
  </si>
  <si>
    <t xml:space="preserve">ESCOLA SUPERIOR DE AGRICULTURA E CIENCIAS DE MACHADO             </t>
  </si>
  <si>
    <t xml:space="preserve">ESCOLA SUPERIOR DE AGRIMENSURA DE MINAS GERAIS                   </t>
  </si>
  <si>
    <t xml:space="preserve">ESCOLA SUPERIOR DE APOLOGIA DA TEOLOGIA BIBLICA                  </t>
  </si>
  <si>
    <t xml:space="preserve">ESCOLA SUPERIOR DE BIOLOGIA E MEIO AMBIENTE - ESMA               </t>
  </si>
  <si>
    <t xml:space="preserve">ESCOLA SUPERIOR DE CIENCIAS DA SAUDE - ESCS                      </t>
  </si>
  <si>
    <t xml:space="preserve">ESCOLA SUPERIOR DE CIENCIAS SOCIAIS - FGV                        </t>
  </si>
  <si>
    <t xml:space="preserve">ESCOLA SUPERIOR DE EDUCACAO FISICA DA ALTA PAULISTA              </t>
  </si>
  <si>
    <t xml:space="preserve">ESCOLA SUPERIOR DE EDUCACAO FISICA DE BATATAIS                   </t>
  </si>
  <si>
    <t xml:space="preserve">ESCOLA SUPERIOR DE EDUCACAO FISICA DE GOIAS                      </t>
  </si>
  <si>
    <t xml:space="preserve">ESCOLA SUPERIOR DE EDUCACAO FISICA DE MUZAMBINHO - ESEFM         </t>
  </si>
  <si>
    <t xml:space="preserve">ESCOLA SUPERIOR DE EDUCACAO FISICA DO PARA                       </t>
  </si>
  <si>
    <t xml:space="preserve">ESCOLA SUPERIOR DE EDUCACAO FISICA E DESPORTOS DE CATANDUVA      </t>
  </si>
  <si>
    <t xml:space="preserve">ESCOLA SUPERIOR DE EDUCACAO RELIGIOSA                            </t>
  </si>
  <si>
    <t xml:space="preserve">ESCOLA SUPERIOR DE GUERRA                                        </t>
  </si>
  <si>
    <t xml:space="preserve">ESCOLA SUPERIOR DE MUSICA SANTA MARCELINA                        </t>
  </si>
  <si>
    <t xml:space="preserve">ESCOLA SUPERIOR DE PROPAGANDA E MARKETING - ESPM                 </t>
  </si>
  <si>
    <t>ESCOLA SUPERIOR DE PROPAGANDA E MARKETING DO RIO DE JANEIRO - ESP</t>
  </si>
  <si>
    <t xml:space="preserve">ESCOLA SUPERIOR DE TEOLOGIA BATISTA PENIEL                       </t>
  </si>
  <si>
    <t xml:space="preserve">ESCOLA SUPERIOR DO MINISTERIO PUBLICO DE MINAS GERAIS            </t>
  </si>
  <si>
    <t xml:space="preserve">ESCOLA SUPERIOR DOM HELDER CAMARA - ESDHC                        </t>
  </si>
  <si>
    <t xml:space="preserve">ESCOLA TEC DE ARTES CARLOS GOMES                                 </t>
  </si>
  <si>
    <t xml:space="preserve">ESCOLA TEC DE FORM GERENCIAL -SEBRAE                             </t>
  </si>
  <si>
    <t xml:space="preserve">ESCOLA TECNICA - ETEC ALBERTO SANTOS DUMONT                      </t>
  </si>
  <si>
    <t xml:space="preserve">ESCOLA TECNICA - ETEC TANCREDO NEVES                             </t>
  </si>
  <si>
    <t xml:space="preserve">ESCOLA TECNICA ADVANCE PLUS                                      </t>
  </si>
  <si>
    <t xml:space="preserve">ESCOLA TECNICA ALCANTARA                                         </t>
  </si>
  <si>
    <t xml:space="preserve">ESCOLA TECNICA ALFA                                              </t>
  </si>
  <si>
    <t xml:space="preserve">ESCOLA TECNICA ALIANCA                                           </t>
  </si>
  <si>
    <t xml:space="preserve">ESCOLA TECNICA ARTE DO DENTE                                     </t>
  </si>
  <si>
    <t xml:space="preserve">ESCOLA TECNICA ARTEC                                             </t>
  </si>
  <si>
    <t xml:space="preserve">ESCOLA TECNICA BASTOS VASCONCELOS                                </t>
  </si>
  <si>
    <t xml:space="preserve">ESCOLA TECNICA COMPETENCIA                                       </t>
  </si>
  <si>
    <t xml:space="preserve">ESCOLA TECNICA CRIARTE - UNIDADE II                              </t>
  </si>
  <si>
    <t xml:space="preserve">ESCOLA TECNICA CURSO NOBRE CENTRO DE FORMACAO PROFISSIONAL       </t>
  </si>
  <si>
    <t xml:space="preserve">ESCOLA TECNICA DA SAUDE                                          </t>
  </si>
  <si>
    <t xml:space="preserve">ESCOLA TECNICA DATA WAY                                          </t>
  </si>
  <si>
    <t xml:space="preserve">ESCOLA TECNICA DE ASSIS                                          </t>
  </si>
  <si>
    <t xml:space="preserve">ESCOLA TECNICA DE CARMO DO CAJURU                                </t>
  </si>
  <si>
    <t xml:space="preserve">ESCOLA TECNICA DE COMERCIO DE ARARAS                             </t>
  </si>
  <si>
    <t xml:space="preserve">ESCOLA TECNICA DE COMERCIO DE MINAS GERAIS                       </t>
  </si>
  <si>
    <t xml:space="preserve">ESCOLA TECNICA DE COMERCIO DE VALINHOS                           </t>
  </si>
  <si>
    <t xml:space="preserve">ESCOLA TECNICA DE COMERCIO 20 DE JANEIRO                         </t>
  </si>
  <si>
    <t xml:space="preserve">ESCOLA TECNICA DE ENFERMAGEM AGNUS DEI                           </t>
  </si>
  <si>
    <t xml:space="preserve">ESCOLA TECNICA DE ENFERMAGEM DA FUND. CENTRO MEDICO DE CAMPINAS  </t>
  </si>
  <si>
    <t xml:space="preserve">ESCOLA TECNICA DE ENFERMAGEM DE DIVINOPOLIS                      </t>
  </si>
  <si>
    <t xml:space="preserve">ESCOLA TECNICA DE ENFERMAGEM DI SOLIMENE                         </t>
  </si>
  <si>
    <t xml:space="preserve">ESCOLA TECNICA DE ENFERMAGEM DO HOSPITAL UNIVERSITARIO DA USP    </t>
  </si>
  <si>
    <t xml:space="preserve">ESCOLA TECNICA DE ENFERMAGEM ELISABETH ROMBACH                   </t>
  </si>
  <si>
    <t xml:space="preserve">ESCOLA TECNICA DE ENFERMAGEM MARIA DE LOURDES SERAFIM            </t>
  </si>
  <si>
    <t xml:space="preserve">ESCOLA TECNICA DE ENFERMAGEM SANATORINHOS                        </t>
  </si>
  <si>
    <t xml:space="preserve">ESCOLA TECNICA DE ENSINO DE PROTESE                              </t>
  </si>
  <si>
    <t xml:space="preserve">ESCOLA TECNICA DE FORMACAO GERENCIAL                             </t>
  </si>
  <si>
    <t xml:space="preserve">ESCOLA TECNICA DE FORMACAO GERENCIAL - ETFG CONTAGEM             </t>
  </si>
  <si>
    <t xml:space="preserve">ESCOLA TECNICA DE FORMACAO GERENCIAL - SAO SEBASTIAO DO PARAISO  </t>
  </si>
  <si>
    <t xml:space="preserve">ESCOLA TECNICA DE FORMACAO GERENCIAL - SEBRAE MINAS              </t>
  </si>
  <si>
    <t xml:space="preserve">ESCOLA TECNICA DE HIGIENE DENTAL                                 </t>
  </si>
  <si>
    <t xml:space="preserve">ESCOLA TECNICA DE MUSICA E DANCA IVANILDO REBOUCAS DA SILVA      </t>
  </si>
  <si>
    <t xml:space="preserve">ESCOLA TECNICA DE PARACATU                                       </t>
  </si>
  <si>
    <t xml:space="preserve">ESCOLA TECNICA DE PAULINIA                                       </t>
  </si>
  <si>
    <t xml:space="preserve">ESCOLA TECNICA DE SAUDE                                          </t>
  </si>
  <si>
    <t xml:space="preserve">ESCOLA TECNICA DE SAUDE GENESIS                                  </t>
  </si>
  <si>
    <t xml:space="preserve">ESCOLA TECNICA DE UBERABA                                        </t>
  </si>
  <si>
    <t xml:space="preserve">ESCOLA TECNICA DE UNAI                                           </t>
  </si>
  <si>
    <t xml:space="preserve">ESCOLA TECNICA DESTAKE                                           </t>
  </si>
  <si>
    <t xml:space="preserve">ESCOLA TECNICA DIMENSAO                                          </t>
  </si>
  <si>
    <t xml:space="preserve">ESCOLA TECNICA DINASTIA                                          </t>
  </si>
  <si>
    <t xml:space="preserve">ESCOLA TECNICA DO EINSTEIN                                       </t>
  </si>
  <si>
    <t xml:space="preserve">ESCOLA TECNICA DO ESTADO - ETE ADOLPHO BEREZIN                   </t>
  </si>
  <si>
    <t xml:space="preserve">ESCOLA TECNICA DO ESTADO - ETE ALBERT EINSTEIN                   </t>
  </si>
  <si>
    <t xml:space="preserve">ESCOLA TECNICA DO ESTADO - ETE AMIM JUNDI                        </t>
  </si>
  <si>
    <t xml:space="preserve">ESCOLA TECNICA DO ESTADO - ETE ANTONIO DE PADUA CARDOSO          </t>
  </si>
  <si>
    <t xml:space="preserve">ESCOLA TECNICA DO ESTADO - ETE ANTONIO DEVISATE                  </t>
  </si>
  <si>
    <t xml:space="preserve">ESCOLA TECNICA DO ESTADO - ETE ANTONIO JUNQUEIRA DA VEIGA        </t>
  </si>
  <si>
    <t xml:space="preserve">ESCOLA TECNICA DO ESTADO - ETE ARISTOTELES FERREIRA              </t>
  </si>
  <si>
    <t xml:space="preserve">ESCOLA TECNICA DO ESTADO - ETE ASTOR DE MATTOS CARVALHO          </t>
  </si>
  <si>
    <t xml:space="preserve">ESCOLA TECNICA DO ESTADO - ETE AUGUSTO TORTOLERO ARAUJO          </t>
  </si>
  <si>
    <t xml:space="preserve">ESCOLA TECNICA DO ESTADO - ETE BENEDITO STORANI                  </t>
  </si>
  <si>
    <t xml:space="preserve">ESCOLA TECNICA DO ESTADO - ETE BENTO QUIRINO                     </t>
  </si>
  <si>
    <t xml:space="preserve">ESCOLA TECNICA DO ESTADO - ETE CARLOS DE CAMPOS                  </t>
  </si>
  <si>
    <t xml:space="preserve">ESCOLA TECNICA DO ESTADO - ETE CEL FERNANDO FEBELIANO DA COSTA   </t>
  </si>
  <si>
    <t xml:space="preserve">ESCOLA TECNICA DO ESTADO - ETE COMENDADOR JOAO RAYS              </t>
  </si>
  <si>
    <t xml:space="preserve">ESCOLA TECNICA DO ESTADO - ETE CONEGO JOSE BENTO                 </t>
  </si>
  <si>
    <t xml:space="preserve">ESCOLA TECNICA DO ESTADO - ETE CONSELHEIRO ANTONIO PRADO         </t>
  </si>
  <si>
    <t xml:space="preserve">ESCOLA TECNICA DO ESTADO - ETE CORONEL RAPHAEL BRANDAO           </t>
  </si>
  <si>
    <t xml:space="preserve">ESCOLA TECNICA DO ESTADO - ETE DE AVARE                          </t>
  </si>
  <si>
    <t xml:space="preserve">ESCOLA TECNICA DO ESTADO - ETE DE BEBEDOURO                      </t>
  </si>
  <si>
    <t xml:space="preserve">ESCOLA TECNICA DO ESTADO - ETE DE CACHOEIRA PAULISTA             </t>
  </si>
  <si>
    <t xml:space="preserve">ESCOLA TECNICA DO ESTADO - ETE DE FERNANDOPOLIS                  </t>
  </si>
  <si>
    <t xml:space="preserve">ESCOLA TECNICA DO ESTADO - ETE DE FRANCO DA ROCHA                </t>
  </si>
  <si>
    <t xml:space="preserve">ESCOLA TECNICA DO ESTADO - ETE DE HORTOLANDIA                    </t>
  </si>
  <si>
    <t xml:space="preserve">ESCOLA TECNICA DO ESTADO - ETE DE LINS                           </t>
  </si>
  <si>
    <t xml:space="preserve">ESCOLA TECNICA DO ESTADO - ETE DE OSASCO                         </t>
  </si>
  <si>
    <t xml:space="preserve">ESCOLA TECNICA DO ESTADO - ETE DE PRESIDENTE VENCESLAU           </t>
  </si>
  <si>
    <t xml:space="preserve">ESCOLA TECNICA DO ESTADO - ETE DE RIBEIRAO PIRES                 </t>
  </si>
  <si>
    <t xml:space="preserve">ESCOLA TECNICA DO ESTADO - ETE DE SAO PAULO                      </t>
  </si>
  <si>
    <t xml:space="preserve">ESCOLA TECNICA DO ESTADO - ETE DE SAO ROQUE                      </t>
  </si>
  <si>
    <t xml:space="preserve">ESCOLA TECNICA DO ESTADO - ETE DE TAUBATE                        </t>
  </si>
  <si>
    <t xml:space="preserve">ESCOLA TECNICA DO ESTADO - ETE DEP PAULO ORNELLAS C DE BARROS    </t>
  </si>
  <si>
    <t xml:space="preserve">ESCOLA TECNICA DO ESTADO - ETE DEPUTADO FRANCISCO FRANCO         </t>
  </si>
  <si>
    <t xml:space="preserve">ESCOLA TECNICA DO ESTADO - ETE DEPUTADO SALIM SEDEH              </t>
  </si>
  <si>
    <t xml:space="preserve">ESCOLA TECNICA DO ESTADO - ETE DONA ESCOLASTICA ROSA             </t>
  </si>
  <si>
    <t xml:space="preserve">ESCOLA TECNICA DO ESTADO - ETE DONA SEBASTIANA DE BARROS         </t>
  </si>
  <si>
    <t xml:space="preserve">ESCOLA TECNICA DO ESTADO - ETE DOUTOR ADAIL NUNES DA SILVA       </t>
  </si>
  <si>
    <t xml:space="preserve">ESCOLA TECNICA DO ESTADO - ETE DOUTOR CAROLINO DA MOTTA E SILVA  </t>
  </si>
  <si>
    <t xml:space="preserve">ESCOLA TECNICA DO ESTADO - ETE DOUTOR DOMINGOS MINICUCCI FILHO   </t>
  </si>
  <si>
    <t xml:space="preserve">ESCOLA TECNICA DO ESTADO - ETE DOUTOR JOSE COURY                 </t>
  </si>
  <si>
    <t xml:space="preserve">ESCOLA TECNICA DO ESTADO - ETE DOUTOR JOSE LUIZ VIANA COUTINHO   </t>
  </si>
  <si>
    <t xml:space="preserve">ESCOLA TECNICA DO ESTADO - ETE DOUTOR JULIO CARDOSO              </t>
  </si>
  <si>
    <t xml:space="preserve">ESCOLA TECNICA DO ESTADO - ETE DOUTOR LUIZ CESAR COUTO           </t>
  </si>
  <si>
    <t xml:space="preserve">ESCOLA TECNICA DO ESTADO - ETE DOUTORDEMETRIO AZEVEDO JUNIOR     </t>
  </si>
  <si>
    <t xml:space="preserve">ESCOLA TECNICA DO ESTADO - ETE DR CELSO CHARURI                  </t>
  </si>
  <si>
    <t xml:space="preserve">ESCOLA TECNICA DO ESTADO - ETE DR DARIO PACHECO PEDROSO          </t>
  </si>
  <si>
    <t xml:space="preserve">ESCOLA TECNICA DO ESTADO - ETE DR FRANCISCO NOGUEIRA DE LIMA     </t>
  </si>
  <si>
    <t xml:space="preserve">ESCOLA TECNICA DO ESTADO - ETE ELIAS NECHAR                      </t>
  </si>
  <si>
    <t xml:space="preserve">ESCOLA TECNICA DO ESTADO - ETE ENG AGRONOMO NARCISO DE MEDEIROS  </t>
  </si>
  <si>
    <t xml:space="preserve">ESCOLA TECNICA DO ESTADO - ETE ENGENHEIRO HERVAL BELLUSCI        </t>
  </si>
  <si>
    <t xml:space="preserve">ESCOLA TECNICA DO ESTADO - ETE FERNANDO PRESTES                  </t>
  </si>
  <si>
    <t xml:space="preserve">ESCOLA TECNICA DO ESTADO - ETE FRANCISCO GARCIA                  </t>
  </si>
  <si>
    <t xml:space="preserve">ESCOLA TECNICA DO ESTADO - ETE FREI ARNALDO MARIA DE ITAPORANGA  </t>
  </si>
  <si>
    <t xml:space="preserve">ESCOLA TECNICA DO ESTADO - ETE GETULIO VARGAS                    </t>
  </si>
  <si>
    <t xml:space="preserve">ESCOLA TECNICA DO ESTADO - ETE GUAIANAZES                        </t>
  </si>
  <si>
    <t xml:space="preserve">ESCOLA TECNICA DO ESTADO - ETE GUARACY SILVEIRA                  </t>
  </si>
  <si>
    <t xml:space="preserve">ESCOLA TECNICA DO ESTADO - ETE ILHA SOLTEIRA                     </t>
  </si>
  <si>
    <t xml:space="preserve">ESCOLA TECNICA DO ESTADO - ETE JACINTO FERREIRA DE SA            </t>
  </si>
  <si>
    <t xml:space="preserve">ESCOLA TECNICA DO ESTADO - ETE JOAO BAPTISTA DE LIMA FIGUEIREDO  </t>
  </si>
  <si>
    <t xml:space="preserve">ESCOLA TECNICA DO ESTADO - ETE JOAO BELARMINO                    </t>
  </si>
  <si>
    <t xml:space="preserve">ESCOLA TECNICA DO ESTADO - ETE JOAO GOMES DE ARAUJO              </t>
  </si>
  <si>
    <t xml:space="preserve">ESCOLA TECNICA DO ESTADO - ETE JOAO JORGE GERAISSATE             </t>
  </si>
  <si>
    <t xml:space="preserve">ESCOLA TECNICA DO ESTADO - ETE JOAQUIM FERREIRA DO AMARAL        </t>
  </si>
  <si>
    <t xml:space="preserve">ESCOLA TECNICA DO ESTADO - ETE JORGE STREET                      </t>
  </si>
  <si>
    <t xml:space="preserve">ESCOLA TECNICA DO ESTADO - ETE JOSE MARTIMIANO DA SILVA          </t>
  </si>
  <si>
    <t xml:space="preserve">ESCOLA TECNICA DO ESTADO - ETE JOSE ROCHA MENDES                 </t>
  </si>
  <si>
    <t xml:space="preserve">ESCOLA TECNICA DO ESTADO - ETE JULIO DE MESQUITA                 </t>
  </si>
  <si>
    <t xml:space="preserve">ESCOLA TECNICA DO ESTADO - ETE LAURINDO ALVES DE QUEIROZ         </t>
  </si>
  <si>
    <t xml:space="preserve">ESCOLA TECNICA DO ESTADO - ETE LAURO GOMES                       </t>
  </si>
  <si>
    <t xml:space="preserve">ESCOLA TECNICA DO ESTADO - ETE MACHADO DE ASSIS                  </t>
  </si>
  <si>
    <t xml:space="preserve">ESCOLA TECNICA DO ESTADO - ETE MANOEL DOS REIS ARAUJO            </t>
  </si>
  <si>
    <t xml:space="preserve">ESCOLA TECNICA DO ESTADO - ETE MARTIN LUTHER KING                </t>
  </si>
  <si>
    <t xml:space="preserve">ESCOLA TECNICA DO ESTADO - ETE MARTINHO DI CIERO                 </t>
  </si>
  <si>
    <t xml:space="preserve">ESCOLA TECNICA DO ESTADO - ETE MAUA                              </t>
  </si>
  <si>
    <t xml:space="preserve">ESCOLA TECNICA DO ESTADO - ETE MONSENHOR ANTONIO MAGLIANO        </t>
  </si>
  <si>
    <t xml:space="preserve">ESCOLA TECNICA DO ESTADO - ETE ORLANDO QUAGLIATO                 </t>
  </si>
  <si>
    <t xml:space="preserve">ESCOLA TECNICA DO ESTADO - ETE PAULINO BOTELHO                   </t>
  </si>
  <si>
    <t xml:space="preserve">ESCOLA TECNICA DO ESTADO - ETE PAULO GUERREIRO FRANCO            </t>
  </si>
  <si>
    <t xml:space="preserve">ESCOLA TECNICA DO ESTADO - ETE PEDRO BADRAN                      </t>
  </si>
  <si>
    <t xml:space="preserve">ESCOLA TECNICA DO ESTADO - ETE PEDRO DARCADIA NETO               </t>
  </si>
  <si>
    <t xml:space="preserve">ESCOLA TECNICA DO ESTADO - ETE PEDRO FERREIRA ALVES              </t>
  </si>
  <si>
    <t xml:space="preserve">ESCOLA TECNICA DO ESTADO - ETE PHILADELPHO GOUVEA NETTO          </t>
  </si>
  <si>
    <t xml:space="preserve">ESCOLA TECNICA DO ESTADO - ETE POLIVALENTE DE AMERICANA          </t>
  </si>
  <si>
    <t xml:space="preserve">ESCOLA TECNICA DO ESTADO - ETE PR DT ANTONIO EUFRASIO DE TOLEDO  </t>
  </si>
  <si>
    <t xml:space="preserve">ESCOLA TECNICA DO ESTADO - ETE PR HELCY MOREIRA MARTINS AGUIAR   </t>
  </si>
  <si>
    <t xml:space="preserve">ESCOLA TECNICA DO ESTADO - ETE PR HORACIO AUGUSTO DA SILVEIRA    </t>
  </si>
  <si>
    <t>ESCOLA TECNICA DO ESTADO - ETE PR LUIZ PIRES BARBOSA CANDIDO MOTA</t>
  </si>
  <si>
    <t xml:space="preserve">ESCOLA TECNICA DO ESTADO - ETE PR PEDRO LEME BRISOLLA SOBRINHO   </t>
  </si>
  <si>
    <t xml:space="preserve">ESCOLA TECNICA DO ESTADO - ETE PREFEITO ALBERTO FERES            </t>
  </si>
  <si>
    <t xml:space="preserve">ESCOLA TECNICA DO ESTADO - ETE PREFEITO JOSE ESTEVES             </t>
  </si>
  <si>
    <t xml:space="preserve">ESCOLA TECNICA DO ESTADO - ETE PRESIDENTE VARGAS                 </t>
  </si>
  <si>
    <t xml:space="preserve">ESCOLA TECNICA DO ESTADO - ETE PROF APRIGIO GONZAGA              </t>
  </si>
  <si>
    <t xml:space="preserve">ESCOLA TECNICA DO ESTADO - ETE PROFESSOR ALCIDIO DE SOUZA PRADO  </t>
  </si>
  <si>
    <t>ESCOLA TECNICA DO ESTADO - ETE PROFESSOR ALFREDO DE BARROS SANTOS</t>
  </si>
  <si>
    <t xml:space="preserve">ESCOLA TECNICA DO ESTADO - ETE PROFESSOR BASILIDES GODOY         </t>
  </si>
  <si>
    <t xml:space="preserve">ESCOLA TECNICA DO ESTADO - ETE PROFESSOR CAMARGO ARANHA          </t>
  </si>
  <si>
    <t xml:space="preserve">ESCOLA TECNICA DO ESTADO - ETE PROFESSOR CARMELINO CORREA JUNIOR </t>
  </si>
  <si>
    <t xml:space="preserve">ESCOLA TECNICA DO ESTADO - ETE PROFESSOR CARMINE BIAGIO TUNDISI  </t>
  </si>
  <si>
    <t xml:space="preserve">ESCOLA TECNICA DO ESTADO - ETE PROFESSOR DOUTOR JOSE DAGNONI     </t>
  </si>
  <si>
    <t xml:space="preserve">ESCOLA TECNICA DO ESTADO - ETE PROFESSOR EDSON GALVAO            </t>
  </si>
  <si>
    <t xml:space="preserve">ESCOLA TECNICA DO ESTADO - ETE PROFESSOR EUDECIO LUIZ VICENTE    </t>
  </si>
  <si>
    <t xml:space="preserve">ESCOLA TECNICA DO ESTADO - ETE PROFESSOR FRANCISCO DOS SANTOS    </t>
  </si>
  <si>
    <t xml:space="preserve">ESCOLA TECNICA DO ESTADO - ETE PROFESSOR JOSE SANTANA DE CASTRO  </t>
  </si>
  <si>
    <t xml:space="preserve">ESCOLA TECNICA DO ESTADO - ETE PROFESSOR MATHEUS LEITE DE ABREU  </t>
  </si>
  <si>
    <t xml:space="preserve">ESCOLA TECNICA DO ESTADO - ETE PROFESSOR URIAS FERREIRA          </t>
  </si>
  <si>
    <t>ESCOLA TECNICA DO ESTADO - ETE PROFESSORA ANNA DE OLIVEIRA FERRAZ</t>
  </si>
  <si>
    <t xml:space="preserve">ESCOLA TECNICA DO ESTADO - ETE PROFESSORA CARMELINA BARBOSA      </t>
  </si>
  <si>
    <t xml:space="preserve">ESCOLA TECNICA DO ESTADO - ETE ROSA PERRONE SCAVONE              </t>
  </si>
  <si>
    <t xml:space="preserve">ESCOLA TECNICA DO ESTADO - ETE SALLES GOMES                      </t>
  </si>
  <si>
    <t xml:space="preserve">ESCOLA TECNICA DO ESTADO - ETE SAO JOSE DO RIO PARDO             </t>
  </si>
  <si>
    <t xml:space="preserve">ESCOLA TECNICA DO ESTADO - ETE SEBASTIANA AUGUSTA DE MORAES      </t>
  </si>
  <si>
    <t xml:space="preserve">ESCOLA TECNICA DO ESTADO - ETE SYLVIO DE MATTOS CARVALHO         </t>
  </si>
  <si>
    <t xml:space="preserve">ESCOLA TECNICA DO ESTADO - ETE TRAJANO CAMARGO                   </t>
  </si>
  <si>
    <t xml:space="preserve">ESCOLA TECNICA DO ESTADO - ETE VASCO ANTONIO VENCHIARUTTI        </t>
  </si>
  <si>
    <t xml:space="preserve">ESCOLA TECNICA DO ESTADO - ETE ZONA LESTE                        </t>
  </si>
  <si>
    <t xml:space="preserve">ESCOLA TECNICA DO ESTADO - ETE ZONA SUL                          </t>
  </si>
  <si>
    <t xml:space="preserve">ESCOLA TECNICA DO INSTITUTO DE TECNOLOGIA                        </t>
  </si>
  <si>
    <t xml:space="preserve">ESCOLA TECNICA ELECTRA                                           </t>
  </si>
  <si>
    <t xml:space="preserve">ESCOLA TECNICA EM ENFERMAGEM MADRE GRILLO MICHEL                 </t>
  </si>
  <si>
    <t xml:space="preserve">ESCOLA TECNICA ESTADUAL DE BIRIGUI                               </t>
  </si>
  <si>
    <t xml:space="preserve">ESCOLA TECNICA FORTEC                                            </t>
  </si>
  <si>
    <t xml:space="preserve">ESCOLA TECNICA FORTEC - PARQUE SAO VICENTE                       </t>
  </si>
  <si>
    <t xml:space="preserve">ESCOLA TECNICA FORTEC - PRAIA GRANDE                             </t>
  </si>
  <si>
    <t xml:space="preserve">ESCOLA TECNICA FORTEC - SAO VICENTE CENTRO                       </t>
  </si>
  <si>
    <t xml:space="preserve">ESCOLA TECNICA FREI GALVAO                                       </t>
  </si>
  <si>
    <t xml:space="preserve">ESCOLA TECNICA INFORIUM UNIDADE DE ENSINO II                     </t>
  </si>
  <si>
    <t xml:space="preserve">ESCOLA TECNICA JOSE RODRIGUES DA SILVA                           </t>
  </si>
  <si>
    <t xml:space="preserve">ESCOLA TECNICA LICEU DE ARTES E OFICIOS DE SAO PAULO             </t>
  </si>
  <si>
    <t xml:space="preserve">ESCOLA TECNICA MILLENNIUM                                        </t>
  </si>
  <si>
    <t xml:space="preserve">ESCOLA TECNICA MUNICIPAL DE ANDRELANDIA                          </t>
  </si>
  <si>
    <t xml:space="preserve">ESCOLA TECNICA MUNICIPAL DE SETE LAGOAS                          </t>
  </si>
  <si>
    <t xml:space="preserve">ESCOLA TECNICA PIRAMIDE                                          </t>
  </si>
  <si>
    <t xml:space="preserve">ESCOLA TECNICA PROFESSOR EVERARDO PASSOS DE CARAGUATATUBA        </t>
  </si>
  <si>
    <t xml:space="preserve">ESCOLA TECNICA PROFESSOR JOSE PAULO DE SOUZA                     </t>
  </si>
  <si>
    <t xml:space="preserve">ESCOLA TECNICA SANTA CLARA                                       </t>
  </si>
  <si>
    <t xml:space="preserve">ESCOLA TECNICA SANTA MARIA                                       </t>
  </si>
  <si>
    <t xml:space="preserve">ESCOLA TECNICA SAO FRANCISCO DE BORGIA                           </t>
  </si>
  <si>
    <t xml:space="preserve">ESCOLA TECNICA SEQUENCIAL                                        </t>
  </si>
  <si>
    <t xml:space="preserve">ESCOLA TECNICA SISTEMA - UNIDADE BASE LESTE                      </t>
  </si>
  <si>
    <t xml:space="preserve">ESCOLA TECNICA SISTEMA - UNIDADE BASE NORTE                      </t>
  </si>
  <si>
    <t xml:space="preserve">ESCOLA TECNICA SISTEMA - UNIDADE BASE OESTE                      </t>
  </si>
  <si>
    <t xml:space="preserve">ESCOLA TECNICA SISTEMA - UNIDADE POLO BARRA                      </t>
  </si>
  <si>
    <t xml:space="preserve">ESCOLA TECNICA SISTEMA - UNIDADE POLO C.GRANDE                   </t>
  </si>
  <si>
    <t xml:space="preserve">ESCOLA TECNICA SISTEMA - UNIDADE POLO MEIER                      </t>
  </si>
  <si>
    <t xml:space="preserve">ESCOLA TECNICA SISTEMA - UNIDADE POLO RECREIO                    </t>
  </si>
  <si>
    <t xml:space="preserve">ESCOLA TECNICA TECVAP                                            </t>
  </si>
  <si>
    <t xml:space="preserve">ESCOLA TECNICA TREINASSE                                         </t>
  </si>
  <si>
    <t xml:space="preserve">ESCOLA TECNICA UNIVERSITARIO                                     </t>
  </si>
  <si>
    <t xml:space="preserve">ESCOLA TECNICA VEGA                                              </t>
  </si>
  <si>
    <t xml:space="preserve">ESCOLA TECNICA 3D                                                </t>
  </si>
  <si>
    <t xml:space="preserve">ESCOLA TERESA FRANCISCA MARTIN                                   </t>
  </si>
  <si>
    <t xml:space="preserve">ESCOLA VITAL BRASIL                                              </t>
  </si>
  <si>
    <t xml:space="preserve">ESCOLA ZANG-FU DE ACUPUNTURA CLASSICA                            </t>
  </si>
  <si>
    <t xml:space="preserve">ESCOLAS INTEGRADAS PROFESSOR NIVALDO SALCH STIPP                 </t>
  </si>
  <si>
    <t xml:space="preserve">ESCOLAS REMINGTON                                                </t>
  </si>
  <si>
    <t xml:space="preserve">ESEL ESCOLA ELDORADO                                             </t>
  </si>
  <si>
    <t xml:space="preserve">ESESP - ESCOLA DE SERVICO PUBLICO DO ESPIRITO SANTO              </t>
  </si>
  <si>
    <t xml:space="preserve">ESPACO ACADEMICO FOCUS                                           </t>
  </si>
  <si>
    <t xml:space="preserve">ESPACO CULTURAL ART NOVA                                         </t>
  </si>
  <si>
    <t xml:space="preserve">ESTES - ESCOLA TECNICA DE SAUDE DA UFU                           </t>
  </si>
  <si>
    <t xml:space="preserve">ESTETICA INTEGRAL NOVA IMAGEM                                    </t>
  </si>
  <si>
    <t xml:space="preserve">ESTHETICS LIFE CURSOS TECNICOS PROFISSIONALIZANTES               </t>
  </si>
  <si>
    <t xml:space="preserve">ETAM - ESCOLA TECNICA DO ARSENAL DE MARINHA                      </t>
  </si>
  <si>
    <t xml:space="preserve">ETAM - SAO FRANCISCO DE ASSIS                                    </t>
  </si>
  <si>
    <t xml:space="preserve">ETAM FABIANO LOZANO                                              </t>
  </si>
  <si>
    <t xml:space="preserve">ETAME ESCOLA TECNICA DE ACUPUNTURA E MASSOTERAPIA                </t>
  </si>
  <si>
    <t xml:space="preserve">ETAP ESCOLA TECNICA DE APRENDIZADO PROFISSIONAL                  </t>
  </si>
  <si>
    <t xml:space="preserve">ETEBA - ESCOLA TECNICA BANANAL                                   </t>
  </si>
  <si>
    <t xml:space="preserve">ETESES - ESCOLA TECNICA DE SAUDE DO ESPIRITO SANTO               </t>
  </si>
  <si>
    <t xml:space="preserve">ETL - ESCOLA TECNICA DE LINS                                     </t>
  </si>
  <si>
    <t xml:space="preserve">ETM - ESCOLA TECNICA MOGIANA                                     </t>
  </si>
  <si>
    <t xml:space="preserve">EVATA EDUCACAO AVANCADA                                          </t>
  </si>
  <si>
    <t xml:space="preserve">EXPORT MANAGER BUSINESS SCHOOL                                   </t>
  </si>
  <si>
    <t xml:space="preserve">EXTERNATO CRUZEIRO DO SUL                                        </t>
  </si>
  <si>
    <t xml:space="preserve">EXTERNATO PADRE LUIZ TEZZA                                       </t>
  </si>
  <si>
    <t xml:space="preserve">F DE FIL CIENC E LETRAS DO IC NEWTON PAIVA                       </t>
  </si>
  <si>
    <t xml:space="preserve">Fac de Filosofia, Ciencias e Letras Eugenio Pacelli - FAFIEP     </t>
  </si>
  <si>
    <t xml:space="preserve">Fac. de C. Economicas e Administrativas de Santo Andre - FAECO   </t>
  </si>
  <si>
    <t xml:space="preserve">Fac. de C. Economicas, Adm. e Contabeis de Divinopolis - FACED   </t>
  </si>
  <si>
    <t xml:space="preserve">Fac. de Ciencias Adm, Economicas e Contabeis de Guaxupe - FACEG  </t>
  </si>
  <si>
    <t xml:space="preserve">Fac. de Ciencias Exatas e Tecnologicas Santo Agostinho - FACET   </t>
  </si>
  <si>
    <t xml:space="preserve">Fac. de Ciencias Medicas D. Jose Antonio G. Coutinho - FACIMPA   </t>
  </si>
  <si>
    <t xml:space="preserve">Fac. de Direito e Ciencias Sociais do Leste de Minas - FADILESTE </t>
  </si>
  <si>
    <t>Fac. de Fil. Ciencias e Letras Santa Marcelina de Muriae - FAFISM</t>
  </si>
  <si>
    <t xml:space="preserve">Fac. Filosofia, Ciencias e Letras Colatina - FAFIC               </t>
  </si>
  <si>
    <t>Fac. Int. de Ciencias Humanas, Saude e Educacao de Guarulhos - FG</t>
  </si>
  <si>
    <t xml:space="preserve">Faculdade de Administracao de Empresas Riopretense - FAER        </t>
  </si>
  <si>
    <t xml:space="preserve">Faculdade de Administracao e Financas - FADEC                    </t>
  </si>
  <si>
    <t xml:space="preserve">Faculdade de Administracao Champagnat                            </t>
  </si>
  <si>
    <t xml:space="preserve">Faculdade de Arquitetura e Urbanismo de Barra do Pirai           </t>
  </si>
  <si>
    <t xml:space="preserve">Faculdade de Ciencia e Letras de Fernandopolis                   </t>
  </si>
  <si>
    <t xml:space="preserve">Faculdade de Ciencias da Saude - FCS/FUMEC                       </t>
  </si>
  <si>
    <t xml:space="preserve">Faculdade de Ciencias da Saude de Patos de Minas                 </t>
  </si>
  <si>
    <t xml:space="preserve">Faculdade de Ciencias da Saude do Vale do Sapucai                </t>
  </si>
  <si>
    <t xml:space="preserve">Faculdade de Ciencias e Letras de Araguari                       </t>
  </si>
  <si>
    <t xml:space="preserve">Faculdade de Ciencias e Letras de Assis                          </t>
  </si>
  <si>
    <t xml:space="preserve">Faculdade de Ciencias Administrativas de Patos de Minas          </t>
  </si>
  <si>
    <t xml:space="preserve">Faculdade de Ciencias Agrarias de Patos de Minas                 </t>
  </si>
  <si>
    <t xml:space="preserve">Faculdade de Ciencias Biologicas e da Saude - FACIBIOS           </t>
  </si>
  <si>
    <t xml:space="preserve">Faculdade de Ciencias Contabeis de Divinopolis                   </t>
  </si>
  <si>
    <t xml:space="preserve">Faculdade de Ciencias Contabeis e Administracao de Jales         </t>
  </si>
  <si>
    <t xml:space="preserve">Faculdade de Ciencias Economicas de Divinopolis                  </t>
  </si>
  <si>
    <t xml:space="preserve">Faculdade de Ciencias Economicas de Valenca                      </t>
  </si>
  <si>
    <t xml:space="preserve">Faculdade de Ciencias Economicas, Administrativas e Contabeis    </t>
  </si>
  <si>
    <t xml:space="preserve">Faculdade de Ciencias Empresariais - FACE/FUMEC                  </t>
  </si>
  <si>
    <t xml:space="preserve">Faculdade de Ciencias Gerenciais - FACIG                         </t>
  </si>
  <si>
    <t xml:space="preserve">Faculdade de Ciencias Gerenciais de Cataguases                   </t>
  </si>
  <si>
    <t xml:space="preserve">Faculdade de Ciencias Gerenciais do Alto Paranaiba               </t>
  </si>
  <si>
    <t xml:space="preserve">Faculdade de Ciencias Humanas - FCH/FUMEC                        </t>
  </si>
  <si>
    <t xml:space="preserve">Faculdade de Ciencias Humanas de Para de Minas                   </t>
  </si>
  <si>
    <t xml:space="preserve">Faculdade de Ciencias Humanas de Pedro Leopoldo                  </t>
  </si>
  <si>
    <t xml:space="preserve">Faculdade de Ciencias Humanas do Sul Paulista                    </t>
  </si>
  <si>
    <t xml:space="preserve">Faculdade de Ciencias Humanas e Sociais - FACIHUS                </t>
  </si>
  <si>
    <t xml:space="preserve">Faculdade de Ciencias Juridicas - FCJ                            </t>
  </si>
  <si>
    <t xml:space="preserve">Faculdade de Ciencias Sociais Aplicadas Santo Agostinho - FACISA </t>
  </si>
  <si>
    <t xml:space="preserve">Faculdade de Direito - FADIR                                     </t>
  </si>
  <si>
    <t xml:space="preserve">Faculdade de Direito de Patos de Minas                           </t>
  </si>
  <si>
    <t xml:space="preserve">Faculdade de Direito de Sao Jose do Rio Preto - FADIR            </t>
  </si>
  <si>
    <t xml:space="preserve">Faculdade de Direito de Uberaba                                  </t>
  </si>
  <si>
    <t xml:space="preserve">Faculdade de Direito de Valenca                                  </t>
  </si>
  <si>
    <t xml:space="preserve">Faculdade de Direito do Alto Paranaiba                           </t>
  </si>
  <si>
    <t xml:space="preserve">Faculdade de Direito Estacio de Sa                               </t>
  </si>
  <si>
    <t xml:space="preserve">Faculdade de Direito Santo Agostinho - FADISA                    </t>
  </si>
  <si>
    <t xml:space="preserve">Faculdade de Educacao de Assis                                   </t>
  </si>
  <si>
    <t xml:space="preserve">Faculdade de Educacao Artistica - FACEART                        </t>
  </si>
  <si>
    <t xml:space="preserve">Faculdade de Educacao Fisica da ACM de Sorocaba                  </t>
  </si>
  <si>
    <t xml:space="preserve">Faculdade de Educacao Joao Monlevade                             </t>
  </si>
  <si>
    <t xml:space="preserve">Faculdade de Educacao, Ciencias e Letras de Sao Goncalo          </t>
  </si>
  <si>
    <t xml:space="preserve">Faculdade de Educacao, Ciencias e Letras Urubupunga - FECLU      </t>
  </si>
  <si>
    <t xml:space="preserve">Faculdade de Enfermagem e Obstetricia de Fernandopolis           </t>
  </si>
  <si>
    <t xml:space="preserve">Faculdade de Enfermagem e Obstetricia de Guarulhos               </t>
  </si>
  <si>
    <t xml:space="preserve">Faculdade de Engenharia de Varginha - Fenva                      </t>
  </si>
  <si>
    <t xml:space="preserve">Faculdade de Engenharia e Arquitetura - FEA/FUMEC                </t>
  </si>
  <si>
    <t xml:space="preserve">Faculdade de Engenharia e Arquitetura de Cataguases              </t>
  </si>
  <si>
    <t xml:space="preserve">Faculdade de Engenharia Civil de Barra do Pirai                  </t>
  </si>
  <si>
    <t xml:space="preserve">Faculdade de Engenharia Civil de Itajuba                         </t>
  </si>
  <si>
    <t xml:space="preserve">Faculdade de Engenharia Civil de Nova Iguacu                     </t>
  </si>
  <si>
    <t xml:space="preserve">Faculdade de Engenharia Engenheiro Celso Daniel - FAENG          </t>
  </si>
  <si>
    <t xml:space="preserve">Faculdade de Engenharia Industrial                               </t>
  </si>
  <si>
    <t xml:space="preserve">Faculdade de Engenharia Quimica de Lorena                        </t>
  </si>
  <si>
    <t xml:space="preserve">Faculdade de Filosofia do Alto Paranaiba                         </t>
  </si>
  <si>
    <t xml:space="preserve">Faculdade de Filosofia e Letras de Diamantina - FAFIDIA          </t>
  </si>
  <si>
    <t xml:space="preserve">Faculdade de Filosofia, Ciencias e Letras - FAFIL                </t>
  </si>
  <si>
    <t xml:space="preserve">Faculdade de Filosofia, Ciencias e Letras de Adamantina          </t>
  </si>
  <si>
    <t xml:space="preserve">Faculdade de Filosofia, Ciencias e Letras de Assis               </t>
  </si>
  <si>
    <t xml:space="preserve">Faculdade de Filosofia, Ciencias e Letras de Guarulhos           </t>
  </si>
  <si>
    <t xml:space="preserve">Faculdade de Filosofia, Ciencias e Letras de Jales               </t>
  </si>
  <si>
    <t xml:space="preserve">Faculdade de Filosofia, Ciencias e Letras de Manhuacu            </t>
  </si>
  <si>
    <t xml:space="preserve">Faculdade de Filosofia, Ciencias e Letras de Patrocinio - FAFI   </t>
  </si>
  <si>
    <t xml:space="preserve">Faculdade de Filosofia, Ciencias e Letras de Santo Andre - FAFIL </t>
  </si>
  <si>
    <t xml:space="preserve">Faculdade de Filosofia, Ciencias e Letras de Valenca             </t>
  </si>
  <si>
    <t xml:space="preserve">Faculdade de Filosofia, Ciencias e Letras de Varginha - Fafi     </t>
  </si>
  <si>
    <t xml:space="preserve">Faculdade de Filosofia, Ciencias e Letras do Norte de Minas      </t>
  </si>
  <si>
    <t xml:space="preserve">Faculdade de Filosofia, Ciencias e Letras Dom Bosco - FFCLDB     </t>
  </si>
  <si>
    <t xml:space="preserve">Faculdade de Fisioterapia de Guarulhos                           </t>
  </si>
  <si>
    <t xml:space="preserve">Faculdade de Fisioterapia de Patrocinio - FAFISIO                </t>
  </si>
  <si>
    <t xml:space="preserve">Faculdade de Humanidades Pedro II                                </t>
  </si>
  <si>
    <t xml:space="preserve">Faculdade de Medicina - FAMED                                    </t>
  </si>
  <si>
    <t xml:space="preserve">Faculdade de Medicina de Sao Jose do Rio Preto                   </t>
  </si>
  <si>
    <t xml:space="preserve">Faculdade de Medicina de Valenca                                 </t>
  </si>
  <si>
    <t xml:space="preserve">Faculdade de Odontologia de Uberaba                              </t>
  </si>
  <si>
    <t xml:space="preserve">Faculdade de Odontologia de Valenca                              </t>
  </si>
  <si>
    <t xml:space="preserve">Faculdade de Para de Minas                                       </t>
  </si>
  <si>
    <t xml:space="preserve">Faculdade de Saude e Desenvolvimento Humano Santo Agostinho - FS </t>
  </si>
  <si>
    <t xml:space="preserve">Faculdade de Teologia da Igreja Metodista                        </t>
  </si>
  <si>
    <t xml:space="preserve">Faculdade de Veterinaria de Valenca                              </t>
  </si>
  <si>
    <t xml:space="preserve">Faculdade Assembleiana de Brasilia                               </t>
  </si>
  <si>
    <t xml:space="preserve">Faculdade Auxilium de Filosofia Ciencias e Letras de Lins - FAL  </t>
  </si>
  <si>
    <t xml:space="preserve">Faculdade Dom Bosco de Filosofia, Ciencias e Letras              </t>
  </si>
  <si>
    <t xml:space="preserve">Faculdade Euclides da Cunha - FEUC                               </t>
  </si>
  <si>
    <t xml:space="preserve">Faculdade Jesuita de Filosofia e Teologia                        </t>
  </si>
  <si>
    <t xml:space="preserve">Faculdade Regiao dos Lagos - FERLAGOS                            </t>
  </si>
  <si>
    <t xml:space="preserve">Faculdade Sao Camilo - FASC                                      </t>
  </si>
  <si>
    <t xml:space="preserve">Faculdade Sao Camilo - FASC-MG                                   </t>
  </si>
  <si>
    <t xml:space="preserve">Faculdade Sao Camilo - FSC                                       </t>
  </si>
  <si>
    <t xml:space="preserve">Faculdades Integradas de Cataguases - FIC                        </t>
  </si>
  <si>
    <t xml:space="preserve">Faculdades Integradas de Fernandopolis                           </t>
  </si>
  <si>
    <t xml:space="preserve">Faculdades Integradas de Jales                                   </t>
  </si>
  <si>
    <t xml:space="preserve">Faculdades Integradas de Paranaiba - FIPAR                       </t>
  </si>
  <si>
    <t xml:space="preserve">Faculdades Integradas de Patrocinio - FIP                        </t>
  </si>
  <si>
    <t xml:space="preserve">Faculdades Integradas de Sao Goncalo                             </t>
  </si>
  <si>
    <t xml:space="preserve">Faculdades Integradas de Uberaba - FIUBE                         </t>
  </si>
  <si>
    <t xml:space="preserve">Faculdades Integradas do Alto Paranaiba - FIAP                   </t>
  </si>
  <si>
    <t xml:space="preserve">Faculdades Integradas do Vale do Ribeira - FIVR                  </t>
  </si>
  <si>
    <t xml:space="preserve">Faculdades Integradas Castelo Branco - FICAB                     </t>
  </si>
  <si>
    <t xml:space="preserve">Faculdades Integradas Estacio de Sa                              </t>
  </si>
  <si>
    <t xml:space="preserve">Faculdades Integradas Geraldo Di Biase                           </t>
  </si>
  <si>
    <t xml:space="preserve">Faculdades Integradas Jacarepagua                                </t>
  </si>
  <si>
    <t xml:space="preserve">Faculdades Integradas Riopretense - FIRP                         </t>
  </si>
  <si>
    <t xml:space="preserve">Faculdades Integradas Severino Sombra                            </t>
  </si>
  <si>
    <t xml:space="preserve">Faculdades Integradas Urubupunga                                 </t>
  </si>
  <si>
    <t xml:space="preserve">Faculdades Unidas do Norte de Minas                              </t>
  </si>
  <si>
    <t xml:space="preserve">Faculdades Unidas do Norte de Minas - FUNORTE                    </t>
  </si>
  <si>
    <t xml:space="preserve">Fundacao de Ensino e Pesquisa do Sul de Minas                    </t>
  </si>
  <si>
    <t xml:space="preserve">Fundacao de Ensino Superior de Passos                            </t>
  </si>
  <si>
    <t xml:space="preserve">Fundacao de Ensino Superior de Sao Joao Del Rei - FUNREI         </t>
  </si>
  <si>
    <t xml:space="preserve">Fundacao de Filosofia, Ciencias e Letras de Tres Coracoes        </t>
  </si>
  <si>
    <t xml:space="preserve">Fundacao Carmelitana Mario Palmerio                              </t>
  </si>
  <si>
    <t xml:space="preserve">Fundacao Educacional de Alem Paraiba                             </t>
  </si>
  <si>
    <t xml:space="preserve">Fundacao Educacional de Caratinga - FUNEC                        </t>
  </si>
  <si>
    <t xml:space="preserve">Fundacao Getulio Vargas                                          </t>
  </si>
  <si>
    <t xml:space="preserve">Fundacao Mineira de Arte Aleijadinho - FUMA                      </t>
  </si>
  <si>
    <t xml:space="preserve">Fundacao Norte-Mineira de Ensino Superior - FUNM                 </t>
  </si>
  <si>
    <t xml:space="preserve">Fundacao Universidade do Sul de Minas                            </t>
  </si>
  <si>
    <t xml:space="preserve">Fundacao Universidade do Vale do Sapucai                         </t>
  </si>
  <si>
    <t xml:space="preserve">Fundacao Universitaria Sul-Fluminense - FUSF                     </t>
  </si>
  <si>
    <t xml:space="preserve">FAC ADAMANTINESES INTEGRADAS                                     </t>
  </si>
  <si>
    <t xml:space="preserve">FAC ALBERT EINSTEIN - FALBE                                      </t>
  </si>
  <si>
    <t xml:space="preserve">FAC ALBERT EINSTEIN DE SAO PAULO - FAESP                         </t>
  </si>
  <si>
    <t xml:space="preserve">FAC ALDEIA DE CARAPICUIBA                                        </t>
  </si>
  <si>
    <t xml:space="preserve">FAC ANHANGUERA DE CIENCIAS HUMANAS                               </t>
  </si>
  <si>
    <t xml:space="preserve">FAC ASSOCIADAS DE ENSINO DE SAO JOAO DA BOA VISTA                </t>
  </si>
  <si>
    <t xml:space="preserve">FAC BANDEIRANTE FIL CIENC E LET BRAGANCA PAULISTA                </t>
  </si>
  <si>
    <t xml:space="preserve">FAC BRASILEIRA DE CIENCIAS JURIDICAS                             </t>
  </si>
  <si>
    <t xml:space="preserve">FAC CASPER LIBERO - FCL                                          </t>
  </si>
  <si>
    <t xml:space="preserve">FAC CIENC BIO E SAUDE UNIAO DA VITORIA                           </t>
  </si>
  <si>
    <t xml:space="preserve">FAC CIENC CONT ADM E ECN DO INST CULT NEWTON PAIVA               </t>
  </si>
  <si>
    <t xml:space="preserve">FAC CIENC CONT E ADM DE SAO JOAO DA BOA VISTA                    </t>
  </si>
  <si>
    <t xml:space="preserve">FAC CIENC CONTABEIS E ADMINISTRACAO DE TUPA                      </t>
  </si>
  <si>
    <t xml:space="preserve">FAC CIENC ECON E ADMIN DE SAO JOSE DO RIO PRETO                  </t>
  </si>
  <si>
    <t xml:space="preserve">FAC CIENC ECONOMIC ADMIN E CONTABEIS DE SAO SEBASTIAO DO PARAISO </t>
  </si>
  <si>
    <t xml:space="preserve">FAC CIENC ECONOMICAS E COMERCIAIS DE SANTOS                      </t>
  </si>
  <si>
    <t xml:space="preserve">FAC CIENC EDUCACAO E TEOLOGIA DO NORTE DO BRASIL                 </t>
  </si>
  <si>
    <t xml:space="preserve">FAC CIENC JURIDICAS DO PLANALTO CENTRAL                          </t>
  </si>
  <si>
    <t xml:space="preserve">FAC CIENC LET EUGENIO PACELLI                                    </t>
  </si>
  <si>
    <t xml:space="preserve">FAC CIENCIAS CONTABEIS E ADMINISTRATIVAS CACHOEIRO DE ITAPEMIRIM </t>
  </si>
  <si>
    <t xml:space="preserve">FAC CIENCIAS E EDUCACAO DE CRICIUMA                              </t>
  </si>
  <si>
    <t xml:space="preserve">FAC CIENCIAS ECONOM ADM E CONTABEIS DE SAO JOAO DEL REI          </t>
  </si>
  <si>
    <t xml:space="preserve">FAC DA TERRA DE BRASILIA                                         </t>
  </si>
  <si>
    <t xml:space="preserve">FAC DE ADM CIENCIAS ECONOMICAS E CONTABEIS DE GUARATINGUETA      </t>
  </si>
  <si>
    <t xml:space="preserve">FAC DE ADM E INFORMATICA DE SANTA RITA DO SAPUCAI                </t>
  </si>
  <si>
    <t xml:space="preserve">FAC DE ADM. ESCOLA SUPERIOR PROFESSOR PAULO MARTINS              </t>
  </si>
  <si>
    <t xml:space="preserve">FAC DE ADMINISTRACAO DE BRASILIA - AIEC / FAAB                   </t>
  </si>
  <si>
    <t xml:space="preserve">FAC DE ADMINISTRACAO E FINANCAS DO NORTE DE MINAS                </t>
  </si>
  <si>
    <t xml:space="preserve">FAC DE ADMINISTRACAO GERAL - FAAEMA                              </t>
  </si>
  <si>
    <t xml:space="preserve">FAC DE ADMINISTRACAO JK - FACULDADE JK                           </t>
  </si>
  <si>
    <t xml:space="preserve">FAC DE ARQUITETURA E URBANISMO DO PLANALTO CENTRAL - FAUPLAC     </t>
  </si>
  <si>
    <t xml:space="preserve">FAC DE ARTES DULCINA DE MORAES - FADM                            </t>
  </si>
  <si>
    <t xml:space="preserve">FAC DE ARTES PLASTICAS DA FUND ARMANDO ALVARES PENTEADO          </t>
  </si>
  <si>
    <t xml:space="preserve">FAC DE CIENC E LET DE APUCARANA                                  </t>
  </si>
  <si>
    <t xml:space="preserve">FAC DE CIENC ECON CONT E ADMIN DE VISCONDE DO RIO BRANCO         </t>
  </si>
  <si>
    <t xml:space="preserve">FAC DE CIENCIA E TECNOLOGIA DO PLANALTO CENTRAL - FACIPLAC       </t>
  </si>
  <si>
    <t xml:space="preserve">FAC DE CIENCIAS ADMINISTRATIVAS E CONTABEIS UNA                  </t>
  </si>
  <si>
    <t xml:space="preserve">FAC DE CIENCIAS AGRARIAS DO PLANALTO CENTRAL - AGROPLAC          </t>
  </si>
  <si>
    <t xml:space="preserve">FAC DE CIENCIAS BIOLOGICAS JK - FACULDADE JK                     </t>
  </si>
  <si>
    <t xml:space="preserve">FAC DE CIENCIAS CONTABEIS DO PLANALTO CENTRAL - CONPLAC          </t>
  </si>
  <si>
    <t xml:space="preserve">FAC DE CIENCIAS DA FUND EDUCACIONAL DE BARRETOS                  </t>
  </si>
  <si>
    <t xml:space="preserve">FAC DE CIENCIAS DA SAUDE - FASU                                  </t>
  </si>
  <si>
    <t xml:space="preserve">FAC DE CIENCIAS DA SAUDE DE SAO PAULO - FACIS                    </t>
  </si>
  <si>
    <t xml:space="preserve">FAC DE CIENCIAS DE BRASILIA - FACIBRA - FACIBRA                  </t>
  </si>
  <si>
    <t xml:space="preserve">FAC DE CIENCIAS E LETRAS CRUZEIRO DO SUL                         </t>
  </si>
  <si>
    <t xml:space="preserve">FAC DE CIENCIAS E LETRAS DE BRAGANCA PAULISTA                    </t>
  </si>
  <si>
    <t xml:space="preserve">FAC DE CIENCIAS ECON CONTABEIS E ADMINISTRATIVAS DE BARBACENA    </t>
  </si>
  <si>
    <t xml:space="preserve">FAC DE CIENCIAS ECONOMICAS ADM E CONTABEIS DE SS PARAISO         </t>
  </si>
  <si>
    <t xml:space="preserve">FAC DE CIENCIAS ECONOMICAS ADMINISTRATIVAS E CONTABEIS DE BH     </t>
  </si>
  <si>
    <t xml:space="preserve">FAC DE CIENCIAS ECONOMICAS CONT E DE ADM DE VARGINHA             </t>
  </si>
  <si>
    <t xml:space="preserve">FAC DE CIENCIAS HUMANAS E SOCIAIS - FCHS                         </t>
  </si>
  <si>
    <t xml:space="preserve">FAC DE CIENCIAS LETRAS E EDUCACAO DE PRES PRUDENTE               </t>
  </si>
  <si>
    <t xml:space="preserve">FAC DE CIENCIAS LETRAS E EDUCACAO DE PRESIDENTE PRUDENTE         </t>
  </si>
  <si>
    <t xml:space="preserve">FAC DE CIENCIAS MEDICAS DA SANTA CASA SAO PAULO - FCMSCSP        </t>
  </si>
  <si>
    <t xml:space="preserve">FAC DE CIENCIAS MEDICAS E PARAMEDICAS FLUMINENSE - SEFLU         </t>
  </si>
  <si>
    <t xml:space="preserve">FAC DE CIENCIAS POLITICAS E ECONOMICAS DO RJ                     </t>
  </si>
  <si>
    <t xml:space="preserve">FAC DE CIENCIAS SOCIAIS APLICADAS - EVANDRO LINS E SILVA         </t>
  </si>
  <si>
    <t xml:space="preserve">FAC DE DIREITO DA ALTA PAULISTA                                  </t>
  </si>
  <si>
    <t xml:space="preserve">FAC DE DIREITO DA FUNDACAO ARMANDO ALVARES PENTEADO - FAD-FAAP   </t>
  </si>
  <si>
    <t xml:space="preserve">FAC DE DIREITO DE CURITIBA                                       </t>
  </si>
  <si>
    <t xml:space="preserve">FAC DE DIREITO DE PINHAL                                         </t>
  </si>
  <si>
    <t xml:space="preserve">FAC DE DIREITO DE SAO BERNARDO DO CAMPO                          </t>
  </si>
  <si>
    <t xml:space="preserve">FAC DE DIREITO DE SOROCABA                                       </t>
  </si>
  <si>
    <t xml:space="preserve">FAC DE ECONOMIA DA FUNDACAO ARMANDO ALVARES PENTEADO - FEC-FAAP  </t>
  </si>
  <si>
    <t xml:space="preserve">FAC DE ECONOMIA E ADMINISTRACAO DO IBMEC - IBMEC                 </t>
  </si>
  <si>
    <t xml:space="preserve">FAC DE ECONOMIA E FINANCAS DO RIO DE JANEIRO - FEFRJ             </t>
  </si>
  <si>
    <t xml:space="preserve">FAC DE ECONOMIA E FINANCAS IBMEC - IBMEC                         </t>
  </si>
  <si>
    <t xml:space="preserve">FAC DE ECONOMIA SAO LUIS                                         </t>
  </si>
  <si>
    <t xml:space="preserve">FAC DE ED FISICA DA ALTA ARARAQUARENSE                           </t>
  </si>
  <si>
    <t xml:space="preserve">FAC DE ED FISICA DO CLUBE NAUTICO MOGIANO                        </t>
  </si>
  <si>
    <t xml:space="preserve">FAC DE EDUC CIENCIAS E ARTES DOM BOSCO DE MONTE APRAZIVEL        </t>
  </si>
  <si>
    <t xml:space="preserve">FAC DE EDUC FILOSOF CIENC E LET SENADOR FLAQUER                  </t>
  </si>
  <si>
    <t xml:space="preserve">FAC DE EDUC FISICA DE BARRA BONITA                               </t>
  </si>
  <si>
    <t xml:space="preserve">FAC DE EDUCACAO CIENCIAS E ARTES D BOSCO DE MONTE APRAZIVEL      </t>
  </si>
  <si>
    <t xml:space="preserve">FAC DE EDUCACAO CIENCIAS E LETRAS DE ARAGUAINA                   </t>
  </si>
  <si>
    <t xml:space="preserve">FAC DE EDUCACAO CIENCIAS E LETRAS DE QUIRINOPOLIS                </t>
  </si>
  <si>
    <t xml:space="preserve">FAC DE EDUCACAO CIENCIAS E LETRAS DOM DOMENICO                   </t>
  </si>
  <si>
    <t xml:space="preserve">FAC DE EDUCACAO CIENCIAS E LETRAS NOTRE DAME                     </t>
  </si>
  <si>
    <t xml:space="preserve">FAC DE EDUCACAO E EST SOCIAIS DE ESMERALDAS                      </t>
  </si>
  <si>
    <t xml:space="preserve">FAC DE EDUCACAO FISICA DO INST PARAIBANOS DE EDUCACAO            </t>
  </si>
  <si>
    <t xml:space="preserve">FAC DE ENFERMAGEM DO HOSPITAL ISRAELITA ALBERT EINSTEIN - FEHIAE </t>
  </si>
  <si>
    <t xml:space="preserve">FAC DE ENFERMAGEM DO PLANALTO CENTRAL - FENPLAC                  </t>
  </si>
  <si>
    <t xml:space="preserve">FAC DE ENFERMAGEM E OBSTETRICIA DON DOMENICO                     </t>
  </si>
  <si>
    <t xml:space="preserve">FAC DE ENFERMAGEM LUIZA DE MARILLAC - FELM                       </t>
  </si>
  <si>
    <t xml:space="preserve">FAC DE ENGENHARIA CIVIL DE ALFENAS                               </t>
  </si>
  <si>
    <t xml:space="preserve">FAC DE ENGENHARIA E AGRIMENSURA DE PIRASSUNUNGA - FEAP - FEAP    </t>
  </si>
  <si>
    <t xml:space="preserve">FAC DE ENGENHARIA SAO PAULO - FESP                               </t>
  </si>
  <si>
    <t xml:space="preserve">FAC DE ENGENHARIA SOUZA MARQUES - FESM                           </t>
  </si>
  <si>
    <t xml:space="preserve">FAC DE ESTUDOS SOCIAIS REGINA COELI                              </t>
  </si>
  <si>
    <t xml:space="preserve">FAC DE FARMACIA DO PLANALTO CENTRAL - FARMPLAC                   </t>
  </si>
  <si>
    <t xml:space="preserve">FAC DE FIL CIENC E LETR DA ORG MOGIANA DE EDUCACAO E CULTURA     </t>
  </si>
  <si>
    <t xml:space="preserve">FAC DE FIL CIENCIAS E LETRAS DA FD NORTE MINEIRA DE ENS SUPERIOR </t>
  </si>
  <si>
    <t>FAC DE FIL CIENCIAS E LETRAS DA FUND DE ENS SUP DO OESTE DE MINAS</t>
  </si>
  <si>
    <t xml:space="preserve">FAC DE FIL CIENCIAS E LETRAS DAS FAC ASSOCIADAS DO IPIRANGA      </t>
  </si>
  <si>
    <t xml:space="preserve">FAC DE FIL CIENCIAS E LETRAS DE ALEGRE                           </t>
  </si>
  <si>
    <t xml:space="preserve">FAC DE FIL CIENCIAS E LETRAS DE ARAPONGAS                        </t>
  </si>
  <si>
    <t xml:space="preserve">FAC DE FIL CIENCIAS E LETRAS DE BARAO DE MAUA                    </t>
  </si>
  <si>
    <t xml:space="preserve">FAC DE FIL CIENCIAS E LETRAS DE BARRA DO PIRAI                   </t>
  </si>
  <si>
    <t xml:space="preserve">FAC DE FIL CIENCIAS E LETRAS DE BEBEDOURO                        </t>
  </si>
  <si>
    <t xml:space="preserve">FAC DE FIL CIENCIAS E LETRAS DE BELO HORIZONTE                   </t>
  </si>
  <si>
    <t xml:space="preserve">FAC DE FIL CIENCIAS E LETRAS DE BOA ESPERANCA                    </t>
  </si>
  <si>
    <t xml:space="preserve">FAC DE FIL CIENCIAS E LETRAS DE CARANGOLA                        </t>
  </si>
  <si>
    <t xml:space="preserve">FAC DE FIL CIENCIAS E LETRAS DE CARATINGA                        </t>
  </si>
  <si>
    <t xml:space="preserve">FAC DE FIL CIENCIAS E LETRAS DE CONGONHAS                        </t>
  </si>
  <si>
    <t xml:space="preserve">FAC DE FIL CIENCIAS E LETRAS DE CRUZEIRO                         </t>
  </si>
  <si>
    <t xml:space="preserve">FAC DE FIL CIENCIAS E LETRAS DE DIVINOPOLIS                      </t>
  </si>
  <si>
    <t xml:space="preserve">FAC DE FIL CIENCIAS E LETRAS DE DUQUE DE CAXIAS                  </t>
  </si>
  <si>
    <t xml:space="preserve">FAC DE FIL CIENCIAS E LETRAS DE FORMIGA                          </t>
  </si>
  <si>
    <t xml:space="preserve">FAC DE FIL CIENCIAS E LETRAS DE GOV VALADARES                    </t>
  </si>
  <si>
    <t xml:space="preserve">FAC DE FIL CIENCIAS E LETRAS DE ITAPETININGA                     </t>
  </si>
  <si>
    <t xml:space="preserve">FAC DE FIL CIENCIAS E LETRAS DE ITAUNA                           </t>
  </si>
  <si>
    <t xml:space="preserve">FAC DE FIL CIENCIAS E LETRAS DE ITUMBIARA                        </t>
  </si>
  <si>
    <t xml:space="preserve">FAC DE FIL CIENCIAS E LETRAS DE LAVRAS                           </t>
  </si>
  <si>
    <t xml:space="preserve">FAC DE FIL CIENCIAS E LETRAS DE MONTES CLAROS                    </t>
  </si>
  <si>
    <t xml:space="preserve">FAC DE FIL CIENCIAS E LETRAS DE OURO FINO                        </t>
  </si>
  <si>
    <t xml:space="preserve">FAC DE FIL CIENCIAS E LETRAS DE PATOS DE MINAS                   </t>
  </si>
  <si>
    <t xml:space="preserve">FAC DE FIL CIENCIAS E LETRAS DE PATROCNIO                        </t>
  </si>
  <si>
    <t xml:space="preserve">FAC DE FIL CIENCIAS E LETRAS DE SAO BERNARDO DO CAMPO            </t>
  </si>
  <si>
    <t xml:space="preserve">FAC DE FIL CIENCIAS E LETRAS DE SAO CAETANO DO SUL               </t>
  </si>
  <si>
    <t xml:space="preserve">FAC DE FIL CIENCIAS E LETRAS DE SAO MARCOS                       </t>
  </si>
  <si>
    <t xml:space="preserve">FAC DE FIL CIENCIAS E LETRAS DE SETE LAGOAS                      </t>
  </si>
  <si>
    <t xml:space="preserve">FAC DE FIL CIENCIAS E LETRAS DE SOROCABA                         </t>
  </si>
  <si>
    <t xml:space="preserve">FAC DE FIL CIENCIAS E LETRAS DE TEOFILO OTONI                    </t>
  </si>
  <si>
    <t xml:space="preserve">FAC DE FIL CIENCIAS E LETRAS DE TRES CORACOES                    </t>
  </si>
  <si>
    <t xml:space="preserve">FAC DE FIL CIENCIAS E LETRAS DE TUPA                             </t>
  </si>
  <si>
    <t xml:space="preserve">FAC DE FIL CIENCIAS E LETRAS DE UBA                              </t>
  </si>
  <si>
    <t xml:space="preserve">FAC DE FIL CIENCIAS E LETRAS DE VARGINHA                         </t>
  </si>
  <si>
    <t xml:space="preserve">FAC DE FIL CIENCIAS E LETRAS DE VASSOURAS                        </t>
  </si>
  <si>
    <t xml:space="preserve">FAC DE FIL CIENCIAS E LETRAS DE VOLTA REDONDA                    </t>
  </si>
  <si>
    <t xml:space="preserve">FAC DE FIL CIENCIAS E LETRAS DE VOTUPORANGA                      </t>
  </si>
  <si>
    <t xml:space="preserve">FAC DE FIL CIENCIAS E LETRAS DO ALTO SAO FRANCISCO               </t>
  </si>
  <si>
    <t xml:space="preserve">FAC DE FIL CIENCIAS E LETRAS DO IC NEWTON P FERREIRA             </t>
  </si>
  <si>
    <t xml:space="preserve">FAC DE FIL CIENCIAS E LETRAS DO IC NEWTON PAIVA                  </t>
  </si>
  <si>
    <t xml:space="preserve">FAC DE FIL CIENCIAS E LETRAS DO IC NEWTON PAIVA F                </t>
  </si>
  <si>
    <t xml:space="preserve">FAC DE FIL CIENCIAS E LETRAS DO IC NEWTON PAIVA FERREIRA         </t>
  </si>
  <si>
    <t xml:space="preserve">FAC DE FIL CIENCIAS E LETRAS DO IC NEWTON PAIVA FR               </t>
  </si>
  <si>
    <t xml:space="preserve">FAC DE FIL CIENCIAS E LETRAS DO INST MET IZABELA HENDRIX         </t>
  </si>
  <si>
    <t xml:space="preserve">FAC DE FIL CIENCIAS E LETRAS DO NORTE DE MINAS                   </t>
  </si>
  <si>
    <t xml:space="preserve">FAC DE FIL CIENCIAS E LETRAS FARIAS BRITO                        </t>
  </si>
  <si>
    <t xml:space="preserve">FAC DE FIL CIENCIAS E LETRAS JOSE OLYMPIO                        </t>
  </si>
  <si>
    <t xml:space="preserve">FAC DE FIL CIENCIAS E LETRAS NOSSA SENHORA DE SION               </t>
  </si>
  <si>
    <t xml:space="preserve">FAC DE FIL CIENCIAS E LETRAS NOSSA SENHORA DO PATROCINIO         </t>
  </si>
  <si>
    <t xml:space="preserve">FAC DE FIL CIENCIAS E LETRAS NOVE DE JULHO                       </t>
  </si>
  <si>
    <t xml:space="preserve">FAC DE FIL CIENCIAS E LETRAS PROF CARLOS PASQUALE                </t>
  </si>
  <si>
    <t xml:space="preserve">FAC DE FIL CIENCIAS E LETRAS SANTA MARCELINA                     </t>
  </si>
  <si>
    <t xml:space="preserve">FAC DE FIL CIENCIAS E LETRAS SANTO TOMAS DE AQUINO               </t>
  </si>
  <si>
    <t xml:space="preserve">FAC DE FILOSF CIENC E LET DE BARRA MANSA                         </t>
  </si>
  <si>
    <t xml:space="preserve">FAC DE FILOSOF CIENC E LET DE CABO FRIO                          </t>
  </si>
  <si>
    <t xml:space="preserve">FAC DE FILOSOF CIENC E LET DE PALMAS                             </t>
  </si>
  <si>
    <t xml:space="preserve">FAC DE FILOSOF CIENC E LETRAS DE UBERLANDIA                      </t>
  </si>
  <si>
    <t xml:space="preserve">FAC DE FILOSOF NOSSA SRA DA IMACULADA CONCEICAO                  </t>
  </si>
  <si>
    <t xml:space="preserve">FAC DE FILOSOFIA CIENCIAS E LETRAS DE ITAJUBA                    </t>
  </si>
  <si>
    <t xml:space="preserve">FAC DE FILOSOFIA CIENCIAS E LETRAS DE MANDAGUARI                 </t>
  </si>
  <si>
    <t xml:space="preserve">FAC DE FILOSOFIA CIENCIAS E LETRAS DE MOGI MIRIM                 </t>
  </si>
  <si>
    <t xml:space="preserve">FAC DE FILOSOFIA CIENCIAS E LETRAS DE TAUBATE                    </t>
  </si>
  <si>
    <t xml:space="preserve">FAC DE FILOSOFIA CIENCIAS E LETRAS MADRE GERTRUDES DE SAO JOSE   </t>
  </si>
  <si>
    <t xml:space="preserve">FAC DE FILOSOFIA CIENCIAS E LETRAS SOUZA MARQUES - FFCL          </t>
  </si>
  <si>
    <t xml:space="preserve">FAC DE FILOSOFIA CORA CORALINA                                   </t>
  </si>
  <si>
    <t xml:space="preserve">FAC DE FILOSOFICA CIENCIAS E LETRAS SEDES SAPIENTIAE             </t>
  </si>
  <si>
    <t xml:space="preserve">FAC DE INFORMATICA E ADMINISTRACAO PAULISTA - FIAP               </t>
  </si>
  <si>
    <t xml:space="preserve">FAC DE INFORMATICA LEMOS DE CASTRO - FILC                        </t>
  </si>
  <si>
    <t xml:space="preserve">FAC DE MEDICINA DA UNIVERSIDADE DO PORTO                         </t>
  </si>
  <si>
    <t xml:space="preserve">FAC DE MEDICINA DE SAO JOSE DO RIO PRETO - FAMERP                </t>
  </si>
  <si>
    <t xml:space="preserve">FAC DE MEDICINA DO ABC - FMABC                                   </t>
  </si>
  <si>
    <t xml:space="preserve">FAC DE MEDICINA DO PLANALTO CENTRAL - FAMEPLAC                   </t>
  </si>
  <si>
    <t xml:space="preserve">FAC DE MUSICA CARLOS GOMES - FMCG                                </t>
  </si>
  <si>
    <t xml:space="preserve">FAC DE NEGOCIOS E TECNOLOGIAS DA INFORMACAO                      </t>
  </si>
  <si>
    <t xml:space="preserve">FAC DE ODONTOLOGIA DO PLANALTO CENTRAL - FOPLAC                  </t>
  </si>
  <si>
    <t xml:space="preserve">FAC DE ODONTOLOGIA SAO LEOPOLDO MANDIC - SLMANDIC                </t>
  </si>
  <si>
    <t xml:space="preserve">FAC DE PRESIDENTE PRUDENTE - FAPEPE                              </t>
  </si>
  <si>
    <t xml:space="preserve">FAC DE REABILITACAO DA ASCE - FRASCE                             </t>
  </si>
  <si>
    <t xml:space="preserve">FAC DE REABILITACAO DO PLANALTO CENTRAL - FARPLAC                </t>
  </si>
  <si>
    <t xml:space="preserve">FAC DE SAO BENTO - FASB                                          </t>
  </si>
  <si>
    <t xml:space="preserve">FAC DE SAO BERNARDO DO CAMPO - FASB - FASB I                     </t>
  </si>
  <si>
    <t xml:space="preserve">FAC DE SAUDE DE SAO PAULO - FASSP                                </t>
  </si>
  <si>
    <t xml:space="preserve">FAC DE TECNOL. EM HOTELARIA, GASTRONOMIA E TURISMO DE SAO PAULO  </t>
  </si>
  <si>
    <t xml:space="preserve">FAC DE TECNOLOGIA ALBERT EINSTEIN -                              </t>
  </si>
  <si>
    <t xml:space="preserve">FAC DE TECNOLOGIA ALVARES DE AZEVEDO - FAATESP                   </t>
  </si>
  <si>
    <t xml:space="preserve">FAC DE TECNOLOGIA BRASILIA DE SAO PAULO -                        </t>
  </si>
  <si>
    <t xml:space="preserve">FAC DE TECNOLOGIA CARLOS DRUMMOND DE ANDRADE - CSET DRUMMOND     </t>
  </si>
  <si>
    <t xml:space="preserve">FAC DE TECNOLOGIA CERTUS - CERTUS                                </t>
  </si>
  <si>
    <t xml:space="preserve">FAC DE TECNOLOGIA DA BAIXADA SANTISTA - FATEC-BS                 </t>
  </si>
  <si>
    <t xml:space="preserve">FAC DE TECNOLOGIA DAS AMERICAS - CATEC                           </t>
  </si>
  <si>
    <t xml:space="preserve">FAC DE TECNOLOGIA DE BRASILIA                                    </t>
  </si>
  <si>
    <t xml:space="preserve">FAC DE TECNOLOGIA DE SAO JOSE DO RIO PRETO - FATECRP             </t>
  </si>
  <si>
    <t xml:space="preserve">FAC DE TECNOLOGIA DE SAO PAULO - FATEC-SP                        </t>
  </si>
  <si>
    <t xml:space="preserve">FAC DE TECNOLOGIA DE SOROCABA - FATEC SO                         </t>
  </si>
  <si>
    <t xml:space="preserve">FAC DE TECNOLOGIA DIAMANTE - CETED                               </t>
  </si>
  <si>
    <t xml:space="preserve">FAC DE TECNOLOGIA DO ABC -                                       </t>
  </si>
  <si>
    <t xml:space="preserve">FAC DE TECNOLOGIA DO INSTITUTO BANDEIRANTE DE EDUCACAO E CULTURA </t>
  </si>
  <si>
    <t xml:space="preserve">FAC DE TECNOLOGIA ENIAC-FAPI - ENIAC                             </t>
  </si>
  <si>
    <t xml:space="preserve">FAC DE TECNOLOGIA EQUIPE DARWIN                                  </t>
  </si>
  <si>
    <t xml:space="preserve">FAC DE TECNOLOGIA EXPOENTE - FATEC-EXPOENTE                      </t>
  </si>
  <si>
    <t xml:space="preserve">FAC DE TECNOLOGIA FLAMINGO - FLATEC                              </t>
  </si>
  <si>
    <t xml:space="preserve">FAC DE TECNOLOGIA IBTA - CET IBTA                                </t>
  </si>
  <si>
    <t xml:space="preserve">FAC DE TECNOLOGIA IBTA - RIO DE JANEIRO -                        </t>
  </si>
  <si>
    <t xml:space="preserve">FAC DE TECNOLOGIA IBTA - SAO JOSE DOS CAMPOS - IBTA              </t>
  </si>
  <si>
    <t xml:space="preserve">FAC DE TECNOLOGIA IBTA CAMPINAS - IBTA                           </t>
  </si>
  <si>
    <t xml:space="preserve">FAC DE TECNOLOGIA IMPACTA - CETI                                 </t>
  </si>
  <si>
    <t xml:space="preserve">FAC DE TECNOLOGIA INTERAMERICANO - CEINTER                       </t>
  </si>
  <si>
    <t xml:space="preserve">FAC DE TECNOLOGIA IPEP DE CAMPINAS - FATEC CAMPINAS              </t>
  </si>
  <si>
    <t xml:space="preserve">FAC DE TECNOLOGIA IPEP DE SAO PAULO -                            </t>
  </si>
  <si>
    <t xml:space="preserve">FAC DE TECNOLOGIA JOAO XXIII - CET JOAO XXIII                    </t>
  </si>
  <si>
    <t xml:space="preserve">FAC DE TECNOLOGIA MAGISTER - MAGISTER                            </t>
  </si>
  <si>
    <t xml:space="preserve">FAC DE TECNOLOGIA MARIO DE ANDRADE -                             </t>
  </si>
  <si>
    <t xml:space="preserve">FAC DE TECNOLOGIA MODULO PAULISTA - CETMP                        </t>
  </si>
  <si>
    <t xml:space="preserve">FAC DE TECNOLOGIA MORUMBI SUL - FATEC-MS                         </t>
  </si>
  <si>
    <t xml:space="preserve">FAC DE TECNOLOGIA OSWALDO CRUZ - FATEC OSWALDO CRUZ              </t>
  </si>
  <si>
    <t xml:space="preserve">FAC DE TECNOLOGIA PENTAGONO - CETP                               </t>
  </si>
  <si>
    <t xml:space="preserve">FAC DE TECNOLOGIA PROF. LUIZ ROSA - FATEC PROF LUIZ ROSA         </t>
  </si>
  <si>
    <t xml:space="preserve">FAC DE TECNOLOGIA RADIAL - FATEC RADIAL                          </t>
  </si>
  <si>
    <t xml:space="preserve">FAC DE TECNOLOGIA SANTA RITA DE CASSIA - FATEC SANTA RITA        </t>
  </si>
  <si>
    <t xml:space="preserve">FAC DE TECNOLOGIA SENAC RIO - CET SENAC                          </t>
  </si>
  <si>
    <t xml:space="preserve">FAC DE TECNOLOGIA TERMOMECANICA - FTT                            </t>
  </si>
  <si>
    <t xml:space="preserve">FAC DE TECNOLOGIA UIRAPURU - FATU                                </t>
  </si>
  <si>
    <t xml:space="preserve">FAC DE TECNOLOGIA ZONA LESTE - FATECZL                           </t>
  </si>
  <si>
    <t xml:space="preserve">FAC DE TEOLOGIA UMBANDISTA - F.T.U.                              </t>
  </si>
  <si>
    <t xml:space="preserve">FAC DE TURISMO - AEMA/RJ - FATUMA                                </t>
  </si>
  <si>
    <t xml:space="preserve">FAC DEHONIANA -                                                  </t>
  </si>
  <si>
    <t xml:space="preserve">FAC DIADEMA - FAD                                                </t>
  </si>
  <si>
    <t xml:space="preserve">FAC DIREITO DE BAURU                                             </t>
  </si>
  <si>
    <t xml:space="preserve">FAC DIREITO DE PRESIDENTE PRUDENTE                               </t>
  </si>
  <si>
    <t xml:space="preserve">FAC DO INSTITUTO NACIONAL DE POS-GRADUACAO DE CAMPINAS           </t>
  </si>
  <si>
    <t>FAC DO INSTITUTO NACIONAL DE POS-GRADUACAO DE SAO JOSE DOS CAMPOS</t>
  </si>
  <si>
    <t xml:space="preserve">FAC DO VALE DO ITAJAI MIRIM                                      </t>
  </si>
  <si>
    <t xml:space="preserve">FAC EDUC E CIENC HUMANAS DE ANICUNS                              </t>
  </si>
  <si>
    <t xml:space="preserve">FAC EDUCACAO CIENC E LETRAS DE UBERLANDIA                        </t>
  </si>
  <si>
    <t xml:space="preserve">FAC ENGENHARIA INDUSTRIAL DA FUND DE CIENC APLICADAS             </t>
  </si>
  <si>
    <t xml:space="preserve">FAC EST DE DIREITO DO NORTE PIONEIRO                             </t>
  </si>
  <si>
    <t xml:space="preserve">FAC EST DE ED FISICA E FISIOTERAPIA DE JACAREZINHO               </t>
  </si>
  <si>
    <t xml:space="preserve">FAC EST DE FIL CIENCIAS E LETRAS DE CORNELIO PROCOPIO            </t>
  </si>
  <si>
    <t xml:space="preserve">FAC EST DE FILOSOF CIENC E LET DE JACAREZINHO                    </t>
  </si>
  <si>
    <t xml:space="preserve">FAC ESTAD DE FILOSOF CIENCIAS E LETRAS DE GUARAPUAVA             </t>
  </si>
  <si>
    <t xml:space="preserve">FAC ESTADUAL DE ED FISICA DE JACAREZINHO                         </t>
  </si>
  <si>
    <t>FAC EVANGELICA DE TEC., CIENCIAS E BIOTECNOLOGIA DA CGADB - FAECA</t>
  </si>
  <si>
    <t xml:space="preserve">FAC FAPAN - FAPAN                                                </t>
  </si>
  <si>
    <t xml:space="preserve">FAC FENIX DE BAURU - FENIX                                       </t>
  </si>
  <si>
    <t xml:space="preserve">FAC FIL CIENC E LETRAS DO SAGRADO CORACAO DE JESUS               </t>
  </si>
  <si>
    <t xml:space="preserve">FAC FILOS CIENC E LET DE TIBIRICA                                </t>
  </si>
  <si>
    <t xml:space="preserve">FAC FILOS CIENC LET SAO JOAO DA BOA VISTA                        </t>
  </si>
  <si>
    <t xml:space="preserve">FAC FILOS CIENC LETRAS PROF JOSE AUGUSTO VIEIRA                  </t>
  </si>
  <si>
    <t xml:space="preserve">FAC FILOSOF CIEN E LET DE RIO CLARO                              </t>
  </si>
  <si>
    <t xml:space="preserve">FAC FILOSOF CIENC E LET CASTRO ALVES                             </t>
  </si>
  <si>
    <t xml:space="preserve">FAC FILOSOF CIENC E LET DE CRUZ ALTA                             </t>
  </si>
  <si>
    <t xml:space="preserve">FAC FILOSOF CIENC E LET DE FRANCA                                </t>
  </si>
  <si>
    <t xml:space="preserve">FAC FILOSOF CIENC E LET DE PARANAGUA                             </t>
  </si>
  <si>
    <t xml:space="preserve">FAC FILOSOF CIENC E LET DE SANTOS                                </t>
  </si>
  <si>
    <t xml:space="preserve">FAC FILOSOF CIENC E LET DE TATUI                                 </t>
  </si>
  <si>
    <t xml:space="preserve">FAC FILOSOF CIENC E LET OSWALDO CRUZ                             </t>
  </si>
  <si>
    <t xml:space="preserve">FAC FILOSOF CIENC E LET SANT MARIA                               </t>
  </si>
  <si>
    <t xml:space="preserve">FAC FILOSOF CIENC E LET VEIGA DE ALMEIDA                         </t>
  </si>
  <si>
    <t xml:space="preserve">FAC FILOSOF CIENC E LETRAS DE MACHADO                            </t>
  </si>
  <si>
    <t xml:space="preserve">FAC FILOSOF CIENC LETRAS DE PRESIDENTE PRUDENTE                  </t>
  </si>
  <si>
    <t xml:space="preserve">FAC FILOSOF CIENC LETRAS RIBEIRAO PRETO USP                      </t>
  </si>
  <si>
    <t xml:space="preserve">FAC FILOSOF CIENCIAS E LETRAS DE GUAXUPE                         </t>
  </si>
  <si>
    <t xml:space="preserve">FAC FILOSOF CIENCIAS E LETRAS MINISTRO TARSO DUTRA               </t>
  </si>
  <si>
    <t xml:space="preserve">FAC FILOSOF MARCELINO CHAMPAGNAT                                 </t>
  </si>
  <si>
    <t xml:space="preserve">FAC FILOSOFIA CIENCIAS E LETRAS DE ARAXA FAFI                    </t>
  </si>
  <si>
    <t xml:space="preserve">FAC FILOSOFIA CIENCIAS E LETRAS DE REGISTRO                      </t>
  </si>
  <si>
    <t xml:space="preserve">FAC FILOSOFIA CIENCIAS E LETRAS PROFESSORA NAIR FORTES ABU MERHY </t>
  </si>
  <si>
    <t xml:space="preserve">FAC FLEMING - SEF                                                </t>
  </si>
  <si>
    <t xml:space="preserve">FAC GAMA E SOUZA - FGS                                           </t>
  </si>
  <si>
    <t xml:space="preserve">FAC GUAIANAS - FAG                                               </t>
  </si>
  <si>
    <t xml:space="preserve">FAC GUARAPIRANGA - FG                                            </t>
  </si>
  <si>
    <t xml:space="preserve">FAC IMPACTA DE TECNOLOGIA DA INFORMACAO - FITI - FIT             </t>
  </si>
  <si>
    <t xml:space="preserve">FAC INDEPENDENTE BUTANTA - F I B                                 </t>
  </si>
  <si>
    <t xml:space="preserve">FAC INTEG DA ASSOC EDUCATIVA EVANGELICA                          </t>
  </si>
  <si>
    <t xml:space="preserve">FAC INTEGRADA DA GRANDE FORTALEZA                                </t>
  </si>
  <si>
    <t xml:space="preserve">FAC INTEGRADA METROPOLITANA DE CAMPINAS - METROCAMP              </t>
  </si>
  <si>
    <t xml:space="preserve">FAC INTEGRADAS ANTONIO EUFRASDIO DE TOLEDO DE PRES PRUDENTE      </t>
  </si>
  <si>
    <t xml:space="preserve">FAC INTEGRADAS CELSO LISBOA                                      </t>
  </si>
  <si>
    <t xml:space="preserve">FAC INTEGRADAS DE ARARAQUARA - FIAR                              </t>
  </si>
  <si>
    <t xml:space="preserve">FAC INTEGRADAS DE BAURU - FIB                                    </t>
  </si>
  <si>
    <t xml:space="preserve">FAC INTEGRADAS DE ED FISICA E TECNICAS DESPORTIVAS DE GUARULHOS  </t>
  </si>
  <si>
    <t xml:space="preserve">FAC INTEGRADAS DE SANTA FE DO SUL                                </t>
  </si>
  <si>
    <t xml:space="preserve">FAC INTEGRADAS DE SAO CARLOS - FADISC                            </t>
  </si>
  <si>
    <t xml:space="preserve">FAC INTEGRADAS DE SAO PAULO - FISP                               </t>
  </si>
  <si>
    <t xml:space="preserve">FAC INTEGRADAS DO ENS SUP DO MUNICIPIO DE LINHARES               </t>
  </si>
  <si>
    <t xml:space="preserve">FAC INTEGRADAS DO PLANALTO CENTRAL                               </t>
  </si>
  <si>
    <t xml:space="preserve">FAC INTEGRADAS FUNDACAO DE ENSINO OCTAVIO BASTOS                 </t>
  </si>
  <si>
    <t xml:space="preserve">FAC INTEGRADAS TOLEDO                                            </t>
  </si>
  <si>
    <t xml:space="preserve">FAC INTEGRAL CANTAREIRA - F.I.C.                                 </t>
  </si>
  <si>
    <t xml:space="preserve">FAC INTERACAO AMERICANA - FIA                                    </t>
  </si>
  <si>
    <t xml:space="preserve">FAC INTERLAGOS DE EDUCACAO E CULTURA - FINTEC                    </t>
  </si>
  <si>
    <t xml:space="preserve">FAC JOAO PAULO PRIMEIRO - FAJOPP                                 </t>
  </si>
  <si>
    <t xml:space="preserve">FAC LEONARDO DA VINCI - FLV                                      </t>
  </si>
  <si>
    <t xml:space="preserve">FAC MACHADO DE ASSIS - FAMA                                      </t>
  </si>
  <si>
    <t xml:space="preserve">FAC MAGISTER - MAGISTER                                          </t>
  </si>
  <si>
    <t xml:space="preserve">FAC MATER - FAMATER                                              </t>
  </si>
  <si>
    <t xml:space="preserve">FAC MERCURIO - FAMERC                                            </t>
  </si>
  <si>
    <t xml:space="preserve">FAC MORAES JUNIOR - FMJ                                          </t>
  </si>
  <si>
    <t xml:space="preserve">FAC MUN DE CIENC ECON DE BELO HORIZONTE                          </t>
  </si>
  <si>
    <t xml:space="preserve">FAC MUNICIPAL DE FIL CIENC E LET DE POCOS DE CALDAS              </t>
  </si>
  <si>
    <t xml:space="preserve">FAC MUSICA E EDUC ARTISTICA DO INST MUSICAL DE SP                </t>
  </si>
  <si>
    <t xml:space="preserve">FAC OSWALDO CRUZ - FOC                                           </t>
  </si>
  <si>
    <t xml:space="preserve">FAC PAULISTA -                                                   </t>
  </si>
  <si>
    <t xml:space="preserve">FAC PAULISTA DE CIENCIAS APLICADAS -                             </t>
  </si>
  <si>
    <t xml:space="preserve">FAC PAULISTA DE SERV SOCIAL DE SAO CAETANO DO SUL                </t>
  </si>
  <si>
    <t xml:space="preserve">FAC PAULISTA DE SERVICO SOCIAL - FAPSS-SP.                       </t>
  </si>
  <si>
    <t xml:space="preserve">FAC PAULISTA DE SERVICO SOCIAL DE SAO CAETANO DO SUL - FAPSS-SCS </t>
  </si>
  <si>
    <t xml:space="preserve">FAC PAULUS DE TECNOLOGIA E COMUNICACAO - FAPCOM                  </t>
  </si>
  <si>
    <t xml:space="preserve">FAC PHENIX DE CIENC HUMANAS E SOCIAIS                            </t>
  </si>
  <si>
    <t xml:space="preserve">FAC PIRATININGA - FAPI                                           </t>
  </si>
  <si>
    <t xml:space="preserve">FAC PLANALTO DE ADMINISTRACAO E CIENCIAS ECONOMICAS - FACPLAN    </t>
  </si>
  <si>
    <t xml:space="preserve">FAC PLANALTO DE CIENCIA DA COMPUTACAO - FACPLAN                  </t>
  </si>
  <si>
    <t xml:space="preserve">FAC PLANALTO DE FILOSOFIA, CIENCIAS E LETRAS - FACPLAN           </t>
  </si>
  <si>
    <t xml:space="preserve">FAC POLITECNICA DE CAMPINAS - POLICAMP                           </t>
  </si>
  <si>
    <t xml:space="preserve">FAC PRAXIS - FIPEP                                               </t>
  </si>
  <si>
    <t xml:space="preserve">FAC REUNIDA DE ILHA SOLTEIRA                                     </t>
  </si>
  <si>
    <t xml:space="preserve">FAC REUNIDAS DE ADM CIENCIAS CONTABEIS E ECONOMICAS DE PALMAS    </t>
  </si>
  <si>
    <t xml:space="preserve">FAC SAO CARLOS -                                                 </t>
  </si>
  <si>
    <t xml:space="preserve">FAC SAO FRANCISCO DE PIUMHI                                      </t>
  </si>
  <si>
    <t xml:space="preserve">FAC SAO LUIS - FSL                                               </t>
  </si>
  <si>
    <t xml:space="preserve">FAC TECNOLOGIA E CIENCIAS DE SALVADOR                            </t>
  </si>
  <si>
    <t xml:space="preserve">FAC TEOLOGICA E APOLOGETICA CRISTA DR WALTER MARTIN              </t>
  </si>
  <si>
    <t xml:space="preserve">FAC TEOLOGICA SUL AMERICANA                                      </t>
  </si>
  <si>
    <t xml:space="preserve">FAC UNIPAC DE EDUC E EST SOCIAIS DE RIB DAS NEVES                </t>
  </si>
  <si>
    <t xml:space="preserve">FAC VIZINHANCA DO VALE DO IGUACU                                 </t>
  </si>
  <si>
    <t xml:space="preserve">FACUL DE ODONTOLOGIA DE LINS                                     </t>
  </si>
  <si>
    <t xml:space="preserve">FACUL INTEGRADAS HEBRAICO BRASILEIRAS RENASCENCA                 </t>
  </si>
  <si>
    <t xml:space="preserve">FACULDADE ADVENTISTA DE EDUCACAO                                 </t>
  </si>
  <si>
    <t xml:space="preserve">FACULDADE ADVENTISTA DE ENFERMAGEM DE SAO PAULO                  </t>
  </si>
  <si>
    <t xml:space="preserve">FACULDADE AIEC                                                   </t>
  </si>
  <si>
    <t xml:space="preserve">FACULDADE ALDETE MARIA ALVES - FAMA                              </t>
  </si>
  <si>
    <t xml:space="preserve">FACULDADE ANCHIETA                                               </t>
  </si>
  <si>
    <t xml:space="preserve">FACULDADE ANDRE DA SILVEIRA - FADS                               </t>
  </si>
  <si>
    <t xml:space="preserve">FACULDADE ANHANGUERA                                             </t>
  </si>
  <si>
    <t xml:space="preserve">FACULDADE ARQUIDIOCESANA DE MARIANA - FAM                        </t>
  </si>
  <si>
    <t xml:space="preserve">FACULDADE ASA DE BRUMADINHO - FAB                                </t>
  </si>
  <si>
    <t xml:space="preserve">FACULDADE ATENAS -                                               </t>
  </si>
  <si>
    <t xml:space="preserve">FACULDADE ATLANTICO DE ARACAJU                                   </t>
  </si>
  <si>
    <t xml:space="preserve">FACULDADE BATISTA DE MINAS GERAIS - FBMG                         </t>
  </si>
  <si>
    <t xml:space="preserve">FACULDADE BATISTA DE VITORIA                                     </t>
  </si>
  <si>
    <t xml:space="preserve">FACULDADE BETHENCOURT DA SILVA                                   </t>
  </si>
  <si>
    <t>FACULDADE BRASILEIRA DE CIENCIAS EXATAS, HUMANAS E SOCIAIS - FABR</t>
  </si>
  <si>
    <t xml:space="preserve">FACULDADE CAPIXABA DE ADMINISTRACAO E EDUCACAO                   </t>
  </si>
  <si>
    <t xml:space="preserve">FACULDADE CASTELO BRANCO                                         </t>
  </si>
  <si>
    <t xml:space="preserve">FACULDADE CATOLICA DE CIENCIAS ECONOMICAS DA BAHIA               </t>
  </si>
  <si>
    <t xml:space="preserve">FACULDADE CATOLICA DE CIENCIAS HUMANAS BRASILIA                  </t>
  </si>
  <si>
    <t xml:space="preserve">FACULDADE CATOLICA DE UBERLANDIA - CATOLICA                      </t>
  </si>
  <si>
    <t xml:space="preserve">FACULDADE CBES                                                   </t>
  </si>
  <si>
    <t xml:space="preserve">FACULDADE CCAA DO RJ                                             </t>
  </si>
  <si>
    <t xml:space="preserve">FACULDADE CENECISTA DE SETE LAGOAS - FCSL                        </t>
  </si>
  <si>
    <t xml:space="preserve">FACULDADE CENECISTA DE VARGINHA - FACECA                         </t>
  </si>
  <si>
    <t xml:space="preserve">FACULDADE CENTRAL DE CRISTALINA                                  </t>
  </si>
  <si>
    <t xml:space="preserve">FACULDADE CERES                                                  </t>
  </si>
  <si>
    <t xml:space="preserve">FACULDADE CIDADE DE COROMANDEL - FCC                             </t>
  </si>
  <si>
    <t xml:space="preserve">FACULDADE CIDADE DE GUANHAES                                     </t>
  </si>
  <si>
    <t xml:space="preserve">FACULDADE CIDADE DE JOAO PINHEIRO - FCJP                         </t>
  </si>
  <si>
    <t xml:space="preserve">FACULDADE CIDADE DE PATOS DE MINAS -                             </t>
  </si>
  <si>
    <t xml:space="preserve">FACULDADE CIENCIAS E LETRAS TEREZA MARTIN                        </t>
  </si>
  <si>
    <t xml:space="preserve">FACULDADE CIMO - FAC                                             </t>
  </si>
  <si>
    <t xml:space="preserve">FACULDADE COTEMIG - COTEMIG                                      </t>
  </si>
  <si>
    <t xml:space="preserve">FACULDADE DA CIDADE DE COMUNICACAO TURISMO E LETRAS RJ           </t>
  </si>
  <si>
    <t xml:space="preserve">FACULDADE DA CIDADE DE SANTA LUZIA - FACSAL                      </t>
  </si>
  <si>
    <t xml:space="preserve">FACULDADE DA SAUDE E ECOLOGIA HUMANA - FASEH                     </t>
  </si>
  <si>
    <t xml:space="preserve">FACULDADE DA ZONA LESTE DE SAO PAULO                             </t>
  </si>
  <si>
    <t xml:space="preserve">FACULDADE DE  EDUCACAO SAO LUIS                                  </t>
  </si>
  <si>
    <t xml:space="preserve">FACULDADE DE ADMINISTRACAO CHAMPAGNAT                            </t>
  </si>
  <si>
    <t xml:space="preserve">FACULDADE DE ADMINISTRACAO DA SERRA                              </t>
  </si>
  <si>
    <t xml:space="preserve">FACULDADE DE ADMINISTRACAO DE CAMPINA VERDE - FACAV              </t>
  </si>
  <si>
    <t xml:space="preserve">FACULDADE DE ADMINISTRACAO DE CAMPO BELO - FACAMP                </t>
  </si>
  <si>
    <t xml:space="preserve">FACULDADE DE ADMINISTRACAO DE CATAGUASES - UNIPACAT              </t>
  </si>
  <si>
    <t xml:space="preserve">FACULDADE DE ADMINISTRACAO DE GOVERNADOR VALADARES - FAGV        </t>
  </si>
  <si>
    <t xml:space="preserve">FACULDADE DE ADMINISTRACAO DE ITABIRITO - FAI                    </t>
  </si>
  <si>
    <t xml:space="preserve">FACULDADE DE ADMINISTRACAO DE MARIANA - FAMA                     </t>
  </si>
  <si>
    <t xml:space="preserve">FACULDADE DE ADMINISTRACAO DE PASSOS - FAP                       </t>
  </si>
  <si>
    <t xml:space="preserve">FACULDADE DE ADMINISTRACAO DE PINHAL                             </t>
  </si>
  <si>
    <t xml:space="preserve">FACULDADE DE ADMINISTRACAO DE SANTA RITA DO SAPUCAI              </t>
  </si>
  <si>
    <t xml:space="preserve">FACULDADE DE ADMINISTRACAO DE SANTO ANTONIO DO MONTE - FASAM     </t>
  </si>
  <si>
    <t xml:space="preserve">FACULDADE DE ADMINISTRACAO DE TEOFILO OTONI - FATO               </t>
  </si>
  <si>
    <t xml:space="preserve">FACULDADE DE ADMINISTRACAO DE TERESOPOLIS                        </t>
  </si>
  <si>
    <t xml:space="preserve">FACULDADE DE ADMINISTRACAO E CIENCIAS ECONOMICAS SANTANA         </t>
  </si>
  <si>
    <t xml:space="preserve">FACULDADE DE ADMINISTRACAO E FINANCAS DE MACHADO                 </t>
  </si>
  <si>
    <t xml:space="preserve">FACULDADE DE ADMINISTRACAO E INFORMATICA - FAI                   </t>
  </si>
  <si>
    <t xml:space="preserve">FACULDADE DE ADMINISTRACAO IPH                                   </t>
  </si>
  <si>
    <t xml:space="preserve">FACULDADE DE ADMINISTRACAO LUZWELL                               </t>
  </si>
  <si>
    <t xml:space="preserve">FACULDADE DE ADMINISTRACAO MILTON CAMPOS - FAMC                  </t>
  </si>
  <si>
    <t xml:space="preserve">FACULDADE DE ADMINISTRACAO SAO MARCOS                            </t>
  </si>
  <si>
    <t xml:space="preserve">FACULDADE DE AGRONOMIA E ZOOTECNIA DE UBERABA                    </t>
  </si>
  <si>
    <t xml:space="preserve">FACULDADE DE AGRONOMIA E ZOOTECNIA MANOEL CARLOS GONCALVES       </t>
  </si>
  <si>
    <t xml:space="preserve">FACULDADE DE AMERICANA                                           </t>
  </si>
  <si>
    <t xml:space="preserve">FACULDADE DE ARQUITETURA E URBANISMO BRAS CUBAS                  </t>
  </si>
  <si>
    <t xml:space="preserve">FACULDADE DE ARTE E DESIGN -                                     </t>
  </si>
  <si>
    <t xml:space="preserve">FACULDADE DE ARTES DA FUNDACAO BRASILEIRA DE TEATRO              </t>
  </si>
  <si>
    <t xml:space="preserve">FACULDADE DE BELAS ARTES DE SAO PAULO                            </t>
  </si>
  <si>
    <t xml:space="preserve">FACULDADE DE BIOLOGIA E PSICOLOGIA MARIA THEREZA                 </t>
  </si>
  <si>
    <t xml:space="preserve">FACULDADE DE CIENC CONTABEIS E ADMIN DE VARGINHA                 </t>
  </si>
  <si>
    <t xml:space="preserve">FACULDADE DE CIENCIA DE BARRETOS                                 </t>
  </si>
  <si>
    <t xml:space="preserve">FACULDADE DE CIENCIA E TECNOLOGIA DE MONTES CLAROS - FACIT       </t>
  </si>
  <si>
    <t xml:space="preserve">FACULDADE DE CIENCIAS ADMINISTRATIVAS BARRA MANSA                </t>
  </si>
  <si>
    <t xml:space="preserve">FACULDADE DE CIENCIAS ADMINISTRATIVAS DE CARATINGA               </t>
  </si>
  <si>
    <t xml:space="preserve">FACULDADE DE CIENCIAS ADMINISTRATIVAS DE CURVELO - FACIAC        </t>
  </si>
  <si>
    <t xml:space="preserve">FACULDADE DE CIENCIAS ADMINISTRATIVAS DE POCOS DE CALDAS         </t>
  </si>
  <si>
    <t>FACULDADE DE CIENCIAS ADMINISTRATIVAS E CONTABEIS DE ITABIRA - FA</t>
  </si>
  <si>
    <t>FACULDADE DE CIENCIAS ADMINISTRATIVAS E CONTABEIS DE MINAS GERAIS</t>
  </si>
  <si>
    <t xml:space="preserve">FACULDADE DE CIENCIAS ADMINISTRATIVAS E CONTABEIS PAULO EIRO     </t>
  </si>
  <si>
    <t xml:space="preserve">FACULDADE DE CIENCIAS AGRARIAS DE ALFENAS                        </t>
  </si>
  <si>
    <t xml:space="preserve">FACULDADE DE CIENCIAS AGRARIAS DO PARA                           </t>
  </si>
  <si>
    <t xml:space="preserve">FACULDADE DE CIENCIAS APLICADAS DE MINAS - UNIMINAS              </t>
  </si>
  <si>
    <t xml:space="preserve">FACULDADE DE CIENCIAS APLICADAS SAGRADO CORACAO                  </t>
  </si>
  <si>
    <t xml:space="preserve">FACULDADE DE CIENCIAS BIOLOGICAS E DA SAUDE - FACEBIOS           </t>
  </si>
  <si>
    <t xml:space="preserve">FACULDADE DE CIENCIAS BIOLOGICAS E DA SAUDE - FACISA             </t>
  </si>
  <si>
    <t xml:space="preserve">FACULDADE DE CIENCIAS CONTABEIS                                  </t>
  </si>
  <si>
    <t xml:space="preserve">FACULDADE DE CIENCIAS CONTABEIS DA FUNDACAO VISCONDE DE CAIRU    </t>
  </si>
  <si>
    <t xml:space="preserve">FACULDADE DE CIENCIAS CONTABEIS DE BARRETOS                      </t>
  </si>
  <si>
    <t xml:space="preserve">FACULDADE DE CIENCIAS CONTABEIS DE CARATINGA                     </t>
  </si>
  <si>
    <t xml:space="preserve">FACULDADE DE CIENCIAS CONTABEIS DE ITABIRITO - FACCI             </t>
  </si>
  <si>
    <t xml:space="preserve">FACULDADE DE CIENCIAS CONTABEIS DE LEOPOLDINA                    </t>
  </si>
  <si>
    <t xml:space="preserve">FACULDADE DE CIENCIAS CONTABEIS DE PONTE NOVA - FACCO            </t>
  </si>
  <si>
    <t xml:space="preserve">FACULDADE DE CIENCIAS CONTABEIS DE TERESOPOLIS                   </t>
  </si>
  <si>
    <t xml:space="preserve">FACULDADE DE CIENCIAS CONTABEIS E ADMINISTRATIVAS DE SOROCABA    </t>
  </si>
  <si>
    <t>FACULDADE DE CIENCIAS CONTABEIS E ADMINISTRATIVAS MACHADO SOBRINH</t>
  </si>
  <si>
    <t xml:space="preserve">FACULDADE DE CIENCIAS CONTABEIS SAO JUDAS TADEU                  </t>
  </si>
  <si>
    <t>FACULDADE DE CIENCIAS DA COMPUTACAO DE CATAGUASES - FACULDADES DO</t>
  </si>
  <si>
    <t xml:space="preserve">FACULDADE DE CIENCIAS DA SAUDE ARCHIMEDES THEODORO - FAC - SAUDE </t>
  </si>
  <si>
    <t xml:space="preserve">FACULDADE DE CIENCIAS DA SAUDE DE CAMPOS GERAIS - FACICA         </t>
  </si>
  <si>
    <t xml:space="preserve">FACULDADE DE CIENCIAS DA SAUDE SAO CAMILO                        </t>
  </si>
  <si>
    <t xml:space="preserve">FACULDADE DE CIENCIAS E LETRAS DE ARARAS                         </t>
  </si>
  <si>
    <t xml:space="preserve">FACULDADE DE CIENCIAS E LETRAS DE AVARE                          </t>
  </si>
  <si>
    <t xml:space="preserve">FACULDADE DE CIENCIAS E LETRAS DE NOVA IGUACU                    </t>
  </si>
  <si>
    <t xml:space="preserve">FACULDADE DE CIENCIAS E LETRAS DE RIBEIRAO PIRES                 </t>
  </si>
  <si>
    <t xml:space="preserve">FACULDADE DE CIENCIAS E LETRAS DE VOTUPORANGA                    </t>
  </si>
  <si>
    <t xml:space="preserve">FACULDADE DE CIENCIAS E LETRAS GERALDO REZENDE                   </t>
  </si>
  <si>
    <t xml:space="preserve">FACULDADE DE CIENCIAS E LETRAS PLINIO AUGUSTO DO AMARAL          </t>
  </si>
  <si>
    <t xml:space="preserve">FACULDADE DE CIENCIAS E TECNOLOGIA DE UNAI - FACTU - FACTU       </t>
  </si>
  <si>
    <t xml:space="preserve">FACULDADE DE CIENCIAS ECONOMICAS DE ANAPOLIS                     </t>
  </si>
  <si>
    <t xml:space="preserve">FACULDADE DE CIENCIAS ECONOMICAS DE COLATINA                     </t>
  </si>
  <si>
    <t xml:space="preserve">FACULDADE DE CIENCIAS ECONOMICAS DE CONSELHEIRO LAFAIETE - FACEL </t>
  </si>
  <si>
    <t xml:space="preserve">FACULDADE DE CIENCIAS ECONOMICAS DE SAO JOAO DA BOA VISTA        </t>
  </si>
  <si>
    <t xml:space="preserve">FACULDADE DE CIENCIAS ECONOMICAS DE SAO PAULO                    </t>
  </si>
  <si>
    <t xml:space="preserve">FACULDADE DE CIENCIAS ECONOMICAS DO SUL DE MINAS                 </t>
  </si>
  <si>
    <t xml:space="preserve">FACULDADE DE CIENCIAS ECONOMICAS DO TRIANGULO MINEIRO - FCETM    </t>
  </si>
  <si>
    <t xml:space="preserve">FACULDADE DE CIENCIAS ECONOMICAS VIANNA JUNIOR - FCEVJ           </t>
  </si>
  <si>
    <t xml:space="preserve">FACULDADE DE CIENCIAS ECONOMICAS, ADMINISTRATIVAS E CONTABEIS DE </t>
  </si>
  <si>
    <t xml:space="preserve">FACULDADE DE CIENCIAS EXATAS - FACEX                             </t>
  </si>
  <si>
    <t xml:space="preserve">FACULDADE DE CIENCIAS EXATAS E HUMANAS DA CAMPANHA -             </t>
  </si>
  <si>
    <t>FACULDADE DE CIENCIAS EXATAS E TECNOLOGICAS SANTO AGOSTINHO - FAC</t>
  </si>
  <si>
    <t xml:space="preserve">FACULDADE DE CIENCIAS GERENCIAIS - FACIG                         </t>
  </si>
  <si>
    <t>FACULDADE DE CIENCIAS GERENCIAIS ALVES FORTES (JUIZ DE FORA) - FA</t>
  </si>
  <si>
    <t xml:space="preserve">FACULDADE DE CIENCIAS GERENCIAIS ALVES FORTES - FACE - ALFOR     </t>
  </si>
  <si>
    <t xml:space="preserve">FACULDADE DE CIENCIAS GERENCIAIS DA UNA                          </t>
  </si>
  <si>
    <t xml:space="preserve">FACULDADE DE CIENCIAS GERENCIAIS DE BICAS - FCGB                 </t>
  </si>
  <si>
    <t>FACULDADE DE CIENCIAS GERENCIAIS DE LEOPOLDINA - FACULDADES DOCTU</t>
  </si>
  <si>
    <t xml:space="preserve">FACULDADE DE CIENCIAS GERENCIAIS DE MANHUACU - FACIG             </t>
  </si>
  <si>
    <t xml:space="preserve">FACULDADE DE CIENCIAS GERENCIAIS DE OLIVEIRA - FACIGO            </t>
  </si>
  <si>
    <t xml:space="preserve">FACULDADE DE CIENCIAS GERENCIAIS DE SANTOS DUMONT - FACIG        </t>
  </si>
  <si>
    <t xml:space="preserve">FACULDADE DE CIENCIAS GERENCIAIS DE SETE LAGOAS - FAGE           </t>
  </si>
  <si>
    <t>FACULDADE DE CIENCIAS GERENCIAIS PADRE ARNALDO JANSSEN - FAJANSSE</t>
  </si>
  <si>
    <t xml:space="preserve">FACULDADE DE CIENCIAS GERENCIAS DE SAO GOTARDO - CESG            </t>
  </si>
  <si>
    <t xml:space="preserve">FACULDADE DE CIENCIAS HUMANAS DE ARACRUZ                         </t>
  </si>
  <si>
    <t xml:space="preserve">FACULDADE DE CIENCIAS HUMANAS DE CURVELO - FACIC                 </t>
  </si>
  <si>
    <t xml:space="preserve">FACULDADE DE CIENCIAS HUMANAS DE ITABIRA - FACHI                 </t>
  </si>
  <si>
    <t xml:space="preserve">FACULDADE DE CIENCIAS HUMANAS DE PEDRO LEOPOLDO                  </t>
  </si>
  <si>
    <t xml:space="preserve">FACULDADE DE CIENCIAS HUMANAS DO PIAUI                           </t>
  </si>
  <si>
    <t xml:space="preserve">FACULDADE DE CIENCIAS HUMANAS DO VALE DO PIRANGA - FAVAP         </t>
  </si>
  <si>
    <t xml:space="preserve">FACULDADE DE CIENCIAS HUMANAS E DA SAUDE - SESPA                 </t>
  </si>
  <si>
    <t xml:space="preserve">FACULDADE DE CIENCIAS HUMANAS E LETRAS DE SAO BERNARDO           </t>
  </si>
  <si>
    <t xml:space="preserve">FACULDADE DE CIENCIAS HUMANAS E SOCIAIS - FUCAMP                 </t>
  </si>
  <si>
    <t xml:space="preserve">FACULDADE DE CIENCIAS HUMANAS E SOCIAIS PADRE HUMBERTO           </t>
  </si>
  <si>
    <t xml:space="preserve">FACULDADE DE CIENCIAS JURIDICAS DE DIAMANTINA - FCJ              </t>
  </si>
  <si>
    <t>FACULDADE DE CIENCIAS JURIDICAS DE JUIZ DE FORA - FACULDADES DOCT</t>
  </si>
  <si>
    <t>FACULDADE DE CIENCIAS JURIDICAS E GERENCIAIS DE MANHUACU - FACULD</t>
  </si>
  <si>
    <t>FACULDADE DE CIENCIAS JURIDICAS E GERENCIAIS DE OLIVEIRA - FACIJU</t>
  </si>
  <si>
    <t xml:space="preserve">FACULDADE DE CIENCIAS JURIDICAS E SOCIAIS DE BARBACENA           </t>
  </si>
  <si>
    <t xml:space="preserve">FACULDADE DE CIENCIAS JURIDICAS E SOCIAIS VIANNA JUNIOR - FCJSVJ </t>
  </si>
  <si>
    <t xml:space="preserve">FACULDADE DE CIENCIAS MEDICAS                                    </t>
  </si>
  <si>
    <t xml:space="preserve">FACULDADE DE CIENCIAS MEDICAS DE MINAS GERAIS - FCMMG            </t>
  </si>
  <si>
    <t xml:space="preserve">FACULDADE DE CIENCIAS MEDICAS DE NOVA IGUACU                     </t>
  </si>
  <si>
    <t xml:space="preserve">FACULDADE DE CIENCIAS MEDICAS DE PERNAMBUCO                      </t>
  </si>
  <si>
    <t xml:space="preserve">FACULDADE DE CIENCIAS MEDICAS DE SANTOS                          </t>
  </si>
  <si>
    <t xml:space="preserve">FACULDADE DE CIENCIAS MEDICAS DOUTOR JOSE GARCIA COUTINHO        </t>
  </si>
  <si>
    <t xml:space="preserve">FACULDADE DE CIENCIAS MEDICAS E DA SAUDE DE JUIZ DE FORA - FCMS  </t>
  </si>
  <si>
    <t xml:space="preserve">FACULDADE DE CIENCIAS SOCIAIS APLICADAS                          </t>
  </si>
  <si>
    <t>FACULDADE DE CIENCIAS SOCIAIS APLICADAS DE BELO HORIZONTE - FACIS</t>
  </si>
  <si>
    <t>FACULDADE DE CIENCIAS SOCIAIS APLICADAS DE CONSELHEIRO LAFAIETE -</t>
  </si>
  <si>
    <t xml:space="preserve">FACULDADE DE CIENCIAS SOCIAIS APLICADAS DE EXTREMA - FAEX        </t>
  </si>
  <si>
    <t xml:space="preserve">FACULDADE DE CIENCIAS SOCIAIS APLICADAS DO SUL DE MINAS - FACESM </t>
  </si>
  <si>
    <t xml:space="preserve">FACULDADE DE CIENCIAS SOCIAIS APLICADAS IBMEC                    </t>
  </si>
  <si>
    <t xml:space="preserve">FACULDADE DE CIENCIAS SOCIAIS APLICADAS SANTO AGOSTINHO - FACISA </t>
  </si>
  <si>
    <t>FACULDADE DE CIENCIAS SOCIAIS E DA SAUDE DE CATAGUASES - FACULDAD</t>
  </si>
  <si>
    <t>FACULDADE DE CIENCIAS SOCIAIS E DA SAUDE DE TEOFILO OTONI - FACUL</t>
  </si>
  <si>
    <t xml:space="preserve">FACULDADE DE COMPUTACAO DE MONTES CLAROS -                       </t>
  </si>
  <si>
    <t xml:space="preserve">FACULDADE DE COMPUTACAO E INFORMATICA - FACULDADES DOCTUM        </t>
  </si>
  <si>
    <t xml:space="preserve">FACULDADE DE COMUNICACAO E TURISMO HELIO ALONSO                  </t>
  </si>
  <si>
    <t xml:space="preserve">FACULDADE DE COMUNICACAO SOCIAL DE PASSOS - FACOMP               </t>
  </si>
  <si>
    <t>FACULDADE DE COMUNICACAO SOCIAL SANTA EFIGENIA - FACULDADE VEREDA</t>
  </si>
  <si>
    <t xml:space="preserve">FACULDADE DE DIREITO CANDIDO MENDES                              </t>
  </si>
  <si>
    <t xml:space="preserve">FACULDADE DE DIREITO DAMASIO DE JESUS                            </t>
  </si>
  <si>
    <t xml:space="preserve">FACULDADE DE DIREITO DE ARACATUBA                                </t>
  </si>
  <si>
    <t xml:space="preserve">FACULDADE DE DIREITO DE CAMPOS                                   </t>
  </si>
  <si>
    <t xml:space="preserve">FACULDADE DE DIREITO DE COLATINA                                 </t>
  </si>
  <si>
    <t xml:space="preserve">FACULDADE DE DIREITO DE CONSELHEIRO LAFAIETE - FDCL              </t>
  </si>
  <si>
    <t xml:space="preserve">FACULDADE DE DIREITO DE FRANCA                                   </t>
  </si>
  <si>
    <t xml:space="preserve">FACULDADE DE DIREITO DE GUARULHOS                                </t>
  </si>
  <si>
    <t xml:space="preserve">FACULDADE DE DIREITO DE IPATINGA                                 </t>
  </si>
  <si>
    <t xml:space="preserve">FACULDADE DE DIREITO DE ITABIRA - FDI                            </t>
  </si>
  <si>
    <t xml:space="preserve">FACULDADE DE DIREITO DE LEOPOLDINA - FACULDADES DOCTUM           </t>
  </si>
  <si>
    <t xml:space="preserve">FACULDADE DE DIREITO DE MARILIA                                  </t>
  </si>
  <si>
    <t xml:space="preserve">FACULDADE DE DIREITO DE PASSOS - FADIPA                          </t>
  </si>
  <si>
    <t xml:space="preserve">FACULDADE DE DIREITO DE PEDRO LEOPOLDO - FADIPEL                 </t>
  </si>
  <si>
    <t xml:space="preserve">FACULDADE DE DIREITO DE SAO JOAO DA BOA VISTA                    </t>
  </si>
  <si>
    <t xml:space="preserve">FACULDADE DE DIREITO DE SAO SEBASTIAO DO PARAISO - DIREITO       </t>
  </si>
  <si>
    <t xml:space="preserve">FACULDADE DE DIREITO DE SETE LAGOAS - FADISETE                   </t>
  </si>
  <si>
    <t xml:space="preserve">FACULDADE DE DIREITO DE TEOFILO OTONI - FADITO                   </t>
  </si>
  <si>
    <t xml:space="preserve">FACULDADE DE DIREITO DE VARGINHA - FADIVA - FADIVA               </t>
  </si>
  <si>
    <t xml:space="preserve">FACULDADE DE DIREITO DO NORTE DE MINAS                           </t>
  </si>
  <si>
    <t xml:space="preserve">FACULDADE DE DIREITO DO OESTE DE MINAS                           </t>
  </si>
  <si>
    <t xml:space="preserve">FACULDADE DE DIREITO DO PIAUI                                    </t>
  </si>
  <si>
    <t xml:space="preserve">FACULDADE DE DIREITO DO SUL DE MINAS - FDSM                      </t>
  </si>
  <si>
    <t xml:space="preserve">FACULDADE DE DIREITO DO VALE DO RIO DOCE - FADIVALE              </t>
  </si>
  <si>
    <t>FACULDADE DE DIREITO E CIENCIAS SOCIAIS DO LESTE DE MINAS - FADIL</t>
  </si>
  <si>
    <t xml:space="preserve">FACULDADE DE DIREITO MILTON CAMPOS - FDMC                        </t>
  </si>
  <si>
    <t xml:space="preserve">FACULDADE DE DIREITO PADRE ARNALDO JANSSEN - FAJANSSEN           </t>
  </si>
  <si>
    <t xml:space="preserve">FACULDADE DE DIREITO PADRE ARNALDO JANSSIN - FAJANSSEN           </t>
  </si>
  <si>
    <t xml:space="preserve">FACULDADE DE DIREITO PROMOVE - PROMOVE                           </t>
  </si>
  <si>
    <t xml:space="preserve">FACULDADE DE DIREITO SANTO AGOSTINHO - FADISA                    </t>
  </si>
  <si>
    <t xml:space="preserve">FACULDADE DE ECONOMIA DE OURO FINO - FAECO                       </t>
  </si>
  <si>
    <t xml:space="preserve">FACULDADE DE EDUC CIENC E LETRAS DE PORANGATU                    </t>
  </si>
  <si>
    <t xml:space="preserve">FACULDADE DE EDUCACAO ANTONIO AUGUSTO REIS NEVES - BARRETOS/ SP  </t>
  </si>
  <si>
    <t xml:space="preserve">FACULDADE DE EDUCACAO CAMPOS SALES                               </t>
  </si>
  <si>
    <t xml:space="preserve">FACULDADE DE EDUCACAO CIENCIAS E LETRAS DE MOJI MIRIM            </t>
  </si>
  <si>
    <t xml:space="preserve">FACULDADE DE EDUCACAO CIENCIAS E LETRAS OLAVO BILAC              </t>
  </si>
  <si>
    <t xml:space="preserve">FACULDADE DE EDUCACAO DA BAHIA                                   </t>
  </si>
  <si>
    <t xml:space="preserve">FACULDADE DE EDUCACAO DA SERRA                                   </t>
  </si>
  <si>
    <t xml:space="preserve">FACULDADE DE EDUCACAO DE BOM DESPACHO - FACEB                    </t>
  </si>
  <si>
    <t xml:space="preserve">FACULDADE DE EDUCACAO DE GUARATINGUETA                           </t>
  </si>
  <si>
    <t xml:space="preserve">FACULDADE DE EDUCACAO DE UBERABA                                 </t>
  </si>
  <si>
    <t xml:space="preserve">FACULDADE DE EDUCACAO E CIENCIAS PINHEIRENSE                     </t>
  </si>
  <si>
    <t xml:space="preserve">FACULDADE DE EDUCACAO E ESTUDOS SOCIAIS DE CONSELHEIRO PENA      </t>
  </si>
  <si>
    <t xml:space="preserve">FACULDADE DE EDUCACAO E LETRAS SAO JUDAS TADEU                   </t>
  </si>
  <si>
    <t xml:space="preserve">FACULDADE DE EDUCACAO FISICA DE BATATAIS                         </t>
  </si>
  <si>
    <t xml:space="preserve">FACULDADE DE EDUCACAO FISICA DE CRUZ ALTA                        </t>
  </si>
  <si>
    <t xml:space="preserve">FACULDADE DE EDUCACAO FISICA DE JABOTICABAL                      </t>
  </si>
  <si>
    <t xml:space="preserve">FACULDADE DE EDUCACAO FISICA DE SANTO AMARO                      </t>
  </si>
  <si>
    <t xml:space="preserve">FACULDADE DE EDUCACAO FISICA DE SANTO ANDRE                      </t>
  </si>
  <si>
    <t xml:space="preserve">FACULDADE DE EDUCACAO FISICA DE SANTOS                           </t>
  </si>
  <si>
    <t xml:space="preserve">FACULDADE DE EDUCACAO FISICA DE SOROCABA                         </t>
  </si>
  <si>
    <t xml:space="preserve">FACULDADE DE EDUCACAO FISICA DE TATUI                            </t>
  </si>
  <si>
    <t xml:space="preserve">FACULDADE DE EDUCACAO FISICA DO NORTE DO PARANA                  </t>
  </si>
  <si>
    <t xml:space="preserve">FACULDADE DE EDUCACAO ISECUB                                     </t>
  </si>
  <si>
    <t xml:space="preserve">FACULDADE DE EDUCACAO JACOBINA                                   </t>
  </si>
  <si>
    <t xml:space="preserve">FACULDADE DE ENFERMAGEM DE PASSOS - FAENPA                       </t>
  </si>
  <si>
    <t xml:space="preserve">FACULDADE DE ENFERMAGEM E OBSTETRICIA DE PASSOS                  </t>
  </si>
  <si>
    <t xml:space="preserve">FACULDADE DE ENFERMAGEM E OBSTETRICIA DE SOBRAL                  </t>
  </si>
  <si>
    <t xml:space="preserve">FACULDADE DE ENFERMAGEM HERMANTINA BERALDO                       </t>
  </si>
  <si>
    <t xml:space="preserve">FACULDADE DE ENGENHARIA DE AGRIMENSURA DE MINAS GERAIS           </t>
  </si>
  <si>
    <t xml:space="preserve">FACULDADE DE ENGENHARIA DE BARRETOS                              </t>
  </si>
  <si>
    <t xml:space="preserve">FACULDADE DE ENGENHARIA DE ITUIUTABA                             </t>
  </si>
  <si>
    <t xml:space="preserve">FACULDADE DE ENGENHARIA DE MINAS GERAIS                          </t>
  </si>
  <si>
    <t xml:space="preserve">FACULDADE DE ENGENHARIA DE PASSOS - FEP                          </t>
  </si>
  <si>
    <t xml:space="preserve">FACULDADE DE ENGENHARIA ELETRICA DE CONSELHEIRO LAFAIETE - FACEC </t>
  </si>
  <si>
    <t xml:space="preserve">FACULDADE DE ENGENHARIA GENERAL ROBERTO LISBOA                   </t>
  </si>
  <si>
    <t xml:space="preserve">FACULDADE DE ENGENHARIA INDUSTRIAL DE SAO JOAO DEL REI           </t>
  </si>
  <si>
    <t xml:space="preserve">FACULDADE DE ENSINO UNIFICADO DE BELO HORIZONTE - FEUBH          </t>
  </si>
  <si>
    <t xml:space="preserve">FACULDADE DE ESTUDOS ADMINISTRATIVOS DE MINAS GERAIS             </t>
  </si>
  <si>
    <t xml:space="preserve">FACULDADE DE ESTUDOS SUPERIORES DE MINAS GERAIS -                </t>
  </si>
  <si>
    <t xml:space="preserve">FACULDADE DE FARMACIA E BIOQUIMICA DO ESPIRITO SANTO             </t>
  </si>
  <si>
    <t xml:space="preserve">FACULDADE DE FARMACIA E ODONTOLOGIA DE JUIZ DE FORA              </t>
  </si>
  <si>
    <t xml:space="preserve">FACULDADE DE FILOSOFIA BERNARDO SAYAO                            </t>
  </si>
  <si>
    <t xml:space="preserve">FACULDADE DE FILOSOFIA CIENCIAS E LETRAS DE ALFENAS              </t>
  </si>
  <si>
    <t xml:space="preserve">FACULDADE DE FILOSOFIA CIENCIAS E LETRAS DE ARAGUARI             </t>
  </si>
  <si>
    <t xml:space="preserve">FACULDADE DE FILOSOFIA CIENCIAS E LETRAS DE AVARE                </t>
  </si>
  <si>
    <t xml:space="preserve">FACULDADE DE FILOSOFIA CIENCIAS E LETRAS DE CATAGUASES           </t>
  </si>
  <si>
    <t xml:space="preserve">FACULDADE DE FILOSOFIA CIENCIAS E LETRAS DE CATANDUVA            </t>
  </si>
  <si>
    <t xml:space="preserve">FACULDADE DE FILOSOFIA CIENCIAS E LETRAS DE ITABIRA              </t>
  </si>
  <si>
    <t xml:space="preserve">FACULDADE DE FILOSOFIA CIENCIAS E LETRAS DE ITUIUTABA            </t>
  </si>
  <si>
    <t xml:space="preserve">FACULDADE DE FILOSOFIA CIENCIAS E LETRAS DE ITUVERAVA            </t>
  </si>
  <si>
    <t xml:space="preserve">FACULDADE DE FILOSOFIA CIENCIAS E LETRAS DE JAHU                 </t>
  </si>
  <si>
    <t xml:space="preserve">FACULDADE DE FILOSOFIA CIENCIAS E LETRAS DE JANDAIA DO SUL       </t>
  </si>
  <si>
    <t xml:space="preserve">FACULDADE DE FILOSOFIA CIENCIAS E LETRAS DE MACAE                </t>
  </si>
  <si>
    <t xml:space="preserve">FACULDADE DE FILOSOFIA CIENCIAS E LETRAS DE MOEMA                </t>
  </si>
  <si>
    <t xml:space="preserve">FACULDADE DE FILOSOFIA CIENCIAS E LETRAS DE MOGI DAS CRUZES      </t>
  </si>
  <si>
    <t xml:space="preserve">FACULDADE DE FILOSOFIA CIENCIAS E LETRAS DE NOVA IGUACU          </t>
  </si>
  <si>
    <t xml:space="preserve">FACULDADE DE FILOSOFIA CIENCIAS E LETRAS DE POCOS DE CALDAS      </t>
  </si>
  <si>
    <t>FACULDADE DE FILOSOFIA CIENCIAS E LETRAS DE SAO JOSE DO RIO PARDO</t>
  </si>
  <si>
    <t xml:space="preserve">FACULDADE DE FILOSOFIA CIENCIAS E LETRAS DE UMUARAMA             </t>
  </si>
  <si>
    <t xml:space="preserve">FACULDADE DE FILOSOFIA CIENCIAS E LETRAS DEPUTADO JOSE LAVIOLA - </t>
  </si>
  <si>
    <t xml:space="preserve">FACULDADE DE FILOSOFIA CIENCIAS E LETRAS DO DISTRITO FEDERAL     </t>
  </si>
  <si>
    <t xml:space="preserve">FACULDADE DE FILOSOFIA CIENCIAS E LETRAS MATER DIVINAE GRATIAE   </t>
  </si>
  <si>
    <t>FACULDADE DE FILOSOFIA CIENCIAS E LETRAS PROFESSORA NAIR FORTES A</t>
  </si>
  <si>
    <t xml:space="preserve">FACULDADE DE FILOSOFIA CIENCIAS E LETRAS SANTANA                 </t>
  </si>
  <si>
    <t xml:space="preserve">FACULDADE DE FILOSOFIA DA COMPANHIA DE JESUS - FAFICJ            </t>
  </si>
  <si>
    <t xml:space="preserve">FACULDADE DE FILOSOFIA DE BARBACENA                              </t>
  </si>
  <si>
    <t xml:space="preserve">FACULDADE DE FILOSOFIA DE CAMPO GRANDE                           </t>
  </si>
  <si>
    <t xml:space="preserve">FACULDADE DE FILOSOFIA DE ITABUNA                                </t>
  </si>
  <si>
    <t xml:space="preserve">FACULDADE DE FILOSOFIA DE ITAPERUNA                              </t>
  </si>
  <si>
    <t xml:space="preserve">FACULDADE DE FILOSOFIA DE PASSOS - FAFIPA                        </t>
  </si>
  <si>
    <t xml:space="preserve">FACULDADE DE FILOSOFIA DE RIO VERDE                              </t>
  </si>
  <si>
    <t xml:space="preserve">FACULDADE DE FILOSOFIA DO RECIFE                                 </t>
  </si>
  <si>
    <t xml:space="preserve">FACULDADE DE FILOSOFIA E CIENCIAS HUMANAS DE GOIATUBA            </t>
  </si>
  <si>
    <t xml:space="preserve">FACULDADE DE FILOSOFIA E LETRAS DE DIAMANTINA - FAFIDIA          </t>
  </si>
  <si>
    <t xml:space="preserve">FACULDADE DE FILOSOFIA NOSSA SENHORA MEDIANEIRA                  </t>
  </si>
  <si>
    <t xml:space="preserve">FACULDADE DE FORMACAO DE PROFESSORES DO BELO JARDIM              </t>
  </si>
  <si>
    <t xml:space="preserve">FACULDADE DE INFORMATICA DE PASSOS - FIP                         </t>
  </si>
  <si>
    <t xml:space="preserve">FACULDADE DE INFORMATICA MV                                      </t>
  </si>
  <si>
    <t xml:space="preserve">FACULDADE DE MANTENA - FAMA                                      </t>
  </si>
  <si>
    <t xml:space="preserve">FACULDADE DE MARKETING E NEGOCIOS - UNIESSA                      </t>
  </si>
  <si>
    <t xml:space="preserve">FACULDADE DE MEDICINA DA UNIVERSIDADE FEDERAL DO RIO DE JANEIRO  </t>
  </si>
  <si>
    <t xml:space="preserve">FACULDADE DE MEDICINA DE BARBACENA - FAME                        </t>
  </si>
  <si>
    <t xml:space="preserve">FACULDADE DE MEDICINA DE CAMPOS                                  </t>
  </si>
  <si>
    <t xml:space="preserve">FACULDADE DE MEDICINA DE CATANDUVA                               </t>
  </si>
  <si>
    <t xml:space="preserve">FACULDADE DE MEDICINA DE ITAJUBA - FMIT                          </t>
  </si>
  <si>
    <t xml:space="preserve">FACULDADE DE MEDICINA DE JUNDIAI                                 </t>
  </si>
  <si>
    <t xml:space="preserve">FACULDADE DE MEDICINA DE PETROPOLIS                              </t>
  </si>
  <si>
    <t xml:space="preserve">FACULDADE DE MEDICINA DE RIBERAO PRETO                           </t>
  </si>
  <si>
    <t xml:space="preserve">FACULDADE DE MEDICINA DE TAUBATE                                 </t>
  </si>
  <si>
    <t xml:space="preserve">FACULDADE DE MEDICINA DE TERESOPOLIS                             </t>
  </si>
  <si>
    <t xml:space="preserve">FACULDADE DE MEDICINA DE VASSOURAS                               </t>
  </si>
  <si>
    <t xml:space="preserve">FACULDADE DE MEDICINA DO NORTE DE MINAS                          </t>
  </si>
  <si>
    <t xml:space="preserve">FACULDADE DE MEDICINA DO TRIANGULO MINEIRO                       </t>
  </si>
  <si>
    <t xml:space="preserve">FACULDADE DE MEDICINA DO VALE DO ACO - FAMEVACO                  </t>
  </si>
  <si>
    <t xml:space="preserve">FACULDADE DE MINAS - FAMINAS                                     </t>
  </si>
  <si>
    <t xml:space="preserve">FACULDADE DE MINAS BH - FAMINAS-BH                               </t>
  </si>
  <si>
    <t xml:space="preserve">FACULDADE DE MODA DE PASSOS - FAMOPA                             </t>
  </si>
  <si>
    <t xml:space="preserve">FACULDADE DE NANUQUE - FANAN                                     </t>
  </si>
  <si>
    <t xml:space="preserve">FACULDADE DE NOVA SERRANA - FANS                                 </t>
  </si>
  <si>
    <t xml:space="preserve">FACULDADE DE NUTRICAO DA FUNDACAO DE ENSINO SUPERIOR DE PASSOS - </t>
  </si>
  <si>
    <t xml:space="preserve">FACULDADE DE ODONTOLOGIA DE ARACATUBA                            </t>
  </si>
  <si>
    <t xml:space="preserve">FACULDADE DE ODONTOLOGIA DE CAMPOS                               </t>
  </si>
  <si>
    <t xml:space="preserve">FACULDADE DE ODONTOLOGIA DE GOVERNADOR VALADARES                 </t>
  </si>
  <si>
    <t xml:space="preserve">FACULDADE DE ODONTOLOGIA DO TRIANGULO MINEIRO                    </t>
  </si>
  <si>
    <t xml:space="preserve">FACULDADE DE PARA DE MINAS - FAPAM                               </t>
  </si>
  <si>
    <t xml:space="preserve">FACULDADE DE PEDAGOGIA DE DORES DO INDAIA - FAPEDI               </t>
  </si>
  <si>
    <t xml:space="preserve">FACULDADE DE PIMENTA BUENO                                       </t>
  </si>
  <si>
    <t xml:space="preserve">FACULDADE DE SABARA - SOECS                                      </t>
  </si>
  <si>
    <t xml:space="preserve">FACULDADE DE SAO LOURENCO                                        </t>
  </si>
  <si>
    <t xml:space="preserve">FACULDADE DE SAUDE IBITURUNA - FASI                              </t>
  </si>
  <si>
    <t xml:space="preserve">FACULDADE DE SAUDE TECSOMA - FASTEC                              </t>
  </si>
  <si>
    <t xml:space="preserve">FACULDADE DE SELVIRIA                                            </t>
  </si>
  <si>
    <t xml:space="preserve">FACULDADE DE SERVICO SOCIAL DE CARATINGA                         </t>
  </si>
  <si>
    <t xml:space="preserve">FACULDADE DE SERVICO SOCIAL DE PASSOS - FASESP                   </t>
  </si>
  <si>
    <t xml:space="preserve">FACULDADE DE SERVICO SOCIAL DE UBERLANDIA                        </t>
  </si>
  <si>
    <t>FACULDADE DE SISTEMAS DE INFORMACAO DE SAO SEBASTIAO DO PARAISO -</t>
  </si>
  <si>
    <t xml:space="preserve">FACULDADE DE TALENTOS HUMANOS - TALENTOS HUMANOS                 </t>
  </si>
  <si>
    <t xml:space="preserve">FACULDADE DE TECNOLOGIA "LUIZ ADELAR SCHEUER" - CIDT             </t>
  </si>
  <si>
    <t xml:space="preserve">FACULDADE DE TECNOLOGIA DE IPATINGA -                            </t>
  </si>
  <si>
    <t xml:space="preserve">FACULDADE DE TECNOLOGIA DE MINAS GERAIS - FATEMG                 </t>
  </si>
  <si>
    <t xml:space="preserve">FACULDADE DE TECNOLOGIA DE OURO FINO -                           </t>
  </si>
  <si>
    <t xml:space="preserve">FACULDADE DE TECNOLOGIA DO COMERCIO - FATEC/COMERCIO             </t>
  </si>
  <si>
    <t xml:space="preserve">FACULDADE DE TECNOLOGIA E CIENCIAS                               </t>
  </si>
  <si>
    <t xml:space="preserve">FACULDADE DE TECNOLOGIA E CIENCIAS DE CONSELHEIRO LAFAIETE       </t>
  </si>
  <si>
    <t>FACULDADE DE TECNOLOGIA ESTACIO DE SA DE BELO HORIZONTE - FATES/B</t>
  </si>
  <si>
    <t xml:space="preserve">FACULDADE DE TECNOLOGIA ESTACIO DE SA DE JUIZ DE FORA - CETESJF  </t>
  </si>
  <si>
    <t xml:space="preserve">FACULDADE DE TECNOLOGIA FABRAI - FABRAI                          </t>
  </si>
  <si>
    <t xml:space="preserve">FACULDADE DE TECNOLOGIA FAESA                                    </t>
  </si>
  <si>
    <t xml:space="preserve">FACULDADE DE TECNOLOGIA INED                                     </t>
  </si>
  <si>
    <t xml:space="preserve">FACULDADE DE TECNOLOGIA INTERNACIONAL                            </t>
  </si>
  <si>
    <t xml:space="preserve">FACULDADE DE TECNOLOGIA LAGOA DA PAMPULHA -                      </t>
  </si>
  <si>
    <t xml:space="preserve">FACULDADE DE TECNOLOGIA MARISTA - CETEMA                         </t>
  </si>
  <si>
    <t xml:space="preserve">FACULDADE DE TECNOLOGIA NOVO RUMO - CET NOVO RUMO                </t>
  </si>
  <si>
    <t xml:space="preserve">FACULDADE DE TECNOLOGIA OXFORD DO BRASIL - CETI                  </t>
  </si>
  <si>
    <t xml:space="preserve">FACULDADE DE TECNOLOGIA SENAI BELO HORIZONTE -                   </t>
  </si>
  <si>
    <t xml:space="preserve">FACULDADE DE TEOLOGIA BOA VISTA                                  </t>
  </si>
  <si>
    <t xml:space="preserve">FACULDADE DE TEOLOGIA DE MINAS GERAIS                            </t>
  </si>
  <si>
    <t xml:space="preserve">FACULDADE DE TEOLOGIA E FILOSOFIA DE SAO PAULO                   </t>
  </si>
  <si>
    <t xml:space="preserve">FACULDADE DE TEOLOGIA FILADELFIA                                 </t>
  </si>
  <si>
    <t xml:space="preserve">FACULDADE DE TEOLOGIA HOKEMAH                                    </t>
  </si>
  <si>
    <t xml:space="preserve">FACULDADE DE TURISMO - SANTOS DUMONT - FACTURSD                  </t>
  </si>
  <si>
    <t xml:space="preserve">FACULDADE DE TURISMO DE BELO HORIZONTE                           </t>
  </si>
  <si>
    <t xml:space="preserve">FACULDADE DE TURISMO DE CARATINGA - FATUR                        </t>
  </si>
  <si>
    <t xml:space="preserve">FACULDADE DE VICOSA - FDV                                        </t>
  </si>
  <si>
    <t xml:space="preserve">FACULDADE DE ZOOTECNIA DE UBERABA                                </t>
  </si>
  <si>
    <t xml:space="preserve">FACULDADE DEL REY -                                              </t>
  </si>
  <si>
    <t xml:space="preserve">FACULDADE DIVINOPOLIS -                                          </t>
  </si>
  <si>
    <t xml:space="preserve">FACULDADE DO FUTURO                                              </t>
  </si>
  <si>
    <t xml:space="preserve">FACULDADE DO LITORAL SUL PAULISTA                                </t>
  </si>
  <si>
    <t xml:space="preserve">FACULDADE DO NOROESTE DE MINAS - FINOM                           </t>
  </si>
  <si>
    <t xml:space="preserve">FACULDADE DO SUDESTE MINEIRO                                     </t>
  </si>
  <si>
    <t xml:space="preserve">FACULDADE DO SUL DA BAHIA                                        </t>
  </si>
  <si>
    <t xml:space="preserve">FACULDADE DOM BOSCO                                              </t>
  </si>
  <si>
    <t xml:space="preserve">FACULDADE DOM BOSCO DE EDUCACAO FISICA                           </t>
  </si>
  <si>
    <t xml:space="preserve">FACULDADE EDUCACAO FISICA DE PASSOS - FADEF                      </t>
  </si>
  <si>
    <t xml:space="preserve">FACULDADE EDUCACIONAL DA LAPA                                    </t>
  </si>
  <si>
    <t xml:space="preserve">FACULDADE EDUCACIONAL JOAO MONLEVADE                             </t>
  </si>
  <si>
    <t xml:space="preserve">FACULDADE EL SHADAY                                              </t>
  </si>
  <si>
    <t xml:space="preserve">FACULDADE ESPIRITO SANTENSE DE ADMINISTRACAO                     </t>
  </si>
  <si>
    <t xml:space="preserve">FACULDADE ESTACIO DE SA DE BELO HORIZONTE - FESBH                </t>
  </si>
  <si>
    <t xml:space="preserve">FACULDADE ESTACIO DE SA DE JUIZ DE FORA - FESJF                  </t>
  </si>
  <si>
    <t xml:space="preserve">FACULDADE ESTADUAL DE CIENCIAS E LETRAS DE CAMPO MOURAO          </t>
  </si>
  <si>
    <t xml:space="preserve">FACULDADE ESTADUAL DE CIENCIAS ECONOMICAS DE APUCARANA           </t>
  </si>
  <si>
    <t xml:space="preserve">FACULDADE ESTADUAL DE MEDICINA DO PARA                           </t>
  </si>
  <si>
    <t xml:space="preserve">FACULDADE EVANGELICA DE TEOLOGIA DE BELO HORIZONTE - FATE-BH     </t>
  </si>
  <si>
    <t xml:space="preserve">FACULDADE EVANGELICA DO MEIO NORTE                               </t>
  </si>
  <si>
    <t xml:space="preserve">FACULDADE FEDERAL DE ODONTOLOGIA DE DIAMANTINA                   </t>
  </si>
  <si>
    <t xml:space="preserve">FACULDADE FEDERAL FLUMINENSE                                     </t>
  </si>
  <si>
    <t xml:space="preserve">FACULDADE FLUMINENSE DE MEDICINA                                 </t>
  </si>
  <si>
    <t xml:space="preserve">FACULDADE FLUMINENSE DE ODONTOLOGIA                              </t>
  </si>
  <si>
    <t xml:space="preserve">FACULDADE FRUTAL - FAF                                           </t>
  </si>
  <si>
    <t xml:space="preserve">FACULDADE GRANDE VITORIA                                         </t>
  </si>
  <si>
    <t xml:space="preserve">FACULDADE IBERO AMERICANA DE LETRAS E CIENCIAS HUMANAS           </t>
  </si>
  <si>
    <t xml:space="preserve">FACULDADE IBMEC - IBMEC                                          </t>
  </si>
  <si>
    <t xml:space="preserve">FACULDADE INFORIUM DE TECNOLOGIA - FIT                           </t>
  </si>
  <si>
    <t xml:space="preserve">FACULDADE INGA                                                   </t>
  </si>
  <si>
    <t xml:space="preserve">FACULDADE INTEGRADA DE CIENCIAS BIOLOGICAS DE MACHADO            </t>
  </si>
  <si>
    <t xml:space="preserve">FACULDADE INTERNACIONAL DE CIENCIAS EMPRESARIAIS - FICE          </t>
  </si>
  <si>
    <t xml:space="preserve">FACULDADE INTERNACIONAL DE CURITIBA                              </t>
  </si>
  <si>
    <t>FACULDADE ITABIRANA DE DESENVOLVIMENTO DAS CIENCIAS E TECNOLOGIAS</t>
  </si>
  <si>
    <t xml:space="preserve">FACULDADE ITABIRANA DE SAUDE - FISA                              </t>
  </si>
  <si>
    <t xml:space="preserve">FACULDADE JUVENCIO TERRA                                         </t>
  </si>
  <si>
    <t xml:space="preserve">FACULDADE KALIL                                                  </t>
  </si>
  <si>
    <t xml:space="preserve">FACULDADE KENNEDY - FK                                           </t>
  </si>
  <si>
    <t xml:space="preserve">FACULDADE MACHADO SOBRINHO                                       </t>
  </si>
  <si>
    <t xml:space="preserve">FACULDADE MARCELO TUPINAMBA                                      </t>
  </si>
  <si>
    <t xml:space="preserve">FACULDADE MARINGA                                                </t>
  </si>
  <si>
    <t xml:space="preserve">FACULDADE MARISTA -                                              </t>
  </si>
  <si>
    <t xml:space="preserve">FACULDADE METODISTA GRANBERY - FMG                               </t>
  </si>
  <si>
    <t>FACULDADE METROPOLITANA DE BELO HORIZONTE -METROPOLITANA -BH - ME</t>
  </si>
  <si>
    <t xml:space="preserve">FACULDADE MICHELANGELO                                           </t>
  </si>
  <si>
    <t xml:space="preserve">FACULDADE MINAS GERAIS - FAMIG                                   </t>
  </si>
  <si>
    <t xml:space="preserve">FACULDADE MINEIRA DE DIREITO                                     </t>
  </si>
  <si>
    <t xml:space="preserve">FACULDADE MOZARTEUM DE SAO PAULO                                 </t>
  </si>
  <si>
    <t xml:space="preserve">FACULDADE MUNICIPAL DE EDUCACAO CIENCIAS E LETRAS DE PARANAVAI   </t>
  </si>
  <si>
    <t xml:space="preserve">FACULDADE NACIONAL DE MEDICINA                                   </t>
  </si>
  <si>
    <t xml:space="preserve">FACULDADE NOSSA CIDADE                                           </t>
  </si>
  <si>
    <t xml:space="preserve">FACULDADE NOVO MILENIO                                           </t>
  </si>
  <si>
    <t xml:space="preserve">FACULDADE PAULISTA DE ARTES                                      </t>
  </si>
  <si>
    <t xml:space="preserve">FACULDADE PAULISTANA                                             </t>
  </si>
  <si>
    <t xml:space="preserve">FACULDADE PAULISTANA DE CIENCIAS E LETRAS - FAPA                 </t>
  </si>
  <si>
    <t xml:space="preserve">FACULDADE PEREIRA DE FREITAS -                                   </t>
  </si>
  <si>
    <t xml:space="preserve">FACULDADE PITAGORAS                                              </t>
  </si>
  <si>
    <t xml:space="preserve">FACULDADE PITAGORAS DE ADMINISTRACAO SUPERIOR                    </t>
  </si>
  <si>
    <t xml:space="preserve">FACULDADE PITAGORAS DE IPATINGA -                                </t>
  </si>
  <si>
    <t xml:space="preserve">FACULDADE POLITECNICA DE UBERLANDIA - FPU                        </t>
  </si>
  <si>
    <t xml:space="preserve">FACULDADE PRESBITERIANA GAMMON - FAGAM                           </t>
  </si>
  <si>
    <t xml:space="preserve">FACULDADE PROJECAO                                               </t>
  </si>
  <si>
    <t xml:space="preserve">FACULDADE PROMOVE DE MINAS GERAIS - PROMOVE                      </t>
  </si>
  <si>
    <t xml:space="preserve">FACULDADE REDENTOR                                               </t>
  </si>
  <si>
    <t xml:space="preserve">FACULDADE REGIONAL DE ARAGUARI                                   </t>
  </si>
  <si>
    <t xml:space="preserve">FACULDADE RIOPRETENSE DE FILOSOFIA CIENCIAS E LETRAS             </t>
  </si>
  <si>
    <t xml:space="preserve">FACULDADE SALESIANA DE FILOSOFIA CIENCIAS E LETRAS               </t>
  </si>
  <si>
    <t xml:space="preserve">FACULDADE SANTA EMILIA DE RODAT                                  </t>
  </si>
  <si>
    <t xml:space="preserve">FACULDADE SANTA MARTA - FSM                                      </t>
  </si>
  <si>
    <t xml:space="preserve">FACULDADE SANTA RITA - FASAR                                     </t>
  </si>
  <si>
    <t xml:space="preserve">FACULDADE SANTA TEREZINHA                                        </t>
  </si>
  <si>
    <t xml:space="preserve">FACULDADE SANTO AGOSTINHO DE PIRAPORA - FASAP                    </t>
  </si>
  <si>
    <t xml:space="preserve">FACULDADE SAO CAMILO - FASC                                      </t>
  </si>
  <si>
    <t xml:space="preserve">FACULDADE SAO JUDAS TADEU                                        </t>
  </si>
  <si>
    <t xml:space="preserve">FACULDADE SENAC MINAS -                                          </t>
  </si>
  <si>
    <t xml:space="preserve">FACULDADE SETE LAGOAS DE MINAS GERAIS -                          </t>
  </si>
  <si>
    <t xml:space="preserve">FACULDADE SETELAGOANA DE CIENCIAS GERENCIAIS - FASCIG            </t>
  </si>
  <si>
    <t xml:space="preserve">FACULDADE SUDAMERICA - SUDAMERICA                                </t>
  </si>
  <si>
    <t xml:space="preserve">FACULDADE TECNOLOGIA IBTA BELO HORIZONTE -                       </t>
  </si>
  <si>
    <t xml:space="preserve">FACULDADE TECSOMA - FATEC                                        </t>
  </si>
  <si>
    <t xml:space="preserve">FACULDADE TEOLOGICA UNIVERSAL                                    </t>
  </si>
  <si>
    <t xml:space="preserve">FACULDADE TRIANGULO MINEIRO - FTM                                </t>
  </si>
  <si>
    <t xml:space="preserve">FACULDADE UBAENSE OZANAM COELHO - FAGOC                          </t>
  </si>
  <si>
    <t xml:space="preserve">FACULDADE UNIDA DE VITORIA                                       </t>
  </si>
  <si>
    <t xml:space="preserve">FACULDADE VALE DO CRICARE                                        </t>
  </si>
  <si>
    <t xml:space="preserve">FACULDADE VALE DO GORUTUBA - FAVAG                               </t>
  </si>
  <si>
    <t xml:space="preserve">FACULDADE VALE DO IPIRANGA - FAVAPI                              </t>
  </si>
  <si>
    <t xml:space="preserve">FACULDADE VICTOR HUGO                                            </t>
  </si>
  <si>
    <t xml:space="preserve">FACULDADES ASSOCIADAS DE UBERABA - FAZU - FAZU                   </t>
  </si>
  <si>
    <t xml:space="preserve">FACULDADES CAPITAL SP                                            </t>
  </si>
  <si>
    <t xml:space="preserve">FACULDADES CLARENTIANAS                                          </t>
  </si>
  <si>
    <t xml:space="preserve">FACULDADES CLARETIANAS DE BATATAIS                               </t>
  </si>
  <si>
    <t xml:space="preserve">FACULDADES COC RIBEIRAO PRETO                                    </t>
  </si>
  <si>
    <t xml:space="preserve">FACULDADES DE SANTO AMARO                                        </t>
  </si>
  <si>
    <t xml:space="preserve">FACULDADES DOCTUM DE TEOFILO OTONI                               </t>
  </si>
  <si>
    <t xml:space="preserve">FACULDADES FEDERAIS INTEGRADAS DE DIAMANTINA - FAFEID            </t>
  </si>
  <si>
    <t xml:space="preserve">FACULDADES FRANCISCANAS                                          </t>
  </si>
  <si>
    <t xml:space="preserve">FACULDADES INTEGRADAS ADVENTISTAS DE MINAS GERAIS - FIAMG        </t>
  </si>
  <si>
    <t xml:space="preserve">FACULDADES INTEGRADAS ASMEC                                      </t>
  </si>
  <si>
    <t xml:space="preserve">FACULDADES INTEGRADAS AUGUSTO MOTA                               </t>
  </si>
  <si>
    <t xml:space="preserve">FACULDADES INTEGRADAS BEBEDOURO                                  </t>
  </si>
  <si>
    <t xml:space="preserve">FACULDADES INTEGRADAS BENNETT                                    </t>
  </si>
  <si>
    <t xml:space="preserve">FACULDADES INTEGRADAS COLEGIO MODERNO                            </t>
  </si>
  <si>
    <t xml:space="preserve">FACULDADES INTEGRADAS DA CATOLICA DE BRASILIA                    </t>
  </si>
  <si>
    <t xml:space="preserve">FACULDADES INTEGRADAS DA REGIAO DE ALFENAS                       </t>
  </si>
  <si>
    <t xml:space="preserve">FACULDADES INTEGRADAS DE ALCANTARA MACHADO                       </t>
  </si>
  <si>
    <t xml:space="preserve">FACULDADES INTEGRADAS DE AMPARO                                  </t>
  </si>
  <si>
    <t xml:space="preserve">FACULDADES INTEGRADAS DE BOTUCATU                                </t>
  </si>
  <si>
    <t xml:space="preserve">FACULDADES INTEGRADAS DE CARATINGA - FIC                         </t>
  </si>
  <si>
    <t xml:space="preserve">FACULDADES INTEGRADAS DE CASSILANDIA                             </t>
  </si>
  <si>
    <t xml:space="preserve">FACULDADES INTEGRADAS DE CATAGUASES - FIC                        </t>
  </si>
  <si>
    <t xml:space="preserve">FACULDADES INTEGRADAS DE CRUZEIRO                                </t>
  </si>
  <si>
    <t xml:space="preserve">FACULDADES INTEGRADAS DE GUARULHOS                               </t>
  </si>
  <si>
    <t xml:space="preserve">FACULDADES INTEGRADAS DE ITAPETININGA                            </t>
  </si>
  <si>
    <t xml:space="preserve">FACULDADES INTEGRADAS DE JACAREPAGUA                             </t>
  </si>
  <si>
    <t xml:space="preserve">FACULDADES INTEGRADAS DE MARILIA                                 </t>
  </si>
  <si>
    <t xml:space="preserve">FACULDADES INTEGRADAS DE OSASCO                                  </t>
  </si>
  <si>
    <t xml:space="preserve">FACULDADES INTEGRADAS DE OURINHOS                                </t>
  </si>
  <si>
    <t xml:space="preserve">FACULDADES INTEGRADAS DE PATOS                                   </t>
  </si>
  <si>
    <t xml:space="preserve">FACULDADES INTEGRADAS DE PEDRO LEOPOLDO - FIPEL                  </t>
  </si>
  <si>
    <t xml:space="preserve">FACULDADES INTEGRADAS DE SANTA CRUZ DO SUL                       </t>
  </si>
  <si>
    <t xml:space="preserve">FACULDADES INTEGRADAS DE SANTO TOMAS DE AQUINO                   </t>
  </si>
  <si>
    <t xml:space="preserve">FACULDADES INTEGRADAS DE SAO JOSE DOS CAMPOS                     </t>
  </si>
  <si>
    <t xml:space="preserve">FACULDADES INTEGRADAS DE UBERABA                                 </t>
  </si>
  <si>
    <t xml:space="preserve">FACULDADES INTEGRADAS DE VITORIA                                 </t>
  </si>
  <si>
    <t xml:space="preserve">FACULDADES INTEGRADAS DE VOTUPORANGA                             </t>
  </si>
  <si>
    <t xml:space="preserve">FACULDADES INTEGRADAS DO OESTE DE MINAS - FADOM                  </t>
  </si>
  <si>
    <t xml:space="preserve">FACULDADES INTEGRADAS DO TAPAJOS                                 </t>
  </si>
  <si>
    <t xml:space="preserve">FACULDADES INTEGRADAS DO TRIANGULO                               </t>
  </si>
  <si>
    <t xml:space="preserve">FACULDADES INTEGRADAS FATIMA DO SUL                              </t>
  </si>
  <si>
    <t xml:space="preserve">FACULDADES INTEGRADAS IBIRAPUERA                                 </t>
  </si>
  <si>
    <t xml:space="preserve">FACULDADES INTEGRADAS MARIA IMACULADA MOGI GUACU                 </t>
  </si>
  <si>
    <t xml:space="preserve">FACULDADES INTEGRADAS NEWTON PAIVA                               </t>
  </si>
  <si>
    <t xml:space="preserve">FACULDADES INTEGRADAS PADRE HUMBERTO                             </t>
  </si>
  <si>
    <t xml:space="preserve">FACULDADES INTEGRADAS PITAGORAS - FIP-MOC                        </t>
  </si>
  <si>
    <t xml:space="preserve">FACULDADES INTEGRADAS RUI BARBOSA                                </t>
  </si>
  <si>
    <t xml:space="preserve">FACULDADES INTEGRADAS SIMONSEN                                   </t>
  </si>
  <si>
    <t xml:space="preserve">FACULDADES INTEGRADAS SOARES DE OLIVEIRA                         </t>
  </si>
  <si>
    <t xml:space="preserve">FACULDADES INTEGRADAS TERESA DAVILA                              </t>
  </si>
  <si>
    <t xml:space="preserve">FACULDADES INTEGRADAS TIBIRICA                                   </t>
  </si>
  <si>
    <t xml:space="preserve">FACULDADES INTEGRADAS VALE DO RIO DOCE                           </t>
  </si>
  <si>
    <t xml:space="preserve">FACULDADES INTEGRADAS VIANNA JUNIOR                              </t>
  </si>
  <si>
    <t xml:space="preserve">FACULDADES METODISTAS INTEGRADAS IZABELA HENDRIX                 </t>
  </si>
  <si>
    <t xml:space="preserve">FACULDADES METROPOLITANAS UNIDAS                                 </t>
  </si>
  <si>
    <t xml:space="preserve">FACULDADES MONTENEGRO                                            </t>
  </si>
  <si>
    <t xml:space="preserve">FACULDADES PEDRO LEOPOLDO                                        </t>
  </si>
  <si>
    <t xml:space="preserve">FACULDADES PITAGORAS DE MONTES CLAROS                            </t>
  </si>
  <si>
    <t xml:space="preserve">FACULDADES REUNIDAS NUNO LISBOA                                  </t>
  </si>
  <si>
    <t xml:space="preserve">FACULDADES SALESIANAS                                            </t>
  </si>
  <si>
    <t xml:space="preserve">FACULDADES SANTO AGOSTINHO                                       </t>
  </si>
  <si>
    <t xml:space="preserve">FACULDADES UNIDAS CATOLICAS DE MATO GROSSO                       </t>
  </si>
  <si>
    <t xml:space="preserve">FACULDADES UNIDAS DE ITUMBIARA                                   </t>
  </si>
  <si>
    <t xml:space="preserve">FACULDADES UNIDAS DO NORTE DE MINAS                              </t>
  </si>
  <si>
    <t xml:space="preserve">FACULDADES UNIDAS GRANDE RIO                                     </t>
  </si>
  <si>
    <t xml:space="preserve">FACULDADES UNIFICADAS DE SERRA DOS ORGAOS                        </t>
  </si>
  <si>
    <t xml:space="preserve">FACULDADES UNIFICADAS DOCTUM                                     </t>
  </si>
  <si>
    <t xml:space="preserve">FAESA CENTRO TECNICO DE ENSINO MEDIO                             </t>
  </si>
  <si>
    <t xml:space="preserve">FAFI - BH                                                        </t>
  </si>
  <si>
    <t xml:space="preserve">FAFILE - FACULDADE DE FILOSOFIA, CIENCIAS E LETRAS DE CARANGOLA  </t>
  </si>
  <si>
    <t xml:space="preserve">FEDERACAO DAS ESCOLAS SUPERIORES DE ILHEUS E ITABUNA             </t>
  </si>
  <si>
    <t xml:space="preserve">FEDERACAO DAS FACULDADES CELSO LISBOA                            </t>
  </si>
  <si>
    <t xml:space="preserve">FEPAS - FEDERACAO DAS ENTIDADES E PROJETOS ASSISTENCIAIS DA CIBI </t>
  </si>
  <si>
    <t xml:space="preserve">FERNANDOPOLIS INSTITUTO EDUCACIONAL PROFISSIONALIZANTE           </t>
  </si>
  <si>
    <t xml:space="preserve">FLOR DE LOTUS ESCOLA DE SHIATSU E ACUPUNTURA                     </t>
  </si>
  <si>
    <t xml:space="preserve">FOCUS ESCOLA TECNICA DE RADIOLOGIA E IMAGENOLOGIA                </t>
  </si>
  <si>
    <t xml:space="preserve">FORCA AEREA BRASILEIRA COMANDO GERAL DO AR                       </t>
  </si>
  <si>
    <t xml:space="preserve">FUN INST DE MOLESTIAS DO APARELHO DIGESTIVO E DA NUTRICAO        </t>
  </si>
  <si>
    <t xml:space="preserve">FUND JORGE DUPRAT FIGUEIREDO DE SEGUR E MEDIC DO TRABALHO        </t>
  </si>
  <si>
    <t xml:space="preserve">FUND SAO FRANCISCO XAVIER                                        </t>
  </si>
  <si>
    <t xml:space="preserve">FUNDACAO AFFONSO FERREIRA                                        </t>
  </si>
  <si>
    <t xml:space="preserve">FUNDACAO ASSISTENCIAL E CULTURAL SANTO ANTONIO                   </t>
  </si>
  <si>
    <t xml:space="preserve">FUNDACAO BENJAMIN GUIMARAES                                      </t>
  </si>
  <si>
    <t xml:space="preserve">FUNDACAO BRADESCO - SAO PAULO - MARILIA                          </t>
  </si>
  <si>
    <t xml:space="preserve">FUNDACAO BRADESCO - SAO PAULO - REGISTRO                         </t>
  </si>
  <si>
    <t xml:space="preserve">FUNDACAO CENTRO DE EDUCACAO TECNICA DA BAHIA                     </t>
  </si>
  <si>
    <t xml:space="preserve">FUNDACAO CHRISTIANO OTTONI                                       </t>
  </si>
  <si>
    <t xml:space="preserve">FUNDACAO COMUNITARIA TRICORDIANA DE EDUCACAO                     </t>
  </si>
  <si>
    <t xml:space="preserve">FUNDACAO DAS PIONEIRAS SOCIAIS                                   </t>
  </si>
  <si>
    <t xml:space="preserve">FUNDACAO DE ENSINO E PESQUISA DE ITAJUBA                         </t>
  </si>
  <si>
    <t xml:space="preserve">FUNDACAO DE ENSINO E PESQUISA DO SUL DE MINAS                    </t>
  </si>
  <si>
    <t xml:space="preserve">FUNDACAO DE ENSINO LINCOLN DE ANDRADE JUNQUEIRA                  </t>
  </si>
  <si>
    <t xml:space="preserve">FUNDACAO DE ENSINO SUPERIOR DE ITAUNA                            </t>
  </si>
  <si>
    <t xml:space="preserve">FUNDACAO DE ENSINO SUPERIOR DO VALE DO SAPUCAI                   </t>
  </si>
  <si>
    <t xml:space="preserve">FUNDACAO DE SAUDE AMAURY DE MEDEIROS                             </t>
  </si>
  <si>
    <t xml:space="preserve">FUNDACAO DOM CABRAL                                              </t>
  </si>
  <si>
    <t xml:space="preserve">FUNDACAO DRACENENSE DE EDUCACAO E CULTURA                        </t>
  </si>
  <si>
    <t xml:space="preserve">FUNDACAO EDUCACIONAL COMUNITARIA FORMIGUENSE                     </t>
  </si>
  <si>
    <t xml:space="preserve">FUNDACAO EDUCACIONAL DA ALTA MOGIANA                             </t>
  </si>
  <si>
    <t xml:space="preserve">FUNDACAO EDUCACIONAL DE ASSISTENCIA PSIQUIATRICA                 </t>
  </si>
  <si>
    <t xml:space="preserve">FUNDACAO EDUCACIONAL DE LAVRAS                                   </t>
  </si>
  <si>
    <t xml:space="preserve">FUNDACAO EDUCACIONAL DO DISTRITO FEDERAL                         </t>
  </si>
  <si>
    <t xml:space="preserve">FUNDACAO EDUCACIONAL DO ENSINO SUPERIOR DE FRUTAL - FESF         </t>
  </si>
  <si>
    <t xml:space="preserve">FUNDACAO EDUCACIONAL FERNANDOPOLIS                               </t>
  </si>
  <si>
    <t xml:space="preserve">FUNDACAO EDUCACIONAL GUACUANA                                    </t>
  </si>
  <si>
    <t xml:space="preserve">FUNDACAO EDUCACIONAL MONSENHOR MESSIAS                           </t>
  </si>
  <si>
    <t xml:space="preserve">FUNDACAO EDUCACIONAL SERRA DOS ORGAOS                            </t>
  </si>
  <si>
    <t xml:space="preserve">FUNDACAO ESTADUAL DE ASSISTENCIA MEDICA DE URGENCIA              </t>
  </si>
  <si>
    <t xml:space="preserve">FUNDACAO EZEQUIEL DIAS - ESCOLA DE SAUDE DE MINAS GERAIS         </t>
  </si>
  <si>
    <t xml:space="preserve">FUNDACAO FAC FEDERAL DE CIENCIAS MEDICAS PORTO ALEGRE            </t>
  </si>
  <si>
    <t xml:space="preserve">FUNDACAO FELICE ROSSO - HOSPITAL FELICIO ROCHO                   </t>
  </si>
  <si>
    <t xml:space="preserve">FUNDACAO HILTON ROCHA                                            </t>
  </si>
  <si>
    <t xml:space="preserve">FUNDACAO HOSPITALAR DO DISTRITO FEDERAL                          </t>
  </si>
  <si>
    <t xml:space="preserve">FUNDACAO HOSPITALAR DO ESTADO DE MINAS GERAIS                    </t>
  </si>
  <si>
    <t xml:space="preserve">FUNDACAO INSTITUTO DE ADMINSTRACAO EM SAUDE                      </t>
  </si>
  <si>
    <t xml:space="preserve">FUNDACAO MINEIRA DE DESENVOLVIMENTO HOSPITALAR                   </t>
  </si>
  <si>
    <t xml:space="preserve">FUNDACAO MINEIRA DE EDUCACAO E CULTURA                           </t>
  </si>
  <si>
    <t xml:space="preserve">FUNDACAO MUNICIPAL DE ENSINO PROFISSIONALIZANTE                  </t>
  </si>
  <si>
    <t xml:space="preserve">FUNDACAO MUNICIPAL DE SAO JOAO DEL REI                           </t>
  </si>
  <si>
    <t xml:space="preserve">FUNDACAO OSVALDO CRUZ                                            </t>
  </si>
  <si>
    <t xml:space="preserve">FUNDACAO ULYSSES GUIMARAES                                       </t>
  </si>
  <si>
    <t xml:space="preserve">FUNDACAO UNIVERSIDADE DE ITAUNA                                  </t>
  </si>
  <si>
    <t xml:space="preserve">FUNDACAO UNIVERSIDADE FEDERAL DE RONDONIA - UNIR                 </t>
  </si>
  <si>
    <t xml:space="preserve">FUNDACAO UNIVERSIDADE FEDERAL DE VICOSA - UFV                    </t>
  </si>
  <si>
    <t xml:space="preserve">FUNDACAO UNIVERSIDADE FEDERAL DO RIO GRANDE - FURG               </t>
  </si>
  <si>
    <t xml:space="preserve">FUNDACAO UNIVERSIDADE FEDERAL DO TOCANTINS - UFT                 </t>
  </si>
  <si>
    <t xml:space="preserve">FUNDACAO UNIVERSIDADE FEDERAL DO VALE DO SAO FRANCISCO - UNIVASF </t>
  </si>
  <si>
    <t xml:space="preserve">FUNDACAO UNIVERSIDADE MINEIRA DE ARTE                            </t>
  </si>
  <si>
    <t xml:space="preserve">FUNEPE - FUNDACAO EDUCACIONAL DE PENAPOLIS                       </t>
  </si>
  <si>
    <t xml:space="preserve">GAY LUSSAC INST DE ENS SUPERIOR                                  </t>
  </si>
  <si>
    <t xml:space="preserve">GBV CENTRO DE EDUCACAO PROFISSIONAL                              </t>
  </si>
  <si>
    <t xml:space="preserve">GF- CENTRO EDUCACIONAL GUILHERME FILHO                           </t>
  </si>
  <si>
    <t xml:space="preserve">GINASIO SANTA GEMA                                               </t>
  </si>
  <si>
    <t xml:space="preserve">GRUFEN - GRUPO DE FORMACAO EM ENFERMAGEM                         </t>
  </si>
  <si>
    <t>GRUPO DE ESTUDOS MULTITECNICAS EM ORTODONTIA E ORTOPEDIA FUNCIONA</t>
  </si>
  <si>
    <t xml:space="preserve">GRUPO DE NUTRICAO HUMANA                                         </t>
  </si>
  <si>
    <t xml:space="preserve">GRUPO PRISMA DE TECNOLOGIA EDUCACIONAL                           </t>
  </si>
  <si>
    <t xml:space="preserve">GUILHERME DE ALMEIDA COLEGIO UNID I                              </t>
  </si>
  <si>
    <t xml:space="preserve">HOLON ESPACO DINAMICO                                            </t>
  </si>
  <si>
    <t xml:space="preserve">HOSP ESCOLA JARBAS PASSARINHO                                    </t>
  </si>
  <si>
    <t xml:space="preserve">HOSP INFANTIL NOSSA SENHORA DA GLORIA                            </t>
  </si>
  <si>
    <t xml:space="preserve">HOSP MUN E MATERN ESCOLA DR MARIO DE MORAES ALTENFELDER SILVA    </t>
  </si>
  <si>
    <t xml:space="preserve">HOSP MUNICIPAL MATERNIDADE ESCOLA DE SP                          </t>
  </si>
  <si>
    <t xml:space="preserve">HOSP MUNICIPAL MIGUEL COUTO                                      </t>
  </si>
  <si>
    <t xml:space="preserve">HOSP SAO JOAQUIM DA REAL E BENEMERITA SOC PORTUG DE BENEFICENCIA </t>
  </si>
  <si>
    <t xml:space="preserve">HOSPITAL A C CAMARGO                                             </t>
  </si>
  <si>
    <t xml:space="preserve">HOSPITAL ADVENTISTA BELO HORIZONTE                               </t>
  </si>
  <si>
    <t xml:space="preserve">HOSPITAL ADVENTISTA DE BELO HORIZONTE                            </t>
  </si>
  <si>
    <t xml:space="preserve">HOSPITAL ANA DIEDERICHSEN                                        </t>
  </si>
  <si>
    <t xml:space="preserve">HOSPITAL BELO HORIZONTE                                          </t>
  </si>
  <si>
    <t xml:space="preserve">HOSPITAL CENTRAL DA AERONAUTICA                                  </t>
  </si>
  <si>
    <t xml:space="preserve">HOSPITAL DA POLICIA MILITAR DO ESTADO DE MINAS GERAIS            </t>
  </si>
  <si>
    <t xml:space="preserve">HOSPITAL DA POLICIA MILITAR DO ESTADO DO RIO DE JANEIRO          </t>
  </si>
  <si>
    <t xml:space="preserve">HOSPITAL DA R B SOC PORTUGUESA DE BENEFICENCIA                   </t>
  </si>
  <si>
    <t xml:space="preserve">HOSPITAL DAS CLINICAS DA UFMG                                    </t>
  </si>
  <si>
    <t xml:space="preserve">HOSPITAL DAS CLINICAS DE UBERLANDIA                              </t>
  </si>
  <si>
    <t xml:space="preserve">HOSPITAL DAS CLINICAS SAMUEL LIBANIO                             </t>
  </si>
  <si>
    <t xml:space="preserve">HOSPITAL DAS FORCAS ARMADAS BRASILEIRAS                          </t>
  </si>
  <si>
    <t xml:space="preserve">HOSPITAL DE BOM SUCESSO - INPS                                   </t>
  </si>
  <si>
    <t xml:space="preserve">HOSPITAL DE CLINICAS DR LAZZAROTTO                               </t>
  </si>
  <si>
    <t xml:space="preserve">HOSPITAL DE CLINICAS PEDRO ERNESTO                               </t>
  </si>
  <si>
    <t xml:space="preserve">HOSPITAL DE IPANEMA                                              </t>
  </si>
  <si>
    <t xml:space="preserve">HOSPITAL DISTRITAL DE BRASILIA                                   </t>
  </si>
  <si>
    <t xml:space="preserve">HOSPITAL DO SERVIDOR PUBLICO MUNICIPAL                           </t>
  </si>
  <si>
    <t xml:space="preserve">HOSPITAL DOS SERVIDORES DO ESTADO DO RIO DE JANEIRO              </t>
  </si>
  <si>
    <t xml:space="preserve">HOSPITAL DOUTOR PHILIPPE PINEL                                   </t>
  </si>
  <si>
    <t xml:space="preserve">HOSPITAL E MATERNIDADE NOSSA SENHORA DE LOURDES                  </t>
  </si>
  <si>
    <t xml:space="preserve">HOSPITAL E MATERNIDADE SANTA RITA                                </t>
  </si>
  <si>
    <t xml:space="preserve">HOSPITAL ESPIRITA ANDRE LUIZ                                     </t>
  </si>
  <si>
    <t xml:space="preserve">HOSPITAL ESTADUAL CARLOS CHAGAS                                  </t>
  </si>
  <si>
    <t xml:space="preserve">HOSPITAL EVANGELICO DE BELO HORIZONTE                            </t>
  </si>
  <si>
    <t xml:space="preserve">HOSPITAL FRANCISCO MORATO DE OLIVEIRA                            </t>
  </si>
  <si>
    <t xml:space="preserve">HOSPITAL FREDERICO OZANAN                                        </t>
  </si>
  <si>
    <t xml:space="preserve">HOSPITAL GOVERNADOR ISRAEL PINHEIRO - IPSEMG                     </t>
  </si>
  <si>
    <t xml:space="preserve">HOSPITAL GUILHERME ALVARO                                        </t>
  </si>
  <si>
    <t xml:space="preserve">HOSPITAL IBIAPABA S A                                            </t>
  </si>
  <si>
    <t xml:space="preserve">HOSPITAL INFANTIL CANDIDO FONTOURA                               </t>
  </si>
  <si>
    <t xml:space="preserve">HOSPITAL IPIRANGA                                                </t>
  </si>
  <si>
    <t xml:space="preserve">HOSPITAL MADRE TERESA CENTRO DE ESTUDOS                          </t>
  </si>
  <si>
    <t xml:space="preserve">HOSPITAL MATER DEI                                               </t>
  </si>
  <si>
    <t xml:space="preserve">HOSPITAL MINICIPAL SOUZA AGUIAR                                  </t>
  </si>
  <si>
    <t xml:space="preserve">HOSPITAL MUNICIPAL DE TAUBATE                                    </t>
  </si>
  <si>
    <t xml:space="preserve">HOSPITAL MUNICIPAL DOUTOR MARIO GATTI                            </t>
  </si>
  <si>
    <t xml:space="preserve">HOSPITAL MUNICIPAL JESUS                                         </t>
  </si>
  <si>
    <t xml:space="preserve">HOSPITAL MUNICIPAL ODILON BEHRENS                                </t>
  </si>
  <si>
    <t xml:space="preserve">HOSPITAL ORTOPEDICO                                              </t>
  </si>
  <si>
    <t xml:space="preserve">HOSPITAL PRONTOCOR                                               </t>
  </si>
  <si>
    <t xml:space="preserve">HOSPITAL RAPHAEL DE PAULA SOUZA                                  </t>
  </si>
  <si>
    <t xml:space="preserve">HOSPITAL REGIONAL TABATINGA                                      </t>
  </si>
  <si>
    <t xml:space="preserve">HOSPITAL SANTA LUCIA                                             </t>
  </si>
  <si>
    <t xml:space="preserve">HOSPITAL SANTA MONICA                                            </t>
  </si>
  <si>
    <t xml:space="preserve">HOSPITAL SANTA RITA                                              </t>
  </si>
  <si>
    <t xml:space="preserve">HOSPITAL SAO BENTO                                               </t>
  </si>
  <si>
    <t xml:space="preserve">HOSPITAL SAO FRANCISCO DE ASSIS                                  </t>
  </si>
  <si>
    <t xml:space="preserve">HOSPITAL SAO JOSE                                                </t>
  </si>
  <si>
    <t xml:space="preserve">HOSPITAL SARAH KUBITSCHEK                                        </t>
  </si>
  <si>
    <t xml:space="preserve">HOSPITAL SEMPER                                                  </t>
  </si>
  <si>
    <t xml:space="preserve">HOSPITAL SIDERURGICA NACIONAL                                    </t>
  </si>
  <si>
    <t xml:space="preserve">HOSPITAL STELLA MARIS                                            </t>
  </si>
  <si>
    <t xml:space="preserve">HOSPITAL UNIVERSITARIO ANTONIO PEDRO                             </t>
  </si>
  <si>
    <t xml:space="preserve">HOSPITAL VERA CRUZ                                               </t>
  </si>
  <si>
    <t xml:space="preserve">Inst. Sup. de C. Humanas e Sociais Aplicadas de Abaete - ISAB    </t>
  </si>
  <si>
    <t xml:space="preserve">Inst. Sup. de Ciencias, Letras e Artes de Tres Coracoes - INCOR  </t>
  </si>
  <si>
    <t xml:space="preserve">Instituto de Ciencias da Saude - ICS                             </t>
  </si>
  <si>
    <t xml:space="preserve">Instituto de Ciencias Sociais e Humanas - INCISOH                </t>
  </si>
  <si>
    <t xml:space="preserve">Instituto de Ensino Superior de Joao Monlevade                   </t>
  </si>
  <si>
    <t xml:space="preserve">Instituto de Ensino Superior e Pesquisa - INESP                  </t>
  </si>
  <si>
    <t xml:space="preserve">Instituto de Letras, Historia e Psicologia de Assis              </t>
  </si>
  <si>
    <t xml:space="preserve">Instituto de Relacoes Publicas                                   </t>
  </si>
  <si>
    <t xml:space="preserve">Instituto de Tecnologia de Governador Valadares                  </t>
  </si>
  <si>
    <t xml:space="preserve">Instituto Champagnat de Estudos Superiores                       </t>
  </si>
  <si>
    <t xml:space="preserve">Instituto Metodista de Ensino Superior - IMS                     </t>
  </si>
  <si>
    <t xml:space="preserve">Instituto Nacional de Desenvolvimento do Ensino Superior - INDES </t>
  </si>
  <si>
    <t xml:space="preserve">Instituto Superior de Educacao de Cataguases      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</si>
  <si>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</si>
  <si>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</si>
  <si>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Janauba - ISEJAN               </t>
  </si>
  <si>
    <t xml:space="preserve">Instituto Superior de Educacao de Januaria - ISEJ                </t>
  </si>
  <si>
    <t xml:space="preserve">Instituto Superior de Educacao de Santo Agostinho                </t>
  </si>
  <si>
    <t xml:space="preserve">Instituto Superior de Educacao do Alto Sao Francisco - ISAF      </t>
  </si>
  <si>
    <t xml:space="preserve">Instituto Superior de Educacao Anisio Teixeira - ISEAT           </t>
  </si>
  <si>
    <t xml:space="preserve">Instituto Superior de Educacao Euclides da Cunha - ISEEC         </t>
  </si>
  <si>
    <t xml:space="preserve">Instituto Superior de Educacao Santo Agostinho - ISA             </t>
  </si>
  <si>
    <t xml:space="preserve">Instituto Tecnologico Regional - INTER                           </t>
  </si>
  <si>
    <t xml:space="preserve">IAD - INSTITUTO DE ARTE E DESIGN                                 </t>
  </si>
  <si>
    <t xml:space="preserve">IAE - INSTITUTO ADVENTISTA DE ENSINO                             </t>
  </si>
  <si>
    <t xml:space="preserve">IANG ESCOLA TEC PROFISSIONALIZANTE                               </t>
  </si>
  <si>
    <t xml:space="preserve">IBAO - INSTITUTO BORGES DE ARTES E OFICIOS                       </t>
  </si>
  <si>
    <t xml:space="preserve">IBEC - INSTITUTO BRASILEIRO DE ENGENHARIA DE CUSTOS              </t>
  </si>
  <si>
    <t xml:space="preserve">IBM DO BRASIL LTDA                                               </t>
  </si>
  <si>
    <t xml:space="preserve">IBMEC BUSINESS SCHOOL                                            </t>
  </si>
  <si>
    <t xml:space="preserve">IBRAPE - INSTITUTO BRASLEIRO DE PESQUISA E ENSINO                </t>
  </si>
  <si>
    <t xml:space="preserve">IBTA - INSTITUTO BRASILEIRO DE TERAPIAS ALTERNATIVAS             </t>
  </si>
  <si>
    <t xml:space="preserve">IDESA-INSTITUTO DE ENSINO SANTO ANTONIO                          </t>
  </si>
  <si>
    <t xml:space="preserve">IDPC - INSTITUTO DE DESENVOLVIMENTO DE PANIFICACAO E CONFEITARIA </t>
  </si>
  <si>
    <t xml:space="preserve">IEA - INSTITUTO EDUCACIONAL DE ARACATUBA                         </t>
  </si>
  <si>
    <t xml:space="preserve">IEC - UNIDADE NOVO ELDORADO                                      </t>
  </si>
  <si>
    <t xml:space="preserve">IEGA - INSTITUTO DE EDUCACAO GERALDO DE ALMEIDA                  </t>
  </si>
  <si>
    <t xml:space="preserve">IESA - INSTITUTO CENECISTA DE ENSINO SUPERIRO DE SANTO ANGELO    </t>
  </si>
  <si>
    <t xml:space="preserve">IESB - INSTITUTO DE ENSINO SUPERIOR DE BAURU - PREVE             </t>
  </si>
  <si>
    <t xml:space="preserve">IGREJA PRESBITERIANA DO BRASIL                                   </t>
  </si>
  <si>
    <t xml:space="preserve">IINSTITUTO PENIDO BURNIER                                        </t>
  </si>
  <si>
    <t xml:space="preserve">IMJ - INSTITUTO MENINO JESUS                                     </t>
  </si>
  <si>
    <t xml:space="preserve">IMPACTO - ESCOLA DE SAUDE                                        </t>
  </si>
  <si>
    <t xml:space="preserve">IMPACTO ESCOLA DE SAUDE                                          </t>
  </si>
  <si>
    <t xml:space="preserve">INAEC - INSTITUTO NACIONAL DE EDUCACAO CONTINUADA                </t>
  </si>
  <si>
    <t xml:space="preserve">INDUSTRIAL DE LINS                                               </t>
  </si>
  <si>
    <t xml:space="preserve">INSITUTO ISABEL CENTRO DE CIENCIAS HUMANAS E SOCIAIS             </t>
  </si>
  <si>
    <t xml:space="preserve">INST BIBLICO JUDAICO MESSIANICO                                  </t>
  </si>
  <si>
    <t xml:space="preserve">INST BRAS DE TEOLOGIA E FILOSOFIA                                </t>
  </si>
  <si>
    <t xml:space="preserve">INST BRASILEIRO DE ESTUDOS HOLISTICOS                            </t>
  </si>
  <si>
    <t xml:space="preserve">INST BRASILEIRO DE TERAPIA INTENSIVA                             </t>
  </si>
  <si>
    <t xml:space="preserve">INST BRASILEIRO DESENV PROFISSIONAL                              </t>
  </si>
  <si>
    <t xml:space="preserve">INST BRASILIENSE DE DIREITO PUBLICO                              </t>
  </si>
  <si>
    <t xml:space="preserve">INST DE ASSISTENCIA AO MUNICIPIO                                 </t>
  </si>
  <si>
    <t xml:space="preserve">INST DE CIENCIAS SOCIAIS E HUMANAS                               </t>
  </si>
  <si>
    <t xml:space="preserve">INST DE DES ORGANIZACIONAL DA SOC DE ENS SUP DE NOVA IGUACU      </t>
  </si>
  <si>
    <t xml:space="preserve">INST DE DES ORGANIZACIONAL DA SOC DE ENSINO SUP DE NOVA IGUACU   </t>
  </si>
  <si>
    <t xml:space="preserve">INST DE EDUC DE JUIZ DE FORA                                     </t>
  </si>
  <si>
    <t xml:space="preserve">INST DE EDUC EUCLIDES DANTAS                                     </t>
  </si>
  <si>
    <t xml:space="preserve">INST DE PESQUISA MEDICO CIRURGICAS DE MG                         </t>
  </si>
  <si>
    <t xml:space="preserve">INST DE TECNOLOGIA DE ALIMENTOS                                  </t>
  </si>
  <si>
    <t xml:space="preserve">INST ENS SUP E FORMACAO AVANCADA DE VITORIA                      </t>
  </si>
  <si>
    <t xml:space="preserve">INST ENS SUP SANTO ANGELO                                        </t>
  </si>
  <si>
    <t xml:space="preserve">INST ENS SUPERIOR INTEGRADO DA FUND EDUC NORDESTE MINEIRO        </t>
  </si>
  <si>
    <t xml:space="preserve">INST FED EDUC CIENC E TECNOL DO SUL DE MG                        </t>
  </si>
  <si>
    <t xml:space="preserve">INST MINEIRO DE ESTUDOS SISTEMICOS                               </t>
  </si>
  <si>
    <t xml:space="preserve">INST NAC DE TELECOMUNICACOES DE SANTA RITA DO SAPUCAI            </t>
  </si>
  <si>
    <t xml:space="preserve">INST NACIONAL DE DESENVOLVIMENTO DAS CIENCIAS DA SAUDE           </t>
  </si>
  <si>
    <t xml:space="preserve">INST PAULISTA DE CIENC DA ADMINISTRACAO                          </t>
  </si>
  <si>
    <t xml:space="preserve">INST POLITECNICO DA UNIV CATOLICA DE MG                          </t>
  </si>
  <si>
    <t xml:space="preserve">INST QUALITTAS DE POS GRADUACAO EM MEDICINA VETERINARIA          </t>
  </si>
  <si>
    <t xml:space="preserve">INST SUP DE EDUC E CULTURA ULYSSES BOYD                          </t>
  </si>
  <si>
    <t xml:space="preserve">INST SUP DE EDUC MAE DE DEUS                                     </t>
  </si>
  <si>
    <t xml:space="preserve">INST SUP DE EDUCACAO DE BARRETOS                                 </t>
  </si>
  <si>
    <t xml:space="preserve">INST SUP DE EDUCACAO E TECNOLOGIA                                </t>
  </si>
  <si>
    <t xml:space="preserve">INST SUP DE ESTUDOS SOCIAIS CLOVIS BEVILACQUA                    </t>
  </si>
  <si>
    <t xml:space="preserve">INST SUPERIOR DE EDUC DE AFONSO CLAUDIO                          </t>
  </si>
  <si>
    <t xml:space="preserve">INST SUPERIOR PEDAGOGICO ENRIQUE JOSE VARONA                     </t>
  </si>
  <si>
    <t xml:space="preserve">INST UNIVERSITARIO LISBOA                                        </t>
  </si>
  <si>
    <t xml:space="preserve">INST VAN NGHI DO BRASIL                                          </t>
  </si>
  <si>
    <t>INSTITUICAO EDUCACIONAL DE HEMATOLOGIA ARTHUR SIQUEIRA CAVALCANTE</t>
  </si>
  <si>
    <t xml:space="preserve">INSTITUO BRASILEIRO DE ADMINISTRACAO MUNICIPAL                   </t>
  </si>
  <si>
    <t xml:space="preserve">INSTITUT NATIONAL AGRONOMIQUE PARIS                              </t>
  </si>
  <si>
    <t xml:space="preserve">INSTITUTO ADOLFO LUTZ                                            </t>
  </si>
  <si>
    <t xml:space="preserve">INSTITUTO ADVENTISTA SAO PAULO                                   </t>
  </si>
  <si>
    <t xml:space="preserve">INSTITUTO AGROPECUARIO DE SAO FIDELIS                            </t>
  </si>
  <si>
    <t xml:space="preserve">INSTITUTO ALICE MACIEL                                           </t>
  </si>
  <si>
    <t xml:space="preserve">INSTITUTO AMERICANO DE LINS                                      </t>
  </si>
  <si>
    <t xml:space="preserve">INSTITUTO ATLANTICO DE ENSINO                                    </t>
  </si>
  <si>
    <t xml:space="preserve">INSTITUTO BELO HORIZONTE DE ENSINO SUPERIOR - IBHES              </t>
  </si>
  <si>
    <t xml:space="preserve">INSTITUTO BEZERRA DE MENEZES                                     </t>
  </si>
  <si>
    <t xml:space="preserve">INSTITUTO BIOCOR                                                 </t>
  </si>
  <si>
    <t xml:space="preserve">INSTITUTO BRASILEIRO DE ESTUDOS HOMEOPATICOS                     </t>
  </si>
  <si>
    <t xml:space="preserve">INSTITUTO BRASILEIRO DE ESTUDOS TRIBUTARIOS                      </t>
  </si>
  <si>
    <t xml:space="preserve">INSTITUTO BRASILEIRO DE MEDICINA DE REABILITACAO                 </t>
  </si>
  <si>
    <t xml:space="preserve">INSTITUTO BRASILIENSE DE TECNOLOGIA E CIENCIA - IBTC             </t>
  </si>
  <si>
    <t xml:space="preserve">INSTITUTO BUIOQUI &amp; MAMEDE                                       </t>
  </si>
  <si>
    <t xml:space="preserve">INSTITUTO CAIEIRAS DE ENSINO                                     </t>
  </si>
  <si>
    <t xml:space="preserve">INSTITUTO CASTELLO BRANCO                                        </t>
  </si>
  <si>
    <t xml:space="preserve">INSTITUTO CATOLICO DE MINAS GERAIS                               </t>
  </si>
  <si>
    <t xml:space="preserve">INSTITUTO CORACAO DE JESUS                                       </t>
  </si>
  <si>
    <t xml:space="preserve">INSTITUTO CULTURA E EDUCACAO                                     </t>
  </si>
  <si>
    <t xml:space="preserve">INSTITUTO CULTURAL OLAVO BILAC                                   </t>
  </si>
  <si>
    <t xml:space="preserve">INSTITUTO CULTURAL ORQUESTRA SINFONICA - ICOS                    </t>
  </si>
  <si>
    <t xml:space="preserve">INSTITUTO CULTURAL SERGIO MAGNANI                                </t>
  </si>
  <si>
    <t xml:space="preserve">INSTITUTO DE ARTES MUSICAIS MODERARTE                            </t>
  </si>
  <si>
    <t xml:space="preserve">INSTITUTO DE ASSISTENCIA DOS SERVIDORES DO ESTADO DO RJ          </t>
  </si>
  <si>
    <t xml:space="preserve">INSTITUTO DE ATUALIZACAO PROFISSIONAL                            </t>
  </si>
  <si>
    <t xml:space="preserve">INSTITUTO DE CEGOS DO BRASIL CENTRAL                             </t>
  </si>
  <si>
    <t xml:space="preserve">INSTITUTO DE CIENCIAS DA SAUDE - ICS                             </t>
  </si>
  <si>
    <t xml:space="preserve">INSTITUTO DE CIENCIAS EXATAS - UNEB                              </t>
  </si>
  <si>
    <t>INSTITUTO DE CIENCIAS HUMANAS E SOCIAIS APLICADAS - ICHSA-TRES PO</t>
  </si>
  <si>
    <t xml:space="preserve">INSTITUTO DE CIENCIAS SOCIAIS AEUDF                              </t>
  </si>
  <si>
    <t xml:space="preserve">INSTITUTO DE CIENCIAS SOCIAIS APLICADAS - UNEB                   </t>
  </si>
  <si>
    <t xml:space="preserve">INSTITUTO DE CIENCIAS SOCIAIS DE AMERICANA                       </t>
  </si>
  <si>
    <t xml:space="preserve">INSTITUTO DE CIENCIAS SOCIAIS E HUMANAS - INCISOH                </t>
  </si>
  <si>
    <t xml:space="preserve">INSTITUTO DE EDUCACAO ALEXANDRA                                  </t>
  </si>
  <si>
    <t xml:space="preserve">INSTITUTO DE EDUCACAO ALTO MAR                                   </t>
  </si>
  <si>
    <t xml:space="preserve">INSTITUTO DE EDUCACAO ATHENEU                                    </t>
  </si>
  <si>
    <t xml:space="preserve">INSTITUTO DE EDUCACAO CIENCIAS E LETRAS                          </t>
  </si>
  <si>
    <t xml:space="preserve">INSTITUTO DE EDUCACAO DE MINAS GERAIS                            </t>
  </si>
  <si>
    <t xml:space="preserve">INSTITUTO DE EDUCACAO DE PIRASSUNUNGA                            </t>
  </si>
  <si>
    <t xml:space="preserve">INSTITUTO DE EDUCACAO E ENSINO DE POUSO ALEGRE                   </t>
  </si>
  <si>
    <t xml:space="preserve">INSTITUTO DE EDUCACAO E ENSINO SUPERIOR DE CAMPINAS - IESCAMP    </t>
  </si>
  <si>
    <t xml:space="preserve">INSTITUTO DE EDUCACAO MARCZAK                                    </t>
  </si>
  <si>
    <t xml:space="preserve">INSTITUTO DE EDUCACAO SANTA MARIA                                </t>
  </si>
  <si>
    <t xml:space="preserve">INSTITUTO DE EDUCACAO SAO BENTO                                  </t>
  </si>
  <si>
    <t xml:space="preserve">INSTITUTO DE EDUCACAO SEDES SAPIENTIAE                           </t>
  </si>
  <si>
    <t xml:space="preserve">INSTITUTO DE EDUCACAO SUPERIOR DE MANHUACU - IESMAN              </t>
  </si>
  <si>
    <t xml:space="preserve">INSTITUTO DE EDUCACAO SUPERIOR DO ALTO SAO FRANCISCO - IESASF    </t>
  </si>
  <si>
    <t xml:space="preserve">INSTITUTO DE EDUCACAO SUPERIOR SAO FRANCISCO DE ASSIS DE TEOFILO </t>
  </si>
  <si>
    <t xml:space="preserve">INSTITUTO DE EDUCACAO TECNOLOGICA                                </t>
  </si>
  <si>
    <t xml:space="preserve">INSTITUTO DE EDUCACAO THEREZA PORTO MARQUES                      </t>
  </si>
  <si>
    <t xml:space="preserve">INSTITUTO DE ENGENHARIA ECONOMICA E ADMINISTRACAO                </t>
  </si>
  <si>
    <t xml:space="preserve">INSTITUTO DE ENSINO DE SAO CAETANO DO SUL LTDA                   </t>
  </si>
  <si>
    <t xml:space="preserve">INSTITUTO DE ENSINO DOIS CORREGOS                                </t>
  </si>
  <si>
    <t xml:space="preserve">INSTITUTO DE ENSINO HUMBOLDT                                     </t>
  </si>
  <si>
    <t xml:space="preserve">INSTITUTO DE ENSINO JOSE RODRIGUES DA SILVA                      </t>
  </si>
  <si>
    <t xml:space="preserve">INSTITUTO DE ENSINO NIVEL                                        </t>
  </si>
  <si>
    <t>INSTITUTO DE ENSINO SUPERIOR "PRESIDENTE TANCREDO DE ALMEIDA NEVE</t>
  </si>
  <si>
    <t xml:space="preserve">INSTITUTO DE ENSINO SUPERIOR CENECISTA - INESC                   </t>
  </si>
  <si>
    <t xml:space="preserve">INSTITUTO DE ENSINO SUPERIOR COMUNITARIO                         </t>
  </si>
  <si>
    <t xml:space="preserve">INSTITUTO DE ENSINO SUPERIOR DE JOAO MONLEVADE - IES/FUNCEC      </t>
  </si>
  <si>
    <t xml:space="preserve">INSTITUTO DE ENSINO SUPERIOR DE MOCOCA                           </t>
  </si>
  <si>
    <t xml:space="preserve">INSTITUTO DE ENSINO SUPERIOR DE NOVA VENECIA                     </t>
  </si>
  <si>
    <t xml:space="preserve">INSTITUTO DE ENSINO SUPERIOR DE OURO FINO -                      </t>
  </si>
  <si>
    <t xml:space="preserve">INSTITUTO DE ENSINO SUPERIOR DO CENTRO OESTE                     </t>
  </si>
  <si>
    <t xml:space="preserve">INSTITUTO DE ENSINO SUPERIOR E PESQUISA - INESP                  </t>
  </si>
  <si>
    <t xml:space="preserve">INSTITUTO DE ENSINO SUPERIOR J ANDRADE                           </t>
  </si>
  <si>
    <t xml:space="preserve">INSTITUTO DE ENSINO SUPERIOR JOAO ALFREDO DE ANDRADE - IJAA      </t>
  </si>
  <si>
    <t xml:space="preserve">INSTITUTO DE ENSINO TECNICO TRIANGULO                            </t>
  </si>
  <si>
    <t xml:space="preserve">INSTITUTO DE INFECTOLOGIA EMILIO RIBAS                           </t>
  </si>
  <si>
    <t xml:space="preserve">INSTITUTO DE LATICINIOS CANDIDO TOSTES                           </t>
  </si>
  <si>
    <t xml:space="preserve">INSTITUTO DE OTORRRINOLARINGOLOGIA DE MINAS GERAIS               </t>
  </si>
  <si>
    <t xml:space="preserve">INSTITUTO DE PEDIATRIA E PUERICULTURA MATARGAO GESTEIRA          </t>
  </si>
  <si>
    <t xml:space="preserve">INSTITUTO DE POS GRADUACAO MEDICA CARLOS CHAGAS                  </t>
  </si>
  <si>
    <t xml:space="preserve">INSTITUTO EDISON                                                 </t>
  </si>
  <si>
    <t xml:space="preserve">INSTITUTO EDUCACIONAL BORBA GATO                                 </t>
  </si>
  <si>
    <t xml:space="preserve">INSTITUTO EDUCACIONAL CASTELLUCCI                                </t>
  </si>
  <si>
    <t xml:space="preserve">INSTITUTO EDUCACIONAL DE CONTAGEM                                </t>
  </si>
  <si>
    <t xml:space="preserve">INSTITUTO EDUCACIONAL DE DRACENA-IED                             </t>
  </si>
  <si>
    <t xml:space="preserve">INSTITUTO EDUCACIONAL IMACULADA CONCEICAO LTDA                   </t>
  </si>
  <si>
    <t xml:space="preserve">INSTITUTO EDUCACIONAL MARIS CELIS                                </t>
  </si>
  <si>
    <t xml:space="preserve">INSTITUTO EDUCACIONAL PRAXIS                                     </t>
  </si>
  <si>
    <t xml:space="preserve">INSTITUTO EDUCACIONAL PROFISSIONALIZANTE DE JALES                </t>
  </si>
  <si>
    <t xml:space="preserve">INSTITUTO ESTADUAL DE DESENVOLVIMENTO DE RECURSOS HUMANOS        </t>
  </si>
  <si>
    <t xml:space="preserve">INSTITUTO ESTADUAL DE HEMATOLOGIA ARTUR SIQUEIRA CAVALCANTE      </t>
  </si>
  <si>
    <t xml:space="preserve">INSTITUTO FEDERAL DE EDUCACAO CIENCIA TECNOLOGIA DE MINAS GERAIS </t>
  </si>
  <si>
    <t xml:space="preserve">INSTITUTO FILADELFIA                                             </t>
  </si>
  <si>
    <t xml:space="preserve">INSTITUTO FILADELFIA DE RIBEIRAO PRETO                           </t>
  </si>
  <si>
    <t xml:space="preserve">INSTITUTO FILADELFIA DE SAO PAULO                                </t>
  </si>
  <si>
    <t xml:space="preserve">INSTITUTO FOYER DE CARAPICUIBA                                   </t>
  </si>
  <si>
    <t xml:space="preserve">INSTITUTO FOYER- EDUCACAO E TREINAMENTO                          </t>
  </si>
  <si>
    <t xml:space="preserve">INSTITUTO GAMMON                                                 </t>
  </si>
  <si>
    <t xml:space="preserve">INSTITUTO GENESIS DE EDUCACAO E CULTURA                          </t>
  </si>
  <si>
    <t xml:space="preserve">INSTITUTO HAHNEMANNIANO DO BRASIL                                </t>
  </si>
  <si>
    <t xml:space="preserve">INSTITUTO HAYA                                                   </t>
  </si>
  <si>
    <t xml:space="preserve">INSTITUTO HOMEOPATICO FRANCOIS LAMASSON                          </t>
  </si>
  <si>
    <t xml:space="preserve">INSTITUTO IBECO                                                  </t>
  </si>
  <si>
    <t xml:space="preserve">INSTITUTO INTERNACIONAL TECNICO EM TURISMO                       </t>
  </si>
  <si>
    <t xml:space="preserve">INSTITUTO LIN PIN CHUAN                                          </t>
  </si>
  <si>
    <t xml:space="preserve">INSTITUTO LUTERANO DE ENSINO SUPERIOR DE ITUMBIARA               </t>
  </si>
  <si>
    <t xml:space="preserve">INSTITUTO MADRE MAZZARELLO                                       </t>
  </si>
  <si>
    <t xml:space="preserve">INSTITUTO MARCOS FREITAS                                         </t>
  </si>
  <si>
    <t xml:space="preserve">INSTITUTO MARIA TOMASIA                                          </t>
  </si>
  <si>
    <t xml:space="preserve">INSTITUTO MARTIN LUTHER KING                                     </t>
  </si>
  <si>
    <t xml:space="preserve">INSTITUTO META                                                   </t>
  </si>
  <si>
    <t xml:space="preserve">INSTITUTO METROPOLITANO DE ENSINO SUPERIOR -                     </t>
  </si>
  <si>
    <t xml:space="preserve">INSTITUTO MILITAR DE ENGENHARIA - IME                            </t>
  </si>
  <si>
    <t xml:space="preserve">INSTITUTO MINEIRO DE ACUPUNTURA E MASSAGENS                      </t>
  </si>
  <si>
    <t xml:space="preserve">INSTITUTO MINEIRO DE CIENCIAS ADMINISTRATIVAS E TECNOLOGICAS     </t>
  </si>
  <si>
    <t xml:space="preserve">INSTITUTO MINEIRO DE EDUCACAO SUPERIOR                           </t>
  </si>
  <si>
    <t xml:space="preserve">INSTITUTO MINEIRO DE HOMEOPATIA                                  </t>
  </si>
  <si>
    <t xml:space="preserve">INSTITUTO MINEIRO DE MEDICINA INTEGRAL                           </t>
  </si>
  <si>
    <t xml:space="preserve">INSTITUTO MODAL                                                  </t>
  </si>
  <si>
    <t xml:space="preserve">INSTITUTO MONITOR                                                </t>
  </si>
  <si>
    <t xml:space="preserve">INSTITUTO MUSICAL                                                </t>
  </si>
  <si>
    <t xml:space="preserve">INSTITUTO MUSICAL MOGI DAS CRUZES                                </t>
  </si>
  <si>
    <t xml:space="preserve">INSTITUTO NACIONAL DE ASSITENCIA MEDICA DA PREVIDENCIA SOCIAL    </t>
  </si>
  <si>
    <t xml:space="preserve">INSTITUTO NACIONAL DE CANCER                                     </t>
  </si>
  <si>
    <t xml:space="preserve">INSTITUTO NACIONAL DE DESENVOLVIMENTO DO ENSINO SUPERIOR - INDES </t>
  </si>
  <si>
    <t xml:space="preserve">INSTITUTO NACIONAL DE EDUCACAO A DISTANCIA - INED                </t>
  </si>
  <si>
    <t xml:space="preserve">INSTITUTO NACIONAL DE PESQUISAS ESPACIAIS                        </t>
  </si>
  <si>
    <t xml:space="preserve">INSTITUTO NACIONAL DE TELECOMUNICACOES - INATEL                  </t>
  </si>
  <si>
    <t xml:space="preserve">INSTITUTO NOROESTE DE BIRIGUI                                    </t>
  </si>
  <si>
    <t xml:space="preserve">INSTITUTO NOSSA SENHORA SAGRADO CORACAO                          </t>
  </si>
  <si>
    <t xml:space="preserve">INSTITUTO PAULISTA DE ENFERMAGEM S/C LTDA                        </t>
  </si>
  <si>
    <t xml:space="preserve">INSTITUTO POLIGONO                                               </t>
  </si>
  <si>
    <t xml:space="preserve">INSTITUTO POLIGONO DE ENSINO - UNIDADE JARDIM                    </t>
  </si>
  <si>
    <t xml:space="preserve">INSTITUTO POLIGONO DE ENSINO - UNIDADE SAO BERNARDO DO CAMPO     </t>
  </si>
  <si>
    <t xml:space="preserve">INSTITUTO POLITECNICO DAS FACULDADES INTEGRADAS PADRE HUMBERTO   </t>
  </si>
  <si>
    <t xml:space="preserve">INSTITUTO POLITECNICO DE SAUDE                                   </t>
  </si>
  <si>
    <t xml:space="preserve">INSTITUTO POLITECNICO DE SAUDE DA ABACO                          </t>
  </si>
  <si>
    <t xml:space="preserve">INSTITUTO PRESIDENTE ROOSEVELT                                   </t>
  </si>
  <si>
    <t xml:space="preserve">INSTITUTO PROFISSIONAL NOSSA SENHORA DA LAPA                     </t>
  </si>
  <si>
    <t xml:space="preserve">INSTITUTO RACINE                                                 </t>
  </si>
  <si>
    <t xml:space="preserve">INSTITUTO SAGRADA FAMILIA                                        </t>
  </si>
  <si>
    <t xml:space="preserve">INSTITUTO SANTA TERESA                                           </t>
  </si>
  <si>
    <t xml:space="preserve">INSTITUTO SANTA TEREZINHA                                        </t>
  </si>
  <si>
    <t xml:space="preserve">INSTITUTO SANTO TOMAS DE AQUINO - ISTA                           </t>
  </si>
  <si>
    <t xml:space="preserve">INSTITUTO SAO JOSE DOS CAMPOS DE ENSINO SUPERIOR - ISJCES        </t>
  </si>
  <si>
    <t xml:space="preserve">INSTITUTO SOROCABANO DE ENSINO TECNICO E PROFISSIONALIZANTE LTDA </t>
  </si>
  <si>
    <t xml:space="preserve">INSTITUTO SUDESTE MINEIRO DE EDUCACAO E CULTURA - ISMEC          </t>
  </si>
  <si>
    <t xml:space="preserve">INSTITUTO SUPERIOR DE CIENCIAS DA SAUDE - INCISA                 </t>
  </si>
  <si>
    <t>INSTITUTO SUPERIOR DE CIENCIAS HUMANAS E SOCIAIS APLICADAS DE ABA</t>
  </si>
  <si>
    <t xml:space="preserve">INSTITUTO SUPERIOR DE CIENCIAS, ARTES E HUMANIDADE DE LAVRAS     </t>
  </si>
  <si>
    <t xml:space="preserve">INSTITUTO SUPERIOR DE EDUCACAO -                                 </t>
  </si>
  <si>
    <t xml:space="preserve">INSTITUTO SUPERIOR DE EDUCACAO - ISED-TRES PONTAS                </t>
  </si>
  <si>
    <t xml:space="preserve">INSTITUTO SUPERIOR DE EDUCACAO "CARLOS CHAGAS" - ISECC           </t>
  </si>
  <si>
    <t xml:space="preserve">INSTITUTO SUPERIOR DE EDUCACAO ALBERT EINSTEIN - ISALBE          </t>
  </si>
  <si>
    <t xml:space="preserve">INSTITUTO SUPERIOR DE EDUCACAO BERLAAR - ISEB                    </t>
  </si>
  <si>
    <t xml:space="preserve">INSTITUTO SUPERIOR DE EDUCACAO CENECISTA DE UNAI - ISEC          </t>
  </si>
  <si>
    <t xml:space="preserve">INSTITUTO SUPERIOR DE EDUCACAO CORACAO DE JESUS -                </t>
  </si>
  <si>
    <t xml:space="preserve">INSTITUTO SUPERIOR DE EDUCACAO DE BICAS - ISEB                   </t>
  </si>
  <si>
    <t xml:space="preserve">INSTITUTO SUPERIOR DE EDUCACAO DE CAMPOS GERAIS - ISEC           </t>
  </si>
  <si>
    <t xml:space="preserve">INSTITUTO SUPERIOR DE EDUCACAO DE CARANGOLA - ISEC               </t>
  </si>
  <si>
    <t xml:space="preserve">INSTITUTO SUPERIOR DE EDUCACAO DE CLAUDIO - ISEC                 </t>
  </si>
  <si>
    <t xml:space="preserve">INSTITUTO SUPERIOR DE EDUCACAO DE DIVINOPOLIS - ISED             </t>
  </si>
  <si>
    <t xml:space="preserve">INSTITUTO SUPERIOR DE EDUCACAO DE ITABIRA - ISEI                 </t>
  </si>
  <si>
    <t xml:space="preserve">INSTITUTO SUPERIOR DE EDUCACAO DE ITAPERUNA                      </t>
  </si>
  <si>
    <t xml:space="preserve">INSTITUTO SUPERIOR DE EDUCACAO DE ITUIUTABA - ISEDI              </t>
  </si>
  <si>
    <t xml:space="preserve">INSTITUTO SUPERIOR DE EDUCACAO DE JACUTINGA - ISEJAC             </t>
  </si>
  <si>
    <t xml:space="preserve">INSTITUTO SUPERIOR DE EDUCACAO DE JANAUBA - ISEJAN               </t>
  </si>
  <si>
    <t xml:space="preserve">INSTITUTO SUPERIOR DE EDUCACAO DE MATIAS BARBOSA - ISEMB         </t>
  </si>
  <si>
    <t xml:space="preserve">INSTITUTO SUPERIOR DE EDUCACAO DE OLIVEIRA - ISEOL               </t>
  </si>
  <si>
    <t xml:space="preserve">INSTITUTO SUPERIOR DE EDUCACAO DE PARAISO - ISEP                 </t>
  </si>
  <si>
    <t xml:space="preserve">INSTITUTO SUPERIOR DE EDUCACAO DE PARAISOPOLIS - FEP             </t>
  </si>
  <si>
    <t xml:space="preserve">INSTITUTO SUPERIOR DE EDUCACAO DE PASSOS - ISEP                  </t>
  </si>
  <si>
    <t xml:space="preserve">INSTITUTO SUPERIOR DE EDUCACAO DE SANTOS DUMONT - ISESD          </t>
  </si>
  <si>
    <t xml:space="preserve">INSTITUTO SUPERIOR DE EDUCACAO DE SAO GOTARDO - CESG             </t>
  </si>
  <si>
    <t xml:space="preserve">INSTITUTO SUPERIOR DE EDUCACAO DO ALTO SAO FRANCISCO - ISAF      </t>
  </si>
  <si>
    <t xml:space="preserve">INSTITUTO SUPERIOR DE EDUCACAO DO ALTO SAO FRANCISCO - ISEASF    </t>
  </si>
  <si>
    <t xml:space="preserve">INSTITUTO SUPERIOR DE EDUCACAO DOS INCONFIDENTES - ISEI          </t>
  </si>
  <si>
    <t xml:space="preserve">INSTITUTO SUPERIOR DE EDUCACAO ELVIRA DAYRELL - ISEED            </t>
  </si>
  <si>
    <t xml:space="preserve">INSTITUTO SUPERIOR DE EDUCACAO IBITURUNA - ISEI                  </t>
  </si>
  <si>
    <t xml:space="preserve">INSTITUTO SUPERIOR DE EDUCACAO MANHUMIRIM - FACULDADES DOCTUM    </t>
  </si>
  <si>
    <t xml:space="preserve">INSTITUTO SUPERIOR DE EDUCACAO MONTES CLAROS - ISEMOC            </t>
  </si>
  <si>
    <t xml:space="preserve">INSTITUTO SUPERIOR DE EDUCACAO NOSSA SENHORA DE SION - ISE- SION </t>
  </si>
  <si>
    <t>INSTITUTO SUPERIOR DE EDUCACAO PROFESSORA NAIR FORTES ABU-MERHY -</t>
  </si>
  <si>
    <t xml:space="preserve">INSTITUTO SUPERIOR DE EDUCACAO SANTA RITA DO SAPUCAI - ISE       </t>
  </si>
  <si>
    <t xml:space="preserve">INSTITUTO SUPERIOR DE EDUCACAO SANTO AGOSTINHO - ISA             </t>
  </si>
  <si>
    <t>INSTITUTO SUPERIOR DE EDUCACAO SANTO AGOSTINHO DE PIRAPORA - ISAP</t>
  </si>
  <si>
    <t xml:space="preserve">INSTITUTO SUPERIOR DE EDUCACAO VERDE NORTE - FAVENORTE           </t>
  </si>
  <si>
    <t xml:space="preserve">INSTITUTO SUPERIOR DE EDUCACAO VICTOR HUGO -                     </t>
  </si>
  <si>
    <t xml:space="preserve">INSTITUTO SUPERIOR DE ENSINO E PESQUISA DE ITUIUTABA - ISEPI     </t>
  </si>
  <si>
    <t xml:space="preserve">INSTITUTO TAUBATE DE ENSINO SUPERIOR - I.T.E.S.                  </t>
  </si>
  <si>
    <t xml:space="preserve">INSTITUTO TECNICO ANA NERY                                       </t>
  </si>
  <si>
    <t xml:space="preserve">INSTITUTO TECNICO ANA NERY - UNIDADE V                           </t>
  </si>
  <si>
    <t xml:space="preserve">INSTITUTO TECNICO ANA NERY ARACATUBA                             </t>
  </si>
  <si>
    <t xml:space="preserve">INSTITUTO TECNICO ANA NERY DE JAU                                </t>
  </si>
  <si>
    <t xml:space="preserve">INSTITUTO TECNICO DE BARUERI BRASILIO FLORES DE AZEVEDO          </t>
  </si>
  <si>
    <t xml:space="preserve">INSTITUTO TECNOLOGICO DE AERONAUTICA - ITA                       </t>
  </si>
  <si>
    <t xml:space="preserve">INSTITUTO TECNOLOGICO DE CARATINGA - FACULDADE DOCTUM            </t>
  </si>
  <si>
    <t xml:space="preserve">INSTITUTO TECNOLOGICO REGIONAL -                                 </t>
  </si>
  <si>
    <t xml:space="preserve">INSTITUTO UNIFICADO PAULISTA                                     </t>
  </si>
  <si>
    <t xml:space="preserve">INSTITUTO UVB.BR - UVB                                           </t>
  </si>
  <si>
    <t>INTEP - INS. TEC. DE ESTUDOS E PESQUISAS DE SAO JOSE DO RIO PRETO</t>
  </si>
  <si>
    <t xml:space="preserve">INTESP - INSTITUTO EDUCACIONAL SAO PAULO                         </t>
  </si>
  <si>
    <t xml:space="preserve">INTITUTO TECNICO ANTONIO LUCIANO                                 </t>
  </si>
  <si>
    <t xml:space="preserve">IPM - INSTITUTO POLITECNICO MILLENNIUM                           </t>
  </si>
  <si>
    <t xml:space="preserve">ISBE - INSTITUTO SUL BRASILEIRO DE ENSINO                        </t>
  </si>
  <si>
    <t xml:space="preserve">ITA COLEGIO UNIDADE II                                           </t>
  </si>
  <si>
    <t xml:space="preserve">ITAB - INSTITUTO TECNICO AFONSO BORGES                           </t>
  </si>
  <si>
    <t xml:space="preserve">ITATEC - INSTITUTO EDUCACIONAL ITANHAEM                          </t>
  </si>
  <si>
    <t xml:space="preserve">ITEC - INSTITUTO DE TECNOLOGIA EM INFORMATICA E INFORMACAO       </t>
  </si>
  <si>
    <t xml:space="preserve">ITERP - INSTITUTO TECNOLOGICO DE RIO PRETO                       </t>
  </si>
  <si>
    <t xml:space="preserve">ITJ - INSTITUTO DE TECNOLOGIA DE JACAREI                         </t>
  </si>
  <si>
    <t xml:space="preserve">KATHOLIEK UNIVERSITEIT LEUVEN                                    </t>
  </si>
  <si>
    <t xml:space="preserve">L UNIVERSITE LOUIS PASTEUR DE STRABOURG                          </t>
  </si>
  <si>
    <t xml:space="preserve">LA ESCUELA DE SALUD PUBLICA DE MEXICO                            </t>
  </si>
  <si>
    <t xml:space="preserve">LA SALLE CENTRO EDUC.DIOCESANO                                   </t>
  </si>
  <si>
    <t xml:space="preserve">LB - MULTICIENCIAS                                               </t>
  </si>
  <si>
    <t xml:space="preserve">LELAND STANFORD JUNIOR UNIVERSITY                                </t>
  </si>
  <si>
    <t xml:space="preserve">LIBERTAS FACULDADES INTEGRADAS                                   </t>
  </si>
  <si>
    <t xml:space="preserve">LICEU BRAZ CUBAS - ENSINO TECNICO                                </t>
  </si>
  <si>
    <t xml:space="preserve">LICEU LITERARIO PORTUGUES                                        </t>
  </si>
  <si>
    <t xml:space="preserve">LICEU NOROESTE                                                   </t>
  </si>
  <si>
    <t xml:space="preserve">LICEU PEDRO II                                                   </t>
  </si>
  <si>
    <t xml:space="preserve">LICEU SANTA MONICA                                               </t>
  </si>
  <si>
    <t xml:space="preserve">LICEU SAO MIGUEL                                                 </t>
  </si>
  <si>
    <t xml:space="preserve">LICEU 2000 - COLEGIO TECNICO E ENSINO SUPLETIVO S/C LTDA         </t>
  </si>
  <si>
    <t xml:space="preserve">LIMEIRA - COLEGIO TECNICO DE - UNICAMP                           </t>
  </si>
  <si>
    <t xml:space="preserve">LOCKUS COLEGIO E CURSOS                                          </t>
  </si>
  <si>
    <t xml:space="preserve">MAIS SISTEMA DE ENSINO DE ASSIS                                  </t>
  </si>
  <si>
    <t xml:space="preserve">MALEWA                                                           </t>
  </si>
  <si>
    <t xml:space="preserve">MARGARIDA MARIA NORONHA BASTOS VIEIRA                            </t>
  </si>
  <si>
    <t xml:space="preserve">MATERNIDADE MUNICIPAL FERNANDO MAGALHAES                         </t>
  </si>
  <si>
    <t xml:space="preserve">MATERNIDADE OCTAVIANO NEVES                                      </t>
  </si>
  <si>
    <t xml:space="preserve">MATERNIDADE ODETE VALADARES                                      </t>
  </si>
  <si>
    <t xml:space="preserve">MAXIME CENTRO EDUCACIONAL                                        </t>
  </si>
  <si>
    <t xml:space="preserve">MENTOR COLEGIO TECNICO                                           </t>
  </si>
  <si>
    <t xml:space="preserve">MEPES - ESCOLA FAMILIA AGRICOLA DE BOA ESPERANCA                 </t>
  </si>
  <si>
    <t xml:space="preserve">MEPES - ESCOLA FAMILIA AGRICOLA DE JAGUARE                       </t>
  </si>
  <si>
    <t xml:space="preserve">MEPES - ESCOLA FAMILIA AGRICOLA DE OLIVANIA                      </t>
  </si>
  <si>
    <t xml:space="preserve">MEPES - ESCOLA FAMILIA AGRICOLA DE SAO JOAO DE GARRAFAO          </t>
  </si>
  <si>
    <t xml:space="preserve">MEPES - ESCOLA FAMILIA AGRICOLA DE VINHATICO                     </t>
  </si>
  <si>
    <t xml:space="preserve">META ESCOLA TECNICA DE FORMACAO PROFISSIONAL                     </t>
  </si>
  <si>
    <t xml:space="preserve">METODISTA                                                        </t>
  </si>
  <si>
    <t xml:space="preserve">METODO ENSINO DIRIGIDO                                           </t>
  </si>
  <si>
    <t xml:space="preserve">MICROCAMP - AQUIDABAN                                            </t>
  </si>
  <si>
    <t xml:space="preserve">MICROCAMP - ARACATUBA                                            </t>
  </si>
  <si>
    <t xml:space="preserve">MICROCAMP - BAURU                                                </t>
  </si>
  <si>
    <t xml:space="preserve">MICROCAMP - BRAGANCA PAULISTA                                    </t>
  </si>
  <si>
    <t xml:space="preserve">MICROCAMP - ENCOL                                                </t>
  </si>
  <si>
    <t xml:space="preserve">MICROCAMP - GLICERIO                                             </t>
  </si>
  <si>
    <t xml:space="preserve">MICROCAMP - JUNDIAI                                              </t>
  </si>
  <si>
    <t xml:space="preserve">MICROCAMP - LAPA                                                 </t>
  </si>
  <si>
    <t xml:space="preserve">MICROCAMP - LIMEIRA                                              </t>
  </si>
  <si>
    <t xml:space="preserve">MICROCAMP - MOGI DAS CRUZES                                      </t>
  </si>
  <si>
    <t xml:space="preserve">MICROCAMP - OSASCO                                               </t>
  </si>
  <si>
    <t xml:space="preserve">MICROCAMP - PENHA                                                </t>
  </si>
  <si>
    <t xml:space="preserve">MICROCAMP - PIRACICABA                                           </t>
  </si>
  <si>
    <t xml:space="preserve">MICROCAMP - REBOUCAS                                             </t>
  </si>
  <si>
    <t xml:space="preserve">MICROCAMP - RIBEIRAO PRETO                                       </t>
  </si>
  <si>
    <t xml:space="preserve">MICROCAMP - RIO CLARO                                            </t>
  </si>
  <si>
    <t xml:space="preserve">MICROCAMP - SAMPA                                                </t>
  </si>
  <si>
    <t xml:space="preserve">MICROCAMP - SANTO AMARO                                          </t>
  </si>
  <si>
    <t xml:space="preserve">MICROCAMP - SANTOS                                               </t>
  </si>
  <si>
    <t xml:space="preserve">MICROCAMP - SAO CAETANO DO SUL                                   </t>
  </si>
  <si>
    <t xml:space="preserve">MICROCAMP - SAO JOSE DO RIO PRETO                                </t>
  </si>
  <si>
    <t xml:space="preserve">MICROCAMP - SOROCABA                                             </t>
  </si>
  <si>
    <t xml:space="preserve">MICROLINS ESCOLA TECNICA DE RIO PRETO                            </t>
  </si>
  <si>
    <t xml:space="preserve">MILLENIUM                                                        </t>
  </si>
  <si>
    <t xml:space="preserve">MOURA LACERDA COLEGIO - UNIDADE I                                </t>
  </si>
  <si>
    <t xml:space="preserve">MUSIC CENTER                                                     </t>
  </si>
  <si>
    <t xml:space="preserve">MUSIC'ARTE                                                       </t>
  </si>
  <si>
    <t xml:space="preserve">NATASHA FRANCO VIEIRA EDUCACAO PROFISSIONAL                      </t>
  </si>
  <si>
    <t xml:space="preserve">NICOLAU SAAD DR SEG GRAU MUNICIPAL                               </t>
  </si>
  <si>
    <t xml:space="preserve">NORTHWESTERN UNIVERSITY MEDICAL SCHOOL                           </t>
  </si>
  <si>
    <t xml:space="preserve">NSL - NUCLEO DE DESENVOLVIMENTO PROFISSIONAL                     </t>
  </si>
  <si>
    <t xml:space="preserve">NUCLEO DE EDUCACAO E FORMACAO EM SAUDE                           </t>
  </si>
  <si>
    <t xml:space="preserve">NUCLEO DE ENSINO FLORENCE NIGHTINGALE                            </t>
  </si>
  <si>
    <t xml:space="preserve">NUCLEO DE ENSINO TECNICO - NET                                   </t>
  </si>
  <si>
    <t xml:space="preserve">NUCLEO DE FORMACAO PROFISSIONAL - AURA                           </t>
  </si>
  <si>
    <t xml:space="preserve">NUCLEO DE PESQUISA EM MEDICINA INTEGRAL                          </t>
  </si>
  <si>
    <t xml:space="preserve">NUCLEO INTEGRAL DE FORMACAO E PESQUISA TECNICO PROFISSIONAL      </t>
  </si>
  <si>
    <t xml:space="preserve">NUCLEO OCUPACIONAL A PESSOA ESPECIAL                             </t>
  </si>
  <si>
    <t xml:space="preserve">NUCLEO RAMAIN THIERS                                             </t>
  </si>
  <si>
    <t xml:space="preserve">OHEP - ORGANIZACAO HORTOLANDENSE DE ENSINO PROFIS                </t>
  </si>
  <si>
    <t xml:space="preserve">ORGANIZACAO EINSTEIN DE ENSINO                                   </t>
  </si>
  <si>
    <t xml:space="preserve">OSWALDO BRUSCHI COLEGIO                                          </t>
  </si>
  <si>
    <t xml:space="preserve">PALAZZO SPINELLI PER LARTE E IL RESTAURO                         </t>
  </si>
  <si>
    <t xml:space="preserve">PARALELO DE ENSINO INSTITUTO                                     </t>
  </si>
  <si>
    <t xml:space="preserve">PEOPLE COMPUTACAO LTDA                                           </t>
  </si>
  <si>
    <t xml:space="preserve">PEOPLETEC - COLEGIO TECNICO                                      </t>
  </si>
  <si>
    <t xml:space="preserve">POLICLINICA GERAL DO RIO DE JANEIRO                              </t>
  </si>
  <si>
    <t xml:space="preserve">POLITEC - ESCOLA POLITECNICA DO BRASIL                           </t>
  </si>
  <si>
    <t xml:space="preserve">POLITEC COLEGIO DE 1 E 2 GRAUS                                   </t>
  </si>
  <si>
    <t xml:space="preserve">PONTIFICIA UNIVERSIDADE CATOLICA DE CAMPINAS - PUC-CAMPINAS      </t>
  </si>
  <si>
    <t xml:space="preserve">PONTIFICIA UNIVERSIDADE CATOLICA DE MINAS GERAIS - PUC MINAS     </t>
  </si>
  <si>
    <t xml:space="preserve">PONTIFICIA UNIVERSIDADE CATOLICA DE SAO PAULO - PUCSP            </t>
  </si>
  <si>
    <t xml:space="preserve">PONTIFICIA UNIVERSIDADE CATOLICA DO RIO DE JANEIRO - PUC-RIO     </t>
  </si>
  <si>
    <t xml:space="preserve">PONTIFICIA UNIVERSIDADE CATOLICA DO RIO GRANDE DO SUL            </t>
  </si>
  <si>
    <t xml:space="preserve">PRAETORIUM INST DE ENSINO PESQUISA E ATIV DE EXT EM DIREITO      </t>
  </si>
  <si>
    <t xml:space="preserve">PRESIDENTE KENNEDY COLEGIO COMERCIAL                             </t>
  </si>
  <si>
    <t xml:space="preserve">PRIMAZ CENTRO EDUCACIONAL PROFISSIONALIZANTE                     </t>
  </si>
  <si>
    <t xml:space="preserve">PRO-IMAGEM ESCOLA TECNICA EM RADIOLOGIA E IMAGENOLOGIA           </t>
  </si>
  <si>
    <t xml:space="preserve">PROJECAO - CENTRAL DE ENSINO DO TRIANGULO                        </t>
  </si>
  <si>
    <t xml:space="preserve">PROTUR ESCOLA TECNICA DE TURISMO                                 </t>
  </si>
  <si>
    <t xml:space="preserve">PUC MINAS GERAIS - PUC MINAS                                     </t>
  </si>
  <si>
    <t xml:space="preserve">PUC PARANA                                                       </t>
  </si>
  <si>
    <t xml:space="preserve">ROSE BALLET - ESCOLA DE ARTE                                     </t>
  </si>
  <si>
    <t xml:space="preserve">RUBENS DE FARIA E SOUZA PROF - ETE                               </t>
  </si>
  <si>
    <t xml:space="preserve">SAGRADO CORACAO DE JESUS COLEGIO                                 </t>
  </si>
  <si>
    <t xml:space="preserve">SAINT CLAIR FUNDACAO                                             </t>
  </si>
  <si>
    <t xml:space="preserve">SALOMAO COLEGIO                                                  </t>
  </si>
  <si>
    <t xml:space="preserve">SANTA CASA DE MISERICORDIA DE BARBACENA                          </t>
  </si>
  <si>
    <t xml:space="preserve">SANTA CASA DE MISERICORDIA DE BELO HORIZONTE                     </t>
  </si>
  <si>
    <t xml:space="preserve">SANTA CASA DE MISERICORDIA DE CAMPINAS                           </t>
  </si>
  <si>
    <t xml:space="preserve">SANTA CASA DE MISERICORDIA DE JUIZ DE FORA                       </t>
  </si>
  <si>
    <t xml:space="preserve">SANTA CASA DE MISERICORDIA DE PORTO ALEGRE                       </t>
  </si>
  <si>
    <t xml:space="preserve">SANTA CASA DE MISERICORDIA DE RIBERAO PRETO                      </t>
  </si>
  <si>
    <t xml:space="preserve">SANTA CASA DE MISERICORDIA DO RIO DE JANEIRO                     </t>
  </si>
  <si>
    <t xml:space="preserve">SANTA IZILDINHA ESCOLA                                           </t>
  </si>
  <si>
    <t xml:space="preserve">SANTANNA                                                         </t>
  </si>
  <si>
    <t xml:space="preserve">SAO PAULO INSTITUTO DE ENSINO                                    </t>
  </si>
  <si>
    <t xml:space="preserve">SAO VICENTE DE PAULO ESC. DE EEIFM                               </t>
  </si>
  <si>
    <t xml:space="preserve">SCUOLA CONVITTO PER INFERMIERI PROFESSIONALI                     </t>
  </si>
  <si>
    <t xml:space="preserve">SECRETARIA DA EDUCACAO - DF                                      </t>
  </si>
  <si>
    <t xml:space="preserve">SEM TEOLOGICO PRESBITERIANO REVERENDO DENOEL NICODEMOS ELLER     </t>
  </si>
  <si>
    <t xml:space="preserve">SEMINARIO ARQUIDIOCESANO CORACAO EUCARISTICO DE JESUS            </t>
  </si>
  <si>
    <t xml:space="preserve">SEMINARIO ARQUIDIOCESANO STO ANTONIO                             </t>
  </si>
  <si>
    <t xml:space="preserve">SEMINARIO BIBLICO MINEIRO                                        </t>
  </si>
  <si>
    <t xml:space="preserve">SEMINARIO TEOLOGICO BATISTA DO NORTE DE MINAS                    </t>
  </si>
  <si>
    <t xml:space="preserve">SEMINARIO TEOLOGICO BATISTA DO NORTE DO BRASIL                   </t>
  </si>
  <si>
    <t xml:space="preserve">SEMINARIO TEOLOGICO BATISTA DO SUL DO BRASIL                     </t>
  </si>
  <si>
    <t xml:space="preserve">SEMINARIO TEOLOGICO BATISTA MINEIRO                              </t>
  </si>
  <si>
    <t xml:space="preserve">SEMINARIO TEOLOGICO EVANGELICO BETEL BRASILEIRO                  </t>
  </si>
  <si>
    <t xml:space="preserve">SEMINARIO TEOLOGICO EVANGELICO DO BRASIL                         </t>
  </si>
  <si>
    <t xml:space="preserve">SENAC - UNIDADE DE ENSINO IV                                     </t>
  </si>
  <si>
    <t xml:space="preserve">SENAC ARACATUBA                                                  </t>
  </si>
  <si>
    <t xml:space="preserve">SENAC ARARAQUARA                                                 </t>
  </si>
  <si>
    <t xml:space="preserve">SENAC BARRETOS                                                   </t>
  </si>
  <si>
    <t xml:space="preserve">SENAC BAURU                                                      </t>
  </si>
  <si>
    <t xml:space="preserve">SENAC BEBEDOURO                                                  </t>
  </si>
  <si>
    <t xml:space="preserve">SENAC BOTUCATU                                                   </t>
  </si>
  <si>
    <t xml:space="preserve">SENAC CAMPINAS                                                   </t>
  </si>
  <si>
    <t xml:space="preserve">SENAC CATANDUVA                                                  </t>
  </si>
  <si>
    <t xml:space="preserve">SENAC CENTRO DE TECNOLOGIA EM BELEZA                             </t>
  </si>
  <si>
    <t xml:space="preserve">SENAC CONSOLACAO                                                 </t>
  </si>
  <si>
    <t xml:space="preserve">SENAC DE GUAXUPE                                                 </t>
  </si>
  <si>
    <t xml:space="preserve">SENAC DE POCOS DE CALDAS                                         </t>
  </si>
  <si>
    <t xml:space="preserve">SENAC FRANCA                                                     </t>
  </si>
  <si>
    <t xml:space="preserve">SENAC FRANCISCO MATARAZZO                                        </t>
  </si>
  <si>
    <t xml:space="preserve">SENAC GRANDE HOTEL CAMPOS DO JORDAO                              </t>
  </si>
  <si>
    <t xml:space="preserve">SENAC GRANDE HOTEL SAO PEDRO                                     </t>
  </si>
  <si>
    <t xml:space="preserve">SENAC GUARATINGUETA                                              </t>
  </si>
  <si>
    <t xml:space="preserve">SENAC GUARULHOS                                                  </t>
  </si>
  <si>
    <t xml:space="preserve">SENAC ITAPETININGA                                               </t>
  </si>
  <si>
    <t xml:space="preserve">SENAC ITAPIRA                                                    </t>
  </si>
  <si>
    <t xml:space="preserve">SENAC ITAQUERA                                                   </t>
  </si>
  <si>
    <t xml:space="preserve">SENAC ITU                                                        </t>
  </si>
  <si>
    <t xml:space="preserve">SENAC JABAQUARA                                                  </t>
  </si>
  <si>
    <t xml:space="preserve">SENAC JABOTICABAL                                                </t>
  </si>
  <si>
    <t xml:space="preserve">SENAC JAU                                                        </t>
  </si>
  <si>
    <t xml:space="preserve">SENAC JUNDIAI                                                    </t>
  </si>
  <si>
    <t xml:space="preserve">SENAC LAPA FAUSTOLO                                              </t>
  </si>
  <si>
    <t xml:space="preserve">SENAC LAPA SCIPIAO                                               </t>
  </si>
  <si>
    <t xml:space="preserve">SENAC LAPA TITO                                                  </t>
  </si>
  <si>
    <t xml:space="preserve">SENAC LIMEIRA                                                    </t>
  </si>
  <si>
    <t xml:space="preserve">SENAC MARILIA                                                    </t>
  </si>
  <si>
    <t xml:space="preserve">SENAC MOGI GUACU                                                 </t>
  </si>
  <si>
    <t xml:space="preserve">SENAC MS                                                         </t>
  </si>
  <si>
    <t xml:space="preserve">SENAC OSASCO                                                     </t>
  </si>
  <si>
    <t xml:space="preserve">SENAC PENHA                                                      </t>
  </si>
  <si>
    <t xml:space="preserve">SENAC PIRACICABA                                                 </t>
  </si>
  <si>
    <t xml:space="preserve">SENAC PRESIDENTE PRUDENTE                                        </t>
  </si>
  <si>
    <t xml:space="preserve">SENAC RIBEIRAO PRETO                                             </t>
  </si>
  <si>
    <t xml:space="preserve">SENAC RIO CLARO                                                  </t>
  </si>
  <si>
    <t xml:space="preserve">SENAC SANTA CECILIA                                              </t>
  </si>
  <si>
    <t xml:space="preserve">SENAC SANTANA                                                    </t>
  </si>
  <si>
    <t xml:space="preserve">SENAC SANTO AMARO                                                </t>
  </si>
  <si>
    <t xml:space="preserve">SENAC SANTO ANDRE                                                </t>
  </si>
  <si>
    <t xml:space="preserve">SENAC SANTOS                                                     </t>
  </si>
  <si>
    <t xml:space="preserve">SENAC SAO CARLOS                                                 </t>
  </si>
  <si>
    <t xml:space="preserve">SENAC SAO JOAO DA BOA VISTA                                      </t>
  </si>
  <si>
    <t xml:space="preserve">SENAC SAO JOSE DO RIO PRETO                                      </t>
  </si>
  <si>
    <t xml:space="preserve">SENAC SAO JOSE DOS CAMPOS                                        </t>
  </si>
  <si>
    <t xml:space="preserve">SENAC SETE LAOAS                                                 </t>
  </si>
  <si>
    <t xml:space="preserve">SENAC SOROCABA                                                   </t>
  </si>
  <si>
    <t xml:space="preserve">SENAC TATUAPE                                                    </t>
  </si>
  <si>
    <t xml:space="preserve">SENAC TAUBATE                                                    </t>
  </si>
  <si>
    <t xml:space="preserve">SENAC TIRADENTES                                                 </t>
  </si>
  <si>
    <t xml:space="preserve">SENAC UBERABA - BOA VISTA                                        </t>
  </si>
  <si>
    <t xml:space="preserve">SENAC VILA PRUDENTE                                              </t>
  </si>
  <si>
    <t xml:space="preserve">SENAC VITORIA                                                    </t>
  </si>
  <si>
    <t xml:space="preserve">SENAC VOTUPORANGA                                                </t>
  </si>
  <si>
    <t xml:space="preserve">SENAC 24 DE MAIO                                                 </t>
  </si>
  <si>
    <t xml:space="preserve">SENAC-MG - BELO HORIZONTE                                        </t>
  </si>
  <si>
    <t xml:space="preserve">SENAC-MG - ITAJUBA                                               </t>
  </si>
  <si>
    <t xml:space="preserve">SENAC-RJ ANGRA DOS REIS                                          </t>
  </si>
  <si>
    <t xml:space="preserve">SENAC-RJ ARARUAMA                                                </t>
  </si>
  <si>
    <t xml:space="preserve">SENAC-RJ BANGU                                                   </t>
  </si>
  <si>
    <t xml:space="preserve">SENAC-RJ BARRA DA TIJUCA                                         </t>
  </si>
  <si>
    <t xml:space="preserve">SENAC-RJ BARRA DO PIRAI                                          </t>
  </si>
  <si>
    <t xml:space="preserve">SENAC-RJ BARRA MANSA                                             </t>
  </si>
  <si>
    <t xml:space="preserve">SENAC-RJ BOM JESUS DO ITABAPOANA                                 </t>
  </si>
  <si>
    <t xml:space="preserve">SENAC-RJ BONSUCESSO                                              </t>
  </si>
  <si>
    <t xml:space="preserve">SENAC-RJ CABO FRIO                                               </t>
  </si>
  <si>
    <t xml:space="preserve">SENAC-RJ CACHOEIRAS DE MACACU                                    </t>
  </si>
  <si>
    <t xml:space="preserve">SENAC-RJ CAMPO GRANDE                                            </t>
  </si>
  <si>
    <t xml:space="preserve">SENAC-RJ CAMPOS                                                  </t>
  </si>
  <si>
    <t xml:space="preserve">SENAC-RJ CAXIAS                                                  </t>
  </si>
  <si>
    <t xml:space="preserve">SENAC-RJ CENTRO DE EDUCACAO EM SAUDE                             </t>
  </si>
  <si>
    <t xml:space="preserve">SENAC-RJ CENTRO POLITECNICO SENAC RIO                            </t>
  </si>
  <si>
    <t xml:space="preserve">SENAC-RJ COPACABANA                                              </t>
  </si>
  <si>
    <t xml:space="preserve">SENAC-RJ DEODORO                                                 </t>
  </si>
  <si>
    <t xml:space="preserve">SENAC-RJ DUQUE DE CAXIAS II                                      </t>
  </si>
  <si>
    <t xml:space="preserve">SENAC-RJ ILHA DO GOVERNADOR                                      </t>
  </si>
  <si>
    <t xml:space="preserve">SENAC-RJ ITABORAI                                                </t>
  </si>
  <si>
    <t xml:space="preserve">SENAC-RJ ITAGUAI                                                 </t>
  </si>
  <si>
    <t xml:space="preserve">SENAC-RJ ITAOCARA                                                </t>
  </si>
  <si>
    <t xml:space="preserve">SENAC-RJ ITAPERUNA                                               </t>
  </si>
  <si>
    <t xml:space="preserve">SENAC-RJ JACAREPAGUA                                             </t>
  </si>
  <si>
    <t xml:space="preserve">SENAC-RJ JARDIM AMERICA                                          </t>
  </si>
  <si>
    <t xml:space="preserve">SENAC-RJ MACAE                                                   </t>
  </si>
  <si>
    <t xml:space="preserve">SENAC-RJ MADUREIRA                                               </t>
  </si>
  <si>
    <t xml:space="preserve">SENAC-RJ MAGE                                                    </t>
  </si>
  <si>
    <t xml:space="preserve">SENAC-RJ MARECHAL FLORIANO                                       </t>
  </si>
  <si>
    <t xml:space="preserve">SENAC-RJ MIGUEL PEREIRA                                          </t>
  </si>
  <si>
    <t xml:space="preserve">SENAC-RJ MIRACEMA                                                </t>
  </si>
  <si>
    <t xml:space="preserve">SENAC-RJ NILOPOLIS                                               </t>
  </si>
  <si>
    <t xml:space="preserve">SENAC-RJ NITEROI                                                 </t>
  </si>
  <si>
    <t xml:space="preserve">SENAC-RJ NOVA FRIBURGO                                           </t>
  </si>
  <si>
    <t xml:space="preserve">SENAC-RJ NOVA FRIBURGO I                                         </t>
  </si>
  <si>
    <t xml:space="preserve">SENAC-RJ NOVA IGUACU                                             </t>
  </si>
  <si>
    <t xml:space="preserve">SENAC-RJ PADRE MIGUEL                                            </t>
  </si>
  <si>
    <t xml:space="preserve">SENAC-RJ PARAIBA DO SUL                                          </t>
  </si>
  <si>
    <t xml:space="preserve">SENAC-RJ PETROPOLIS                                              </t>
  </si>
  <si>
    <t xml:space="preserve">SENAC-RJ RESENDE                                                 </t>
  </si>
  <si>
    <t xml:space="preserve">SENAC-RJ RIO DAS OSTRAS                                          </t>
  </si>
  <si>
    <t xml:space="preserve">SENAC-RJ ROCHA MIRANDA                                           </t>
  </si>
  <si>
    <t xml:space="preserve">SENAC-RJ SANTO ANTONIO DE PADUA                                  </t>
  </si>
  <si>
    <t xml:space="preserve">SENAC-RJ SAO GONCALO                                             </t>
  </si>
  <si>
    <t xml:space="preserve">SENAC-RJ SAO JOAO DE MERITI                                      </t>
  </si>
  <si>
    <t xml:space="preserve">SENAC-RJ TERESOPOLIS                                             </t>
  </si>
  <si>
    <t xml:space="preserve">SENAC-RJ TRES RIOS                                               </t>
  </si>
  <si>
    <t xml:space="preserve">SENAC-RJ VALENCA                                                 </t>
  </si>
  <si>
    <t xml:space="preserve">SENAC-RJ VASSOURAS                                               </t>
  </si>
  <si>
    <t xml:space="preserve">SENAC-RJ VOLTA REDONDA                                           </t>
  </si>
  <si>
    <t xml:space="preserve">SENAI - CFP/JMS                                                  </t>
  </si>
  <si>
    <t xml:space="preserve">SENAI - DEPARTAMENTO REGIONAL DE SAO PAULO                       </t>
  </si>
  <si>
    <t xml:space="preserve">SENAI - RJ CFP DE DUQUE DE CAXIAS                                </t>
  </si>
  <si>
    <t xml:space="preserve">SENAI DEPARTAMENTO REGIONAL DE MG                                </t>
  </si>
  <si>
    <t xml:space="preserve">SENAI-RJ CFP DE RESENDE                                          </t>
  </si>
  <si>
    <t xml:space="preserve">SENES - SOCIEDADE DE ENSINO ESPECIALIZADA EM SAUDE               </t>
  </si>
  <si>
    <t xml:space="preserve">SEPRO - SISTEMA DE EDUCACAO PROFISSIONAL DE ITABIRA              </t>
  </si>
  <si>
    <t xml:space="preserve">SERV-RIO                                                         </t>
  </si>
  <si>
    <t xml:space="preserve">SERVICO SOCIAL DA INDUSTRIA                                      </t>
  </si>
  <si>
    <t xml:space="preserve">SERVICO VOLUNTARIO DE ASSISTENCIA SOCIAL                         </t>
  </si>
  <si>
    <t xml:space="preserve">SHALOM CENTRO DE FORMACAO DE ENFERMAGEM                          </t>
  </si>
  <si>
    <t xml:space="preserve">SIAEC SISTEMA INTEGRADO ATIVA DE EDUCACAO E COMUNICACAO          </t>
  </si>
  <si>
    <t xml:space="preserve">SIGMA COLEGIO                                                    </t>
  </si>
  <si>
    <t xml:space="preserve">SINDICATO DOS PROTETICOS DENTARIOS DO ESTADO DO RIO DE JANEIRO   </t>
  </si>
  <si>
    <t xml:space="preserve">SINDIMOVEIS/RIO                                                  </t>
  </si>
  <si>
    <t xml:space="preserve">SISTEMA FENIX DE ENSINO                                          </t>
  </si>
  <si>
    <t xml:space="preserve">SOC BRASILEIRA DE PNEUMOLOGIA E TISIOLOGIA                       </t>
  </si>
  <si>
    <t xml:space="preserve">SOC BRASILERIA DE PSICO ONCOLOGIA                                </t>
  </si>
  <si>
    <t xml:space="preserve">SOCIEDADE BRASILEIRA DE ANALISES CLINICAS                        </t>
  </si>
  <si>
    <t xml:space="preserve">SOCIEDADE BRASILEIRA DE ANESTESIOLOGIA                           </t>
  </si>
  <si>
    <t xml:space="preserve">SOCIEDADE BRASILEIRA DE CARDIOLOGIA                              </t>
  </si>
  <si>
    <t xml:space="preserve">SOCIEDADE BRASILEIRA DE CIRURGIA PLASTICA                        </t>
  </si>
  <si>
    <t xml:space="preserve">SOCIEDADE BRASILEIRA DE ENFERMAGEM EM NEFROLOGIA                 </t>
  </si>
  <si>
    <t xml:space="preserve">SOCIEDADE BRASILEIRA DE FARMACIA HOSPITALAR                      </t>
  </si>
  <si>
    <t xml:space="preserve">SOCIEDADE BRASILEIRA DE HEMATOLOGIA E HEMOTERAPIA                </t>
  </si>
  <si>
    <t xml:space="preserve">SOCIEDADE BRASILEIRA DE HOMEOPATIA                               </t>
  </si>
  <si>
    <t xml:space="preserve">SOCIEDADE BRASILEIRA DE IMPLANTODONTIA                           </t>
  </si>
  <si>
    <t xml:space="preserve">SOCIEDADE BRASILEIRA DE NUTRICAO PARENTERAL E ENTERAL            </t>
  </si>
  <si>
    <t xml:space="preserve">SOCIEDADE BRASILEIRA DE ORTOPEDIA E TRAUMATOLOGIA                </t>
  </si>
  <si>
    <t xml:space="preserve">SOCIEDADE BRASILEIRA DE PATOLOGIA CLINICA                        </t>
  </si>
  <si>
    <t xml:space="preserve">SOCIEDADE BRASILEIRA DE RADIOLOGIA                               </t>
  </si>
  <si>
    <t xml:space="preserve">SOCIEDADE BRASILEIRA DE UROLOGIA                                 </t>
  </si>
  <si>
    <t xml:space="preserve">SOCIEDADE DE EDUCACAO CONTINUADA                                 </t>
  </si>
  <si>
    <t xml:space="preserve">SOCIEDADE DE MEDICINA E CIRURGIA DE JUIZ DE FORA                 </t>
  </si>
  <si>
    <t xml:space="preserve">SOCIEDADE MEDICA BRASILEIRA DE ACUNPUNTURA                       </t>
  </si>
  <si>
    <t xml:space="preserve">SOCIEDADE MINEIRA DE ENGENHEIROS                                 </t>
  </si>
  <si>
    <t xml:space="preserve">SOCIEDADE PESTALOZZI DO ESTADO DO RIO DE JANEIRO                 </t>
  </si>
  <si>
    <t xml:space="preserve">SOCIEDADE PSICANALITICA ORTODOXA DO BRASIL                       </t>
  </si>
  <si>
    <t xml:space="preserve">SOS COMPUTADORES                                                 </t>
  </si>
  <si>
    <t xml:space="preserve">SOS COMPUTADORES - UNIDADE BUTANTA                               </t>
  </si>
  <si>
    <t xml:space="preserve">SOS COMPUTADORES - UNIDADE DIADEMA                               </t>
  </si>
  <si>
    <t xml:space="preserve">SOS COMPUTADORES - UNIDADE FREGUESIA DO O                        </t>
  </si>
  <si>
    <t xml:space="preserve">SOS COMPUTADORES - UNIDADE OSASCO                                </t>
  </si>
  <si>
    <t xml:space="preserve">SOS COMPUTADORES - UNIDADE SANTO AMARO                           </t>
  </si>
  <si>
    <t xml:space="preserve">SOS COMPUTADORES - UNIDADE VILA CARRAO                           </t>
  </si>
  <si>
    <t xml:space="preserve">STUDIO DE BALLET JAQUELINE TAVARES                               </t>
  </si>
  <si>
    <t xml:space="preserve">STUDIO DE DANCA LUCIANA JUNQUEIRA                                </t>
  </si>
  <si>
    <t xml:space="preserve">STUDIUM CARLA PETRONI                                            </t>
  </si>
  <si>
    <t xml:space="preserve">SUP DE EDUCACAO A DISTANCIA E CONTINUADA DE GOIAS                </t>
  </si>
  <si>
    <t xml:space="preserve">TAO NUCLEO CULTURAL                                              </t>
  </si>
  <si>
    <t xml:space="preserve">TEATRO ESCOLA CELIA HELENA                                       </t>
  </si>
  <si>
    <t xml:space="preserve">TEATRO ESCOLA MACUNAIMA                                          </t>
  </si>
  <si>
    <t xml:space="preserve">TECMED CURSOS E APERFEICOAMENTO SC LTDA                          </t>
  </si>
  <si>
    <t xml:space="preserve">TECMED CURSOS PROFISSIONALIZANTES                                </t>
  </si>
  <si>
    <t xml:space="preserve">TECNICA DE QUIMICA ESCOLA E EMEF_4                               </t>
  </si>
  <si>
    <t xml:space="preserve">TECNUS GRAFITE AMBIENTAL - CURSOS TECNICOS. PROFISSIONALIZANTES  </t>
  </si>
  <si>
    <t xml:space="preserve">TECSAU - ESCOLA TECNICA DE SAUDE                                 </t>
  </si>
  <si>
    <t xml:space="preserve">TEMPLO DA ARTE                                                   </t>
  </si>
  <si>
    <t xml:space="preserve">THE JOHNS HOPINKINS UNIVERSITY                                   </t>
  </si>
  <si>
    <t xml:space="preserve">Uniao das Faculdades Claretianas - UNICLAR                       </t>
  </si>
  <si>
    <t xml:space="preserve">Uniao das Faculdades Francanas - UNIFRAN                         </t>
  </si>
  <si>
    <t xml:space="preserve">Univ. do Grande Rio Professor Jose de Souza Herdy - UNIGRANRIO   </t>
  </si>
  <si>
    <t xml:space="preserve">Universidade de Passo Fundo                                      </t>
  </si>
  <si>
    <t xml:space="preserve">Universidade de Uberada - UNIUBE                                 </t>
  </si>
  <si>
    <t xml:space="preserve">Universidade do Vale do Sapucai - UNIVAS                         </t>
  </si>
  <si>
    <t xml:space="preserve">Universidade Braz Cubas                                          </t>
  </si>
  <si>
    <t xml:space="preserve">Universidade Cruzeiro do Sul                                     </t>
  </si>
  <si>
    <t xml:space="preserve">Universidade Estacio de Sa                                       </t>
  </si>
  <si>
    <t xml:space="preserve">Universidade Estadual de Maringa                                 </t>
  </si>
  <si>
    <t xml:space="preserve">Universidade Estadual de Montes Claros - UNIMONTES               </t>
  </si>
  <si>
    <t xml:space="preserve">Universidade Estadual de Santa Cruz                              </t>
  </si>
  <si>
    <t xml:space="preserve">Universidade Estadual do Sudeste da Bahia                        </t>
  </si>
  <si>
    <t xml:space="preserve">Universidade Estadual Paulista Julio de Mesquita Filho - UNESP   </t>
  </si>
  <si>
    <t xml:space="preserve">Universidade Estadual Sudoeste da Bahia                          </t>
  </si>
  <si>
    <t xml:space="preserve">Universidade Federal de Goias                                    </t>
  </si>
  <si>
    <t xml:space="preserve">Universidade Federal de Sao Joao del-Rei                         </t>
  </si>
  <si>
    <t xml:space="preserve">Universidade Federal Rural do Rio de Janeiro                     </t>
  </si>
  <si>
    <t xml:space="preserve">Universidade FUMEC                                               </t>
  </si>
  <si>
    <t xml:space="preserve">Universidade Iguacu - UNIG                                       </t>
  </si>
  <si>
    <t xml:space="preserve">Universidade Metodista de Sao Paulo                              </t>
  </si>
  <si>
    <t xml:space="preserve">Universidade Paranaense                                          </t>
  </si>
  <si>
    <t xml:space="preserve">Universidade Presidente Antonio Carlos - UNIPAC                  </t>
  </si>
  <si>
    <t xml:space="preserve">Universidade Regional do Cariri                                  </t>
  </si>
  <si>
    <t xml:space="preserve">Universidade Salgado de Oliveira                                 </t>
  </si>
  <si>
    <t xml:space="preserve">Universidade Salgado de Oliveira - UNIVERSO                      </t>
  </si>
  <si>
    <t xml:space="preserve">Universidade Santa Cruz do Sul                                   </t>
  </si>
  <si>
    <t xml:space="preserve">Universidade Severino Sombra                                     </t>
  </si>
  <si>
    <t xml:space="preserve">Universidade Tiradentes - UNIT                                   </t>
  </si>
  <si>
    <t xml:space="preserve">Universidade Vale do Rio Doce - UNIVALE                          </t>
  </si>
  <si>
    <t xml:space="preserve">Universidade Vale do Rio Verde de Tres Coracoes - UNINCOR        </t>
  </si>
  <si>
    <t xml:space="preserve">UNED - ARAXA                                                     </t>
  </si>
  <si>
    <t xml:space="preserve">UNED /DIVINOPOLIS                                                </t>
  </si>
  <si>
    <t xml:space="preserve">UNED CACHOEIRO DE ITAPEMIRIM                                     </t>
  </si>
  <si>
    <t xml:space="preserve">UNED/LEOPOLDINA                                                  </t>
  </si>
  <si>
    <t xml:space="preserve">UNETEC - UNIDADE DE ENSINO TECNICO                               </t>
  </si>
  <si>
    <t xml:space="preserve">UNETEC - UNIDADE DE ENSINO TECNICO LAVRAS                        </t>
  </si>
  <si>
    <t xml:space="preserve">UNIA COLEGIO                                                     </t>
  </si>
  <si>
    <t xml:space="preserve">UNIAO DAS ESCOLAS DO GRUPO CERES DE EDUCACAO                     </t>
  </si>
  <si>
    <t xml:space="preserve">UNIAO DAS ESCOLAS DO GRUPO FAIMI DE EDUCACAO                     </t>
  </si>
  <si>
    <t xml:space="preserve">UNIAO DAS FACULDADES DA FUNDACAO HERMINIO OMETTO                 </t>
  </si>
  <si>
    <t xml:space="preserve">UNIAO DAS FACULDADES DE NORTE PAULISTA                           </t>
  </si>
  <si>
    <t xml:space="preserve">UNIAO DAS FACULDADES DOS GRANDES LAGOS                           </t>
  </si>
  <si>
    <t xml:space="preserve">UNIAO DE ESCOLAS DO ENSINO SUPERIOR CAPIXABA                     </t>
  </si>
  <si>
    <t xml:space="preserve">UNIAO DOS NEGOCIOS E ADMINISTRACAO                               </t>
  </si>
  <si>
    <t xml:space="preserve">UNIAO PIONEIRA DE INTEGRACAO SOCIAL                              </t>
  </si>
  <si>
    <t xml:space="preserve">UNIC                                                             </t>
  </si>
  <si>
    <t xml:space="preserve">UNICENTRO NEWTON PAIVA                                           </t>
  </si>
  <si>
    <t xml:space="preserve">UNICOLEGIO ARACATUBA                                             </t>
  </si>
  <si>
    <t>UNIDADES DE ENSINO SUPERIOR DOS INSTITUTOS PARAIBANOS DE EDUCACAO</t>
  </si>
  <si>
    <t xml:space="preserve">UNIERSIDADE ESTADUAL DO SUDOESTE DA BAHIA                        </t>
  </si>
  <si>
    <t xml:space="preserve">UNIESP - FACILDADE RENASCENCA DE SAO PAULO                       </t>
  </si>
  <si>
    <t xml:space="preserve">UNIV DA REGIAO DE CAMPANHA                                       </t>
  </si>
  <si>
    <t xml:space="preserve">UNIV DO VALE DO RIO DOS SINOS                                    </t>
  </si>
  <si>
    <t xml:space="preserve">UNIV EST VALE DO ACARAU                                          </t>
  </si>
  <si>
    <t xml:space="preserve">UNIV ESTADUAL DE ALAGOAS                                         </t>
  </si>
  <si>
    <t xml:space="preserve">UNIV REG INTEG DO ALTO URUGUAI E DAS MISSOES                     </t>
  </si>
  <si>
    <t xml:space="preserve">UNIV RURAL DO ESTADO DE MG                                       </t>
  </si>
  <si>
    <t xml:space="preserve">UNIV TUIUTI DO PARANA                                            </t>
  </si>
  <si>
    <t xml:space="preserve">UNIVAP - VILLA BRANCA COLEGIO TECNICO                            </t>
  </si>
  <si>
    <t xml:space="preserve">UNIVEN - FACULDADE CAPIXABA DE NOVA VENECIA                      </t>
  </si>
  <si>
    <t xml:space="preserve">UNIVERSIDAD CATOLICA DE CORDOBA                                  </t>
  </si>
  <si>
    <t xml:space="preserve">UNIVERSIDAD DE CHILE                                             </t>
  </si>
  <si>
    <t xml:space="preserve">UNIVERSIDAD DE LA HABANA                                         </t>
  </si>
  <si>
    <t xml:space="preserve">UNIVERSIDAD DEL MUSEO SOCIAL ARGENTINO                           </t>
  </si>
  <si>
    <t xml:space="preserve">UNIVERSIDAD NACIONAL DE CORDOBA ARGENTINA                        </t>
  </si>
  <si>
    <t xml:space="preserve">UNIVERSIDAD NACIONAL MAYOR DE SAN MARCOS                         </t>
  </si>
  <si>
    <t xml:space="preserve">UNIVERSIDADE ANHEMBI MORUMBI - UAM                               </t>
  </si>
  <si>
    <t xml:space="preserve">UNIVERSIDADE BANDEIRANTE DE SAO PAULO - UNIBAN                   </t>
  </si>
  <si>
    <t xml:space="preserve">UNIVERSIDADE CAMILO CASTELO BRANCO - UNICASTELO                  </t>
  </si>
  <si>
    <t xml:space="preserve">UNIVERSIDADE CANDIDO MENDES - UCAM                               </t>
  </si>
  <si>
    <t xml:space="preserve">UNIVERSIDADE CASTELO BRANCO - UCB                                </t>
  </si>
  <si>
    <t xml:space="preserve">UNIVERSIDADE CATOLICA DE BRASILIA - UCB                          </t>
  </si>
  <si>
    <t xml:space="preserve">UNIVERSIDADE CATOLICA DE GOIAS                                   </t>
  </si>
  <si>
    <t xml:space="preserve">UNIVERSIDADE CATOLICA DE MINAS GERAIS                            </t>
  </si>
  <si>
    <t xml:space="preserve">UNIVERSIDADE CATOLICA DE PELOTAS                                 </t>
  </si>
  <si>
    <t xml:space="preserve">UNIVERSIDADE CATOLICA DE PERNAMBUCO                              </t>
  </si>
  <si>
    <t xml:space="preserve">UNIVERSIDADE CATOLICA DE PETROPOLIS - UCP                        </t>
  </si>
  <si>
    <t xml:space="preserve">UNIVERSIDADE CATOLICA DE SALVADOR                                </t>
  </si>
  <si>
    <t xml:space="preserve">UNIVERSIDADE CATOLICA DE SANTOS - UNISANTOS                      </t>
  </si>
  <si>
    <t xml:space="preserve">UNIVERSIDADE CATOLICA DOM BOSCO                                  </t>
  </si>
  <si>
    <t xml:space="preserve">UNIVERSIDADE CIDADE DE SAO PAULO -                               </t>
  </si>
  <si>
    <t xml:space="preserve">UNIVERSIDADE CLARETIANAS                                         </t>
  </si>
  <si>
    <t xml:space="preserve">UNIVERSIDADE COMUNITARIA REGIONAL DE CHAPECO                     </t>
  </si>
  <si>
    <t xml:space="preserve">UNIVERSIDADE CRUZEIRO DO SUL - UNICSUL                           </t>
  </si>
  <si>
    <t xml:space="preserve">UNIVERSIDADE DA AMAZONIA                                         </t>
  </si>
  <si>
    <t xml:space="preserve">UNIVERSIDADE DA FORCA AEREA                                      </t>
  </si>
  <si>
    <t xml:space="preserve">UNIVERSIDADE DE ALFENAS                                          </t>
  </si>
  <si>
    <t xml:space="preserve">UNIVERSIDADE DE BRASILIA - UNB                                   </t>
  </si>
  <si>
    <t xml:space="preserve">UNIVERSIDADE DE CAXIAS DO SUL                                    </t>
  </si>
  <si>
    <t xml:space="preserve">UNIVERSIDADE DE FORTALEZA                                        </t>
  </si>
  <si>
    <t xml:space="preserve">UNIVERSIDADE DE FRANCA - UNIFRAN                                 </t>
  </si>
  <si>
    <t xml:space="preserve">UNIVERSIDADE DE GOIAS                                            </t>
  </si>
  <si>
    <t xml:space="preserve">UNIVERSIDADE DE GUARULHOS                                        </t>
  </si>
  <si>
    <t xml:space="preserve">UNIVERSIDADE DE IGUACU                                           </t>
  </si>
  <si>
    <t xml:space="preserve">UNIVERSIDADE DE IJUI                                             </t>
  </si>
  <si>
    <t xml:space="preserve">UNIVERSIDADE DE ITAUNA - UI                                      </t>
  </si>
  <si>
    <t xml:space="preserve">UNIVERSIDADE DE JUIZ DE FORA                                     </t>
  </si>
  <si>
    <t xml:space="preserve">UNIVERSIDADE DE LISBOA                                           </t>
  </si>
  <si>
    <t xml:space="preserve">UNIVERSIDADE DE LOURENCO MARQUES                                 </t>
  </si>
  <si>
    <t xml:space="preserve">UNIVERSIDADE DE MARILIA - UNIMAR                                 </t>
  </si>
  <si>
    <t xml:space="preserve">UNIVERSIDADE DE MINAS GERAIS                                     </t>
  </si>
  <si>
    <t xml:space="preserve">UNIVERSIDADE DE MOGI DAS CRUZES - UMC                            </t>
  </si>
  <si>
    <t xml:space="preserve">UNIVERSIDADE DE PERNAMBUCO                                       </t>
  </si>
  <si>
    <t xml:space="preserve">UNIVERSIDADE DE POUSO ALEGRE                                     </t>
  </si>
  <si>
    <t xml:space="preserve">UNIVERSIDADE DE RIBEIRAO PRETO - UNAERP                          </t>
  </si>
  <si>
    <t xml:space="preserve">UNIVERSIDADE DE SANTO AMARO - UNISA                              </t>
  </si>
  <si>
    <t xml:space="preserve">UNIVERSIDADE DE SAO PAULO - FACULDADE DE MEDICINA                </t>
  </si>
  <si>
    <t xml:space="preserve">UNIVERSIDADE DE SAO PAULO - USP                                  </t>
  </si>
  <si>
    <t xml:space="preserve">UNIVERSIDADE DE SOROCABA - UNISO                                 </t>
  </si>
  <si>
    <t xml:space="preserve">UNIVERSIDADE DE TAUBATE - UNITAU                                 </t>
  </si>
  <si>
    <t xml:space="preserve">UNIVERSIDADE DE TRAS OS MONTES E ALTO DOURO                      </t>
  </si>
  <si>
    <t xml:space="preserve">UNIVERSIDADE DE UBERABA - UNIUBE                                 </t>
  </si>
  <si>
    <t xml:space="preserve">UNIVERSIDADE DE UBERLANDIA                                       </t>
  </si>
  <si>
    <t xml:space="preserve">UNIVERSIDADE DE VILA VELHA                                       </t>
  </si>
  <si>
    <t xml:space="preserve">UNIVERSIDADE DO AMAZONAS                                         </t>
  </si>
  <si>
    <t xml:space="preserve">UNIVERSIDADE DO BRASIL                                           </t>
  </si>
  <si>
    <t xml:space="preserve">UNIVERSIDADE DO CONTESTADO                                       </t>
  </si>
  <si>
    <t xml:space="preserve">UNIVERSIDADE DO DISTRITO FEDERAL                                 </t>
  </si>
  <si>
    <t xml:space="preserve">UNIVERSIDADE DO ESTADO DA BAHIA                                  </t>
  </si>
  <si>
    <t xml:space="preserve">UNIVERSIDADE DO ESTADO DE GUANABARA                              </t>
  </si>
  <si>
    <t xml:space="preserve">UNIVERSIDADE DO ESTADO DE MINAS GERAIS - UEMG                    </t>
  </si>
  <si>
    <t xml:space="preserve">UNIVERSIDADE DO ESTADO DE SANTA CATARINA                         </t>
  </si>
  <si>
    <t xml:space="preserve">UNIVERSIDADE DO ESTADO DO MATO GROSSO                            </t>
  </si>
  <si>
    <t xml:space="preserve">UNIVERSIDADE DO ESTADO DO RIO DE JANEIRO - UERJ                  </t>
  </si>
  <si>
    <t xml:space="preserve">UNIVERSIDADE DO GRANDE ABC - UNIABC                              </t>
  </si>
  <si>
    <t xml:space="preserve">UNIVERSIDADE DO GRANDE RIO                                       </t>
  </si>
  <si>
    <t xml:space="preserve">UNIVERSIDADE DO OESTE PAULISTA - UNOESTE                         </t>
  </si>
  <si>
    <t xml:space="preserve">UNIVERSIDADE DO RIO DE JANEIRO                                   </t>
  </si>
  <si>
    <t xml:space="preserve">UNIVERSIDADE DO SAGRADO CORACAO - USC                            </t>
  </si>
  <si>
    <t xml:space="preserve">UNIVERSIDADE DO SUL DE SANTA CATARINA                            </t>
  </si>
  <si>
    <t xml:space="preserve">UNIVERSIDADE DO TOCANTINS                                        </t>
  </si>
  <si>
    <t xml:space="preserve">UNIVERSIDADE DO VALE DO ITAJAI                                   </t>
  </si>
  <si>
    <t xml:space="preserve">UNIVERSIDADE DO VALE DO PARAIBA - UNIVAP                         </t>
  </si>
  <si>
    <t xml:space="preserve">UNIVERSIDADE DO VALE DO SAPUCAI - UNIVAS                         </t>
  </si>
  <si>
    <t xml:space="preserve">UNIVERSIDADE ESTACIO DE SA - UNESA                               </t>
  </si>
  <si>
    <t xml:space="preserve">UNIVERSIDADE ESTADUAL DE CAMPINAS - UNICAMP                      </t>
  </si>
  <si>
    <t xml:space="preserve">UNIVERSIDADE ESTADUAL DE FEIRA DE SANTANA                        </t>
  </si>
  <si>
    <t xml:space="preserve">UNIVERSIDADE ESTADUAL DE GOIAS                                   </t>
  </si>
  <si>
    <t xml:space="preserve">UNIVERSIDADE ESTADUAL DE LONDRINA                                </t>
  </si>
  <si>
    <t xml:space="preserve">UNIVERSIDADE ESTADUAL DE MATO GROSSO DO SUL                      </t>
  </si>
  <si>
    <t xml:space="preserve">UNIVERSIDADE ESTADUAL DE PONTA GROSSA                            </t>
  </si>
  <si>
    <t xml:space="preserve">UNIVERSIDADE ESTADUAL DE SAO JOSE DO RIO PRETO                   </t>
  </si>
  <si>
    <t xml:space="preserve">UNIVERSIDADE ESTADUAL DO CENTRO OESTE                            </t>
  </si>
  <si>
    <t xml:space="preserve">UNIVERSIDADE ESTADUAL DO NORTE FLUMINENSE DARCI RIBEIRO          </t>
  </si>
  <si>
    <t xml:space="preserve">UNIVERSIDADE ESTADUAL DO OESTE DO PARANA                         </t>
  </si>
  <si>
    <t xml:space="preserve">UNIVERSIDADE ESTADUAL DO PIAUI                                   </t>
  </si>
  <si>
    <t xml:space="preserve">UNIVERSIDADE ESTADUAL PAULISTA JULIO DE MESQUITA FILHO - UNESP   </t>
  </si>
  <si>
    <t xml:space="preserve">UNIVERSIDADE FEDERAL DA BAHIA - UFBA                             </t>
  </si>
  <si>
    <t xml:space="preserve">UNIVERSIDADE FEDERAL DA GRANDE DOURADOS - UFGD                   </t>
  </si>
  <si>
    <t xml:space="preserve">UNIVERSIDADE FEDERAL DA PARAIBA - UFPB                           </t>
  </si>
  <si>
    <t xml:space="preserve">UNIVERSIDADE FEDERAL DE ALAGOAS - UFAL                           </t>
  </si>
  <si>
    <t xml:space="preserve">UNIVERSIDADE FEDERAL DE ALFENAS - UNIFAL                         </t>
  </si>
  <si>
    <t xml:space="preserve">UNIVERSIDADE FEDERAL DE CAMPINA GRANDE - UFCG                    </t>
  </si>
  <si>
    <t xml:space="preserve">UNIVERSIDADE FEDERAL DE GOIAS - UFG                              </t>
  </si>
  <si>
    <t xml:space="preserve">UNIVERSIDADE FEDERAL DE ITAJUBA - UNIFEI - UNIFEI                </t>
  </si>
  <si>
    <t xml:space="preserve">UNIVERSIDADE FEDERAL DE JUIZ DE FORA - UFJF                      </t>
  </si>
  <si>
    <t xml:space="preserve">UNIVERSIDADE FEDERAL DE LAVRAS - UFLA                            </t>
  </si>
  <si>
    <t xml:space="preserve">UNIVERSIDADE FEDERAL DE MATO GROSSO - UFMT                       </t>
  </si>
  <si>
    <t xml:space="preserve">UNIVERSIDADE FEDERAL DE MATO GROSSO DO SUL - UFMS                </t>
  </si>
  <si>
    <t xml:space="preserve">UNIVERSIDADE FEDERAL DE MINAS GERAIS - UFMG                      </t>
  </si>
  <si>
    <t xml:space="preserve">UNIVERSIDADE FEDERAL DE OURO PRETO - UFOP                        </t>
  </si>
  <si>
    <t xml:space="preserve">UNIVERSIDADE FEDERAL DE PELOTAS - UFPEL                          </t>
  </si>
  <si>
    <t xml:space="preserve">UNIVERSIDADE FEDERAL DE PERNAMBUCO - UFPE                        </t>
  </si>
  <si>
    <t xml:space="preserve">UNIVERSIDADE FEDERAL DE RORAIMA - UFRR                           </t>
  </si>
  <si>
    <t xml:space="preserve">UNIVERSIDADE FEDERAL DE SANTA CATARINA - UFSC                    </t>
  </si>
  <si>
    <t xml:space="preserve">UNIVERSIDADE FEDERAL DE SANTA MARIA - UFSM                       </t>
  </si>
  <si>
    <t xml:space="preserve">UNIVERSIDADE FEDERAL DE SAO CARLOS - UFSCAR                      </t>
  </si>
  <si>
    <t xml:space="preserve">UNIVERSIDADE FEDERAL DE SAO JOAO DEL REI - MG                    </t>
  </si>
  <si>
    <t xml:space="preserve">UNIVERSIDADE FEDERAL DE SAO JOAO DEL REI - UFSJ                  </t>
  </si>
  <si>
    <t xml:space="preserve">UNIVERSIDADE FEDERAL DE SAO PAULO - UNIFESP                      </t>
  </si>
  <si>
    <t xml:space="preserve">UNIVERSIDADE FEDERAL DE SERGIPE - UFS                            </t>
  </si>
  <si>
    <t xml:space="preserve">UNIVERSIDADE FEDERAL DE UBERLANDIA - UFU                         </t>
  </si>
  <si>
    <t xml:space="preserve">UNIVERSIDADE FEDERAL DE VICOSA                                   </t>
  </si>
  <si>
    <t xml:space="preserve">UNIVERSIDADE FEDERAL DO ACRE - UFAC                              </t>
  </si>
  <si>
    <t xml:space="preserve">UNIVERSIDADE FEDERAL DO AMAPA - UNIFAP                           </t>
  </si>
  <si>
    <t xml:space="preserve">UNIVERSIDADE FEDERAL DO AMAZONAS - UFAM                          </t>
  </si>
  <si>
    <t xml:space="preserve">UNIVERSIDADE FEDERAL DO CEARA - UFC                              </t>
  </si>
  <si>
    <t xml:space="preserve">UNIVERSIDADE FEDERAL DO ESPIRITO SANTO - UFES                    </t>
  </si>
  <si>
    <t xml:space="preserve">UNIVERSIDADE FEDERAL DO ESTADO DO RIO DE JANEIRO - UNIRIO        </t>
  </si>
  <si>
    <t xml:space="preserve">UNIVERSIDADE FEDERAL DO MARANHAO - UFMA                          </t>
  </si>
  <si>
    <t xml:space="preserve">UNIVERSIDADE FEDERAL DO PARA - UFPA                              </t>
  </si>
  <si>
    <t xml:space="preserve">UNIVERSIDADE FEDERAL DO PARANA - UFPR                            </t>
  </si>
  <si>
    <t xml:space="preserve">UNIVERSIDADE FEDERAL DO PIAUI - UFPI                             </t>
  </si>
  <si>
    <t xml:space="preserve">UNIVERSIDADE FEDERAL DO RECONCAVO DA BAHIA - UFRBA               </t>
  </si>
  <si>
    <t xml:space="preserve">UNIVERSIDADE FEDERAL DO RIO DE JANEIRO - UFRJ                    </t>
  </si>
  <si>
    <t xml:space="preserve">UNIVERSIDADE FEDERAL DO RIO GRANDE DO NORTE - UFRN               </t>
  </si>
  <si>
    <t xml:space="preserve">UNIVERSIDADE FEDERAL DO RIO GRANDE DO SUL - UFRGS                </t>
  </si>
  <si>
    <t xml:space="preserve">UNIVERSIDADE FEDERAL DO TRIANGULO MINEIRO - UFTM                 </t>
  </si>
  <si>
    <t xml:space="preserve">UNIVERSIDADE FEDERAL DOS VALES DO JEQUITINHONHA E MUCURI         </t>
  </si>
  <si>
    <t xml:space="preserve">UNIVERSIDADE FEDERAL FLUMINENSE                                  </t>
  </si>
  <si>
    <t xml:space="preserve">UNIVERSIDADE FEDERAL RURAL DA AMAZONIA - UFRA                    </t>
  </si>
  <si>
    <t xml:space="preserve">UNIVERSIDADE FEDERAL RURAL DE PERNAMBUCO - UFRPE                 </t>
  </si>
  <si>
    <t xml:space="preserve">UNIVERSIDADE FEDERAL RURAL DO RIO DE JANEIRO                     </t>
  </si>
  <si>
    <t xml:space="preserve">UNIVERSIDADE FEDERAL RURAL DO SEMI-ARIDO - UFERSA                </t>
  </si>
  <si>
    <t xml:space="preserve">UNIVERSIDADE FORMIGUENSE                                         </t>
  </si>
  <si>
    <t xml:space="preserve">UNIVERSIDADE FUMEC - FUMEC                                       </t>
  </si>
  <si>
    <t xml:space="preserve">UNIVERSIDADE GAMA FILHO - UGF                                    </t>
  </si>
  <si>
    <t xml:space="preserve">UNIVERSIDADE GLOBO - UNG                                         </t>
  </si>
  <si>
    <t xml:space="preserve">UNIVERSIDADE IBIRAPUERA - UNIB                                   </t>
  </si>
  <si>
    <t xml:space="preserve">UNIVERSIDADE JOSE DO ROSARIO VELLANO - UNIFENAS                  </t>
  </si>
  <si>
    <t xml:space="preserve">UNIVERSIDADE LUTERANA DO BRASIL                                  </t>
  </si>
  <si>
    <t xml:space="preserve">UNIVERSIDADE MACKENZIE                                           </t>
  </si>
  <si>
    <t xml:space="preserve">UNIVERSIDADE METODISTA DE PIRACICABA - UNIMEP                    </t>
  </si>
  <si>
    <t xml:space="preserve">UNIVERSIDADE METODISTA DE SAO PAULO - UMESP                      </t>
  </si>
  <si>
    <t xml:space="preserve">UNIVERSIDADE METROPOLITANA DE SANTOS - UNIMES                    </t>
  </si>
  <si>
    <t xml:space="preserve">UNIVERSIDADE MUNICIPAL DE SAO CAETANO DO SUL - IMES              </t>
  </si>
  <si>
    <t xml:space="preserve">UNIVERSIDADE NORTE DO PARANA                                     </t>
  </si>
  <si>
    <t xml:space="preserve">UNIVERSIDADE P O DES DO EST E DA REG DO PANTANAL                 </t>
  </si>
  <si>
    <t xml:space="preserve">UNIVERSIDADE PAULISTA - UNIP                                     </t>
  </si>
  <si>
    <t xml:space="preserve">UNIVERSIDADE POTIGUAR                                            </t>
  </si>
  <si>
    <t xml:space="preserve">UNIVERSIDADE PRESBITERIANA MACKENZIE - MACKENZIE                 </t>
  </si>
  <si>
    <t xml:space="preserve">UNIVERSIDADE PRESIDENTE ANTONIO CARLOS - UNIPAC                  </t>
  </si>
  <si>
    <t xml:space="preserve">UNIVERSIDADE REGIONAL DO RIO GRANDE DO NORTE                     </t>
  </si>
  <si>
    <t xml:space="preserve">UNIVERSIDADE RURAL DE MINAS GERAIS                               </t>
  </si>
  <si>
    <t xml:space="preserve">UNIVERSIDADE SANTA CECILIA - UNISANTA                            </t>
  </si>
  <si>
    <t xml:space="preserve">UNIVERSIDADE SANTA URSULA - USU                                  </t>
  </si>
  <si>
    <t xml:space="preserve">UNIVERSIDADE SANTOS DUMONT                                       </t>
  </si>
  <si>
    <t xml:space="preserve">UNIVERSIDADE SAO FRANCISCO - USF                                 </t>
  </si>
  <si>
    <t xml:space="preserve">UNIVERSIDADE SAO JUDAS TADEU - USJT                              </t>
  </si>
  <si>
    <t xml:space="preserve">UNIVERSIDADE SAO MARCOS - USM                                    </t>
  </si>
  <si>
    <t xml:space="preserve">UNIVERSIDADE TECNICA DE LISBOA                                   </t>
  </si>
  <si>
    <t xml:space="preserve">UNIVERSIDADE UNIMED                                              </t>
  </si>
  <si>
    <t xml:space="preserve">UNIVERSIDADE VALE DO RIO DOCE - UNIVALE                          </t>
  </si>
  <si>
    <t xml:space="preserve">UNIVERSIDADE VALE DO RIO VERDE - UNINCOR                         </t>
  </si>
  <si>
    <t xml:space="preserve">UNIVERSIDADE VEIGA DE ALMEIDA - UVA                              </t>
  </si>
  <si>
    <t xml:space="preserve">UNIVERSITA DEGLI STUDI DI ROMA LA SAPIENZA                       </t>
  </si>
  <si>
    <t xml:space="preserve">UNIVERSITAT BREMEN                                               </t>
  </si>
  <si>
    <t xml:space="preserve">UNIVERSITAT DE VALENCIA                                          </t>
  </si>
  <si>
    <t xml:space="preserve">UNIVERSITAT KARL RUPRECHT DE HEIDELBERG                          </t>
  </si>
  <si>
    <t xml:space="preserve">UNIVERSITE DE FRANCHE-COMTE                                      </t>
  </si>
  <si>
    <t xml:space="preserve">UNIVERSITE DE GRENOBLE II                                        </t>
  </si>
  <si>
    <t xml:space="preserve">UNIVERSITY OF BIRMINGHAM                                         </t>
  </si>
  <si>
    <t xml:space="preserve">UNIVERSITY OF CALIFORNIA                                         </t>
  </si>
  <si>
    <t xml:space="preserve">UNIVERSITY OF LIVERPOOL                                          </t>
  </si>
  <si>
    <t xml:space="preserve">UNIVERSITY OF LONDON                                             </t>
  </si>
  <si>
    <t xml:space="preserve">UNIVERSITY OF MICHIGAN                                           </t>
  </si>
  <si>
    <t xml:space="preserve">UNIVERSITY OF NEW HAVEN                                          </t>
  </si>
  <si>
    <t xml:space="preserve">UNIVERSITY OF READING                                            </t>
  </si>
  <si>
    <t xml:space="preserve">UNIVERSITY OF SHEFFIELD                                          </t>
  </si>
  <si>
    <t xml:space="preserve">UNIVERSITY OF TORONTO                                            </t>
  </si>
  <si>
    <t xml:space="preserve">UNIVERSO ESCOLA                                                  </t>
  </si>
  <si>
    <t xml:space="preserve">UNIVERSO ESCOLA INTEGRADA DE CURSOS PROFISSIONALIZANTES          </t>
  </si>
  <si>
    <t xml:space="preserve">UTRAMIG - FUNDACAO DE EDUCACAO PARA O TRABALHO DE MINAS GERAIS   </t>
  </si>
  <si>
    <t xml:space="preserve">W. MOZART ESCOLA DE EDUCACAO MUSICAL                             </t>
  </si>
  <si>
    <t xml:space="preserve">XI DE AGOSTO COLEGIO                                             </t>
  </si>
  <si>
    <t xml:space="preserve">ZERBINI DR ESCOLA COOPERATIVA                                    </t>
  </si>
  <si>
    <t xml:space="preserve">ZETA OBJETIVO                                                    </t>
  </si>
  <si>
    <t>Área de Conhecimento</t>
  </si>
  <si>
    <t>Área de Formação</t>
  </si>
  <si>
    <t xml:space="preserve">Curso  </t>
  </si>
  <si>
    <t>Nível</t>
  </si>
  <si>
    <t>Quant. Servidores</t>
  </si>
  <si>
    <t xml:space="preserve">FORMACAO ACADEMICA            </t>
  </si>
  <si>
    <t xml:space="preserve">CIENCIAS BIOLOGICAS E SAUDE                                                </t>
  </si>
  <si>
    <t xml:space="preserve">MEDICINA/ANESTESIOLOGIA                                                                             </t>
  </si>
  <si>
    <t xml:space="preserve">CIENCIAS BIOLOGICAS                                                                                 </t>
  </si>
  <si>
    <t xml:space="preserve">SUPERIOR BACHAREL             </t>
  </si>
  <si>
    <t xml:space="preserve">CIENCIAS BIOMEDICAS                                                                                 </t>
  </si>
  <si>
    <t xml:space="preserve">CIENCIAS MOLECULARES                                                                                </t>
  </si>
  <si>
    <t xml:space="preserve">ECOLOGIA                                                                                            </t>
  </si>
  <si>
    <t xml:space="preserve">EDUCACAO FISICA                                                                                     </t>
  </si>
  <si>
    <t xml:space="preserve">ENFERMAGEM                                                                                          </t>
  </si>
  <si>
    <t xml:space="preserve">EPIDEMIOLOGIA                                                                                       </t>
  </si>
  <si>
    <t xml:space="preserve">ESPORTE                                                                                             </t>
  </si>
  <si>
    <t xml:space="preserve">FARMACIA E BIOQUIMICA                                                                               </t>
  </si>
  <si>
    <t xml:space="preserve">FISICA MEDICA                                                                                       </t>
  </si>
  <si>
    <t xml:space="preserve">FISIOTERAPIA                                                                                        </t>
  </si>
  <si>
    <t xml:space="preserve">FONOAUDIOLOGIA                                                                                      </t>
  </si>
  <si>
    <t xml:space="preserve">INFORMATICA BIOMEDICA                                                                               </t>
  </si>
  <si>
    <t xml:space="preserve">MEDICINA                                                                                            </t>
  </si>
  <si>
    <t xml:space="preserve">MEDICINA VETERINARIA                                                                                </t>
  </si>
  <si>
    <t xml:space="preserve">MEDICINA/CIRURGIA GERAL                                                                             </t>
  </si>
  <si>
    <t xml:space="preserve">MEDICINA/CLINICA MEDICA                                                                             </t>
  </si>
  <si>
    <t xml:space="preserve">MEDICINA PREVENTIVA E SOCIAL                                                                        </t>
  </si>
  <si>
    <t xml:space="preserve">MEDICINA/OBSTETRICIA E GINECOLOGIA                                                                  </t>
  </si>
  <si>
    <t xml:space="preserve">MEDICINA/PEDIATRIA                                                                                  </t>
  </si>
  <si>
    <t xml:space="preserve">NUTRICAO E METABOLISMO                                                                              </t>
  </si>
  <si>
    <t xml:space="preserve">NUTRICIONISMO                                                                                       </t>
  </si>
  <si>
    <t xml:space="preserve">OCEANOGRAFIA                                                                                        </t>
  </si>
  <si>
    <t xml:space="preserve">ODONTOLOGIA                                                                                         </t>
  </si>
  <si>
    <t xml:space="preserve">ORTOPTISTAS E OPTICOS                                                                               </t>
  </si>
  <si>
    <t xml:space="preserve">TECNOLOGIA DE ALIMENTOS                                                                             </t>
  </si>
  <si>
    <t xml:space="preserve">ZOOTECNIA                                                                                           </t>
  </si>
  <si>
    <t xml:space="preserve">MEDICINA/CARDIOLOGIA                                                                                </t>
  </si>
  <si>
    <t xml:space="preserve">MEDICINA/CLINICA MEDICA INFANTIL                                                                    </t>
  </si>
  <si>
    <t xml:space="preserve">MEDICINA/CIRURGIA GERAL INFANTIL                                                                    </t>
  </si>
  <si>
    <t xml:space="preserve">MEDICINA/CIRURGIA PLASTICA                                                                          </t>
  </si>
  <si>
    <t xml:space="preserve">MEDICINA/FISIATRIA                                                                                  </t>
  </si>
  <si>
    <t xml:space="preserve">MEDICINA/INFECTOLOGIA                                                                               </t>
  </si>
  <si>
    <t xml:space="preserve">MEDICINA/NEFROLOGIA                                                                                 </t>
  </si>
  <si>
    <t xml:space="preserve">MEDICINA/NEFROLOGIA INFANTIL                                                                        </t>
  </si>
  <si>
    <t xml:space="preserve">MEDICINA/OTORRINOLARINGOLOGIA                                                                       </t>
  </si>
  <si>
    <t xml:space="preserve">MEDICINA/ORTOPEDIA                                                                                  </t>
  </si>
  <si>
    <t xml:space="preserve">MEDICIAN/PROCTOLOGIA                                                                                </t>
  </si>
  <si>
    <t xml:space="preserve">MEDICINA/TRABALHO                                                                                   </t>
  </si>
  <si>
    <t xml:space="preserve">MEDICINA/RADIOLOGIA                                                                                 </t>
  </si>
  <si>
    <t xml:space="preserve">MEDICINA/CIRURGIA VASCULAR                                                                          </t>
  </si>
  <si>
    <t xml:space="preserve">MEDICINA/ENDOCRINOLOGIA                                                                             </t>
  </si>
  <si>
    <t xml:space="preserve">MEDICINA/GASTROENTOLOGIA                                                                            </t>
  </si>
  <si>
    <t xml:space="preserve">MEDICINA/HANSENOLOGIA                                                                               </t>
  </si>
  <si>
    <t xml:space="preserve">MEDICINA/SANITARISTA                                                                                </t>
  </si>
  <si>
    <t xml:space="preserve">MEDICINA/UROLOGIA                                                                                   </t>
  </si>
  <si>
    <t xml:space="preserve">MEDICINA/PNEUMOLOGIA                                                                                </t>
  </si>
  <si>
    <t xml:space="preserve">MEDICINA OFTALMOLOGIA                                                                               </t>
  </si>
  <si>
    <t xml:space="preserve">MEDICINA/HEMOTERAPIA                                                                                </t>
  </si>
  <si>
    <t xml:space="preserve">MEDICINA/DERMATOLOGIA                                                                               </t>
  </si>
  <si>
    <t xml:space="preserve">MEDICINA/ENDOSCOPIA                                                                                 </t>
  </si>
  <si>
    <t xml:space="preserve">MEDICINA/FONIATRIA                                                                                  </t>
  </si>
  <si>
    <t xml:space="preserve">MEDICINA/OBSTETRICIA                                                                                </t>
  </si>
  <si>
    <t xml:space="preserve">MEDICINA/TISIOLOGIA                                                                                 </t>
  </si>
  <si>
    <t xml:space="preserve">MEDICINA/SOCIAL                                                                                     </t>
  </si>
  <si>
    <t xml:space="preserve">MEDICINA/INTENSIVA                                                                                  </t>
  </si>
  <si>
    <t xml:space="preserve">MEDICINA/PATOLOGIA                                                                                  </t>
  </si>
  <si>
    <t xml:space="preserve">MEDICINA/PSIQUIATRIA                                                                                </t>
  </si>
  <si>
    <t xml:space="preserve">MEDICINA/PSIQUIATRIA INFANTIL                                                                       </t>
  </si>
  <si>
    <t xml:space="preserve">MEDICINA/IMUNOLOGIA CLINICA                                                                         </t>
  </si>
  <si>
    <t xml:space="preserve">MEDICINA/CIRURGIA TORACICA                                                                          </t>
  </si>
  <si>
    <t xml:space="preserve">MEDICINA INTERNA                                                                                    </t>
  </si>
  <si>
    <t xml:space="preserve">MEDICINA/NEUROLOGIA                                                                                 </t>
  </si>
  <si>
    <t xml:space="preserve">MEDICINA/NEUROCIRURGIA                                                                              </t>
  </si>
  <si>
    <t xml:space="preserve">MEDICINA/HEMATOLOGIA                                                                                </t>
  </si>
  <si>
    <t xml:space="preserve">MEDICINA/SAUDE PUBLICA                                                                              </t>
  </si>
  <si>
    <t xml:space="preserve">MEDICINA/GERIATRIA                                                                                  </t>
  </si>
  <si>
    <t xml:space="preserve">ADMINISTRACAO HOSPITALAR                                                                            </t>
  </si>
  <si>
    <t xml:space="preserve">MICROBIOLOGIA                                                                                       </t>
  </si>
  <si>
    <t xml:space="preserve">VIROLOGIA                                                                                           </t>
  </si>
  <si>
    <t xml:space="preserve">ACUPUNTURA MEDICA                                                                                   </t>
  </si>
  <si>
    <t xml:space="preserve">MEDICINA ELETRONEUROMIOGRAFIA                                                                       </t>
  </si>
  <si>
    <t xml:space="preserve">MEDICINA/CIRURGIA GERAL E PROCTOLOGIA                                                               </t>
  </si>
  <si>
    <t xml:space="preserve">GESTAO HOSPITALAR                                                                                   </t>
  </si>
  <si>
    <t xml:space="preserve">MEDICINA/REUMATOLOGIA                                                                               </t>
  </si>
  <si>
    <t xml:space="preserve">SAUDE COLETIVA                                                                                      </t>
  </si>
  <si>
    <t xml:space="preserve">SAUDE PUBLICA                                                                                       </t>
  </si>
  <si>
    <t xml:space="preserve">CIENCIAS DA SAUDE / MESTRADO                                                                        </t>
  </si>
  <si>
    <t xml:space="preserve">MESTRADO                      </t>
  </si>
  <si>
    <t xml:space="preserve">SANEAMENTO                                                                                          </t>
  </si>
  <si>
    <t xml:space="preserve">NUTRICAO CLINICA                                                                                    </t>
  </si>
  <si>
    <t xml:space="preserve">FARMACIA HOSPITALAR                                                                                 </t>
  </si>
  <si>
    <t xml:space="preserve">IMPLANTOLOGIA                                                                                       </t>
  </si>
  <si>
    <t xml:space="preserve">ULTRASSONOGRAFIA EM OBSTETRICIA                                                                     </t>
  </si>
  <si>
    <t xml:space="preserve">SEGURANCA ALIMENTAR, MERCADO E DEFESA AGROPECUARIA                                                  </t>
  </si>
  <si>
    <t xml:space="preserve">VIGILANCIA SANITARIA                                                                                </t>
  </si>
  <si>
    <t xml:space="preserve">SAUDE AMBIENTAL                                                                                     </t>
  </si>
  <si>
    <t xml:space="preserve">VIGILANCIA EPIDEMIOLOGICA                                                                           </t>
  </si>
  <si>
    <t xml:space="preserve">NUTRICAO                                                                                            </t>
  </si>
  <si>
    <t xml:space="preserve">ODONTOGERIATRIA                                                                                     </t>
  </si>
  <si>
    <t xml:space="preserve">BIOSSEGURANCA                                                                                       </t>
  </si>
  <si>
    <t xml:space="preserve">INSPECAO HOSPITALAR                                                                                 </t>
  </si>
  <si>
    <t xml:space="preserve">SAUDE DA FAMILIA                                                                                    </t>
  </si>
  <si>
    <t xml:space="preserve">SAUDE MENTAL                                                                                        </t>
  </si>
  <si>
    <t xml:space="preserve">FARMACIA MAGISTRAL                                                                                  </t>
  </si>
  <si>
    <t xml:space="preserve">COMISSAO INFECCAO HOSPITALAR                                                                        </t>
  </si>
  <si>
    <t xml:space="preserve">URGENCIA E EMERGENCIA EM TRAUMA                                                                     </t>
  </si>
  <si>
    <t xml:space="preserve">AUDIOLOGIA                                                                                          </t>
  </si>
  <si>
    <t xml:space="preserve">YOGA APLICADO                                                                                       </t>
  </si>
  <si>
    <t xml:space="preserve">ESPECIALIZACAO CENTRO CIRURGICO                                                                     </t>
  </si>
  <si>
    <t xml:space="preserve">GESTAO DE SAUDE                                                                                     </t>
  </si>
  <si>
    <t xml:space="preserve">DOUTORADO EM VIOLENCIA SEXUAL: ASPECTOS EPIDEMIOLOGICOS                                             </t>
  </si>
  <si>
    <t xml:space="preserve">DOUTORADO                     </t>
  </si>
  <si>
    <t xml:space="preserve">DOUTORADO EM MIGRANEA E SINDROME METABOLICA                                                         </t>
  </si>
  <si>
    <t xml:space="preserve">ESPECIALIZACAO EM EMERGENCIAS, TRAUMA E TERAPIA INTENSIVA                                           </t>
  </si>
  <si>
    <t xml:space="preserve">ESPECIALIZACAO EM REABILITACAO DO MEMBRO SUPERIOR                                                   </t>
  </si>
  <si>
    <t xml:space="preserve">ESPECIALIZACAO - FISIOTERAPIA EM DORES OROFACIAIS E DESORDENS TEMPOROMANDIBULARES                   </t>
  </si>
  <si>
    <t xml:space="preserve">DOUTORADO EM AVALIACAO DO GRAU DE SATISFACAO, SOB RECARGA E QUALIDADE DE VIDA                       </t>
  </si>
  <si>
    <t xml:space="preserve">ESPECIALIZACAO EM ARQUITETURA DE ESTABELECIMENTO ASSISTENCIAL EM SAUDE                              </t>
  </si>
  <si>
    <t xml:space="preserve">DOUTORADO EM TRIAGEM NEONATAL DE DOENCAS GENETICAS                                                  </t>
  </si>
  <si>
    <t xml:space="preserve">DOUTORADO EM BINOMIO DEPRESSAO-DEMENCIA NO IDOSO                                                    </t>
  </si>
  <si>
    <t xml:space="preserve">DOUTORADO EM ERROS EM PRESCRICOES, TRES HOSPITAIS SENTINELAS EM BH                                  </t>
  </si>
  <si>
    <t xml:space="preserve">DOUTORADO - IMPACTO PROGRAMA SAUDE DA FAMILIA NA DEMANDA DOS SERVICOS HOSPITALARES                  </t>
  </si>
  <si>
    <t xml:space="preserve">DOUTORADO EM AVALIACAO HEMOSTATICA E ANALISE DE FREQUENCIA GENOTIPICA APO E EM HIPERCOLESTEROMIA    </t>
  </si>
  <si>
    <t xml:space="preserve">DOUTORADO EM ULTRA-SONOGRAFIA DO OSSO NASAL-FETAL: VALIDACAO CURVA NORMAL                           </t>
  </si>
  <si>
    <t xml:space="preserve">ESPECIALIZACAO EM ENFERMAGEM - ESTERILIZACAO                                                        </t>
  </si>
  <si>
    <t xml:space="preserve">ESPECIALIZACAO EM ATENDIMENTO SISTEMICO DE FAMILIA E REDES SOCIAIS                                  </t>
  </si>
  <si>
    <t xml:space="preserve">ESPECIALIZACAO EM GERONTOLOGIA SOCIAL: SAUDE DO IDOSO                                               </t>
  </si>
  <si>
    <t xml:space="preserve">ESPECIALIZACAO EM FARMACIA HOSPITALAR                                                               </t>
  </si>
  <si>
    <t xml:space="preserve">ESPECIALIZACAO - SAUDE MENTAL E PSICANALISE                                                         </t>
  </si>
  <si>
    <t xml:space="preserve">ESPECIALIZACAO - TECNOLOGIA ASSISTIVA: ORTETIZACAO E REABILITACAO                                   </t>
  </si>
  <si>
    <t xml:space="preserve">ESPECIALIZACAO EM FISIOTERAPIA                                                                      </t>
  </si>
  <si>
    <t xml:space="preserve">ESPECIALIZACAO EM DEFESA SANITARIA                                                                  </t>
  </si>
  <si>
    <t xml:space="preserve">ESPECIALIZACAO EM FISIOTERAPIA EM SAUDE PUBLICA                                                     </t>
  </si>
  <si>
    <t xml:space="preserve">ESPECIALIZACAO EM ESTUDOS BIOLOGICOS DE FORMULACOES MICRO E NANO PARTICULAS                         </t>
  </si>
  <si>
    <t xml:space="preserve">ESPECIALIZACAO EM CIENCIA DA SAUDE                                                                  </t>
  </si>
  <si>
    <t xml:space="preserve">MBA EXECUTIVO EM SAUDE                                                                              </t>
  </si>
  <si>
    <t xml:space="preserve">MESTRADO EM CIENCIAS DA SAUDE                                                                       </t>
  </si>
  <si>
    <t xml:space="preserve">ESPECIALIZACAO EM CARDIOLOGIA                                                                       </t>
  </si>
  <si>
    <t xml:space="preserve">ESPECIALIZACAO EM GESTAO PLENA EM SERVICOS DE SAUDO                                                 </t>
  </si>
  <si>
    <t xml:space="preserve">ESPECIALIZACAO EM BIOTECNOLOGIA E TERAPIA CELULAR                                                   </t>
  </si>
  <si>
    <t xml:space="preserve">ESPECIALIZACAO EM TRAUME E EMERGENCIA PARA ENFERMEIROS                                              </t>
  </si>
  <si>
    <t xml:space="preserve">ESPECIALIZACAO EM SAUDE MENTAL DA INFNANCIA E ADOLESCENCIA                                          </t>
  </si>
  <si>
    <t xml:space="preserve">ESPECIALIZACAO EM ANALISE INSTITUCIONAL, ESQUIZOANALISE E ESQUIZODRAMA                              </t>
  </si>
  <si>
    <t xml:space="preserve">MBA EM FARMACIA HOSPITALAR                                                                          </t>
  </si>
  <si>
    <t xml:space="preserve">ESPECIALIZACAO EM MEDICINA DO TRABALHO                                                              </t>
  </si>
  <si>
    <t xml:space="preserve">ESPECIALIZACAO EM CLINICA MEDICA                                                                    </t>
  </si>
  <si>
    <t xml:space="preserve">LICENCIATURA EM CIENCIAS                                                                            </t>
  </si>
  <si>
    <t xml:space="preserve">SUPERIOR LICENCIATURA PLENA   </t>
  </si>
  <si>
    <t xml:space="preserve">ESPECIALIZACAO EM BIOLOGIA GERAL                                                                    </t>
  </si>
  <si>
    <t xml:space="preserve">RESIDENCIA - CLINICA CIRURGICA                                                                      </t>
  </si>
  <si>
    <t xml:space="preserve">ENFERMAGEM DE SAUDE PUBLICA                                                                         </t>
  </si>
  <si>
    <t xml:space="preserve">DOUTORADO EM MEDICINA TROPICAL                                                                      </t>
  </si>
  <si>
    <t xml:space="preserve">ESPECIALIZACAO EM SISTEMATIZACAO DA ASSISTENCIA DE ENFERMAGEM                                       </t>
  </si>
  <si>
    <t xml:space="preserve">ESPECIALIZACAO EM ENFERMAGEM PSIQUIATRA                                                             </t>
  </si>
  <si>
    <t xml:space="preserve">ESPECIALIZACAO EM AUDITORIA EM SERVICOS DE SAUDE                                                    </t>
  </si>
  <si>
    <t xml:space="preserve">ESPECIALIZACAO EM SERVICO SOCIAL APLICADO A SAUDE                                                   </t>
  </si>
  <si>
    <t xml:space="preserve">ESPECIALIZACAO EM ADMINISTRACAO DOS SERVICOS DE SAUDE                                               </t>
  </si>
  <si>
    <t xml:space="preserve">ESPECIALIZACAO EM ENFERMAGEM DO TRABALHO                                                            </t>
  </si>
  <si>
    <t xml:space="preserve">TECNOLOGIA EM RADIOLOGIA                                                                            </t>
  </si>
  <si>
    <t xml:space="preserve">SUPERIOR TECNOLOGO            </t>
  </si>
  <si>
    <t xml:space="preserve">ESPECIALIZACAO EM NUTRICAO E SAUDE - AREA NUTRICAO MATERNO INFANTIL                                 </t>
  </si>
  <si>
    <t xml:space="preserve">ESPECIALIZACAO EM ADMINISTRACAO DA ASSISTENCIA DE ENFERMAGEM EM SERVICOS DA SAUDE                   </t>
  </si>
  <si>
    <t xml:space="preserve">ESPECIALIZACAO EM VIGILANCIA EM SAUDE: VIGILANCIA EPIDEMIOLOGICA E AMBIENTAL EM SAUDE               </t>
  </si>
  <si>
    <t xml:space="preserve">ESPECIALIZACAO EM SAUDE COLETIVA/ODONTOLOGIA                                                        </t>
  </si>
  <si>
    <t xml:space="preserve">ESPECIALIZACAO EM GESTAO HOSPITALAR                                                                 </t>
  </si>
  <si>
    <t xml:space="preserve">MESTRADO EM CIENCIA DE ALIMENTOS                                                                    </t>
  </si>
  <si>
    <t xml:space="preserve">DOUTORADO EM CIENCIA ANIMAL - NUTRICAO ANIMAL                                                       </t>
  </si>
  <si>
    <t xml:space="preserve">ESPECIALIZACAO EM VIGILANCIA E CONTROLE DA INFECCAO HOSPITALAR                                      </t>
  </si>
  <si>
    <t xml:space="preserve">CIRURGIA CARDIOVASCULAR - RESIDENCIA MEDICA                                                         </t>
  </si>
  <si>
    <t xml:space="preserve">ESPECIALIZACAO EM ENFERMAGEM EM TERAPIA INTENSIVA                                                   </t>
  </si>
  <si>
    <t xml:space="preserve">ESPECIALIZACAO EM NUTRICAO HUMANA E SAUDE                                                           </t>
  </si>
  <si>
    <t xml:space="preserve">CIENCIA E TECNOLOGIA DE ALIMENTOS                                                                   </t>
  </si>
  <si>
    <t xml:space="preserve">ESPECIALIZACAO EM ASSISTENCIA USUARIOS DE ALCOOL E OUTRAS DROGAS                                    </t>
  </si>
  <si>
    <t xml:space="preserve">ESPECIALIZACAO EM FARMACOLOGIA                                                                      </t>
  </si>
  <si>
    <t xml:space="preserve">ESPECIALIZACAO EM ENFERMAGEM MEDICO-CIRURGICA                                                       </t>
  </si>
  <si>
    <t xml:space="preserve">ESPECIALIZACAO EM CIENCIAS FISICAS E BIOLOGICAS                                                     </t>
  </si>
  <si>
    <t xml:space="preserve">MESTRADO EM CIENCIAS DA REABILITACAO                                                                </t>
  </si>
  <si>
    <t xml:space="preserve">ESPECIALIZACAO EM PREVENCAO E SAUDE PUBLICA                                                         </t>
  </si>
  <si>
    <t xml:space="preserve">ANALISES CLINICAS                                                                                   </t>
  </si>
  <si>
    <t xml:space="preserve">DOENCAS INFECCIOSAS E PARASITARIAS - RESIDENCIA MEDICA                                              </t>
  </si>
  <si>
    <t xml:space="preserve">ESPECIALIZACAO EM FISIOTERAPIA RESPIRATORIA                                                         </t>
  </si>
  <si>
    <t xml:space="preserve">ESPECIALIZACAO EM TREINAMENTO DESPORTIVO                                                            </t>
  </si>
  <si>
    <t xml:space="preserve">MESTRADO EM PROMOCAO DE SAUDE                                                                       </t>
  </si>
  <si>
    <t xml:space="preserve">ESPECIALIZACAO EM REEDUCACAO POSTURAL GLOBAL E SENSOPERCEPTIVA                                      </t>
  </si>
  <si>
    <t xml:space="preserve">ESPECIALIZACAO EM FISIOTERAPIA PNEUMOFUNCIONAL                                                      </t>
  </si>
  <si>
    <t xml:space="preserve">PROTECAO RADIOLOGICA - ENFASE EM RAIO X                                                             </t>
  </si>
  <si>
    <t xml:space="preserve">CUIDADOR DE IDOSO                                                                                   </t>
  </si>
  <si>
    <t>CURSO SEQ. FORMACAO ESPECIFICA</t>
  </si>
  <si>
    <t xml:space="preserve">CIENCIAS                                                                                            </t>
  </si>
  <si>
    <t xml:space="preserve">MESTRADO EM MEDICINA TROPICAL                                                                       </t>
  </si>
  <si>
    <t xml:space="preserve">ESPECIALIZACAO EM PLANEJAMENTO E ADMINISTRACAO DE SISTEMAS DE SAUDE                                 </t>
  </si>
  <si>
    <t xml:space="preserve">GESTAO DE SERVICOS NA SAUDE                                                                         </t>
  </si>
  <si>
    <t xml:space="preserve">ESPECIALIZACAO EM ORTODONTIA                                                                        </t>
  </si>
  <si>
    <t xml:space="preserve">ESPECIALIZACAO EM MEDICINA ESTETICA                                                                 </t>
  </si>
  <si>
    <t xml:space="preserve">ESPECIALIZACAO EM QUALIDADE E VIGILANCIA EM HEMOTERAPIA                                             </t>
  </si>
  <si>
    <t xml:space="preserve">CUIDADOR DE IDOSOS                                                                                  </t>
  </si>
  <si>
    <t xml:space="preserve">CURSO SEQ. COMPL. ESTUDOS     </t>
  </si>
  <si>
    <t xml:space="preserve">ESPECIALIZACAO EM CLINICA PSICANALITICA NAS INSTITUICOES DE SAUDE                                   </t>
  </si>
  <si>
    <t xml:space="preserve">MESTRADO EM CIENCIAS FARMACEUTICAS                                                                  </t>
  </si>
  <si>
    <t xml:space="preserve">ESPECIALIZACAO EM FISIOTERAPIA TRAUMATO ORTOPEDICA                                                  </t>
  </si>
  <si>
    <t xml:space="preserve">ACUPUNTURA                                                                                          </t>
  </si>
  <si>
    <t xml:space="preserve">PLANTAS MEDICINAIS MANEJO, USO E MANIPULACAO                                                        </t>
  </si>
  <si>
    <t xml:space="preserve">BIOTECNOLOGIA                                                                                       </t>
  </si>
  <si>
    <t xml:space="preserve">BIOLOGIA VEGETAL                                                                                    </t>
  </si>
  <si>
    <t xml:space="preserve">HOMEOPATIA                                                                                          </t>
  </si>
  <si>
    <t xml:space="preserve">ESPECIALIZACAO EM PROTESE DENTARIA                                                                  </t>
  </si>
  <si>
    <t xml:space="preserve">GERENCIA DE UNIDADES BASICAS DE SAUDE                                                               </t>
  </si>
  <si>
    <t xml:space="preserve">NUTRICAO HUMANA E SAUDE                                                                             </t>
  </si>
  <si>
    <t xml:space="preserve">PROGRAMA DE EDUCACAO EM ENFERMAGEM EM ESTOMATERAPIA                                                 </t>
  </si>
  <si>
    <t xml:space="preserve">PERIODONTIA                                                                                         </t>
  </si>
  <si>
    <t xml:space="preserve">ATENCAO BASICA DE SAUDE ODONTOLOGIA COLETIVA                                                        </t>
  </si>
  <si>
    <t xml:space="preserve">EPIDEMIOLOGIA EM SERVICOS DE SAUDE                                                                  </t>
  </si>
  <si>
    <t xml:space="preserve">ORTOPEDIA FUNCIONAL DOS MAXILARES                                                                   </t>
  </si>
  <si>
    <t xml:space="preserve">ODONTOPEDIATRIA                                                                                     </t>
  </si>
  <si>
    <t xml:space="preserve">FARMACIA ANALISES CLINICAS E TOXICOLOGICAS                                                          </t>
  </si>
  <si>
    <t xml:space="preserve">CITOLOGIA CLINICA                                                                                   </t>
  </si>
  <si>
    <t xml:space="preserve">ENFERMAGEM E OBSTETRICIA                                                                            </t>
  </si>
  <si>
    <t xml:space="preserve">PSICOMOTRICIDADE                                                                                    </t>
  </si>
  <si>
    <t xml:space="preserve">RADIOLOGIA E IMAGINOLOGIA                                                                           </t>
  </si>
  <si>
    <t xml:space="preserve">TECNICO/HABILITACAO           </t>
  </si>
  <si>
    <t xml:space="preserve">ENFERMAGEM OBSTETRICA                                                                               </t>
  </si>
  <si>
    <t xml:space="preserve">NEONATOLOGIA                                                                                        </t>
  </si>
  <si>
    <t xml:space="preserve">CIENCIAS - HISTORIA NATURAL                                                                         </t>
  </si>
  <si>
    <t xml:space="preserve">GERONTOLOGIA SOCIAL                                                                                 </t>
  </si>
  <si>
    <t xml:space="preserve">ESPECIALIZACAO EM FISIOTERAPIA NEURO-FUNCIONAL                                                      </t>
  </si>
  <si>
    <t xml:space="preserve">PARASITOLOGIA                                                                                       </t>
  </si>
  <si>
    <t xml:space="preserve">ENFERMAGEM EM MEDICINA DO APARELHO LOCOMOTOR - RESIDENCIA MEDICA                                    </t>
  </si>
  <si>
    <t xml:space="preserve">FARMACIA                                                                                            </t>
  </si>
  <si>
    <t xml:space="preserve">ATIVIDADES METOLOGICAS E FISICAS PARA ACADEMIA                                                      </t>
  </si>
  <si>
    <t xml:space="preserve">ATIVIDADES MOTORAS EM ACADEMIA - GINASTICA, HIDROGINASTICA E MUSCULACAO                             </t>
  </si>
  <si>
    <t xml:space="preserve">ATIVIDADES MOTORAS PARA A PROMOCAO DA BIOLOGICAS E QUALIDADE DE VIDA                                </t>
  </si>
  <si>
    <t xml:space="preserve">ATLETISMO                                                                                           </t>
  </si>
  <si>
    <t xml:space="preserve">BIOLOGIA CELULAR                                                                                    </t>
  </si>
  <si>
    <t xml:space="preserve">BIOLOGICAS PUBLICA                                                                                  </t>
  </si>
  <si>
    <t xml:space="preserve">BIOLOGICAS PUBLICA PARA EDUCACAO                                                                    </t>
  </si>
  <si>
    <t xml:space="preserve">CAPACITACAO CONTINUADA EM ESPORTE                                                                   </t>
  </si>
  <si>
    <t xml:space="preserve">CIENCIA ANIMAL                                                                                      </t>
  </si>
  <si>
    <t xml:space="preserve">CIENCIAS - ENFASE EM BIOLOGIA                                                                       </t>
  </si>
  <si>
    <t xml:space="preserve">CONDICIONAMENTO FISICO EM ACADEMIA                                                                  </t>
  </si>
  <si>
    <t xml:space="preserve">CULTURA DE TECIDOS VEGETAIS                                                                         </t>
  </si>
  <si>
    <t xml:space="preserve">CURSO DE BIOLOGICAS MENTAL                                                                          </t>
  </si>
  <si>
    <t xml:space="preserve">FARMACOLOGIA - ATUALIZACOES E NOVAS PERSPECTIVAS                                                    </t>
  </si>
  <si>
    <t xml:space="preserve">HISTOLOGIA                                                                                          </t>
  </si>
  <si>
    <t xml:space="preserve">MICROBIOLOGIA AGRICOLA                                                                              </t>
  </si>
  <si>
    <t xml:space="preserve">MUSCULACAO                                                                                          </t>
  </si>
  <si>
    <t xml:space="preserve">NATACAO                                                                                             </t>
  </si>
  <si>
    <t xml:space="preserve">NEUROCIENCIA E COMPORTAMENTO                                                                        </t>
  </si>
  <si>
    <t xml:space="preserve">NUTRICAO HUMANA E BIOLOGICAS                                                                        </t>
  </si>
  <si>
    <t xml:space="preserve">OBESIDADE - FATORES QUE  PREDISPOEM A OBESIDADE E ATIVIDADE FISICA COMO CONTROLE                    </t>
  </si>
  <si>
    <t xml:space="preserve">PLANTAS MEDICINAIS - MANEJO, USO E MANIPULACAO                                                      </t>
  </si>
  <si>
    <t xml:space="preserve">PLANTAS ORNAMENTAIS E PAISAGISMO                                                                    </t>
  </si>
  <si>
    <t xml:space="preserve">PRODUCAO ANIMAL - RUMINANTES                                                                        </t>
  </si>
  <si>
    <t xml:space="preserve">TREINAMENTO DESPORTIVO                                                                              </t>
  </si>
  <si>
    <t xml:space="preserve">TREINAMENTO ESPORTIVO                                                                               </t>
  </si>
  <si>
    <t xml:space="preserve">TREINAMENTO ESPORTIVO - PERSONAL TRAINING E GESTAO                                                  </t>
  </si>
  <si>
    <t xml:space="preserve">GASTRONOMIA                                                                                         </t>
  </si>
  <si>
    <t xml:space="preserve">SUPERVISAO HOSPITALAR                                                                               </t>
  </si>
  <si>
    <t xml:space="preserve">DENTISTA RESTAURADOR                                                                                </t>
  </si>
  <si>
    <t xml:space="preserve">ENDODONTIA                                                                                          </t>
  </si>
  <si>
    <t xml:space="preserve">CIRURGIAO DENTISTA                                                                                  </t>
  </si>
  <si>
    <t xml:space="preserve">RECURSOS HUMANOS PARA A SAUDE                                                                       </t>
  </si>
  <si>
    <t xml:space="preserve">EDUCACAO PROFISSIONAL NA AREA DE SAUDE: ENFERMAGEM                                                  </t>
  </si>
  <si>
    <t xml:space="preserve">PEDAGOGIA NA AREA DE SAUDE                                                                          </t>
  </si>
  <si>
    <t xml:space="preserve">SEGURANCA E SAUDE DO TRABALHADOR                                                                    </t>
  </si>
  <si>
    <t xml:space="preserve">ODONTOLOGIA SOCIAL                                                                                  </t>
  </si>
  <si>
    <t xml:space="preserve">GESTAO DE SISTEMA E SERVICOS DE SAUDE                                                               </t>
  </si>
  <si>
    <t xml:space="preserve">ODONTOLOGIA PARA PACIENTES COM NECESSIDADES ESPECIAIS                                               </t>
  </si>
  <si>
    <t xml:space="preserve">COLPOSCOPIA PATOLOGIA CERVICAL UTERINA                                                              </t>
  </si>
  <si>
    <t xml:space="preserve">SAUDE PUBLICA PARA A EDUCACAO                                                                       </t>
  </si>
  <si>
    <t xml:space="preserve">ESPECIALIZACAO PROFISSIONAL EM TERAPIA FLORAL                                                       </t>
  </si>
  <si>
    <t xml:space="preserve">MEDICINA COMUNITARIA                                                                                </t>
  </si>
  <si>
    <t xml:space="preserve">ACOES INSTITUCIONAIS E SAUDE COLETIVA                                                               </t>
  </si>
  <si>
    <t xml:space="preserve">CARDIOLOGIA PEDIATRICA                                                                              </t>
  </si>
  <si>
    <t xml:space="preserve">TOCO-GINECOLOGIA                                                                                    </t>
  </si>
  <si>
    <t xml:space="preserve">ORTOPEDIA E TRAUMATOLOGIA                                                                           </t>
  </si>
  <si>
    <t xml:space="preserve">SAUDE DO TRABALHADOR                                                                                </t>
  </si>
  <si>
    <t xml:space="preserve">DIAGNOSTICO POR IMAGEM                                                                              </t>
  </si>
  <si>
    <t xml:space="preserve">ENFERMAGEM EM NEFROLOGIA                                                                            </t>
  </si>
  <si>
    <t xml:space="preserve">CIRURGIA                                                                                            </t>
  </si>
  <si>
    <t xml:space="preserve">PNEUMOLOGIA SANITARIA                                                                               </t>
  </si>
  <si>
    <t xml:space="preserve">BIOLOGIA                                                                                            </t>
  </si>
  <si>
    <t xml:space="preserve">BIOLOGIA CLINICA                                                                                    </t>
  </si>
  <si>
    <t xml:space="preserve">GERONTOLOGIA                                                                                        </t>
  </si>
  <si>
    <t xml:space="preserve">RADIOTERAPIA                                                                                        </t>
  </si>
  <si>
    <t xml:space="preserve">FONOAUDIOLOGIA HOSPITALAR                                                                           </t>
  </si>
  <si>
    <t xml:space="preserve">FISIOLOGIA DO EXERCICIO                                                                             </t>
  </si>
  <si>
    <t xml:space="preserve">NUTRICAO PARENTERAL E ENTERAL                                                                       </t>
  </si>
  <si>
    <t xml:space="preserve">MEDICINA BIOQUIMICA E PRATICA ORTOMOLECULAR                                                         </t>
  </si>
  <si>
    <t xml:space="preserve">TECNICAS EM HIGIENE DENTAL                                                                          </t>
  </si>
  <si>
    <t xml:space="preserve">CIRURGIA DO APARELHO DIGESTIVO                                                                      </t>
  </si>
  <si>
    <t xml:space="preserve">CONTROLE DE QUALIDADE DE PRODUTOS FARMACEUTICOS, COSMETICOS E CORRELATOS                            </t>
  </si>
  <si>
    <t xml:space="preserve">EMERGENCIAS MEDICAS                                                                                 </t>
  </si>
  <si>
    <t xml:space="preserve">ENDOSCOPIA DIGESTIVA                                                                                </t>
  </si>
  <si>
    <t xml:space="preserve">MEDICINA DESPORTIVA                                                                                 </t>
  </si>
  <si>
    <t xml:space="preserve">NUTROLOGIA                                                                                          </t>
  </si>
  <si>
    <t xml:space="preserve">HEMATOLOGIA E HEMOTERAPIA                                                                           </t>
  </si>
  <si>
    <t xml:space="preserve">OFTALMOLOGIA CLINICA E CIRURGICA                                                                    </t>
  </si>
  <si>
    <t xml:space="preserve">MEDICINA DE FAMILIA E COMUNIDADE                                                                    </t>
  </si>
  <si>
    <t xml:space="preserve">CANCEROLOGIA                                                                                        </t>
  </si>
  <si>
    <t xml:space="preserve">BIOETICA                                                                                            </t>
  </si>
  <si>
    <t xml:space="preserve">ATIVIDADES FISICAS E ESPORTES PARA PORTADORES DE DEFICIENCIA                                        </t>
  </si>
  <si>
    <t xml:space="preserve">EDUCACAO EM SAUDE PUBLICA                                                                           </t>
  </si>
  <si>
    <t xml:space="preserve">MEDICINA SANITARIA                                                                                  </t>
  </si>
  <si>
    <t xml:space="preserve">COLPOSCOPIA                                                                                         </t>
  </si>
  <si>
    <t xml:space="preserve">RADIODIAGNOSTICO                                                                                    </t>
  </si>
  <si>
    <t xml:space="preserve">VIGILANCIA SANITARIA DE ALIMENTOS                                                                   </t>
  </si>
  <si>
    <t xml:space="preserve">ODONTOLOGIA LEGAL                                                                                   </t>
  </si>
  <si>
    <t xml:space="preserve">GESTAO DE SISTEMA MICRORREGIONAL DE SERVICOS DE SAUDE                                               </t>
  </si>
  <si>
    <t xml:space="preserve">SAUDE COLETIVA E INTEGRACAO PROFISSIONAL                                                            </t>
  </si>
  <si>
    <t xml:space="preserve">GESTAO DE SAUDE E AUDITORIA ODONTOLOGICA                                                            </t>
  </si>
  <si>
    <t xml:space="preserve">FISIOLOGIA                                                                                          </t>
  </si>
  <si>
    <t xml:space="preserve">ANATOMIA PATOLOGICA MEDICA                                                                          </t>
  </si>
  <si>
    <t xml:space="preserve">PSIQUIATRIA FORENSE                                                                                 </t>
  </si>
  <si>
    <t xml:space="preserve">BIOLOGIA CELULAR E MOLECULAR                                                                        </t>
  </si>
  <si>
    <t xml:space="preserve">GENETICA                                                                                            </t>
  </si>
  <si>
    <t xml:space="preserve">AUXILIAR DE ENFERMAGEM                                                                              </t>
  </si>
  <si>
    <t xml:space="preserve">PROFISSIONAL DA SAUDE         </t>
  </si>
  <si>
    <t xml:space="preserve">HOMEOPATIA APLICADA A FARMACIA HOMEOPATICA                                                          </t>
  </si>
  <si>
    <t xml:space="preserve">HEMATOLOGIA                                                                                         </t>
  </si>
  <si>
    <t xml:space="preserve">CIRURGIA DE MAO                                                                                     </t>
  </si>
  <si>
    <t xml:space="preserve">HEMATOLOGIA PEDIATRICA                                                                              </t>
  </si>
  <si>
    <t xml:space="preserve">ENFERMAGEM EM PROMOCAO DA SAUDE                                                                     </t>
  </si>
  <si>
    <t xml:space="preserve">BIOLOGIA - ENSINO MEDIO                                                                             </t>
  </si>
  <si>
    <t xml:space="preserve">CIENCIAS BIOLOGICAS - ENSINO MEDIO                                                                  </t>
  </si>
  <si>
    <t xml:space="preserve">HISTORIA NATURAL                                                                                    </t>
  </si>
  <si>
    <t xml:space="preserve">CIENCIAS - ENSINO FUNDAMENTAL                                                                       </t>
  </si>
  <si>
    <t xml:space="preserve">MANIPULACAO MAGISTRAL ALOPATICA                                                                     </t>
  </si>
  <si>
    <t xml:space="preserve">FISIOLOGIA DO EXERCICIO E AVALIACAO MORFOFUNCIONAL                                                  </t>
  </si>
  <si>
    <t xml:space="preserve">HEMOTERAPIA                                                                                         </t>
  </si>
  <si>
    <t xml:space="preserve">MICROBIOLOGIA E IMUNOLOGIA                                                                          </t>
  </si>
  <si>
    <t xml:space="preserve">DENTISTICA RESTAURADORA                                                                             </t>
  </si>
  <si>
    <t xml:space="preserve">BIOQUIMICA                                                                                          </t>
  </si>
  <si>
    <t xml:space="preserve">FARMACIA MAGISTRAL ALOPATICA                                                                        </t>
  </si>
  <si>
    <t xml:space="preserve">DROGAS E ALCOOLISMO: UMA VISAO MULTIDISCIPLINAR                                                     </t>
  </si>
  <si>
    <t xml:space="preserve">RESGATE E SOCORRO                                                                                   </t>
  </si>
  <si>
    <t xml:space="preserve">FISIOTERAPIA APLICADA A UTI                                                                         </t>
  </si>
  <si>
    <t xml:space="preserve">TERAPIA NUTRICIONAL ENTERAL E PARENTERAL                                                            </t>
  </si>
  <si>
    <t xml:space="preserve">DEPENDENCIA QUIMICA E OUTROS                                                                        </t>
  </si>
  <si>
    <t xml:space="preserve">TECNICAS DE HIGIENE DENTAL                                                                          </t>
  </si>
  <si>
    <t xml:space="preserve">CIRURGIA E TRAUMATOLOGIA                                                                            </t>
  </si>
  <si>
    <t xml:space="preserve">MEDICINA DO TRAFEGO                                                                                 </t>
  </si>
  <si>
    <t xml:space="preserve">PROGRESSOS EM CIENCIAS FARMACEUTICAS: MEDICAMENTOS E ALIMENTOS                                      </t>
  </si>
  <si>
    <t xml:space="preserve">TUBERCULOSE                                                                                         </t>
  </si>
  <si>
    <t xml:space="preserve">ESTOMATOLOGIA                                                                                       </t>
  </si>
  <si>
    <t xml:space="preserve">MASTOLOGIA                                                                                          </t>
  </si>
  <si>
    <t xml:space="preserve">CIRURGIA E TRAUMATOLOGIA BUCO-MAXILO FACIAL                                                         </t>
  </si>
  <si>
    <t xml:space="preserve">VIGILANCIA SANITARIA DE PRODUTOS E SERVICOS                                                         </t>
  </si>
  <si>
    <t xml:space="preserve">MEDICINA DO EXERCICIO E DO ESPORTE                                                                  </t>
  </si>
  <si>
    <t xml:space="preserve">TISIOLOGIA E PNEUMOLOGIA                                                                            </t>
  </si>
  <si>
    <t xml:space="preserve">PATOLOGIA CLINICA                                                                                   </t>
  </si>
  <si>
    <t xml:space="preserve">VIGILANCIA SANITARIA E EPIDEMIOLOGICA                                                               </t>
  </si>
  <si>
    <t xml:space="preserve">ORTODONTIA E ORTOPEDIA FACIAL                                                                       </t>
  </si>
  <si>
    <t xml:space="preserve">TRAUMA NA INFANCIA E NA ADOLESCENCIA                                                                </t>
  </si>
  <si>
    <t xml:space="preserve">CONTROLE DE INFECCAO HOSPITALAR                                                                     </t>
  </si>
  <si>
    <t xml:space="preserve">AUDITORIA EM SAUDE                                                                                  </t>
  </si>
  <si>
    <t xml:space="preserve">NUTRICAO E SAUDE                                                                                    </t>
  </si>
  <si>
    <t xml:space="preserve">TECNOLOGIA INDUSTRIAL FARMACEUTICA                                                                  </t>
  </si>
  <si>
    <t xml:space="preserve">CITOPATOLOGIA E GINECOLOGICA                                                                        </t>
  </si>
  <si>
    <t xml:space="preserve">PEDIATRIA E PUERICULTURA                                                                            </t>
  </si>
  <si>
    <t xml:space="preserve">PNEUMOLOGIA E CIRURGIA DO TORAX                                                                     </t>
  </si>
  <si>
    <t xml:space="preserve">MEDICINA GERAL COMUNITARIA                                                                          </t>
  </si>
  <si>
    <t xml:space="preserve">CLINICA ODONTOLOGICA                                                                                </t>
  </si>
  <si>
    <t xml:space="preserve">ALERGIA E IMUNOPATOLOGIA                                                                            </t>
  </si>
  <si>
    <t xml:space="preserve">CIRURGIA ABDOMINAL                                                                                  </t>
  </si>
  <si>
    <t xml:space="preserve">TECNICA OPERARIA E CIRURGIA EXPERIMENTAL                                                            </t>
  </si>
  <si>
    <t xml:space="preserve">TREINAMENTO DESPORTIVO E FISIOLOGIA DO EXERCICIO                                                    </t>
  </si>
  <si>
    <t xml:space="preserve">ENFERMANGEM MATERNO-INFANTIL                                                                        </t>
  </si>
  <si>
    <t xml:space="preserve">VIGILANCIA SANITARIA EM SAUDE PUBLICA                                                               </t>
  </si>
  <si>
    <t xml:space="preserve">VIGILANCIA AMBIENTAL EM SAUDE COLETIVA                                                              </t>
  </si>
  <si>
    <t xml:space="preserve">ADMINISTRACAO ESCOLAR E GESTAO EM SISTEMAS DE SAUDE                                                 </t>
  </si>
  <si>
    <t xml:space="preserve">DENTISTA SANITARISTA                                                                                </t>
  </si>
  <si>
    <t xml:space="preserve">SAUDE OCUPACIONAL                                                                                   </t>
  </si>
  <si>
    <t xml:space="preserve">ADMINISTRACAO HOSPITALAR PARA O SETOR PUBLICO                                                       </t>
  </si>
  <si>
    <t xml:space="preserve">INSTRUMENTACAO CIRURGICA                                                                            </t>
  </si>
  <si>
    <t xml:space="preserve">BIOMEDICINA                                                                                         </t>
  </si>
  <si>
    <t xml:space="preserve">SAUDE DA MULHER                                                                                     </t>
  </si>
  <si>
    <t xml:space="preserve">QUALIDADE E VIGILANCIA SANITARIA NA PRODUCAO DE MEDICAMENTOS                                        </t>
  </si>
  <si>
    <t xml:space="preserve">IMPLANTODONTIA                                                                                      </t>
  </si>
  <si>
    <t xml:space="preserve">RECURSOS VEGETAIS NA NUTRICAO HUMANA                                                                </t>
  </si>
  <si>
    <t xml:space="preserve">FARMACIA HOMEOPATICA                                                                                </t>
  </si>
  <si>
    <t xml:space="preserve">ALERGIA                                                                                             </t>
  </si>
  <si>
    <t xml:space="preserve">GERIATRIA E GERONTOLOGIA                                                                            </t>
  </si>
  <si>
    <t xml:space="preserve">VIGILANCIA AMBIENTAL EM SAUDE                                                                       </t>
  </si>
  <si>
    <t xml:space="preserve">NEUROLOGIA E NEUROCIRURGIA                                                                          </t>
  </si>
  <si>
    <t xml:space="preserve">CIENCIAS SAUDE PUBLICA EPIDEMIOLOGIA                                                                </t>
  </si>
  <si>
    <t xml:space="preserve">CIENCIAS NATURAIS                                                                                   </t>
  </si>
  <si>
    <t xml:space="preserve">ENFERMAGEM EM CARDIOLOGIA E CUIDADOS INTENSIVOS                                                     </t>
  </si>
  <si>
    <t xml:space="preserve">TECNICA OPERATORIA E CIRURGIA EXPERIMENTAL                                                          </t>
  </si>
  <si>
    <t xml:space="preserve">MEDICINA HOMEOPATICA                                                                                </t>
  </si>
  <si>
    <t xml:space="preserve">FARMACIA GENERALISTA                                                                                </t>
  </si>
  <si>
    <t xml:space="preserve">MEDICO DE FAMILIA                                                                                   </t>
  </si>
  <si>
    <t xml:space="preserve">ATIVIDADES MOTORAS EM ACADEMIAS: GINASTICA, HIDROGINASTICA, E MUSCULACAO                            </t>
  </si>
  <si>
    <t xml:space="preserve">ODONTOLOGIA PREVENTIVA E SOCIAL                                                                     </t>
  </si>
  <si>
    <t xml:space="preserve">ERGONOMIA, SAUDE E SEGURANCA NO TRABALHO                                                            </t>
  </si>
  <si>
    <t xml:space="preserve">FISIOTERAPIA DERMATO-FUNCIONAL                                                                      </t>
  </si>
  <si>
    <t xml:space="preserve">CLINICA E TERAPEUTICA NUTRICIONAL                                                                   </t>
  </si>
  <si>
    <t xml:space="preserve">GERONTOLOGIA APLICADA                                                                               </t>
  </si>
  <si>
    <t xml:space="preserve">ATENCAO FARMACEUTICA                                                                                </t>
  </si>
  <si>
    <t xml:space="preserve">ERGONOMIA APLICADA A SAUDE DO TRABALHADOR                                                           </t>
  </si>
  <si>
    <t xml:space="preserve">CIENCIA DOS ALIMENTOS                                                                               </t>
  </si>
  <si>
    <t xml:space="preserve">CIENCIA DO TREINAMENTO DESPORTIVO E TECNICAS NOS DESPORTOS COLETIVOS - VOLEIBOL                     </t>
  </si>
  <si>
    <t xml:space="preserve">CIENCIA DO TREINAMENTO DESPORTIVO E TECNICAS NOS DESPORTOS COLETIVOS - FUTSAL                       </t>
  </si>
  <si>
    <t xml:space="preserve">BIOTECNOLOGIA: FUNDAMENTOS TECNICOS, APLICACOES E PERSPECTIVAS                                      </t>
  </si>
  <si>
    <t xml:space="preserve">CIENCIA: ENFASE EM BIOLOGIA                                                                         </t>
  </si>
  <si>
    <t xml:space="preserve">FISIOTERAPIA HOSPITALAR                                                                             </t>
  </si>
  <si>
    <t xml:space="preserve">VIGILANCIA SANITARIA DE MEDICAMENTOS                                                                </t>
  </si>
  <si>
    <t xml:space="preserve">FISIOTERAPIA ESPORTIVA                                                                              </t>
  </si>
  <si>
    <t xml:space="preserve">RECURSOS TERAPEUTICOS MANUAIS ATRAVES DA REESTRUTURACAO POSTURAL SENSOPERCEPTIVA                    </t>
  </si>
  <si>
    <t xml:space="preserve">MEDICINA SOCIAL                                                                                     </t>
  </si>
  <si>
    <t xml:space="preserve">BOTANICA                                                                                            </t>
  </si>
  <si>
    <t xml:space="preserve">REABILITACAO CARDIACA                                                                               </t>
  </si>
  <si>
    <t xml:space="preserve">SAUDE MENTAL E PSICANALISE                                                                          </t>
  </si>
  <si>
    <t xml:space="preserve">CIENCIA DA NUTRICAO                                                                                 </t>
  </si>
  <si>
    <t xml:space="preserve">RADIOLOGIA E DIAGNOSTICO POR IMAGEM                                                                 </t>
  </si>
  <si>
    <t xml:space="preserve">CIENCIAS FARMACEUTICAS                                                                              </t>
  </si>
  <si>
    <t xml:space="preserve">LABORATORIO DE SAUDE PUBLICA                                                                        </t>
  </si>
  <si>
    <t xml:space="preserve">SAUDE PUBLICA E SAUDE DO TRABALHADOR                                                                </t>
  </si>
  <si>
    <t xml:space="preserve">NATACAO E HIDROGINASTICA                                                                            </t>
  </si>
  <si>
    <t xml:space="preserve">BASES CIENTIFICAS DA PREPARACAO FISICA E MUSCULACAO                                                 </t>
  </si>
  <si>
    <t xml:space="preserve">CIENCIAS DO TREINAMENTO DESPORTIVO E AUTO RENDIMENTO                                                </t>
  </si>
  <si>
    <t xml:space="preserve">FARMACIA INDUSTRIAL                                                                                 </t>
  </si>
  <si>
    <t xml:space="preserve">REABILITACAO INTERDISCIPLINAR DO IDOSO                                                              </t>
  </si>
  <si>
    <t xml:space="preserve">DISTURBIO DA COMUNICACAO HUMANA                                                                     </t>
  </si>
  <si>
    <t xml:space="preserve">MOTRICIDADE OROFACIAL                                                                               </t>
  </si>
  <si>
    <t xml:space="preserve">FARMACOLOGIA DO SISTEMA NERVOSO CENTRAL                                                             </t>
  </si>
  <si>
    <t xml:space="preserve">NUTRICAO HUMANA                                                                                     </t>
  </si>
  <si>
    <t xml:space="preserve">REABILITACAO CARDIOPULMONAR                                                                         </t>
  </si>
  <si>
    <t xml:space="preserve">MEDICINA FISICA                                                                                     </t>
  </si>
  <si>
    <t xml:space="preserve">AUDIOLOGIA CLINICA                                                                                  </t>
  </si>
  <si>
    <t xml:space="preserve">FONOAUDIOLOGIA CLINICA                                                                              </t>
  </si>
  <si>
    <t xml:space="preserve">CIENCIA DO TREINAMENTO DESPORTIVO E TECNICA NOS DESPORTOS COLETIVOS                                 </t>
  </si>
  <si>
    <t xml:space="preserve">ORGANIZACAO E GERENCIAMENTO DA EDUCACAO FISICA DE RECREACAO E LAZER                                 </t>
  </si>
  <si>
    <t xml:space="preserve">ORGANIZACAO E GERENCIAMENTO DA EDUCACAO FISICA ESCOLAR E DE RECREACAO                               </t>
  </si>
  <si>
    <t xml:space="preserve">ATIVIDADE FISICA NA PROMOCAO DA SA┌DE                                                               </t>
  </si>
  <si>
    <t xml:space="preserve">ATIVIDADES MOTORAS PARA PROMOCAO DA SAUDE E QUALIDADE DE VIDA                                       </t>
  </si>
  <si>
    <t xml:space="preserve">PERFORMANCE DO TREINAMENTO DESPORTIVO                                                               </t>
  </si>
  <si>
    <t xml:space="preserve">CIENCIA E TECNICA DO FUTEBOL                                                                        </t>
  </si>
  <si>
    <t xml:space="preserve">BIOLOGIA DE VERTEBRADOS                                                                             </t>
  </si>
  <si>
    <t xml:space="preserve">ENSINO DA EDUCACAO FISICA /ESPORTE                                                                  </t>
  </si>
  <si>
    <t xml:space="preserve">ATIVIDADES FISICAS EM ACADEMIAS: GINASTICA, HIDROGINASTICA E MUSCULACAO                             </t>
  </si>
  <si>
    <t xml:space="preserve">CIENCIAS E TECNICAS DA NATACAO E HIDROGINASTICA                                                     </t>
  </si>
  <si>
    <t xml:space="preserve">CIENCIA E TECNICA DA NATACAO                                                                        </t>
  </si>
  <si>
    <t xml:space="preserve">EDUCACAO FISICA ESPECIAL: DEFICIENCIA MENTAL                                                        </t>
  </si>
  <si>
    <t xml:space="preserve">ASSISTENCIA FARMACEUTICA E LABORATORIAL                                                             </t>
  </si>
  <si>
    <t xml:space="preserve">ATIVIDADE FISICA PARA SAUDE E QUALIDADE DE VIDA                                                     </t>
  </si>
  <si>
    <t xml:space="preserve">BASES CIENTIFICAS E PERFORMANCE DO TREINAMENTO DESPORTIVO                                           </t>
  </si>
  <si>
    <t xml:space="preserve">BIOLOGIA DA REPRODUCAO                                                                              </t>
  </si>
  <si>
    <t xml:space="preserve">ECOLOGIA, CONSERVACAO E MANEJO DE RECURSOS NATURAIS                                                 </t>
  </si>
  <si>
    <t xml:space="preserve">ZOOLOGIA DE VERTEBRADOS                                                                             </t>
  </si>
  <si>
    <t xml:space="preserve">BASES METODOLOGICAS DA ATIVIDADE EM ACADEMIA                                                        </t>
  </si>
  <si>
    <t xml:space="preserve">ORTODONTIA FIXA INTEGRADA A ORTOPEDIA FUNCIONAL                                                     </t>
  </si>
  <si>
    <t xml:space="preserve">OBSTETRICIA E PEDIATRIA NEONATAL                                                                    </t>
  </si>
  <si>
    <t xml:space="preserve">MORFOLOGIA                                                                                          </t>
  </si>
  <si>
    <t xml:space="preserve">GASTRENTEROLOGIA                                                                                    </t>
  </si>
  <si>
    <t xml:space="preserve">MEDICINA TROPICAL                                                                                   </t>
  </si>
  <si>
    <t xml:space="preserve">ONCOLOGIA CIRURGICA                                                                                 </t>
  </si>
  <si>
    <t xml:space="preserve">MEDICINA ORTOBIOMOLECULAR                                                                           </t>
  </si>
  <si>
    <t xml:space="preserve">CIENCIAS BIOLOGICAS E DA SAUDE                                                                      </t>
  </si>
  <si>
    <t xml:space="preserve">ANATOMIA PATOLOGICA E CITOLOGIA                                                                     </t>
  </si>
  <si>
    <t xml:space="preserve">ADOLESCENCIA                                                                                        </t>
  </si>
  <si>
    <t xml:space="preserve">ODONTOLOGIA EM SAUDE COLETIVA                                                                       </t>
  </si>
  <si>
    <t xml:space="preserve">PROGRAMAS DE SAUDE                                                                                  </t>
  </si>
  <si>
    <t xml:space="preserve">TREINAMENTO ESPORTIVO E EDUCACAO FISICA ESCOLAR                                                     </t>
  </si>
  <si>
    <t xml:space="preserve">EDUCACAO SEXUAL                                                                                     </t>
  </si>
  <si>
    <t xml:space="preserve">ATIVIDADES MOTORAS EM ACADEMIAS: ATIVIDADES AQUATICAS - PERSONAL TRAINNING                          </t>
  </si>
  <si>
    <t xml:space="preserve">ATIVIDADES MOTORAS EM ACADEMIAS: MUSCULACAO E GINASTICA DE ACADEMIA: NOVAS TENDENCIAS               </t>
  </si>
  <si>
    <t xml:space="preserve">ARTETERAPIA EM EDUCACAO E SAUDE                                                                     </t>
  </si>
  <si>
    <t xml:space="preserve">ATIVIDADES MOTORAS EM ACADEMIA                                                                      </t>
  </si>
  <si>
    <t xml:space="preserve">METODOLOGIA DA PREPARACAO FISICA PERSONALIZADA: PERSONAL TRAINNING                                  </t>
  </si>
  <si>
    <t xml:space="preserve">TREINAMENTO E TECNICO DESPORTIVO                                                                    </t>
  </si>
  <si>
    <t xml:space="preserve">EDUCACAO FISICA PARA PORTADORES DE DEFICIENCIA                                                      </t>
  </si>
  <si>
    <t xml:space="preserve">MEDICO CIRUJANO                                                                                     </t>
  </si>
  <si>
    <t xml:space="preserve">FARMACOLOGIA BIOQUIMICA E MOLECULAR                                                                 </t>
  </si>
  <si>
    <t xml:space="preserve">CIENCIAS DA SAUDE                                                                                   </t>
  </si>
  <si>
    <t xml:space="preserve">CIRURGIA PEDIATRICA                                                                                 </t>
  </si>
  <si>
    <t xml:space="preserve">ECOCARDIOGRAMA                                                                                      </t>
  </si>
  <si>
    <t xml:space="preserve">PROGRAMAS DE SAUDE DA FAMILIA                                                                       </t>
  </si>
  <si>
    <t xml:space="preserve">TREINAMENTO DE FORCA E PERSONAL TRAINING                                                            </t>
  </si>
  <si>
    <t xml:space="preserve">BIOLOGIA: MEIO AMBIENTE E SAUDE HUMANA                                                              </t>
  </si>
  <si>
    <t xml:space="preserve">CITOLOGIA ESFOLIATIVA                                                                               </t>
  </si>
  <si>
    <t xml:space="preserve">ATIVIDADE FISICA EM ACADEMIA                                                                        </t>
  </si>
  <si>
    <t xml:space="preserve">FUTEBOL                                                                                             </t>
  </si>
  <si>
    <t xml:space="preserve">TERAPIA INTENSIVA                                                                                   </t>
  </si>
  <si>
    <t xml:space="preserve">ATUALIZACAO EM REABILITACAO ORAL                                                                    </t>
  </si>
  <si>
    <t xml:space="preserve">MUSCULACAO E PERSONAL TRAINING                                                                      </t>
  </si>
  <si>
    <t xml:space="preserve">ZOOLOGIA                                                                                            </t>
  </si>
  <si>
    <t xml:space="preserve">ORGANIZACAO E ADMINISTRACAO DA RECREACAO E LAZER                                                    </t>
  </si>
  <si>
    <t xml:space="preserve">CIENCIA DO FUTEBOL E FUTEBOL DE SALAO                                                               </t>
  </si>
  <si>
    <t xml:space="preserve">ANALISES CLINICAS - HUMANA E VETERINARIA                                                            </t>
  </si>
  <si>
    <t xml:space="preserve">SAUDE MENTAL E TRABALHO                                                                             </t>
  </si>
  <si>
    <t xml:space="preserve">ANALISE CLINICA                                                                                     </t>
  </si>
  <si>
    <t xml:space="preserve">ORIENTACAO SEXUAL                                                                                   </t>
  </si>
  <si>
    <t xml:space="preserve">BIOLOGIA PRINCIPIOS E APLICACOES                                                                    </t>
  </si>
  <si>
    <t xml:space="preserve">BASES CIENTIFICAS E MODERNAS DO VOLEIBOL                                                            </t>
  </si>
  <si>
    <t xml:space="preserve">MEDICINA VETERINARIA: PARASITOLOGIA VETERINARIA                                                     </t>
  </si>
  <si>
    <t xml:space="preserve">BIOLOGIA ANIMAL                                                                                     </t>
  </si>
  <si>
    <t xml:space="preserve">BIOLOGIA: PRINCIPIOS E APLICACOES                                                                   </t>
  </si>
  <si>
    <t xml:space="preserve">SAUDE                                                                                               </t>
  </si>
  <si>
    <t xml:space="preserve">NUTRICAO DIETETICA                                                                                  </t>
  </si>
  <si>
    <t xml:space="preserve">ANATOMIA E FISIOLOGIA                                                                               </t>
  </si>
  <si>
    <t xml:space="preserve">FORMACAO DE MEDICO LEGISTA                                                                          </t>
  </si>
  <si>
    <t xml:space="preserve">CIENCIA DO ESPORTE                                                                                  </t>
  </si>
  <si>
    <t xml:space="preserve">CULTURA DE TECIDOS VEGETAIS: TECNOLOGIA E APLICACOES                                                </t>
  </si>
  <si>
    <t xml:space="preserve">METODOLOGIA DA PESQUISA NA AREA DE SAUDE                                                            </t>
  </si>
  <si>
    <t xml:space="preserve">BIOLOGIA: A QUESTAO AMBIENTAL                                                                       </t>
  </si>
  <si>
    <t xml:space="preserve">ADMINISTRACAO DE ASSISTENCIA DE ENFERMAGEM EM SERVICOS DE SAUDE                                     </t>
  </si>
  <si>
    <t xml:space="preserve">OBESIDADE E EMAGRECIMENTO                                                                           </t>
  </si>
  <si>
    <t xml:space="preserve">FISIOTERAPIA NEUROLOGICA                                                                            </t>
  </si>
  <si>
    <t xml:space="preserve">ENVELHECIMENTO E SAUDE DO IDOSO                                                                     </t>
  </si>
  <si>
    <t xml:space="preserve">INFECCAO HOSPITALAR                                                                                 </t>
  </si>
  <si>
    <t xml:space="preserve">ERGONOMIA                                                                                           </t>
  </si>
  <si>
    <t xml:space="preserve">EPIDEMIOLOGIA E CONTROLE DE ENDEMIAS                                                                </t>
  </si>
  <si>
    <t xml:space="preserve">BIOLOGIA CELULAR E HISTOLOGIA BASICA                                                                </t>
  </si>
  <si>
    <t xml:space="preserve">BIOLOGIA EVOLUTIVA                                                                                  </t>
  </si>
  <si>
    <t xml:space="preserve">RECREACAO E LAZER                                                                                   </t>
  </si>
  <si>
    <t xml:space="preserve">TREINAMENTO E CONDICIONAMENTO FISICO EM ACADEMIAS                                                   </t>
  </si>
  <si>
    <t xml:space="preserve">APRENDIZAGEM E DESENVOLVIMENTO MOTOR E FISICO DESPORTIVO                                            </t>
  </si>
  <si>
    <t xml:space="preserve">BASES METODOLOGICAS E FISIOLOGICAS APLICADAS A POPULACOES ESPECIAIS                                 </t>
  </si>
  <si>
    <t xml:space="preserve">TREINAMENTO DESPORTIVO E PERSONAL TRAINING                                                          </t>
  </si>
  <si>
    <t xml:space="preserve">ENFERMAGEM EM UNIDADE DE TERAPIA INTENSIVA                                                          </t>
  </si>
  <si>
    <t xml:space="preserve">MEDICINA E BIOMEDICINA                                                                              </t>
  </si>
  <si>
    <t xml:space="preserve">PROMOCAO DA SAUDE                                                                                   </t>
  </si>
  <si>
    <t xml:space="preserve">ANATOMIA E FISIOLOGIA HUMANA                                                                        </t>
  </si>
  <si>
    <t xml:space="preserve">BIOQUIMICA E MICROBIOLOGIA                                                                          </t>
  </si>
  <si>
    <t xml:space="preserve">ATENDIMENTO SISTEMICO A SAUDE                                                                       </t>
  </si>
  <si>
    <t xml:space="preserve">EDUCACAO FISICA E DESPORTO ESCOLAR                                                                  </t>
  </si>
  <si>
    <t xml:space="preserve">FISIOLOGIA VEGETAL                                                                                  </t>
  </si>
  <si>
    <t xml:space="preserve">CIENCIAS DA GINASTICA DE ACADEMIA                                                                   </t>
  </si>
  <si>
    <t xml:space="preserve">ATUACAO DA FISIOTERAPIA NA PREVENCAO E PROMOCAO DA SAUDE                                            </t>
  </si>
  <si>
    <t xml:space="preserve">ATUALIZACAO EM DISFONIAS / DOENCAS VOCAIS                                                           </t>
  </si>
  <si>
    <t xml:space="preserve">PERICIA EM FONOAUDIOLOGIA                                                                           </t>
  </si>
  <si>
    <t xml:space="preserve">GINASTICA LABORAL E FISIOTERAPIA DO TRABALHO                                                        </t>
  </si>
  <si>
    <t xml:space="preserve">CIENCIAS BIOLOGICAS - FISIOLOGIA E FARMACOLOGIA                                                     </t>
  </si>
  <si>
    <t xml:space="preserve">CIENCIA DO EXERCICIO FISICO NA SAUDE E PERSONAL TRAINNING                                           </t>
  </si>
  <si>
    <t xml:space="preserve">FISIOLOGIA DO EXERCICIO: FUNDAMENTOS PARA ATIVIDADE HUMANA                                          </t>
  </si>
  <si>
    <t xml:space="preserve">APRENDIZAGEM DE HABILIDADES MOTORAS NO VOLEIBOL                                                     </t>
  </si>
  <si>
    <t xml:space="preserve">PISCICULTURA                                                                                        </t>
  </si>
  <si>
    <t xml:space="preserve">PROTECAO DE PLANTAS                                                                                 </t>
  </si>
  <si>
    <t xml:space="preserve">PSICANALISE E DIREITO                                                                               </t>
  </si>
  <si>
    <t xml:space="preserve">ATIVIDADE FISICA TERAPEUTICA                                                                        </t>
  </si>
  <si>
    <t xml:space="preserve">PATOLOGIA E TERAPIA NA COMUNICACAO LINGUISTICA                                                      </t>
  </si>
  <si>
    <t xml:space="preserve">ZOOLOGIA: COMPORTAMENTO ANIMAL                                                                      </t>
  </si>
  <si>
    <t xml:space="preserve">FARMACOS E MEDICAMENTOS: FITOTERAPICOS E FITOTERAPIA                                                </t>
  </si>
  <si>
    <t xml:space="preserve">GENETICA E BIOQUIMICA                                                                               </t>
  </si>
  <si>
    <t xml:space="preserve">GINASTICA INFANTIL                                                                                  </t>
  </si>
  <si>
    <t xml:space="preserve">EDUCACAO FISICA PARA PORTADORES DE NECESSIDADES ESPECIAIS                                           </t>
  </si>
  <si>
    <t xml:space="preserve">CIENCIA DA NATACAO E HIDROGINASTICA                                                                 </t>
  </si>
  <si>
    <t xml:space="preserve">CIENCIA AMBIENTAL                                                                                   </t>
  </si>
  <si>
    <t xml:space="preserve">TREINAMENTO ESPORTIVO DE BASE                                                                       </t>
  </si>
  <si>
    <t xml:space="preserve">IMPLICACOES NEUROFISIOLOGICAS NO TREINAMENTO                                                        </t>
  </si>
  <si>
    <t xml:space="preserve">GINASTICA ESPECIAL CORRETIVA                                                                        </t>
  </si>
  <si>
    <t xml:space="preserve">CIENCIAS - ENFASE EM BIOLOGIA GENETICA                                                              </t>
  </si>
  <si>
    <t xml:space="preserve">ECOLOGIA E CONSERVACAO DE RECURSOS NATURAIS                                                         </t>
  </si>
  <si>
    <t xml:space="preserve">FISIOLOGIA ANIMAL E HUMANA                                                                          </t>
  </si>
  <si>
    <t xml:space="preserve">TREINAMENTO ESPORTIVO - PERSONAL TRAINING E EDUCACAO FISICA ESCOLAR                                 </t>
  </si>
  <si>
    <t xml:space="preserve">NUTRICAO E CONDICIONAMENTO FISICO                                                                   </t>
  </si>
  <si>
    <t xml:space="preserve">SANEAMENTO AMBIENTAL                                                                                </t>
  </si>
  <si>
    <t xml:space="preserve">OSTEOPATIA                                                                                          </t>
  </si>
  <si>
    <t xml:space="preserve">ATIVACAO DE PROCESSOS DE MUDANCA NA FORMACAO SUPERIOR DE PROFISSIONAIS DE SAUDE                     </t>
  </si>
  <si>
    <t xml:space="preserve">RADIOLOGIA                                                                                          </t>
  </si>
  <si>
    <t xml:space="preserve">FISIOTERAPIA APLICADA A TERAPIA MANUAL                                                              </t>
  </si>
  <si>
    <t xml:space="preserve">ENFERMAGEM NEONATAL                                                                                 </t>
  </si>
  <si>
    <t xml:space="preserve">NUTRICAO ESPORTIVA                                                                                  </t>
  </si>
  <si>
    <t xml:space="preserve">PSICOMOTRICIDADE NUMA ABORDAGEM CLINICA EDUCACIONAL                                                 </t>
  </si>
  <si>
    <t xml:space="preserve">FARMACEUTICO BIOQUIMICO INDUSTRIAL                                                                  </t>
  </si>
  <si>
    <t xml:space="preserve">FARMACEUTICO BIOQUIMICO ANALISTA QUIMICO                                                            </t>
  </si>
  <si>
    <t xml:space="preserve">BIOPSICOSSOCIOLOGIA DA SEXUALIDADE - METODOLOGIA EM EDUCACAO SEXUAL                                 </t>
  </si>
  <si>
    <t xml:space="preserve">FARMACIA HOSPITALAR E SERVICOS DE SAUDE                                                             </t>
  </si>
  <si>
    <t xml:space="preserve">INFECTOLOGIA E MEDICINA TROPICAL                                                                    </t>
  </si>
  <si>
    <t xml:space="preserve">ENFERMAGEM EM URGENCIA, EMERGENCIA E TRAUMA                                                         </t>
  </si>
  <si>
    <t xml:space="preserve">ESPECIALIZACAO PARA GESTAO DESCENTRALIZADA DE PROGRAMAS COM ENFASE EM DST E AIDS                    </t>
  </si>
  <si>
    <t xml:space="preserve">ARTETERAPIA                                                                                         </t>
  </si>
  <si>
    <t xml:space="preserve">URGENCIA E ATENDIMENTO PRE-HOSPITALAR MOVEL                                                         </t>
  </si>
  <si>
    <t xml:space="preserve">ECOLOGIA, CONSERVACAO E MANEJO DA VIDA SILVESTRE                                                    </t>
  </si>
  <si>
    <t xml:space="preserve">CIENCIA DA SAUDE DA COMUNIDADE E GERENCIAMENTO DA SAUDE EM PAISES EM DESENVOLVIMENTO                </t>
  </si>
  <si>
    <t xml:space="preserve">BOVINOCULTURA DE CORTE                                                                              </t>
  </si>
  <si>
    <t xml:space="preserve">FARMACIA HOSPITALAR PARA O CONTROLE DE INFECCAO HOSPITALAR                                          </t>
  </si>
  <si>
    <t xml:space="preserve">SEXUALIDADE HUMANA                                                                                  </t>
  </si>
  <si>
    <t xml:space="preserve">FISIOPATOLOGIA                                                                                      </t>
  </si>
  <si>
    <t xml:space="preserve">FISIOLOGIA E FISIOPATOLOGIA                                                                         </t>
  </si>
  <si>
    <t xml:space="preserve">TOXOLOGIA                                                                                           </t>
  </si>
  <si>
    <t xml:space="preserve">INOVACAO BIOFARMACEUTICA                                                                            </t>
  </si>
  <si>
    <t xml:space="preserve">CIENCIAS MICROBIOLOGIA E SAUDE PUBLICA                                                              </t>
  </si>
  <si>
    <t xml:space="preserve">HEPATITES VIRAIS                                                                                    </t>
  </si>
  <si>
    <t xml:space="preserve">BIOTECNOLOGIA APLICADA AO DIAGNOSTICO LABORATORIAL                                                  </t>
  </si>
  <si>
    <t xml:space="preserve">MICROBIOLOGIA SAUDE PUBLICA                                                                         </t>
  </si>
  <si>
    <t xml:space="preserve">MICROBIOLOGIA NO INSTITUTO DE CIENCIAS BIOLOGICAS                                                   </t>
  </si>
  <si>
    <t xml:space="preserve">CIENCIAS ANIMAL MICROBIOLOGIA                                                                       </t>
  </si>
  <si>
    <t xml:space="preserve">DENGUE E FEBRE AMARELA                                                                              </t>
  </si>
  <si>
    <t xml:space="preserve">BIOCIENCIAS FORENSES                                                                                </t>
  </si>
  <si>
    <t xml:space="preserve">GESTAO EM ASSISTENCIA FARMACEUTICA                                                                  </t>
  </si>
  <si>
    <t xml:space="preserve">BIOLOGIA MOLECULAR                                                                                  </t>
  </si>
  <si>
    <t xml:space="preserve">POS-DOUTORADO                 </t>
  </si>
  <si>
    <t xml:space="preserve">ACREDITACAO NO SERVICO DE SAUDE                                                                     </t>
  </si>
  <si>
    <t xml:space="preserve">TOXICOLOGIA                                                                                         </t>
  </si>
  <si>
    <t xml:space="preserve">ACREDITANDO NO SERVICO DA SAUDE                                                                     </t>
  </si>
  <si>
    <t xml:space="preserve">FISIOTERAPIA APLICADA A ORTOPEDIA E TRAUMATOLOGIA                                                   </t>
  </si>
  <si>
    <t xml:space="preserve">ATUALIZACAO EM ORTODONTIA                                                                           </t>
  </si>
  <si>
    <t xml:space="preserve">OSTEOPATIA ESTRUTURAL                                                                               </t>
  </si>
  <si>
    <t xml:space="preserve">MEIO AMBIENTE                                                                                       </t>
  </si>
  <si>
    <t xml:space="preserve">MANIPULACAO ALOPATICA                                                                               </t>
  </si>
  <si>
    <t xml:space="preserve">SAUDE E AMBIENTE                                                                                    </t>
  </si>
  <si>
    <t xml:space="preserve">GEOLOGIA E MEIO AMBIENTE                                                                            </t>
  </si>
  <si>
    <t xml:space="preserve">TECNOLOGIA E QUALIDADE DE ALIMENTOS VEGETAIS                                                        </t>
  </si>
  <si>
    <t xml:space="preserve">ENFERMAGEM - ASSISTENCIA INTEGRAL EM CARDIOLOGIA                                                    </t>
  </si>
  <si>
    <t xml:space="preserve">FISIOLOGIA E FARMACOLOGIA                                                                           </t>
  </si>
  <si>
    <t xml:space="preserve">SAUDE DA CRIANCA E DO ADOLESCENTE                                                                   </t>
  </si>
  <si>
    <t xml:space="preserve">ENFERMAGEM HOSPITALAR                                                                               </t>
  </si>
  <si>
    <t xml:space="preserve">ALERGOLOGIA E IMUNOLOGIA CLINICA                                                                    </t>
  </si>
  <si>
    <t xml:space="preserve">FISIOTERAPIA APLICADA A NEUROLOGIA                                                                  </t>
  </si>
  <si>
    <t xml:space="preserve">CIRURGIA VASCULAR PERIFERICA                                                                        </t>
  </si>
  <si>
    <t xml:space="preserve">PNEUMOLOGIA PEDIATRICA                                                                              </t>
  </si>
  <si>
    <t xml:space="preserve">DOENCAS PULMONARES                                                                                  </t>
  </si>
  <si>
    <t xml:space="preserve">PRODUCAO DE RUMINANTES                                                                              </t>
  </si>
  <si>
    <t xml:space="preserve">POS COLHEITA DE FRUTOS E HORTALICAS: MANUTENCAO E QUALIDADE                                         </t>
  </si>
  <si>
    <t xml:space="preserve">PATOLOGIA GERAL                                                                                     </t>
  </si>
  <si>
    <t xml:space="preserve">ULTRA-SONOGRAFIA                                                                                    </t>
  </si>
  <si>
    <t xml:space="preserve">CANCEROLOGIA CIRURGICA                                                                              </t>
  </si>
  <si>
    <t xml:space="preserve">ALERGIA E IMUNOLOGIA                                                                                </t>
  </si>
  <si>
    <t xml:space="preserve">ANGIOLOGIA                                                                                          </t>
  </si>
  <si>
    <t xml:space="preserve">MEDICINA AEROESPACIAL                                                                               </t>
  </si>
  <si>
    <t xml:space="preserve">ESPECIALIZACAO EM EDUCACAO FISICA                                                                   </t>
  </si>
  <si>
    <t xml:space="preserve">CIENCIA DA PREPARACAO FISICA                                                                        </t>
  </si>
  <si>
    <t xml:space="preserve">CRONOBIOLOGIA                                                                                       </t>
  </si>
  <si>
    <t xml:space="preserve">GESTAO AMBIENTAL E BIODIVERSIDADE                                                                   </t>
  </si>
  <si>
    <t xml:space="preserve">ORTOPEDIA PEDIATRICA                                                                                </t>
  </si>
  <si>
    <t xml:space="preserve">ENFERMAGEM EPIDEMIOLOGICA                                                                           </t>
  </si>
  <si>
    <t xml:space="preserve">ARTETERAPIA EM EDUCACAO                                                                             </t>
  </si>
  <si>
    <t xml:space="preserve">DOCENCIA SUPERIOR NA AREA DA SAUDE                                                                  </t>
  </si>
  <si>
    <t xml:space="preserve">CIENCIAS MORFOLOGICAS                                                                               </t>
  </si>
  <si>
    <t xml:space="preserve">FISICA, QUIMICA E NEUROCIENCIAS                                                                     </t>
  </si>
  <si>
    <t xml:space="preserve">MEDICINA DESPORTIVA E BIOCIENCIAS DOS DESPORTOS                                                     </t>
  </si>
  <si>
    <t xml:space="preserve">FISIOLOGIA E AVALIACAO MORFO-FUNCIONAL                                                              </t>
  </si>
  <si>
    <t xml:space="preserve">SOCIOPSICOMOTRICIDADE RAMAIN-THIERS                                                                 </t>
  </si>
  <si>
    <t xml:space="preserve">RESIDENCIA MEDICO-VETERINARIA                                                                       </t>
  </si>
  <si>
    <t xml:space="preserve">PRODUCAO DE SUINOS                                                                                  </t>
  </si>
  <si>
    <t xml:space="preserve">SERPENTES, ARANHAS E ESCORPIOES                                                                     </t>
  </si>
  <si>
    <t xml:space="preserve">DEFENSIVOS AGRICOLAS: SUA UTILIZACAO, TOXICOLOGIA E LEGISLACAO ESPECIFICA                           </t>
  </si>
  <si>
    <t xml:space="preserve">CLINICA MEDICA DE PEQUENOS ANIMAIS                                                                  </t>
  </si>
  <si>
    <t xml:space="preserve">TREINAMENTO PERSONALIZADO E PRESCRICAO DE ATIVIDADES FISICAS PARA GRUPOS ESPECIAIS                  </t>
  </si>
  <si>
    <t xml:space="preserve">ECOLOGIA APLICADA                                                                                   </t>
  </si>
  <si>
    <t xml:space="preserve">EXERCICIO FISICO APLICADO A REABILITACAO CARDIACA E A GRUPOS ESPECIAIS                              </t>
  </si>
  <si>
    <t xml:space="preserve">CIENCIAS DA PERFORMANCE HUMANA EM ACADEMIA                                                          </t>
  </si>
  <si>
    <t xml:space="preserve">FARMACIA BIOQUIMICA EM SAUDE PUBLICA                                                                </t>
  </si>
  <si>
    <t xml:space="preserve">BIOQUIMICA-IMUNOLOGIA                                                                               </t>
  </si>
  <si>
    <t xml:space="preserve">MUSCULACAO, ATIVIDADES AQUATICAS E PERSONAL TRAINING                                                </t>
  </si>
  <si>
    <t xml:space="preserve">CITOGENETICA, BIOLOGIA MOLECULAR E IMUNOLOGIA APLICADAS A HEMATOLOGIA                               </t>
  </si>
  <si>
    <t xml:space="preserve">DOENCAS INFECTUOSAS E TROPICAIS                                                                     </t>
  </si>
  <si>
    <t xml:space="preserve">CIENCIAS APLICADAS A CIRURGIA E A OFTALMOLOGIA                                                      </t>
  </si>
  <si>
    <t xml:space="preserve">TECNOLOGIA DE CARNES E DERIVADOS                                                                    </t>
  </si>
  <si>
    <t xml:space="preserve">TECNOLOGIA DE LEITE E DERIVADOS                                                                     </t>
  </si>
  <si>
    <t xml:space="preserve">IRRADIACAO DE ALIMENTOS                                                                             </t>
  </si>
  <si>
    <t xml:space="preserve">ANALISES COMPARATIVAS DE FATORES ECOLOGICOS DO ECOSSISTEMA AQUATICO                                 </t>
  </si>
  <si>
    <t xml:space="preserve">CLINICA MEDICA E CIRURGICA DE ANIMAIS SELVAGENS E EXOTICOS                                          </t>
  </si>
  <si>
    <t xml:space="preserve">FITOPATOLOGIA                                                                                       </t>
  </si>
  <si>
    <t xml:space="preserve">CIENCIAS - BIOQUIMICA                                                                               </t>
  </si>
  <si>
    <t xml:space="preserve">PLANEJAMENTO DE SISTEMAS INTEGRADOS DE SAUDE                                                        </t>
  </si>
  <si>
    <t xml:space="preserve">NEUROLOGIA PEDIATRICA                                                                               </t>
  </si>
  <si>
    <t xml:space="preserve">ECOGRAFIA EM GINECOLOGIA E OBTETRICIA                                                               </t>
  </si>
  <si>
    <t xml:space="preserve">GASTROENTEROLOGIA PEDIATRICA                                                                        </t>
  </si>
  <si>
    <t xml:space="preserve">CIENCIAS - AREA ONCOLOGIA                                                                           </t>
  </si>
  <si>
    <t xml:space="preserve">ACUPUNTURA TRADICIONAL CHINESA                                                                      </t>
  </si>
  <si>
    <t xml:space="preserve">MEDICINA LEGAL                                                                                      </t>
  </si>
  <si>
    <t xml:space="preserve">BIOQUIMICA EM ANALISES CLINICAS E TOXICOLOGICAS                                                     </t>
  </si>
  <si>
    <t xml:space="preserve">OTOLOGIA CLINICA E CIRURGICA                                                                        </t>
  </si>
  <si>
    <t xml:space="preserve">NUTRICAO: ADMINISTRACAO E QUALIDADE EM UAN                                                          </t>
  </si>
  <si>
    <t xml:space="preserve">ESTETICA                                                                                            </t>
  </si>
  <si>
    <t xml:space="preserve">FUNDAMENTOS FISIOLOGICOS E PEDAGOGICOS DO DESPORTO                                                  </t>
  </si>
  <si>
    <t xml:space="preserve">DETERMINACAO DE FATORES ECOLOGICOS NA AGUA DOCE                                                     </t>
  </si>
  <si>
    <t xml:space="preserve">GENETICA E MELHORAMENTO DE PLANTAS                                                                  </t>
  </si>
  <si>
    <t xml:space="preserve">TECNOLOGO EM LATICINIOS                                                                             </t>
  </si>
  <si>
    <t xml:space="preserve">PRODUCAO E REPRODUCAO EM BOVINOS                                                                    </t>
  </si>
  <si>
    <t xml:space="preserve">TREINAMENTO PERSONALIZADO E ATIVIDADES AQUATICAS                                                    </t>
  </si>
  <si>
    <t xml:space="preserve">GINECOLOGIA E OBSTETRICIA AMBULATORIAL                                                              </t>
  </si>
  <si>
    <t xml:space="preserve">ASPECTOS BIO DINAMICOS DO MOVIMENTO HUMANO                                                          </t>
  </si>
  <si>
    <t xml:space="preserve">TERAPIA INTENSIVA PEDIATRICA                                                                        </t>
  </si>
  <si>
    <t xml:space="preserve">COLOPROCTOLOGIA                                                                                     </t>
  </si>
  <si>
    <t xml:space="preserve">MEDICINA E CIRURGIA ESTETICA                                                                        </t>
  </si>
  <si>
    <t xml:space="preserve">CIENCIAS MEDICAS                                                                                    </t>
  </si>
  <si>
    <t xml:space="preserve">HEPATOLOGIA                                                                                         </t>
  </si>
  <si>
    <t xml:space="preserve">GERIATRIA E GERONTOLOGIA INTERDISCIPLINAR                                                           </t>
  </si>
  <si>
    <t xml:space="preserve">CIENCIAS VETERINARIAS                                                                               </t>
  </si>
  <si>
    <t xml:space="preserve">ENFERMAGEM EM METODOS DIALITICOS E TRANSPLANTES                                                     </t>
  </si>
  <si>
    <t xml:space="preserve">SEXOLOGIA CLINICA                                                                                   </t>
  </si>
  <si>
    <t xml:space="preserve">EDUCACAO FISICA E DEFICIENCIA                                                                       </t>
  </si>
  <si>
    <t xml:space="preserve">FORMACAO ESPECIFICA EM TECNICAS DE HIGIENE DENTAL                                                   </t>
  </si>
  <si>
    <t xml:space="preserve">IMUNOLOGIA                                                                                          </t>
  </si>
  <si>
    <t xml:space="preserve">EPIDEMIOLOGIA E PREVENCAO                                                                           </t>
  </si>
  <si>
    <t xml:space="preserve">AVALIACAO DA FLORA E FAUNA EM ESTUDOS AMBIENTAIS                                                    </t>
  </si>
  <si>
    <t xml:space="preserve">ANALISE E MODELAGEM DE SISTEMAS AMBIENTAIS                                                          </t>
  </si>
  <si>
    <t xml:space="preserve">PROCESSOS EDUCATIVOS EM SAUDE                                                                       </t>
  </si>
  <si>
    <t xml:space="preserve">SAUDE DO ADULTO                                                                                     </t>
  </si>
  <si>
    <t xml:space="preserve">BIOQUIMICA, FISIOLOGIA, TREINAMENTO E NUTRICAO DESPORTIVA                                           </t>
  </si>
  <si>
    <t xml:space="preserve">SAUDE BRASILEIRA                                                                                    </t>
  </si>
  <si>
    <t xml:space="preserve">CIENCIAS EM MATERIAIS                                                                               </t>
  </si>
  <si>
    <t xml:space="preserve">HIGIENE E INSPECAO EM PRODUTOS DE ORIGEM ANIMAL                                                     </t>
  </si>
  <si>
    <t xml:space="preserve">TOXICOLOGIA OCUPACIONAL                                                                             </t>
  </si>
  <si>
    <t xml:space="preserve">ANTROPOSOFIA                                                                                        </t>
  </si>
  <si>
    <t xml:space="preserve">MORFOFISIOLOGIA ANIMAL                                                                              </t>
  </si>
  <si>
    <t xml:space="preserve">ANALISE BIOENERGETICA                                                                               </t>
  </si>
  <si>
    <t xml:space="preserve">RADIOLOGIA ODONTOLOGICA                                                                             </t>
  </si>
  <si>
    <t xml:space="preserve">MEIO AMBIENTE E SANEAMENTO AMBIENTAL APLICADO                                                       </t>
  </si>
  <si>
    <t xml:space="preserve">CONTROLE E GARANTIA DE QUALIDADE DE MEDICAMENTOS E LABORATORIOS DE ENSAIO                           </t>
  </si>
  <si>
    <t xml:space="preserve">CIENCIAS BIOLOGICAS - MICROBIOLOGIA                                                                 </t>
  </si>
  <si>
    <t xml:space="preserve">FILOSOFIA CLINICA                                                                                   </t>
  </si>
  <si>
    <t xml:space="preserve">CIENCIAS AMBIENTAIS COM ENFASE EM GESTAO AMBIENTAL                                                  </t>
  </si>
  <si>
    <t xml:space="preserve">FISIOTERAPIA CARDIO RESPIRATORIA E PNEUMOFUNCIONAL                                                  </t>
  </si>
  <si>
    <t xml:space="preserve">CIENCIAS EXATAS E DA TERRA                                                 </t>
  </si>
  <si>
    <t xml:space="preserve">ASTRONOMIA                                                                                          </t>
  </si>
  <si>
    <t xml:space="preserve">CIENCIA DA INFORMACAO                                                                               </t>
  </si>
  <si>
    <t xml:space="preserve">CIENCIAS ATUARIAIS                                                                                  </t>
  </si>
  <si>
    <t xml:space="preserve">ESTATISTICA                                                                                         </t>
  </si>
  <si>
    <t xml:space="preserve">FISICA                                                                                              </t>
  </si>
  <si>
    <t xml:space="preserve">GEOCIENCIA E EDUCACAO AMBIENTAL                                                                     </t>
  </si>
  <si>
    <t xml:space="preserve">GEOLOGIA                                                                                            </t>
  </si>
  <si>
    <t xml:space="preserve">MATEMATICA                                                                                          </t>
  </si>
  <si>
    <t xml:space="preserve">METEOROLOGIA                                                                                        </t>
  </si>
  <si>
    <t xml:space="preserve">QUIMICA                                                                                             </t>
  </si>
  <si>
    <t xml:space="preserve">QUIMICA INDUSTRIAL                                                                                  </t>
  </si>
  <si>
    <t xml:space="preserve">QUIMICA TECNOLOGICA                                                                                 </t>
  </si>
  <si>
    <t xml:space="preserve">TECNOLOGIA NUCLEAR                                                                                  </t>
  </si>
  <si>
    <t xml:space="preserve">FORMAS ALTERNATIVAS DE ENERGIA - FAE                                                                </t>
  </si>
  <si>
    <t xml:space="preserve">EDUCACAO AMBIENTAL                                                                                  </t>
  </si>
  <si>
    <t xml:space="preserve">GERENCIAMENTO AMBIENTAL DE BACIAS HIDROGRAFICAS                                                     </t>
  </si>
  <si>
    <t xml:space="preserve">TECNOLOGIA EM LOGISTICA AMBIENTAL                                                                   </t>
  </si>
  <si>
    <t xml:space="preserve">LICENCIAMENTO E PROJETOS AMBIENTAIS                                                                 </t>
  </si>
  <si>
    <t xml:space="preserve">TECNOLOGIA AMBIENTAL                                                                                </t>
  </si>
  <si>
    <t xml:space="preserve">EDUCACAO E CONSERVACAO AMBIENTAL                                                                    </t>
  </si>
  <si>
    <t xml:space="preserve">GEOTECNIA / MESTRADO                                                                                </t>
  </si>
  <si>
    <t xml:space="preserve">GEOPROCESSAMENTO E ANALISE AMBIENTAL                                                                </t>
  </si>
  <si>
    <t xml:space="preserve">CERTIFICACAO PARA O AGRONEGOCIO                                                                     </t>
  </si>
  <si>
    <t xml:space="preserve">BIOESTATISTICA                                                                                      </t>
  </si>
  <si>
    <t xml:space="preserve">GESTAO EM INOVACAO TECNOLOGICA                                                                      </t>
  </si>
  <si>
    <t xml:space="preserve">SEGURANCA DA INFORMACAO                                                                             </t>
  </si>
  <si>
    <t xml:space="preserve">ESPECIALIZACAO EM GESTAO E TECNOLOGIA DA QUALIDADE                                                  </t>
  </si>
  <si>
    <t xml:space="preserve">TECNOLOGIA EM REDES DE COMPUTADORES                                                                 </t>
  </si>
  <si>
    <t xml:space="preserve">MESTRADO EM FORMACAO DE CORREDORES ECOLOGICOS                                                       </t>
  </si>
  <si>
    <t xml:space="preserve">GESTAO E MANEJO AMBIENTAL EM SISTEMAS FLORESTAIS                                                    </t>
  </si>
  <si>
    <t xml:space="preserve">ESPECIALIZACAO EM ADMINISTRACAO E MANEJO DE UNIDADES DE CONSERVACAO                                 </t>
  </si>
  <si>
    <t xml:space="preserve">ESPECIALIZACAO EM SOLOS E AMBIENTE                                                                  </t>
  </si>
  <si>
    <t xml:space="preserve">ESPECIALIZACAO EM MANEJO FLORESTAL                                                                  </t>
  </si>
  <si>
    <t xml:space="preserve">ESPECIALIZACAO EM SIVILCULTURA                                                                      </t>
  </si>
  <si>
    <t xml:space="preserve">DOUTORADO EM SIVILCULTURA                                                                           </t>
  </si>
  <si>
    <t xml:space="preserve">ESPECIALIZACAO EM GEOPROCESSAMENTO                                                                  </t>
  </si>
  <si>
    <t xml:space="preserve">ESPECIALIZACAO EM ECOTURISMO: PLANEJAMENTO E INTERPRETTACAO DE ATIVIDADES EM AREAS NATURAIS         </t>
  </si>
  <si>
    <t xml:space="preserve">ESPECIALIZACAO EM RECUPERACAO DE AREAS DEGRADADAS                                                   </t>
  </si>
  <si>
    <t xml:space="preserve">ESPECIALIZACAO EM EDUCACAO AMBIENTAL, AGENDA 21 E SUSTENTABILIDADE                                  </t>
  </si>
  <si>
    <t xml:space="preserve">ESPECIALIZACAO EM AGRICULTURA ORGANICA                                                              </t>
  </si>
  <si>
    <t xml:space="preserve">ESPECIALIZACAO EM AVALIACAO DE IMPACTO AMBIENTAL                                                    </t>
  </si>
  <si>
    <t xml:space="preserve">ESPECIALIZACAO EM AVALIZACOES E PERICIAS                                                            </t>
  </si>
  <si>
    <t xml:space="preserve">ESPECIALIZACAO EM GEOPROCESSAMENTO E ANALISE AMBIENTAL                                              </t>
  </si>
  <si>
    <t xml:space="preserve">ESPECIALIZACAO EM GESTAO AMBIENTAL DE RESIDUOS SOLIDOS                                              </t>
  </si>
  <si>
    <t xml:space="preserve">ESPECIALIZACAO EM GESTAO E MANEJO AMBIENTAL EM SISTEMAS FLORESTAIS                                  </t>
  </si>
  <si>
    <t xml:space="preserve">ESPECIALIZACAO EM MANEJO AMBIENTAL EM SISTEMAS AGRICOLAS                                            </t>
  </si>
  <si>
    <t xml:space="preserve">ESPECIALIZACAO EM RECURSOS HIDRICOS E AMBIENTAIS                                                    </t>
  </si>
  <si>
    <t xml:space="preserve">MESTRADO PROFISSIONALIZANTE EM MEIO AMBIENTE E SUSTENTABILIDADE                                     </t>
  </si>
  <si>
    <t xml:space="preserve">ESPECIALIZACAO EM INTELIGENCIA E CONTRA-INTELIGENCIA                                                </t>
  </si>
  <si>
    <t xml:space="preserve">TECNOLOGIA EM GESTAO EM MEIO AMBIENTE E SANEAMENTO                                                  </t>
  </si>
  <si>
    <t xml:space="preserve">GESTAO AMBIENTAL                                                                                    </t>
  </si>
  <si>
    <t xml:space="preserve">TECNOLOGIA EM GESTAO AMBIENTAL                                                                      </t>
  </si>
  <si>
    <t xml:space="preserve">TECNOLOGIA EM PLANEJAMENTO E GESTAO AMBIENTAL                                                       </t>
  </si>
  <si>
    <t xml:space="preserve">ESPECIALIZACAO EM DIREITO, IMPACTO E RECUPERACAO AMBIENTAL                                          </t>
  </si>
  <si>
    <t xml:space="preserve">ESPECIALIZACAO EM DIREITO AMBIENTAL, REGULACAO E GESTAO DO TERRITORIO                               </t>
  </si>
  <si>
    <t xml:space="preserve">ESPECIALIZACAO EM GEOPROCESSAMENTO E ANALISE ESPACIAL                                               </t>
  </si>
  <si>
    <t xml:space="preserve">ESPECIALIZACAO EM GESTAO E MANEJO AMBIENTAL NA AGROINDUSTRIA                                        </t>
  </si>
  <si>
    <t xml:space="preserve">URBANISMO                                                                                           </t>
  </si>
  <si>
    <t xml:space="preserve">ESPECIALIZACAO EM QUIMICA                                                                           </t>
  </si>
  <si>
    <t xml:space="preserve">LICENCIATURA EM MATEMATICA                                                                          </t>
  </si>
  <si>
    <t xml:space="preserve">ESPECIALIZACAO EM TRAT DA INFORMACAO CIENTIFICA E TECNOLOGICA PARA EST DE BANCO DE DADOS            </t>
  </si>
  <si>
    <t xml:space="preserve">GEOGRAFIA E ANALISE AMBIENTAL                                                                       </t>
  </si>
  <si>
    <t xml:space="preserve">TECNOLOGIA EM GESTAO AGROPECUARIA                                                                   </t>
  </si>
  <si>
    <t xml:space="preserve">TECNOLOGIA EM GESTAO AMBIENTAL URBANA                                                               </t>
  </si>
  <si>
    <t xml:space="preserve">TECNOLOGIA EM GESTAO RURAL                                                                          </t>
  </si>
  <si>
    <t xml:space="preserve">ANALISE E PLANEJAMENTO AMBIENTAL                                                                    </t>
  </si>
  <si>
    <t xml:space="preserve">CIENCIAS DO MEIO AMBIENTE                                                                           </t>
  </si>
  <si>
    <t xml:space="preserve">CONSERVACAO DA NATUREZA E GESTAO AMBIENTAL                                                          </t>
  </si>
  <si>
    <t xml:space="preserve">ECOLOGIA E MEIO AMBIENTE                                                                            </t>
  </si>
  <si>
    <t xml:space="preserve">EDUCACAO E GESTAO AMBIENTAL                                                                         </t>
  </si>
  <si>
    <t xml:space="preserve">HEVEICULTURA                                                                                        </t>
  </si>
  <si>
    <t xml:space="preserve">MEIO AMBIENTE, EDUCACAO E SUSTENTABILIDADE                                                          </t>
  </si>
  <si>
    <t xml:space="preserve">PERICIA AMBIENTAL                                                                                   </t>
  </si>
  <si>
    <t xml:space="preserve">SANEAMENTO E MEIO AMBIENTE                                                                          </t>
  </si>
  <si>
    <t xml:space="preserve">SENSORIAMENTO REMOTO APLICADO A ANALISE AMBIENTAL                                                   </t>
  </si>
  <si>
    <t xml:space="preserve">TECNOLOGIA DE SEMENTES                                                                              </t>
  </si>
  <si>
    <t xml:space="preserve">CIENCIAS AMBIENTAIS                                                                                 </t>
  </si>
  <si>
    <t xml:space="preserve">CIENCIA FLORESTAL                                                                                   </t>
  </si>
  <si>
    <t xml:space="preserve">FITOTECNIA                                                                                          </t>
  </si>
  <si>
    <t xml:space="preserve">PRODUCAO FLORESTAL                                                                                  </t>
  </si>
  <si>
    <t xml:space="preserve">ANALISE AMBIENTAL PARA GERENCIAMENTO DE RECURSOS NATURAIS                                           </t>
  </si>
  <si>
    <t xml:space="preserve">CIENCIAS DO AMBIENTE                                                                                </t>
  </si>
  <si>
    <t xml:space="preserve">CIENCIAS EXATAS - MATEMATICA SUPERIOR                                                               </t>
  </si>
  <si>
    <t xml:space="preserve">ECOTURISMO - EDUCACAO AMBIENTAL                                                                     </t>
  </si>
  <si>
    <t xml:space="preserve">ECOTURISMO - INTERPRETACAO E EDUCACAO AMBIENTAL                                                     </t>
  </si>
  <si>
    <t xml:space="preserve">ECOTURISMO - INTERPRETACAO E PLANEJAMENTO DAS ATIVIDADES NATURAIS                                   </t>
  </si>
  <si>
    <t xml:space="preserve">ELETRICIDADE NA AGROPECUARIA - QUALIDADE E CONSERVACAO                                              </t>
  </si>
  <si>
    <t xml:space="preserve">ESTUDOS AMBIENTAIS                                                                                  </t>
  </si>
  <si>
    <t xml:space="preserve">FISIOLOGIA BIOMECANICA DO MOVIMENTO                                                                 </t>
  </si>
  <si>
    <t xml:space="preserve">FONTES ALTERNATIVAS DE ENERGIA                                                                      </t>
  </si>
  <si>
    <t xml:space="preserve">GESTAO DE PROGRAMAS DE REFORMA AGRARIA E ASSENTAMENTO                                               </t>
  </si>
  <si>
    <t xml:space="preserve">GESTAO E MANEJO AMBIENTAL NA AGROINDUSTRIA                                                          </t>
  </si>
  <si>
    <t xml:space="preserve">INFORMATICA EDUCATIVA                                                                               </t>
  </si>
  <si>
    <t xml:space="preserve">INFORMATICA EM EDUCACAO                                                                             </t>
  </si>
  <si>
    <t xml:space="preserve">MATEMATICA - ENFASE EM MATEMATICA EDUCACIONAL                                                       </t>
  </si>
  <si>
    <t xml:space="preserve">MATEMATICA E ESTATISTICA                                                                            </t>
  </si>
  <si>
    <t xml:space="preserve">MATEMATICA SUPERIOR                                                                                 </t>
  </si>
  <si>
    <t xml:space="preserve">PLANEJAMENTO E GESTAO AMBIENTAL                                                                     </t>
  </si>
  <si>
    <t xml:space="preserve">QUIMICA - OPERACAO, GERENCIA DE PRODUCAO DE USINAS ALCOOLEIRAS                                      </t>
  </si>
  <si>
    <t xml:space="preserve">SOLOS E MEIO AMBIENTE                                                                               </t>
  </si>
  <si>
    <t xml:space="preserve">USO RACIONAL DOS RECURSOS NATURAIS E SEUS REFLEXOS NO MEIO AMBIENTE                                 </t>
  </si>
  <si>
    <t xml:space="preserve">PROCESSAMENTO E CONTROLE DE QUALIDADE EM CARNE, LEITE, OVOS E PESCADO                               </t>
  </si>
  <si>
    <t xml:space="preserve">GESTAO DE SOFTWARE LIVRE                                                                            </t>
  </si>
  <si>
    <t xml:space="preserve">MEIO AMBIENTE E SUSTENTABILIDADE                                                                    </t>
  </si>
  <si>
    <t xml:space="preserve">PREPARACAO E AVALIACAO DE PROJETOS DE DESENVOLVIMENTO AGRICOLA                                      </t>
  </si>
  <si>
    <t xml:space="preserve">SANEAMENTO, MEIO AMBIENTE E RECURSOS HIDRICOS                                                       </t>
  </si>
  <si>
    <t xml:space="preserve">HIDROLOGIA APLICADA                                                                                 </t>
  </si>
  <si>
    <t xml:space="preserve">PRODUCAO VEGETAL                                                                                    </t>
  </si>
  <si>
    <t xml:space="preserve">FONTES ALTERNATIVAS E NAO CONVENCIONAIS DE ENERGIA                                                  </t>
  </si>
  <si>
    <t xml:space="preserve">PERCEPCAO AMBIENTAL E ESPACO URBANO                                                                 </t>
  </si>
  <si>
    <t xml:space="preserve">GEOLOGIA AMBIENTAL E CONSERVACAO DE RECURSOS NATURAIS                                               </t>
  </si>
  <si>
    <t xml:space="preserve">ADMINISTRACAO DE UNIDADES DE CONSERVACAO                                                            </t>
  </si>
  <si>
    <t xml:space="preserve">MEIO AMBIENTE E GESTAO DOS RECURSOS HIDRICOS                                                        </t>
  </si>
  <si>
    <t xml:space="preserve">CIENCIAS GEODESICAS                                                                                 </t>
  </si>
  <si>
    <t xml:space="preserve">TRATAMENTO DA INFORMACAO ESPACIAL                                                                   </t>
  </si>
  <si>
    <t xml:space="preserve">CADASTRO TECNICO MULTIFINALITARIA                                                                   </t>
  </si>
  <si>
    <t xml:space="preserve">FRUTICULTURA COMERCIAL                                                                              </t>
  </si>
  <si>
    <t xml:space="preserve">QUIMICA - ENSINO MEDIO                                                                              </t>
  </si>
  <si>
    <t xml:space="preserve">FISICA - ENSINO MEDIO                                                                               </t>
  </si>
  <si>
    <t xml:space="preserve">CIENCIAS E TECNICAS NUCLEARES                                                                       </t>
  </si>
  <si>
    <t xml:space="preserve">ELETRICIDADE                                                                                        </t>
  </si>
  <si>
    <t xml:space="preserve">GEOGRAFIA E MEIO AMBIENTE                                                                           </t>
  </si>
  <si>
    <t xml:space="preserve">FUNDAMENTOS DA MATEMATICA                                                                           </t>
  </si>
  <si>
    <t xml:space="preserve">ENSINO DA MATEMATICA                                                                                </t>
  </si>
  <si>
    <t xml:space="preserve">MATEMATICA APLICADA                                                                                 </t>
  </si>
  <si>
    <t xml:space="preserve">CIENCIA DO MOVIMENTO                                                                                </t>
  </si>
  <si>
    <t xml:space="preserve">GESTAO DE MEIO AMBIENTE                                                                             </t>
  </si>
  <si>
    <t xml:space="preserve">MATEMATICA APLICADA A INFORMATICA                                                                   </t>
  </si>
  <si>
    <t xml:space="preserve">QUIMICA BIOLOGICA                                                                                   </t>
  </si>
  <si>
    <t xml:space="preserve">ELETROTECNICA                                                                                       </t>
  </si>
  <si>
    <t xml:space="preserve">CIENCIAS AGRICOLAS                                                                                  </t>
  </si>
  <si>
    <t xml:space="preserve">RESISTENCIA DOS MATERIAIS                                                                           </t>
  </si>
  <si>
    <t xml:space="preserve">GERENCIAMENTO AMBIENTAL                                                                             </t>
  </si>
  <si>
    <t xml:space="preserve">CAFEICULTURA EMPRESARIAL: PRODUTIVIDADE E QUALIDADE                                                 </t>
  </si>
  <si>
    <t xml:space="preserve">AGROQUIMICA                                                                                         </t>
  </si>
  <si>
    <t xml:space="preserve">AVALIACAO DE IMPACTOS AMBIENTAIS E RECUPERACAO DE AREAS DEGRADADAS                                  </t>
  </si>
  <si>
    <t xml:space="preserve">COMUNICACAO E SEMIOTICA                                                                             </t>
  </si>
  <si>
    <t xml:space="preserve">DESENHO GEOMETRICO                                                                                  </t>
  </si>
  <si>
    <t xml:space="preserve">MEIO AMBIENTE - EDUCACAO E GESTAO                                                                   </t>
  </si>
  <si>
    <t xml:space="preserve">MEIO AMBIENTE: EDUCACAO, GESTAO, DIREITO                                                            </t>
  </si>
  <si>
    <t xml:space="preserve">QUIMICA AMBIENTAL                                                                                   </t>
  </si>
  <si>
    <t xml:space="preserve">ANALISE E MATEMATICA APLICADA                                                                       </t>
  </si>
  <si>
    <t xml:space="preserve">CIENCIAS EM ENGENHARIA DA ENERGIA                                                                   </t>
  </si>
  <si>
    <t xml:space="preserve">INFORMATICA APLICADA - A EDUCACAO MATEMATICA                                                        </t>
  </si>
  <si>
    <t xml:space="preserve">MATEMATICA AVANCADA                                                                                 </t>
  </si>
  <si>
    <t xml:space="preserve">ENSINO DA MATEMATICA 1O E 2O GRAUS                                                                  </t>
  </si>
  <si>
    <t xml:space="preserve">MEIO AMBIENTE POLUICAO E CONTROLE                                                                   </t>
  </si>
  <si>
    <t xml:space="preserve">METODOS ESTATISTICOS COMPUTACIONAIS                                                                 </t>
  </si>
  <si>
    <t xml:space="preserve">GESTAO AMBIENTAL EM MUNICIPIOS                                                                      </t>
  </si>
  <si>
    <t xml:space="preserve">GEOGRAFIA E PLANEJAMENTO AMBIENTAL                                                                  </t>
  </si>
  <si>
    <t xml:space="preserve">PRESERVACAO AMBIENTAL DA CIDADE                                                                     </t>
  </si>
  <si>
    <t xml:space="preserve">GESTAO DO MEIO AMBIENTE                                                                             </t>
  </si>
  <si>
    <t xml:space="preserve">REABILITACAO AMBIENTAL                                                                              </t>
  </si>
  <si>
    <t xml:space="preserve">QUIMICA INORGANICA                                                                                  </t>
  </si>
  <si>
    <t xml:space="preserve">QUIMICA ORGANICA                                                                                    </t>
  </si>
  <si>
    <t xml:space="preserve">METODOS QUANTITATIVOS                                                                               </t>
  </si>
  <si>
    <t xml:space="preserve">CIENCIAS DA NATUREZA E MATEMATICA                                                                   </t>
  </si>
  <si>
    <t xml:space="preserve">QUIMICA GERAL E INORGANICA                                                                          </t>
  </si>
  <si>
    <t xml:space="preserve">ANALISE AMBIENTAL E PATRIMONIO CULTURAL                                                             </t>
  </si>
  <si>
    <t xml:space="preserve">RECURSOS HIDRICOS                                                                                   </t>
  </si>
  <si>
    <t xml:space="preserve">GEOGRAFIA E GESTAO AMBIENTAL                                                                        </t>
  </si>
  <si>
    <t xml:space="preserve">QUIMICA APLICADA                                                                                    </t>
  </si>
  <si>
    <t xml:space="preserve">CIRCUITOS ELETRICOS                                                                                 </t>
  </si>
  <si>
    <t xml:space="preserve">AGRICULTURA                                                                                         </t>
  </si>
  <si>
    <t xml:space="preserve">INFRA-ESTRUTURA RURAL                                                                               </t>
  </si>
  <si>
    <t xml:space="preserve">EXTENSAO RURAL                                                                                      </t>
  </si>
  <si>
    <t xml:space="preserve">FISICA ATUAL: TEORICA E APLICADA                                                                    </t>
  </si>
  <si>
    <t xml:space="preserve">BIOLOGIA AMBIENTAL: GESTAO                                                                          </t>
  </si>
  <si>
    <t xml:space="preserve">ECOLOGIA E RECURSOS NATURAIS                                                                        </t>
  </si>
  <si>
    <t xml:space="preserve">CIENCIA E TECNOLOGIA DAS RADIACOES, MINERAIS E MATERIAIS                                            </t>
  </si>
  <si>
    <t xml:space="preserve">ESPECIALIZACAO EM RISCOS AMBIENTAIS                                                                 </t>
  </si>
  <si>
    <t xml:space="preserve">MESTRADO EM ORDENAMENTO TERRITORIAL P/ PLANEJAMENTO ESTRATEGICO P/ POLITICAS PUBLICAS               </t>
  </si>
  <si>
    <t xml:space="preserve">CIENCIAS AMBIENTAIS E FLORESTAIS                                                                    </t>
  </si>
  <si>
    <t xml:space="preserve">ENTOMOLOGIA                                                                                         </t>
  </si>
  <si>
    <t xml:space="preserve">MEIO AMBIENTE - GESTAO AMBIENTAL                                                                    </t>
  </si>
  <si>
    <t xml:space="preserve">POLITICA E GESTAO AMBIENTAL                                                                         </t>
  </si>
  <si>
    <t xml:space="preserve">ANALISE E AVALIACAO AMBIENTAL                                                                       </t>
  </si>
  <si>
    <t xml:space="preserve">ENGENHARIA DE PESCA                                                                                 </t>
  </si>
  <si>
    <t xml:space="preserve">MANEJO E FLORESTAS NATIVAS                                                                          </t>
  </si>
  <si>
    <t xml:space="preserve">ANALISES QUIMICAS                                                                                   </t>
  </si>
  <si>
    <t xml:space="preserve">INFORMATICA APLICADA                                                                                </t>
  </si>
  <si>
    <t xml:space="preserve">MATEMATICA - PROFESSORES DO 3║ GRAU                                                                 </t>
  </si>
  <si>
    <t xml:space="preserve">ALGEBRA E CALCULO                                                                                   </t>
  </si>
  <si>
    <t xml:space="preserve">CONTROLE DE QUALIDADE                                                                               </t>
  </si>
  <si>
    <t xml:space="preserve">ESTATISTICA APLICADA                                                                                </t>
  </si>
  <si>
    <t xml:space="preserve">SOMAS E SERIES                                                                                      </t>
  </si>
  <si>
    <t xml:space="preserve">TEORIA MATEMATICA DA INFORMACAO                                                                     </t>
  </si>
  <si>
    <t xml:space="preserve">ALGEBRA DE BOOBLE E APLICACOES                                                                      </t>
  </si>
  <si>
    <t xml:space="preserve">MATEMATICA E ENSINO                                                                                 </t>
  </si>
  <si>
    <t xml:space="preserve">SEMIOTICA APLICADA A ARQUITETURA E URBANISMO                                                        </t>
  </si>
  <si>
    <t xml:space="preserve">MATEMATICA - NOVAS ABORDAGENS                                                                       </t>
  </si>
  <si>
    <t xml:space="preserve">FISICO-QUIMICA                                                                                      </t>
  </si>
  <si>
    <t xml:space="preserve">QUIMICA ANALITICA                                                                                   </t>
  </si>
  <si>
    <t xml:space="preserve">GEOCIENCIAS                                                                                         </t>
  </si>
  <si>
    <t xml:space="preserve">CONSERVACAO DA NATUREZA                                                                             </t>
  </si>
  <si>
    <t xml:space="preserve">SEMIOTICA E TEORIA DO DISCURSO                                                                      </t>
  </si>
  <si>
    <t xml:space="preserve">GEMOLOGIA                                                                                           </t>
  </si>
  <si>
    <t xml:space="preserve">REABILITACAO AMBIENTAL SUSTENTAVEL, ARQUITETONICA E URBANISTICA                                     </t>
  </si>
  <si>
    <t xml:space="preserve">SISTEMA DE ELETROELETRONICOS                                                                        </t>
  </si>
  <si>
    <t xml:space="preserve">AUDITORIA CONTABIL E FINANCEIRA                                                                     </t>
  </si>
  <si>
    <t xml:space="preserve">FINANCAS                                                                                            </t>
  </si>
  <si>
    <t xml:space="preserve">SEMIOTICA - LEITURA E PRODUCAO DE TEXTOS: DIDATICOS, LITERARIOS, FOTOGRAFICOS E FILMICOS            </t>
  </si>
  <si>
    <t xml:space="preserve">TRATAMENTO DA INFORMACAO ESPACIAL GEOPROCESSAMENTO                                                  </t>
  </si>
  <si>
    <t xml:space="preserve">METODOS ESTATISTICOS APLICADOS A METEOROLOGIA E CLIMATOLOGIA                                        </t>
  </si>
  <si>
    <t xml:space="preserve">USO DE SENSORES REMOTOS EM RECURSOS NATURAIS                                                        </t>
  </si>
  <si>
    <t xml:space="preserve">ANALISE ESPACIAL E DA TERRA                                                                         </t>
  </si>
  <si>
    <t xml:space="preserve">GESTAO E MANEJO AMBIENTAL EM SISTEMAS AGRICOLAS                                                     </t>
  </si>
  <si>
    <t xml:space="preserve">FERTILIDADE DO SOLO E NUTRICAO DE PLANTAS NO AGRONEGOCIO                                            </t>
  </si>
  <si>
    <t xml:space="preserve">MODELAGEM MATEMATICA E ESTATISTICA APLICADA                                                         </t>
  </si>
  <si>
    <t xml:space="preserve">JULGAMENTO DE RACA ZEBUINA                                                                          </t>
  </si>
  <si>
    <t xml:space="preserve">MANEJO DE PASTAGENS                                                                                 </t>
  </si>
  <si>
    <t xml:space="preserve">MATEMATICA APLICADA A FISICA                                                                        </t>
  </si>
  <si>
    <t xml:space="preserve">SEMIOTICA                                                                                           </t>
  </si>
  <si>
    <t xml:space="preserve">CIENCIA E TECNOLOGIA DE POLIMEROS                                                                   </t>
  </si>
  <si>
    <t xml:space="preserve">MATEMATICA: SABERES MATEMATICOS E PRATICAS DOCENTES                                                 </t>
  </si>
  <si>
    <t xml:space="preserve">ESTATISTICA EMPRESARIAL                                                                             </t>
  </si>
  <si>
    <t xml:space="preserve">CIENCIAS HUMANAS E SOCIAIS                                                 </t>
  </si>
  <si>
    <t xml:space="preserve">ARTES                                                                      </t>
  </si>
  <si>
    <t xml:space="preserve">ARTES CENICAS                                                                                       </t>
  </si>
  <si>
    <t xml:space="preserve">AUDIOVISUAL                                                                                         </t>
  </si>
  <si>
    <t xml:space="preserve">BAILARINO                                                                                           </t>
  </si>
  <si>
    <t xml:space="preserve">BELAS ARTES                                                                                         </t>
  </si>
  <si>
    <t xml:space="preserve">CANTO                                                                                               </t>
  </si>
  <si>
    <t xml:space="preserve">CENOGRAFIA                                                                                          </t>
  </si>
  <si>
    <t xml:space="preserve">CINEMA                                                                                              </t>
  </si>
  <si>
    <t xml:space="preserve">COMPOSICAO E REGENCIA                                                                               </t>
  </si>
  <si>
    <t xml:space="preserve">COREOGRAFIA                                                                                         </t>
  </si>
  <si>
    <t xml:space="preserve">DECORACAO                                                                                           </t>
  </si>
  <si>
    <t xml:space="preserve">DESENHO INDUSTRIAL                                                                                  </t>
  </si>
  <si>
    <t xml:space="preserve">EDUCACAO ARTISTICA                                                                                  </t>
  </si>
  <si>
    <t xml:space="preserve">INSTRUMENTACAO                                                                                      </t>
  </si>
  <si>
    <t xml:space="preserve">MAESTRO                                                                                             </t>
  </si>
  <si>
    <t xml:space="preserve">MULTIMIDIA                                                                                          </t>
  </si>
  <si>
    <t xml:space="preserve">MUSICA                                                                                              </t>
  </si>
  <si>
    <t xml:space="preserve">ORQUESTA                                                                                            </t>
  </si>
  <si>
    <t xml:space="preserve">TEATRO                                                                                              </t>
  </si>
  <si>
    <t xml:space="preserve">ARTES VISUAIS                                                                                       </t>
  </si>
  <si>
    <t xml:space="preserve">FOLCLORE E CULTURA POPULAR                                                                          </t>
  </si>
  <si>
    <t xml:space="preserve">ARTES PRATICAS                                                                                      </t>
  </si>
  <si>
    <t xml:space="preserve">ESPECIALIZACAO EM MUSICOTERAPIA                                                                     </t>
  </si>
  <si>
    <t xml:space="preserve">ESPECIALIZACAO EM DESIGN DE AMBIENTES E CULTURA                                                     </t>
  </si>
  <si>
    <t xml:space="preserve">ARQUITETURA                                                                                         </t>
  </si>
  <si>
    <t xml:space="preserve">DESENHO E PLASTICA                                                                                  </t>
  </si>
  <si>
    <t xml:space="preserve">ESPECIALIZACAO EM CULTURA E ARTE BARROCA                                                            </t>
  </si>
  <si>
    <t xml:space="preserve">ESPECIALIZACAO EM RESTAURACAO DE BENS CULTURAIS MOVEIS                                              </t>
  </si>
  <si>
    <t xml:space="preserve">ESPECIALIZACAO EM ARQUITETURA E HUMANIZACAO DO MEIO AMBIENTE                                        </t>
  </si>
  <si>
    <t xml:space="preserve">ESPECIALZACAO EM ARQUEOLOGIA PRE HISTORICA                                                          </t>
  </si>
  <si>
    <t xml:space="preserve">ESPECIALIZACAO EM CONSERVACAO E RESTAURO DE BENS CULTURAIS MOVEIS                                   </t>
  </si>
  <si>
    <t xml:space="preserve">ESPECIALIZACAO EM RESTAURO DE CERAMICA ARQUEOLOGICA E MATERIAIS PETREOS                             </t>
  </si>
  <si>
    <t xml:space="preserve">ESPECIALIZACAO EM CONSERVACAO E RESTAURACAO DE MONUMENTOS E CONJUNTOS HISTORICOS                    </t>
  </si>
  <si>
    <t xml:space="preserve">ESPECIALIZACAO EM RESTAURO DE CERAMICA E MATERIAIS PETREOS                                          </t>
  </si>
  <si>
    <t xml:space="preserve">ESPECIALIZACAO EM CULTURA E ARTE MINEIRA                                                            </t>
  </si>
  <si>
    <t xml:space="preserve">ESPECIALIZACAO EM ESTUDO E RESTAURO DOS MONUMENTOS                                                  </t>
  </si>
  <si>
    <t xml:space="preserve">ESPECIALIZAÃAO EM PLANEJAMENTO E REPRESENTAÃAO DO ESPAÃO ARQUITETONICO                              </t>
  </si>
  <si>
    <t xml:space="preserve">GESTAO DA MEMORIA, ARQUIVO, PATRIMONIO E MUSEU                                                      </t>
  </si>
  <si>
    <t xml:space="preserve">CULTURA E ARTE BARROCA                                                                              </t>
  </si>
  <si>
    <t xml:space="preserve">ARTE EDUCACAO                                                                                       </t>
  </si>
  <si>
    <t xml:space="preserve">ARTES PLASTICAS                                                                                     </t>
  </si>
  <si>
    <t xml:space="preserve">PIANO                                                                                               </t>
  </si>
  <si>
    <t xml:space="preserve">ARTES                                                                                               </t>
  </si>
  <si>
    <t xml:space="preserve">EDUCACAO: AREA DE ARTE/EDUCACAO                                                                     </t>
  </si>
  <si>
    <t xml:space="preserve">ARTES - EDUCACAO ARTISTICA APLICADA                                                                 </t>
  </si>
  <si>
    <t xml:space="preserve">TEORIA LITERARIA E LITERATURA BRASILEIRA                                                            </t>
  </si>
  <si>
    <t xml:space="preserve">ARTE - EDUCACAO INFANTIL                                                                            </t>
  </si>
  <si>
    <t xml:space="preserve">ENSINO DA DANCA                                                                                     </t>
  </si>
  <si>
    <t xml:space="preserve">DESENHO                                                                                             </t>
  </si>
  <si>
    <t xml:space="preserve">HISTORIA DA ARTE                                                                                    </t>
  </si>
  <si>
    <t xml:space="preserve">ARTES INDUSTRIAIS                                                                                   </t>
  </si>
  <si>
    <t xml:space="preserve">BELAS ARTES - DESENHO E PLASTICA                                                                    </t>
  </si>
  <si>
    <t xml:space="preserve">MUSICA: PIANO VIOLAO CANTO E FLAUTA TRANSVERSAL                                                     </t>
  </si>
  <si>
    <t xml:space="preserve">EDUCACAO MUSICAL                                                                                    </t>
  </si>
  <si>
    <t xml:space="preserve">LITERATURA EM LINGUA PORTUGUESA - O MODERNISMO                                                      </t>
  </si>
  <si>
    <t xml:space="preserve">INSTRUMENTO                                                                                         </t>
  </si>
  <si>
    <t xml:space="preserve">ANALISE ACUSTICA DA VOZ                                                                             </t>
  </si>
  <si>
    <t xml:space="preserve">TECNICA DA ARTE                                                                                     </t>
  </si>
  <si>
    <t xml:space="preserve">DESENHO TECNICO DE ARQUITETURA E ESTRUTURAS                                                         </t>
  </si>
  <si>
    <t xml:space="preserve">HISTORIA DA CULTURA                                                                                 </t>
  </si>
  <si>
    <t xml:space="preserve">HISTORIA DA CULTURA E DA ARTE                                                                       </t>
  </si>
  <si>
    <t xml:space="preserve">MUSICA FOLCLORICA                                                                                   </t>
  </si>
  <si>
    <t xml:space="preserve">ENSINO DE ARTES PRATICAS                                                                            </t>
  </si>
  <si>
    <t xml:space="preserve">PAISAGISMO                                                                                          </t>
  </si>
  <si>
    <t xml:space="preserve">INSTRUMENTISTA                                                                                      </t>
  </si>
  <si>
    <t xml:space="preserve">CIENCIA DA ARTE                                                                                     </t>
  </si>
  <si>
    <t xml:space="preserve">DESIGN E CULTURA                                                                                    </t>
  </si>
  <si>
    <t xml:space="preserve">FOLCLORE                                                                                            </t>
  </si>
  <si>
    <t xml:space="preserve">ARTE E CRIATIVIDADE: MODALIDADES DE CRIACAO                                                         </t>
  </si>
  <si>
    <t xml:space="preserve">TECNOLOGIA EM DESIGN DE INTERIORES                                                                  </t>
  </si>
  <si>
    <t xml:space="preserve">PINTURA                                                                                             </t>
  </si>
  <si>
    <t xml:space="preserve">DESIGN GRAFICO                                                                                      </t>
  </si>
  <si>
    <t xml:space="preserve">MUSICA SAGRA                                                                                        </t>
  </si>
  <si>
    <t xml:space="preserve">CINEMA DOCUMENTARIO                                                                                 </t>
  </si>
  <si>
    <t xml:space="preserve">MUSICA HABILITACAO EM INSTRUMENTO - FLAUTA TRANSVERSAL                                              </t>
  </si>
  <si>
    <t xml:space="preserve">METODOS E TECNICAS DE PESQUISA EM MUSICA                                                            </t>
  </si>
  <si>
    <t xml:space="preserve">ARTE E EDUCACAO: AS DIFERENTES LINGUAGENS                                                           </t>
  </si>
  <si>
    <t xml:space="preserve">DESIGN DE MODA                                                                                      </t>
  </si>
  <si>
    <t xml:space="preserve">MUSICA DO SECULO XX - EDUCACAO MUSICAL                                                              </t>
  </si>
  <si>
    <t xml:space="preserve">ACORDEAO                                                                                            </t>
  </si>
  <si>
    <t xml:space="preserve">ESCULTURA                                                                                           </t>
  </si>
  <si>
    <t xml:space="preserve">MUSICA E INDUSTRIA CULTURAL                                                                         </t>
  </si>
  <si>
    <t xml:space="preserve">MUSICA BRASILEIRA: PRATICAS INTERPRETATIVAS                                                         </t>
  </si>
  <si>
    <t xml:space="preserve">DESIGN DE PRODUTO                                                                                   </t>
  </si>
  <si>
    <t xml:space="preserve">MUSICA - INSTRUMENTO - VIOLAO                                                                       </t>
  </si>
  <si>
    <t xml:space="preserve">CIENCIAS HUMANAS                                                           </t>
  </si>
  <si>
    <t xml:space="preserve">ARQUEOLOGIA                                                                                         </t>
  </si>
  <si>
    <t xml:space="preserve">ARQUIVOLOGIA                                                                                        </t>
  </si>
  <si>
    <t xml:space="preserve">BIBLIOTECONOMIA                                                                                     </t>
  </si>
  <si>
    <t xml:space="preserve">CIENCIAS DA INFORMACAO E DA DOCUMENTACAO                                                            </t>
  </si>
  <si>
    <t xml:space="preserve">CIENCIAS POLITICAS                                                                                  </t>
  </si>
  <si>
    <t xml:space="preserve">DEMOGRAFIA                                                                                          </t>
  </si>
  <si>
    <t xml:space="preserve">ECONOMIA DOMESTICA                                                                                  </t>
  </si>
  <si>
    <t xml:space="preserve">ESTUDOS SOCIAIS                                                                                     </t>
  </si>
  <si>
    <t xml:space="preserve">FILOSOFIA                                                                                           </t>
  </si>
  <si>
    <t xml:space="preserve">GEOGRAFIA                                                                                           </t>
  </si>
  <si>
    <t xml:space="preserve">HISTORIA                                                                                            </t>
  </si>
  <si>
    <t xml:space="preserve">LETRAS/TRADUTORES/INTERPRETES                                                                       </t>
  </si>
  <si>
    <t xml:space="preserve">MUSEOLOGIA                                                                                          </t>
  </si>
  <si>
    <t xml:space="preserve">TRADUCAO INGLES TECNICO                                                                             </t>
  </si>
  <si>
    <t xml:space="preserve">LETRAS                                                                                              </t>
  </si>
  <si>
    <t xml:space="preserve">LAZER                                                                                               </t>
  </si>
  <si>
    <t xml:space="preserve">ESPECIALIZACAO EM HISTORIA E CULTURA AFRO-BRASILEIRA                                                </t>
  </si>
  <si>
    <t xml:space="preserve">POLITICAS PUBLICAS                                                                                  </t>
  </si>
  <si>
    <t xml:space="preserve">ESPECIALIZACAO EM GEOGRAFIA HUMANA                                                                  </t>
  </si>
  <si>
    <t xml:space="preserve">EDUCACAO, TRABALHO E TECNOLOGIA                                                                     </t>
  </si>
  <si>
    <t xml:space="preserve">POLITICAS PUBLICAS E EDUCACAO AMBIENTAL                                                             </t>
  </si>
  <si>
    <t xml:space="preserve">DIREITOS HUMANOS                                                                                    </t>
  </si>
  <si>
    <t xml:space="preserve">VIOLENCIA DOMESTICA                                                                                 </t>
  </si>
  <si>
    <t xml:space="preserve">TEORIA E METODO EM HISTORIA MODERNA E DO BRASIL                                                     </t>
  </si>
  <si>
    <t xml:space="preserve">HISTORIA DO BRASIL                                                                                  </t>
  </si>
  <si>
    <t xml:space="preserve">VIOLENCIA DOMESTICA CONTRA A CRIANCA E O ADOLESCENTE                                                </t>
  </si>
  <si>
    <t xml:space="preserve">POLITICAS HUMANAS                                                                                   </t>
  </si>
  <si>
    <t xml:space="preserve">ESTUDOS LINGUISTICOS E LITERARIOS                                                                   </t>
  </si>
  <si>
    <t xml:space="preserve">ESTUDOS LITERARIOS                                                                                  </t>
  </si>
  <si>
    <t xml:space="preserve">FILOSOFIA CONTEMPORANEA                                                                             </t>
  </si>
  <si>
    <t xml:space="preserve">GEOGRAFIA DO BRASIL                                                                                 </t>
  </si>
  <si>
    <t xml:space="preserve">GEOGRAFIA ECONOMICA                                                                                 </t>
  </si>
  <si>
    <t xml:space="preserve">GEOGRAFIA FISICA                                                                                    </t>
  </si>
  <si>
    <t xml:space="preserve">GEOGRAFIA REGIONAL DO BRASIL E MINAS GERAIS                                                         </t>
  </si>
  <si>
    <t xml:space="preserve">HISTORIA - ENFASE EM ENSINO DE HISTORIA                                                             </t>
  </si>
  <si>
    <t xml:space="preserve">HISTORIA CONTEMPORANEA                                                                              </t>
  </si>
  <si>
    <t xml:space="preserve">HISTORIA DA CIENCIA                                                                                 </t>
  </si>
  <si>
    <t xml:space="preserve">HISTORIA DA MUSICA                                                                                  </t>
  </si>
  <si>
    <t xml:space="preserve">HISTORIA DO BRASIL CONTEMPORANEO                                                                    </t>
  </si>
  <si>
    <t xml:space="preserve">HISTORIA DOS SISTEMAS ECONOMICOS E SOCIAIS                                                          </t>
  </si>
  <si>
    <t xml:space="preserve">HISTORIA E CULTURA DE MINAS GERAIS                                                                  </t>
  </si>
  <si>
    <t xml:space="preserve">HISTORIA ECONOMICA                                                                                  </t>
  </si>
  <si>
    <t xml:space="preserve">HISTORIA MODERNA E CONTEMPORANEA                                                                    </t>
  </si>
  <si>
    <t xml:space="preserve">NOVAS ABORDAGENS HISTORIOGRAFICAS                                                                   </t>
  </si>
  <si>
    <t xml:space="preserve">PORTUGUES E LITERATURA                                                                              </t>
  </si>
  <si>
    <t xml:space="preserve">LINGUA PORTUGUESA                                                                                   </t>
  </si>
  <si>
    <t xml:space="preserve">HISTORIA SOCIAL                                                                                     </t>
  </si>
  <si>
    <t xml:space="preserve">LINGUISTICA                                                                                         </t>
  </si>
  <si>
    <t xml:space="preserve">TRATAMENTO DE INFORMACAO ESPACIAL                                                                   </t>
  </si>
  <si>
    <t xml:space="preserve">ORGANIZACAO DO ESPACO                                                                               </t>
  </si>
  <si>
    <t xml:space="preserve">GEOGRAFIA E ORGANIZACAO HUMANA DO ESPACO                                                            </t>
  </si>
  <si>
    <t xml:space="preserve">ORGANIZATION ET AMENAGEMENT DE L ESPACE GEOGRAPHIQUE                                                </t>
  </si>
  <si>
    <t xml:space="preserve">GEOGRAPHIQUE DE L AMENAGEMENT                                                                       </t>
  </si>
  <si>
    <t xml:space="preserve">BIBLIOTECARIO E DOCUMENTARISTA                                                                      </t>
  </si>
  <si>
    <t xml:space="preserve">PODER LEGISLATIVO                                                                                   </t>
  </si>
  <si>
    <t xml:space="preserve">ORGANIZACAO DE ARQUIVOS                                                                             </t>
  </si>
  <si>
    <t xml:space="preserve">POLITICAS PUBLICAS DO TRABALHO, EMPREGO E RENDA                                                     </t>
  </si>
  <si>
    <t xml:space="preserve">FILOSOFIA MODERNA E CONTEMPORANEA NO BRASIL                                                         </t>
  </si>
  <si>
    <t xml:space="preserve">LETRAS - PORTUGUES/INGLES                                                                           </t>
  </si>
  <si>
    <t xml:space="preserve">LETRAS - PORTUGUES                                                                                  </t>
  </si>
  <si>
    <t xml:space="preserve">LETRAS - PORTUGUES/FRANCES                                                                          </t>
  </si>
  <si>
    <t xml:space="preserve">LETRAS - PORTUGUES/INGLES E RESPECTIVAS LITERATURAS                                                 </t>
  </si>
  <si>
    <t xml:space="preserve">LETRAS - LINGUA PORTUGUESA                                                                          </t>
  </si>
  <si>
    <t xml:space="preserve">LETRAS - ESPANHOL                                                                                   </t>
  </si>
  <si>
    <t xml:space="preserve">CIENCIAS - GEOGRAFIA                                                                                </t>
  </si>
  <si>
    <t xml:space="preserve">LETRAS - PORTUGUES E ESPANHOL                                                                       </t>
  </si>
  <si>
    <t xml:space="preserve">LITERATURA E LINGUISTICA APLICADA                                                                   </t>
  </si>
  <si>
    <t xml:space="preserve">HISTORIA DO BRASIL - NOVAS ABORDAGENS HISTORIOGRAFICAS                                              </t>
  </si>
  <si>
    <t xml:space="preserve">METODOLOGIA E FILOSOFIA DO ENSINO RELIGIOSO                                                         </t>
  </si>
  <si>
    <t xml:space="preserve">HISTORIA DA AMERICA E CONTEMPORANEA                                                                 </t>
  </si>
  <si>
    <t xml:space="preserve">TEMAS FILOSOFICOS                                                                                   </t>
  </si>
  <si>
    <t xml:space="preserve">LITERATURA EM LINGUA PORTUGUESA                                                                     </t>
  </si>
  <si>
    <t xml:space="preserve">HISTORIA E HISTORIOGRAFIA DA AMAZONIA                                                               </t>
  </si>
  <si>
    <t xml:space="preserve">LING▄ISTICA APLICADA AO ENSINO DO PORTUGUES                                                         </t>
  </si>
  <si>
    <t xml:space="preserve">LINGUA PORTUGUESA - LINGUISTICA                                                                     </t>
  </si>
  <si>
    <t xml:space="preserve">ALFABETIZACAO E LINGUAGEM                                                                           </t>
  </si>
  <si>
    <t xml:space="preserve">ESTUDOS COMPARADOS EM LITERATURA DE LINGUA PORTUGUESA                                               </t>
  </si>
  <si>
    <t xml:space="preserve">TRADUCAO - INGLES/PORTUGUES                                                                         </t>
  </si>
  <si>
    <t xml:space="preserve">HISTORIA DO BRASIL REPUBLICA                                                                        </t>
  </si>
  <si>
    <t xml:space="preserve">LINGUA E LITERATURA DA LINGUA INGLESA                                                               </t>
  </si>
  <si>
    <t xml:space="preserve">HISTORIA E GEOGRAFIA DO BRASIL                                                                      </t>
  </si>
  <si>
    <t xml:space="preserve">LITERATURA BRASILEIRA                                                                               </t>
  </si>
  <si>
    <t xml:space="preserve">LITERATURAS DE LINGUA PORTUGUESA                                                                    </t>
  </si>
  <si>
    <t xml:space="preserve">LETRAS - LINGUAGEM, CULTURA E DISCURSO                                                              </t>
  </si>
  <si>
    <t xml:space="preserve">LETRAS - ENFASE EM PORTUGUES/REDACAO                                                                </t>
  </si>
  <si>
    <t xml:space="preserve">HISTORIA E CONSTRUCAO SOCIAL                                                                        </t>
  </si>
  <si>
    <t xml:space="preserve">GEOGRAFIA, INTERACAO E MEIO AMBIENTE                                                                </t>
  </si>
  <si>
    <t xml:space="preserve">LINGUA PORTUGUESA: GRAMATICA E USO                                                                  </t>
  </si>
  <si>
    <t xml:space="preserve">LETRAS - FRANCES                                                                                    </t>
  </si>
  <si>
    <t xml:space="preserve">LETRAS - LINGUA INGLESA                                                                             </t>
  </si>
  <si>
    <t xml:space="preserve">ESTUDOS BRASILEIROS                                                                                 </t>
  </si>
  <si>
    <t xml:space="preserve">HISTORIA DE MINAS GERAIS NO SECULO XIX                                                              </t>
  </si>
  <si>
    <t xml:space="preserve">LEITURA E PRODUCAO DE TEXTO                                                                         </t>
  </si>
  <si>
    <t xml:space="preserve">LINGUA PORTUGUESA E LITERATURA: RECEPCAO E PRODUCAO DE TEXTOS                                       </t>
  </si>
  <si>
    <t xml:space="preserve">CIENCIAS HUMANAS E SAUDE                                                                            </t>
  </si>
  <si>
    <t xml:space="preserve">FILOSOFIA MODERNA E CONTEMPORANEA                                                                   </t>
  </si>
  <si>
    <t xml:space="preserve">HISTORIA ANTIGA E MEDIEVAL                                                                          </t>
  </si>
  <si>
    <t xml:space="preserve">LEITURA E PRODUCAO DE TEXTO: UMA PERSPECTIVA LINGUISTICA                                            </t>
  </si>
  <si>
    <t xml:space="preserve">HISTORIA E CULTURA MINEIRA                                                                          </t>
  </si>
  <si>
    <t xml:space="preserve">HISTORIA REGIONAL                                                                                   </t>
  </si>
  <si>
    <t xml:space="preserve">GEOGRAFIA E GESTAO DO TERRITORIO                                                                    </t>
  </si>
  <si>
    <t xml:space="preserve">PROCESSO DO ENSINO - APRENDIZAGEM DA LITERATURA LUSO-BRASILEIRA                                     </t>
  </si>
  <si>
    <t xml:space="preserve">LINGUA PORTUGUESA, COMPREENSAO E PRODUCAO DE TEXTOS                                                 </t>
  </si>
  <si>
    <t xml:space="preserve">BIBLIOGRAFIA E REFERENCIA                                                                           </t>
  </si>
  <si>
    <t xml:space="preserve">HISTORIA MODERNA E DO BRASIL                                                                        </t>
  </si>
  <si>
    <t xml:space="preserve">LINGUA PORTUGUESA - REDACAO                                                                         </t>
  </si>
  <si>
    <t xml:space="preserve">LINGUISTICA APLICADA: O TEXTO E SEU FUNCIONAMENTO A PRODUCAO E A LEITURA                            </t>
  </si>
  <si>
    <t xml:space="preserve">GEOGRAFIA HUMANA E PRODUCAO DO ESPACO                                                               </t>
  </si>
  <si>
    <t xml:space="preserve">LINGUISTICA APLICADA E ESTUDOS DA LINGUAGEM                                                         </t>
  </si>
  <si>
    <t xml:space="preserve">LINGUA PORTUGUESA E LITERATURA                                                                      </t>
  </si>
  <si>
    <t xml:space="preserve">EDUCACAO MORAL E CIVICA DE 1 E 2 GRAUS                                                              </t>
  </si>
  <si>
    <t xml:space="preserve">HISTORIA: ENFASE EM HISTORIOGRAFIA                                                                  </t>
  </si>
  <si>
    <t xml:space="preserve">LINGUAGEM NA POS-MODERNIDADE                                                                        </t>
  </si>
  <si>
    <t xml:space="preserve">LETRAS: ENFASE EM LINGUA PORTUGUESA                                                                 </t>
  </si>
  <si>
    <t xml:space="preserve">HISTORIA: ENFASE EM MOVIMENTOS SOCIAIS                                                              </t>
  </si>
  <si>
    <t xml:space="preserve">LINGUISTICA APLICADA AO ENSINO DO PORTUGUES                                                         </t>
  </si>
  <si>
    <t xml:space="preserve">LITERATURA: OS CAMINHOS DA LITERATURA COMPARADA                                                     </t>
  </si>
  <si>
    <t xml:space="preserve">GEOGRAFIA, ENSINO E MEIO AMBIENTE                                                                   </t>
  </si>
  <si>
    <t xml:space="preserve">LETRAS - PORTUGUES/LATIM                                                                            </t>
  </si>
  <si>
    <t xml:space="preserve">LETRAS - LINGUA ITALIANA E LITERATURA                                                               </t>
  </si>
  <si>
    <t xml:space="preserve">GEOGRAFIA POLITICA E ECONOMICA                                                                      </t>
  </si>
  <si>
    <t xml:space="preserve">LETRAS - ESTUDOS LINGUISTICOS                                                                       </t>
  </si>
  <si>
    <t xml:space="preserve">LITERATURA CONTEMPORANEA                                                                            </t>
  </si>
  <si>
    <t xml:space="preserve">AVALIACAO DE POLITICAS PUBLICAS EDUCACIONAIS                                                        </t>
  </si>
  <si>
    <t xml:space="preserve">LITERATURA COMPARADA                                                                                </t>
  </si>
  <si>
    <t xml:space="preserve">LETRAS VERNACULAS - LITERATURA PORTUGUESA                                                           </t>
  </si>
  <si>
    <t xml:space="preserve">LETRAS - LINGUA INGLESA/ LINGUA ITALIANA E LITERATURAS CORRESPONDENTES                              </t>
  </si>
  <si>
    <t xml:space="preserve">LETRAS - INGLES                                                                                     </t>
  </si>
  <si>
    <t xml:space="preserve">LETRAS - PORTUGUES/ALEMAO                                                                           </t>
  </si>
  <si>
    <t xml:space="preserve">HISTORIA ECONOMICA CONTEMPORANEA                                                                    </t>
  </si>
  <si>
    <t xml:space="preserve">LITERATURA INFANTIL E JUVENIL                                                                       </t>
  </si>
  <si>
    <t xml:space="preserve">HISTORIA DO BRASIL E O MUNDO MODERNO E CONTEMPORANEO                                                </t>
  </si>
  <si>
    <t xml:space="preserve">LINGUISTICA APLICADA: FUNDAMENTOS E PERSPECTIVAS PARA O ENSINO                                      </t>
  </si>
  <si>
    <t xml:space="preserve">LINGUISTICA E PRODUCAO DE TEXTOS                                                                    </t>
  </si>
  <si>
    <t xml:space="preserve">HISTORIA DO BRASIL: ENSINO E ESCRITA                                                                </t>
  </si>
  <si>
    <t xml:space="preserve">LITERATURA PORTUGUESA E BRASILEIRA                                                                  </t>
  </si>
  <si>
    <t xml:space="preserve">LINGUA FALADA E O ENSINO DO PORTUGUES                                                               </t>
  </si>
  <si>
    <t xml:space="preserve">CARTOGRAFIA                                                                                         </t>
  </si>
  <si>
    <t xml:space="preserve">LITERATURA E LINGUISTICA APLICADA AO ENSINO DO PORTUGUES                                            </t>
  </si>
  <si>
    <t xml:space="preserve">HISTORIOGRAFIA E METODOLOGIA DO ENSINO E DA PESQUISA DA HISTORIA                                    </t>
  </si>
  <si>
    <t xml:space="preserve">HISTORIA DA AMERICA LATINA                                                                          </t>
  </si>
  <si>
    <t xml:space="preserve">FILOSOFIA CONTEMPORANEA - ETICA                                                                     </t>
  </si>
  <si>
    <t xml:space="preserve">EDUCACAO, ADMINISTRACAO E COMUNICACAO                                                               </t>
  </si>
  <si>
    <t xml:space="preserve">TEORIA E METODOLOGIA EM HISTORIA MODERNA E DO BRASIL                                                </t>
  </si>
  <si>
    <t xml:space="preserve">FILOSOFIA: HISTORIA DA FILOSOFIA - TOPICOS ESPECIAIS                                                </t>
  </si>
  <si>
    <t xml:space="preserve">LETRAS - LINGUA PORTUGUESA E LINGUA LATINA                                                          </t>
  </si>
  <si>
    <t xml:space="preserve">EDUCACAO MORAL E CIVICA                                                                             </t>
  </si>
  <si>
    <t xml:space="preserve">HISTORIA - A VISAO DA CONTEMPORAINEDADE                                                             </t>
  </si>
  <si>
    <t xml:space="preserve">ENSINO RELIGIOSO: AS INTERFACES DA FE                                                               </t>
  </si>
  <si>
    <t xml:space="preserve">HISTORIA DO BRASIL REPUBLICANO                                                                      </t>
  </si>
  <si>
    <t xml:space="preserve">HISTORIA, CULTURA E SOCIEDADE                                                                       </t>
  </si>
  <si>
    <t xml:space="preserve">EDUCACAO RELIGIOSA NO AMBIENTE ESCOLAR                                                              </t>
  </si>
  <si>
    <t xml:space="preserve">ESTRUTURA DO INGLES MODERNO                                                                         </t>
  </si>
  <si>
    <t xml:space="preserve">PORTUGUES MODERNO                                                                                   </t>
  </si>
  <si>
    <t xml:space="preserve">LETRAS-ESTUDOS LITERARIOS: MEMORIA E IDENTIDADE CULTURAL                                            </t>
  </si>
  <si>
    <t xml:space="preserve">DIDATICA DA LINGUA PORTUGUESA COM ENFASE EM LITERATURA BRASILEIRA                                   </t>
  </si>
  <si>
    <t xml:space="preserve">EDUCACAO PARA O LAR                                                                                 </t>
  </si>
  <si>
    <t xml:space="preserve">HISTORIA DA AMERICA                                                                                 </t>
  </si>
  <si>
    <t xml:space="preserve">HISTORIA DO TEMPO PRESENTE: PENSAMENTO E TRANSFORMACOES DO MUNDO RUMO A GLOBALIZACAO                </t>
  </si>
  <si>
    <t xml:space="preserve">FILOSOFIA E HISTORIA DA EDUCACAO                                                                    </t>
  </si>
  <si>
    <t xml:space="preserve">GEOGRAFIA - TRATAMENTO DA INFORMACAO ESPACIAL                                                       </t>
  </si>
  <si>
    <t xml:space="preserve">LETRAS VERNACULAS COM INGLES                                                                        </t>
  </si>
  <si>
    <t xml:space="preserve">REDACAO E EDICAO                                                                                    </t>
  </si>
  <si>
    <t xml:space="preserve">CATALOGACAO E CLASSIFICACAO                                                                         </t>
  </si>
  <si>
    <t xml:space="preserve">HISTORIAS DOS MEIOS DE COMUNICACAO                                                                  </t>
  </si>
  <si>
    <t xml:space="preserve">TEORIA E TECNICA DA COMUNICACAO                                                                     </t>
  </si>
  <si>
    <t xml:space="preserve">LETRAS NEOLATINAS                                                                                   </t>
  </si>
  <si>
    <t xml:space="preserve">ORGANIZACAO E TECNICAS DE ARQUIVOS                                                                  </t>
  </si>
  <si>
    <t xml:space="preserve">LINGUA PORTUGUESA NA EDUCACAO BASICA                                                                </t>
  </si>
  <si>
    <t xml:space="preserve">POLITICAS PUBLICAS E EDUCACAO ESPECIAL                                                              </t>
  </si>
  <si>
    <t xml:space="preserve">LINGUA PORTUGUESA/LINGUISTICA DO TEXTO                                                              </t>
  </si>
  <si>
    <t xml:space="preserve">MODERNIDADE E MODERNISMO NA LITERATURA BRASILEIRA                                                   </t>
  </si>
  <si>
    <t xml:space="preserve">HISTORIOGRAFIA CONTEMPORANEA                                                                        </t>
  </si>
  <si>
    <t xml:space="preserve">PRODUCAO, ANALISE E INTERPRETACAO DE TEXTOS                                                         </t>
  </si>
  <si>
    <t xml:space="preserve">LITERATURA INFANTIL                                                                                 </t>
  </si>
  <si>
    <t xml:space="preserve">PANORAMA GEOGRAFICO NO BRASIL                                                                       </t>
  </si>
  <si>
    <t xml:space="preserve">LITERATURA                                                                                          </t>
  </si>
  <si>
    <t xml:space="preserve">HISTORIA DO BRASIL REPUBLICANO: CIDADANIA E PODER                                                   </t>
  </si>
  <si>
    <t xml:space="preserve">HISTORIA E SOCIEDADE                                                                                </t>
  </si>
  <si>
    <t xml:space="preserve">HISTORIA DO BRASIL CONTEMPORANEO: ESTADO, CULTURA E PODER                                           </t>
  </si>
  <si>
    <t xml:space="preserve">HISTORIA DA FILOSOFIA CONTEMPORANEA - TOPICOS ESPECIAIS                                             </t>
  </si>
  <si>
    <t xml:space="preserve">HISTORIA 3║ GRAU                                                                                    </t>
  </si>
  <si>
    <t xml:space="preserve">LINGUISTICA E LITERATURA COMPARADA                                                                  </t>
  </si>
  <si>
    <t xml:space="preserve">LINGUA PORTUGUESA, REDACAO E LEITURA                                                                </t>
  </si>
  <si>
    <t xml:space="preserve">TEORIA DA CLASSIFICACAO E INDEXACAO                                                                 </t>
  </si>
  <si>
    <t xml:space="preserve">PORTUGUES, INGLES E ESPANHOL                                                                        </t>
  </si>
  <si>
    <t xml:space="preserve">ESTUDOS DO LAZER                                                                                    </t>
  </si>
  <si>
    <t xml:space="preserve">FILOSOFIA CONTEMPORANEA: EPISTEMOLOGIA DAS CIENCIAS HUMANAS                                         </t>
  </si>
  <si>
    <t xml:space="preserve">LITERATURA COMPARADA: TENDENCIAS DA LITERATURA BRASILEIRA E MODERNA                                 </t>
  </si>
  <si>
    <t xml:space="preserve">HISTORIA E SOCIEDADE: TEMATICA, METODOLOGIAS E PRODUCAO HISTORIOGRAFICA                             </t>
  </si>
  <si>
    <t xml:space="preserve">HISTORIA E POLITICA BRASILEIRA                                                                      </t>
  </si>
  <si>
    <t xml:space="preserve">LETRAS - ITALIANO                                                                                   </t>
  </si>
  <si>
    <t xml:space="preserve">BIBLIOTECONOMIA E DOCUMENTACAO                                                                      </t>
  </si>
  <si>
    <t xml:space="preserve">LINGUA PORTUGUESA E ESTUDOS LITERARIOS                                                              </t>
  </si>
  <si>
    <t xml:space="preserve">CIENCIAS CRIMINAIS                                                                                  </t>
  </si>
  <si>
    <t xml:space="preserve">CURSO DE FORMACAO DE OFICIAIS                                                                       </t>
  </si>
  <si>
    <t xml:space="preserve">GESTAO ESTRATEGICA DE PESSOAS                                                                       </t>
  </si>
  <si>
    <t xml:space="preserve">GESTAO DE RECURSOS HUMANOS                                                                          </t>
  </si>
  <si>
    <t xml:space="preserve">GESTAO PUBLICA                                                                                      </t>
  </si>
  <si>
    <t xml:space="preserve">GEOMATICA                                                                                           </t>
  </si>
  <si>
    <t xml:space="preserve">EDUCACAO AMBIENTAL E DESENVOLVIMENTO SUSTENTAVEL                                                    </t>
  </si>
  <si>
    <t xml:space="preserve">MBA GESTAO DE PESSOAS                                                                               </t>
  </si>
  <si>
    <t xml:space="preserve">MBA GESTAO INSTITUCIONAL                                                                            </t>
  </si>
  <si>
    <t xml:space="preserve">AMBIENTE CONSTRUIDO E PATRIMONIO SUSTENTAVEL                                                        </t>
  </si>
  <si>
    <t xml:space="preserve">ADMINISTRACAO PUBLICA E GESTAO URBANA                                                               </t>
  </si>
  <si>
    <t xml:space="preserve">ANALISE ESPACIAL E CARTOGRAFICA                                                                     </t>
  </si>
  <si>
    <t xml:space="preserve">ANALISE ESPACIAL E GEOGRAFICA                                                                       </t>
  </si>
  <si>
    <t xml:space="preserve">PARADIGMAS EMERGENTES NOS SERVICOS INFORMACIONAIS                                                   </t>
  </si>
  <si>
    <t xml:space="preserve">DIREITOS HUMANOS: CIDADANIA E DIREITOS HUMANOS                                                      </t>
  </si>
  <si>
    <t xml:space="preserve">HISTORIOGRAFIA CONTEMPORANEA: NOVAS PERSPECTIVAS PARA O ENSINO E A PESQUISA EM HISTORIA             </t>
  </si>
  <si>
    <t xml:space="preserve">LINGUA BRASILEIRA DE SINAIS                                                                         </t>
  </si>
  <si>
    <t xml:space="preserve">HISTORIA DE MINAS GERAIS: DIMENSOES SOCIO-ECONOMICAS, CULTURAIS E POLITICAS                         </t>
  </si>
  <si>
    <t xml:space="preserve">ANALISE DA INFORMACAO GEOGRAFICA                                                                    </t>
  </si>
  <si>
    <t xml:space="preserve">CULTURA AFRO-BRASILEIRA E AFRICANA                                                                  </t>
  </si>
  <si>
    <t xml:space="preserve">LETRAS - LINGUISTICA E LINGUA PORTUGUESA                                                            </t>
  </si>
  <si>
    <t xml:space="preserve">BRASIL: TRAJETORIAS E NOVAS ABORDAGENS                                                              </t>
  </si>
  <si>
    <t xml:space="preserve">LITERATURA BRASILEIRA: ENSINO, TEORIA E HISTORIA                                                    </t>
  </si>
  <si>
    <t xml:space="preserve">CRITICA LITERARIA E ENSINO DE LITERATURA                                                            </t>
  </si>
  <si>
    <t xml:space="preserve">A LEITURA E A ESCRITA COMO PRATICA SOCIAL                                                           </t>
  </si>
  <si>
    <t xml:space="preserve">LINGUISTICA E ENSINO DA LINGUA MATERNA                                                              </t>
  </si>
  <si>
    <t xml:space="preserve">GEOGRAFIA E HISTORIA CONTEMPORANEA                                                                  </t>
  </si>
  <si>
    <t xml:space="preserve">LINGUA ESPANHOLA                                                                                    </t>
  </si>
  <si>
    <t xml:space="preserve">LINGUA PORTUGUESA, FRANCES E SUAS LITERATURAS                                                       </t>
  </si>
  <si>
    <t xml:space="preserve">UMA ANALISE DA REALIDADE POLITICA SOCIAL - A HISTORIA APLICADA A GEOGRAFIA ECONOMICA                </t>
  </si>
  <si>
    <t xml:space="preserve">LETRAS: PORTUGUES / ESPANHOL E RESPECTIVAS LITERATURAS                                              </t>
  </si>
  <si>
    <t xml:space="preserve">HISTORIA E HISTORIA REGIONAL                                                                        </t>
  </si>
  <si>
    <t xml:space="preserve">CURSO DE FORMACAO DE OFICIAIS DA RESERVA DE SEGUNDA CLASSE                                          </t>
  </si>
  <si>
    <t xml:space="preserve">LITERATURA, MIDIA E ARTES                                                                           </t>
  </si>
  <si>
    <t xml:space="preserve">LINGUISTICA APLICADA AO ENSINO DE INGLES                                                            </t>
  </si>
  <si>
    <t xml:space="preserve">LINGUA E LITERATURA FRANCESAS                                                                       </t>
  </si>
  <si>
    <t xml:space="preserve">FILOSOFIA: ESPECIFICIDADE DA FILOSOFIA E MODALIDADE DOS DISCURSOS FILOSOFICOS                       </t>
  </si>
  <si>
    <t xml:space="preserve">LINGUISTICA: ESTUDO SOBRE O TEXTO, DISCURSO, GRAMATICA E LEXICO                                     </t>
  </si>
  <si>
    <t xml:space="preserve">ANALISE ESTRUTURAL DE TESNIERE                                                                      </t>
  </si>
  <si>
    <t xml:space="preserve">ESTRUTURA MORFOSSINTATICAS                                                                          </t>
  </si>
  <si>
    <t xml:space="preserve">FILOSOFIA PARA CRIANCAS E ADOLESCENTES                                                              </t>
  </si>
  <si>
    <t xml:space="preserve">FILOSOFIA: SABER E PODER                                                                            </t>
  </si>
  <si>
    <t xml:space="preserve">LINGUA PORTUGUESA E ESTRANGEIRA                                                                     </t>
  </si>
  <si>
    <t xml:space="preserve">O GENERO EXPOSICAO ORAL: ESTUDOS EM LINGUISTICA E LINGUISTICA APLICADA                              </t>
  </si>
  <si>
    <t xml:space="preserve">HISTORIA, FILOSOFIA E EDUCACAO                                                                      </t>
  </si>
  <si>
    <t xml:space="preserve">COGNICAO E LINGUAGEM                                                                                </t>
  </si>
  <si>
    <t xml:space="preserve">LINGUA, LITERATURA E CIVILIZACAO FRANCESA                                                           </t>
  </si>
  <si>
    <t xml:space="preserve">LINGUISTICA: ANALISE DO DISCURSO                                                                    </t>
  </si>
  <si>
    <t xml:space="preserve">TEORIA DA HISTORIA E HISTORIA REGIONAL                                                              </t>
  </si>
  <si>
    <t xml:space="preserve">LINGUA FRANCESA EXPRESSAO E COMUNICACAO EM FRANCES                                                  </t>
  </si>
  <si>
    <t xml:space="preserve">ANALISE DA CRIMINALIDADE, VIOLENCIA E SEGURANCA PUBLICA DO NORTE DE MINAS                           </t>
  </si>
  <si>
    <t xml:space="preserve">LINGUISTICA E LINGUA PORTUGUESA: FUNDAMENTOS E PERSCPETIVAS                                         </t>
  </si>
  <si>
    <t xml:space="preserve">ETICA E FILOSOFIA                                                                                   </t>
  </si>
  <si>
    <t xml:space="preserve">LINGUISTA E LINGUA PORTUGUESA: FUNDAMENTOS E PERSPECTIVAS                                           </t>
  </si>
  <si>
    <t xml:space="preserve">CIENCIAS DAS RELIGIOES                                                                              </t>
  </si>
  <si>
    <t xml:space="preserve">LINGUA INGLESA: FLUENCIA E GRAMATICA OBRIGATORIED ADE NO MUNDO MODERNO                              </t>
  </si>
  <si>
    <t xml:space="preserve">EDUCACAO FISCAL E CIDADANIA                                                                         </t>
  </si>
  <si>
    <t xml:space="preserve">ANALISE DA CRIMINALIDADE, VIOLENCIA E SEGURANCA PUBLICA                                             </t>
  </si>
  <si>
    <t xml:space="preserve">CIENCIAS SOCIAIS                                                           </t>
  </si>
  <si>
    <t xml:space="preserve">ANTROPOLOGIA                                                                                        </t>
  </si>
  <si>
    <t xml:space="preserve">SERVICO SOCIAL                                                                                      </t>
  </si>
  <si>
    <t xml:space="preserve">SERVICO SOCIAL COMUNITARIO                                                                          </t>
  </si>
  <si>
    <t xml:space="preserve">SERVICO SOCIAL DE CASO                                                                              </t>
  </si>
  <si>
    <t xml:space="preserve">SERVICO SOCIAL DE EMPRESA                                                                           </t>
  </si>
  <si>
    <t xml:space="preserve">SERVICO SOCIAL DE GRUPO                                                                             </t>
  </si>
  <si>
    <t xml:space="preserve">SERVICO SOCIAL ESCOLAR                                                                              </t>
  </si>
  <si>
    <t xml:space="preserve">SERVICO SOCIAL HOSPITALAR                                                                           </t>
  </si>
  <si>
    <t xml:space="preserve">SOCIOLOGIA                                                                                          </t>
  </si>
  <si>
    <t xml:space="preserve">SOCIOLOGIA APLICADA                                                                                 </t>
  </si>
  <si>
    <t xml:space="preserve">SOCIOLOGIA INDUSTRIAL                                                                               </t>
  </si>
  <si>
    <t xml:space="preserve">SOCIOLOGIA JURIDICA                                                                                 </t>
  </si>
  <si>
    <t xml:space="preserve">SOCIOLOGIA RURAL                                                                                    </t>
  </si>
  <si>
    <t xml:space="preserve">SOCIOLOGIA URBANA                                                                                   </t>
  </si>
  <si>
    <t xml:space="preserve">TEOLOGIA                                                                                            </t>
  </si>
  <si>
    <t xml:space="preserve">TERAPIA OCUPACIONAL                                                                                 </t>
  </si>
  <si>
    <t xml:space="preserve">ASSISTENCIA SOCIAL                                                                                  </t>
  </si>
  <si>
    <t xml:space="preserve">CIENCIAS SOCIAIS                                                                                    </t>
  </si>
  <si>
    <t xml:space="preserve">CRIMINOLOGIA / ESPECIALIZACAO                                                                       </t>
  </si>
  <si>
    <t xml:space="preserve">CRIMINOLOGIA                                                                                        </t>
  </si>
  <si>
    <t xml:space="preserve">ATENDIMENTO SISTEMICO EM REDES SOCIAIS                                                              </t>
  </si>
  <si>
    <t xml:space="preserve">POLITICAS SOCIAIS DE SAUDE                                                                          </t>
  </si>
  <si>
    <t xml:space="preserve">METODOS E TECNICAS DE ELABORACAO DE PROJETOS SOCIAIS                                                </t>
  </si>
  <si>
    <t xml:space="preserve">ESPECIALIZACAO EM GESTAO E AVALIACAO DE PROGRAMAS E PROJETOS SOCIAIS                                </t>
  </si>
  <si>
    <t xml:space="preserve">CIENCIAS SOCIAIS EM DESENVOLVIMENTO                                                                 </t>
  </si>
  <si>
    <t xml:space="preserve">CIENCIAS SOCIAIS - HISTORIA E GEOGRAFIA DO BRASIL                                                   </t>
  </si>
  <si>
    <t xml:space="preserve">CIENCIAS SOCIAIS EM HISTORIA ECONOMICA                                                              </t>
  </si>
  <si>
    <t xml:space="preserve">POLITICA E SOCIEDADE - A PRODUCAO DAS IDEIAS E A PRODUCAO  DA VIDA NA MODERNIDADE                   </t>
  </si>
  <si>
    <t xml:space="preserve">TEORIA E METODOS EM CIENCIAS SOCIAS                                                                 </t>
  </si>
  <si>
    <t xml:space="preserve">VIOLENCIA DOMESTICA CONTRA CRIANCAS E ADOLESCENTES                                                  </t>
  </si>
  <si>
    <t xml:space="preserve">SERVICO SOCIAL APLICADO AO PODER JUDICIARIO                                                         </t>
  </si>
  <si>
    <t xml:space="preserve">CICLO DE ESTUDOS DE POLITICA E ESTRATEGIA                                                           </t>
  </si>
  <si>
    <t xml:space="preserve">GESTAO MOVIMENTOS SOCIAIS E POLITICAS PUBLICAS                                                      </t>
  </si>
  <si>
    <t xml:space="preserve">SOCIOLOGIA URBANA E INDUSTRIAL                                                                      </t>
  </si>
  <si>
    <t xml:space="preserve">GESTAO, EDUCACAO E SEGURANÃA NO TRANSITO                                                            </t>
  </si>
  <si>
    <t xml:space="preserve">SOCIOLOGIA E POLITICA                                                                               </t>
  </si>
  <si>
    <t xml:space="preserve">POLITICA SOCIAL E PRATICA PROFISSIONAL: POLEMICA E PROPOSTA                                         </t>
  </si>
  <si>
    <t xml:space="preserve">POLITICAS PUBLICAS E GESTAO GOVERNAMENTAL                                                           </t>
  </si>
  <si>
    <t xml:space="preserve">POLITICAS SOCIAIS                                                                                   </t>
  </si>
  <si>
    <t xml:space="preserve">FORMACAO SOCIOECONOMICA DO BRASIL                                                                   </t>
  </si>
  <si>
    <t xml:space="preserve">ORGANIZACAO DO TRABALHO E SERVICOS NO AMBITO DAS POLITICAS PUBLICAS MUNICIPAIS                      </t>
  </si>
  <si>
    <t xml:space="preserve">CIENCIAS JURIDICAS E SOCIAIS                                                                        </t>
  </si>
  <si>
    <t xml:space="preserve">POLITICA SOCIAL DE SAUDE                                                                            </t>
  </si>
  <si>
    <t xml:space="preserve">CIENCIAS SOCIAIS E EDUCATIVAS                                                                       </t>
  </si>
  <si>
    <t xml:space="preserve">POLITICA E PESQUISA EM SAUDE COLETIVA                                                               </t>
  </si>
  <si>
    <t xml:space="preserve">GESTAO DE POLITICAS SOCIAIS                                                                         </t>
  </si>
  <si>
    <t xml:space="preserve">SERVICO SOCIAL E POLITICA SOCIAL                                                                    </t>
  </si>
  <si>
    <t xml:space="preserve">METODOS E TECNICAS DE PESQUISA SOCIAL                                                               </t>
  </si>
  <si>
    <t xml:space="preserve">METODOLOGIA                                                                                         </t>
  </si>
  <si>
    <t xml:space="preserve">POLITICAS E ESTRATEGIAS NACIONAIS                                                                   </t>
  </si>
  <si>
    <t xml:space="preserve">BRASIL - ESTADO - SOCIEDADE                                                                         </t>
  </si>
  <si>
    <t xml:space="preserve">DESENVOLVIMENTO HUMANO NO CONTEXTO DA SAUDE E EDUCACAO                                              </t>
  </si>
  <si>
    <t xml:space="preserve">SEGURANCA PUBLICA                                                                                   </t>
  </si>
  <si>
    <t xml:space="preserve">SOCIOLOGIA GERAL                                                                                    </t>
  </si>
  <si>
    <t xml:space="preserve">GESTAO SOCIAL, EDUCACAO E DESENVOLVIMENTO LOCAL                                                     </t>
  </si>
  <si>
    <t xml:space="preserve">POLITICA SOCIAL DE SAUDE E O SERVICO SOCIAL                                                         </t>
  </si>
  <si>
    <t xml:space="preserve">VALORES HUMANOS                                                                                     </t>
  </si>
  <si>
    <t xml:space="preserve">TECNICA DE PESQUISA SOCIAL                                                                          </t>
  </si>
  <si>
    <t xml:space="preserve">METODOLOGIA DE PESQUISA                                                                             </t>
  </si>
  <si>
    <t xml:space="preserve">INTRODUCAO AS CIENCIAS SOCIAIS                                                                      </t>
  </si>
  <si>
    <t xml:space="preserve">ESPECIALIZACAO EM CRIMINOLOGIA                                                                      </t>
  </si>
  <si>
    <t xml:space="preserve">IDENTIDADE NACIONAL, EDUCACAO E DESENVOLVIMENTO: BRASIL E AMERICA LATINA DA REALIDADE GLOBAL        </t>
  </si>
  <si>
    <t xml:space="preserve">TEORIA E METODOS EM CIENCIAS SOCIAIS                                                                </t>
  </si>
  <si>
    <t xml:space="preserve">FUNDAMENTOS DE ASSISTENCIA SOCIAL                                                                   </t>
  </si>
  <si>
    <t xml:space="preserve">METODOLOGIA CIENTIFICA                                                                              </t>
  </si>
  <si>
    <t xml:space="preserve">TERAPIA OCUPACIONAL NEURO-PEDIATRICA                                                                </t>
  </si>
  <si>
    <t xml:space="preserve">ESTUDO DE CRIMINALIDADE E SEGURANCA PUBLICA                                                         </t>
  </si>
  <si>
    <t xml:space="preserve">TELECURSO NA AREA DA VIOLENCIA CONTRA CRIANCAS E ADOLESCENTES                                       </t>
  </si>
  <si>
    <t xml:space="preserve">ANTROPOLOGIA SOCIAL                                                                                 </t>
  </si>
  <si>
    <t xml:space="preserve">GESTAO SOCIAL EDUCACAO E DESENVOLVIMENTO SOCIAL                                                     </t>
  </si>
  <si>
    <t xml:space="preserve">ATENDIMENTO A INFANCIA E A ADOLESCENCIA EM SITUACAO DE RISCO                                        </t>
  </si>
  <si>
    <t xml:space="preserve">INTERDISCIPLINAR E ADOLESCENCIA                                                                     </t>
  </si>
  <si>
    <t xml:space="preserve">CATEQUETICA                                                                                         </t>
  </si>
  <si>
    <t xml:space="preserve">FORMACAO HOLISTICA DE BASE                                                                          </t>
  </si>
  <si>
    <t xml:space="preserve">DESENVOLVIMENTO SOCIAL                                                                              </t>
  </si>
  <si>
    <t xml:space="preserve">ATENDIMENTO INTEGRAL A FAMILIA                                                                      </t>
  </si>
  <si>
    <t xml:space="preserve">TEOLOGIA JUDAICO-MESSIANICA                                                                         </t>
  </si>
  <si>
    <t xml:space="preserve">O SABER E O PODER DO LIBERALISMO                                                                    </t>
  </si>
  <si>
    <t xml:space="preserve">PESQUISA SOCIAL                                                                                     </t>
  </si>
  <si>
    <t xml:space="preserve">SEGURANCA PUBLICA E JUSTICA CRIMINAL                                                                </t>
  </si>
  <si>
    <t xml:space="preserve">SOCIOLOGIA DA EDUCACAO DE SEGUNDO GRAU                                                              </t>
  </si>
  <si>
    <t xml:space="preserve">FORMACAO DE SOCIOTERAPEUTAS                                                                         </t>
  </si>
  <si>
    <t xml:space="preserve">ANALISE CRIMINAL                                                                                    </t>
  </si>
  <si>
    <t xml:space="preserve">DIREITO                                                                    </t>
  </si>
  <si>
    <t xml:space="preserve">DIREITO                                                                                             </t>
  </si>
  <si>
    <t xml:space="preserve">DIREITO - JURISTAS                                                                                  </t>
  </si>
  <si>
    <t xml:space="preserve">DIREITO ADMINISTRATIVO                                                                              </t>
  </si>
  <si>
    <t xml:space="preserve">DIREITO AGRARIO                                                                                     </t>
  </si>
  <si>
    <t xml:space="preserve">DIREITO CIVIL                                                                                       </t>
  </si>
  <si>
    <t xml:space="preserve">DIREITO COMERCIAL                                                                                   </t>
  </si>
  <si>
    <t xml:space="preserve">DIREITO CONSTITUCIONAL                                                                              </t>
  </si>
  <si>
    <t xml:space="preserve">DIREITO DE NAVEGACAO                                                                                </t>
  </si>
  <si>
    <t xml:space="preserve">DIREITO EDUCACIONAL                                                                                 </t>
  </si>
  <si>
    <t xml:space="preserve">DIREITO FINANCEIRO                                                                                  </t>
  </si>
  <si>
    <t xml:space="preserve">DIREITO IMOBILIARIO                                                                                 </t>
  </si>
  <si>
    <t xml:space="preserve">DIREITO INTERNACIONAL                                                                               </t>
  </si>
  <si>
    <t xml:space="preserve">DIREITO INTERNACIONAL PRIVADO                                                                       </t>
  </si>
  <si>
    <t xml:space="preserve">DIREITO INTERNACIONAL PUBLICO                                                                       </t>
  </si>
  <si>
    <t xml:space="preserve">DIREITO PENAL                                                                                       </t>
  </si>
  <si>
    <t xml:space="preserve">DIREITO PREVIDENCIARIO                                                                              </t>
  </si>
  <si>
    <t xml:space="preserve">DIREITO PROCESSUAL CIVIL                                                                            </t>
  </si>
  <si>
    <t xml:space="preserve">DIREITO PROCESSUAL PENAL                                                                            </t>
  </si>
  <si>
    <t xml:space="preserve">DIREITO PUBLICO                                                                                     </t>
  </si>
  <si>
    <t xml:space="preserve">DIREITO TRABALHISTA                                                                                 </t>
  </si>
  <si>
    <t xml:space="preserve">DIREITO TRIBUTARIO                                                                                  </t>
  </si>
  <si>
    <t xml:space="preserve">DIREITO - MEDICINA LEGAL                                                                            </t>
  </si>
  <si>
    <t xml:space="preserve">DIREITO SANITARIO                                                                                   </t>
  </si>
  <si>
    <t xml:space="preserve">DIREITO AMBIENTAL                                                                                   </t>
  </si>
  <si>
    <t xml:space="preserve">DIREITO EMPRESARIAL                                                                                 </t>
  </si>
  <si>
    <t xml:space="preserve">DIREITO DE EMPRESAS                                                                                 </t>
  </si>
  <si>
    <t xml:space="preserve">LICITACOES E CONTRATOS ADMINISTRATIVOS                                                              </t>
  </si>
  <si>
    <t xml:space="preserve">DIREITO URBANISTICO                                                                                 </t>
  </si>
  <si>
    <t xml:space="preserve">CIENCIAS PENAIS                                                                                     </t>
  </si>
  <si>
    <t xml:space="preserve">ESPECIALIZACAO DIREITO TRIBUTARIO                                                                   </t>
  </si>
  <si>
    <t xml:space="preserve">TECNOLOGO EM FUNDAMENTOS JURIDICOS                                                                  </t>
  </si>
  <si>
    <t xml:space="preserve">ESPECIALIZACAO EM DIREITO PUBLICO                                                                   </t>
  </si>
  <si>
    <t xml:space="preserve">MESTRADO EM DIREITO ADMINISTRATIVO                                                                  </t>
  </si>
  <si>
    <t xml:space="preserve">ESPECIALIZACAO EM DIREITO ADMINISTRATIVO                                                            </t>
  </si>
  <si>
    <t xml:space="preserve">ESPECIALIZACAO EM DIREITO CONSTITUCIONAL                                                            </t>
  </si>
  <si>
    <t xml:space="preserve">ESPECIALIZACAO EM DIREITO TRIBUTARIO                                                                </t>
  </si>
  <si>
    <t xml:space="preserve">ESPECIALIZACAO EM DIREITO SANITARIO                                                                 </t>
  </si>
  <si>
    <t xml:space="preserve">ESPECIALIZACAO EM DIREITO E PROCESSO PENAL                                                          </t>
  </si>
  <si>
    <t xml:space="preserve">PERICIAS JUDICIAIS DE PERICULOSIDADE E INSALUBRIDADE                                                </t>
  </si>
  <si>
    <t xml:space="preserve">DIREITO PROCESSUAL                                                                                  </t>
  </si>
  <si>
    <t xml:space="preserve">PROCESSO CIVIL E DO TRABALHO                                                                        </t>
  </si>
  <si>
    <t xml:space="preserve">PRATICA FORENSE E ORGANIZACAO JUDICIARIA                                                            </t>
  </si>
  <si>
    <t xml:space="preserve">DIREITO DO TRABALHO E PROCESSUAL DO TRABALHO                                                        </t>
  </si>
  <si>
    <t xml:space="preserve">ETICA E FILOSOFIA DO DIREITO                                                                        </t>
  </si>
  <si>
    <t xml:space="preserve">DIREITO E LEGISLACAO                                                                                </t>
  </si>
  <si>
    <t xml:space="preserve">LEGISLACAO APLICADA                                                                                 </t>
  </si>
  <si>
    <t xml:space="preserve">DIREITO DO ESTADO                                                                                   </t>
  </si>
  <si>
    <t xml:space="preserve">DIREITO PENAL E PROCESSUAL PENAL                                                                    </t>
  </si>
  <si>
    <t xml:space="preserve">DIREITO PRIVADO                                                                                     </t>
  </si>
  <si>
    <t xml:space="preserve">DIREITO CIVIL E CONSTITUCIONAL: OBRIGACOES E CONTRATOS                                              </t>
  </si>
  <si>
    <t xml:space="preserve">DIREITO DAS RELACOES SOCIAIS                                                                        </t>
  </si>
  <si>
    <t xml:space="preserve">DIREITO PROCESSUAL CIVIL E DO TRABALHO                                                              </t>
  </si>
  <si>
    <t xml:space="preserve">DIREITO SOCIAL                                                                                      </t>
  </si>
  <si>
    <t xml:space="preserve">DIREITO PROCESSUAL E SOCIAL                                                                         </t>
  </si>
  <si>
    <t xml:space="preserve">DIREITO E ADMINISTRACAO PUBLICA                                                                     </t>
  </si>
  <si>
    <t xml:space="preserve">DIREITO FINANCEIRO E TRIBUTARIO                                                                     </t>
  </si>
  <si>
    <t xml:space="preserve">PERICIAS JUDICIAIS RELACIONADAS COM LEVANTAMENTO AMBIENTAL                                          </t>
  </si>
  <si>
    <t xml:space="preserve">DIREITO CIVIL E PROCESSUAL                                                                          </t>
  </si>
  <si>
    <t xml:space="preserve">DIREITO APLICADO                                                                                    </t>
  </si>
  <si>
    <t xml:space="preserve">DIREITO DA ECONOMIA E DA EMPRESA                                                                    </t>
  </si>
  <si>
    <t xml:space="preserve">DIREITOS DIFUSOS E COLETIVOS                                                                        </t>
  </si>
  <si>
    <t xml:space="preserve">LEGISLACAO AMBIENTAL                                                                                </t>
  </si>
  <si>
    <t xml:space="preserve">DESENVOLVIMENTO SUSTENTAVEL E DIREITO AMBIENTAL                                                     </t>
  </si>
  <si>
    <t xml:space="preserve">DIREITO CIVIL E PROCESSUAL CIVIL                                                                    </t>
  </si>
  <si>
    <t xml:space="preserve">DIREITO PUBLICO E DIREITO PRIVADO                                                                   </t>
  </si>
  <si>
    <t xml:space="preserve">PERITO CRIMINAL                                                                                     </t>
  </si>
  <si>
    <t xml:space="preserve">DIREITO, ESTADO E CONSTITUICAO                                                                      </t>
  </si>
  <si>
    <t xml:space="preserve">DIREITO PUBLICO E FILOSOFIA DO DIREITO                                                              </t>
  </si>
  <si>
    <t xml:space="preserve">DIREITO NOTARIAL                                                                                    </t>
  </si>
  <si>
    <t xml:space="preserve">DIREITO CONSTITUCIONAL, ADMINISTRATIVO E TRIBUTARIO                                                 </t>
  </si>
  <si>
    <t xml:space="preserve">FILOSOFIA DO DIREITO                                                                                </t>
  </si>
  <si>
    <t xml:space="preserve">DIREITO CIVIL EMPRESARIAL E PROCESSO CIVIL                                                          </t>
  </si>
  <si>
    <t xml:space="preserve">ETICA E PENSAMENTO JURIDICO                                                                         </t>
  </si>
  <si>
    <t xml:space="preserve">DIREITO DO TRABALHO                                                                                 </t>
  </si>
  <si>
    <t xml:space="preserve">PEDAGOGICA                                                                 </t>
  </si>
  <si>
    <t xml:space="preserve">ADMINISTRACAO ESCOLAR                                                                               </t>
  </si>
  <si>
    <t xml:space="preserve">HABILITACAO PEDAGOGIA         </t>
  </si>
  <si>
    <t xml:space="preserve">EDUCACAO A DISTANCIA                                                                                </t>
  </si>
  <si>
    <t xml:space="preserve">INSPECAO ESCOLAR                                                                                    </t>
  </si>
  <si>
    <t xml:space="preserve">MAGISTERIO                                                                                          </t>
  </si>
  <si>
    <t xml:space="preserve">ORIENTACAO EDUCACIONAL                                                                              </t>
  </si>
  <si>
    <t xml:space="preserve">PEDAGOGIA                                                                                           </t>
  </si>
  <si>
    <t xml:space="preserve">PEDAGOGIA EMPRESARIAL/INDUSTRIAL                                                                    </t>
  </si>
  <si>
    <t xml:space="preserve">SUPERVISAO ESCOLAR                                                                                  </t>
  </si>
  <si>
    <t xml:space="preserve">EDUCACAO                                                                                            </t>
  </si>
  <si>
    <t xml:space="preserve">EDUCACAO TECNOLOGICA                                                                                </t>
  </si>
  <si>
    <t xml:space="preserve">EDUCACAO/DOUTORADO                                                                                  </t>
  </si>
  <si>
    <t xml:space="preserve">NORMAL SUPERIOR                                                                                     </t>
  </si>
  <si>
    <t xml:space="preserve">TECNICO/QUALIFICACAO          </t>
  </si>
  <si>
    <t xml:space="preserve">ESPECIALIZACAO EM ADOLESCENCIA E RELACOES DE GENERO                                                 </t>
  </si>
  <si>
    <t xml:space="preserve">ESPECIALIZACAO EDUCACAO A DISTANCIA                                                                 </t>
  </si>
  <si>
    <t xml:space="preserve">EDUCACAO INCLUSIVA                                                                                  </t>
  </si>
  <si>
    <t xml:space="preserve">ESPECIALIZACAO EM EDUCACAO INFANTIL                                                                 </t>
  </si>
  <si>
    <t xml:space="preserve">ESPECIALIZACAO EM PEDAGOGIA EMPRESARIAL                                                             </t>
  </si>
  <si>
    <t xml:space="preserve">ESPECIALIZACAO EM METODOLOGIA DO ENSINO SUPERIOR                                                    </t>
  </si>
  <si>
    <t xml:space="preserve">DOCENCIA SUPERIOR                                                                                   </t>
  </si>
  <si>
    <t xml:space="preserve">ESPECIALIZACAO EM DIDATICA - FUNDAMENTOS TEORICOS DA PRATICA PEDAGOGICA                             </t>
  </si>
  <si>
    <t xml:space="preserve">ESPECIALIZACAO EM SUPERVISAO E ORIENTACAO EDUCACIONAL                                               </t>
  </si>
  <si>
    <t xml:space="preserve">O PROCESSO ENSINO APRENDIZAGEM: FUNDAMENTACAO FILOSOFICO ANTROPOLOGICA E TECNICO PEDAGOGICA         </t>
  </si>
  <si>
    <t xml:space="preserve">ALFABETIZACAO                                                                                       </t>
  </si>
  <si>
    <t xml:space="preserve">ESPECIALIZACAO EM EDUCACAO ESPECIAL                                                                 </t>
  </si>
  <si>
    <t xml:space="preserve">FUNDAMENTOS DA EDUCACAO                                                                             </t>
  </si>
  <si>
    <t xml:space="preserve">PLANEJAMENTO E AVALIACAO EDUCACIONAL                                                                </t>
  </si>
  <si>
    <t xml:space="preserve">EDUCACAO INFANTIL E SERIES INICIAIS                                                                 </t>
  </si>
  <si>
    <t xml:space="preserve">TOPICOS ESPECIFICOS DA EDUCACAO                                                                     </t>
  </si>
  <si>
    <t xml:space="preserve">A EDUCACAO FISICA ESCOLAR NUMA PERSPECTIVA HUMANISTICA                                              </t>
  </si>
  <si>
    <t xml:space="preserve">ADMINISTRACAO PUBLICA MUNICIPAL                                                                     </t>
  </si>
  <si>
    <t xml:space="preserve">ALFABETIZACAO - INTERDISCIPLINARIDADE E CONSTRUCAO                                                  </t>
  </si>
  <si>
    <t xml:space="preserve">ALFABETIZACAO - UM PROCESSO CONSTRUTIVO - LINGUA PORTUGUESA DO 1║ AO 4║ CICLO DO ENSINO FUNDAMENTAL </t>
  </si>
  <si>
    <t xml:space="preserve">ANALISE PRATICA DE TEXTOS LITERARIOS                                                                </t>
  </si>
  <si>
    <t xml:space="preserve">AREA DE METODOLOGIA DO ENSINO SUPERIOR                                                              </t>
  </si>
  <si>
    <t xml:space="preserve">ARTE E EDUCACAO                                                                                     </t>
  </si>
  <si>
    <t xml:space="preserve">ARTE E EDUCACAO - ORALIDADE E ESCRITA                                                               </t>
  </si>
  <si>
    <t xml:space="preserve">ARTE EDUCACAO E TECNOLOGIAS CONTEMPORANEAS - ARTEDUCA                                               </t>
  </si>
  <si>
    <t xml:space="preserve">AS ESCOLHAS E AS CONTINGENCIAS - A PRODUCAO DAS IDEIAS E A PRODUCAO DA VIDA NA MODERNIDADE          </t>
  </si>
  <si>
    <t xml:space="preserve">ASPECTOS DA LEITURA E DA PRODUCAO TEXTUAL                                                           </t>
  </si>
  <si>
    <t xml:space="preserve">AVALIACAO DO ENSINO E DA APRENDIZAGEM                                                               </t>
  </si>
  <si>
    <t xml:space="preserve">CIENCIA DA RELIGIAO - ENFASE EM EDUCACAO RELIGIOSA                                                  </t>
  </si>
  <si>
    <t xml:space="preserve">CIENCIAS DA RELIGIAO - ENFASE EM ENSINO RELIGIOSO                                                   </t>
  </si>
  <si>
    <t xml:space="preserve">CLINICA E TECNICA DE NATACAO                                                                        </t>
  </si>
  <si>
    <t xml:space="preserve">COORDENACAO PEDAGOGICA - FUNDAMENTOS E PRATICAS                                                     </t>
  </si>
  <si>
    <t xml:space="preserve">DIDATICA - FUNDAMENTOS TEORICOS DA PRATICA PEDAGOGICA                                               </t>
  </si>
  <si>
    <t xml:space="preserve">DIDATICA - TEORIAS DA EDUCACAO                                                                      </t>
  </si>
  <si>
    <t xml:space="preserve">DIDATICA DO MAGISTERIO DO 3 GRAU                                                                    </t>
  </si>
  <si>
    <t xml:space="preserve">DIDATICA E PLANEJAMENTO DO ENSINO SUPERIOR                                                          </t>
  </si>
  <si>
    <t xml:space="preserve">DIDATICA FUNDAMENTOS TEORICOS DA PRATICA PEDAGOGICA                                                 </t>
  </si>
  <si>
    <t xml:space="preserve">DIDATICA GERAL                                                                                      </t>
  </si>
  <si>
    <t xml:space="preserve">DIFICULDADE DE APRENDIZAGEM                                                                         </t>
  </si>
  <si>
    <t xml:space="preserve">DIRECAO DA ESCOLA E PROJETO PEDAGOGICO                                                              </t>
  </si>
  <si>
    <t xml:space="preserve">DIREITO EDUCACIONAL NO PROCESSO DE ENSINO - APRENDIZAGEM                                            </t>
  </si>
  <si>
    <t xml:space="preserve">DOCENCIA DO ENSINO SUPERIOR                                                                         </t>
  </si>
  <si>
    <t xml:space="preserve">DOCENCIA UNIVERSITARIA                                                                              </t>
  </si>
  <si>
    <t xml:space="preserve">DOCENCIA UNIVERSITARIA NA AREA DE BIOLOGIA                                                          </t>
  </si>
  <si>
    <t xml:space="preserve">DOCENCIA UNIVERSITARIA NA AREA DE LETRAS                                                            </t>
  </si>
  <si>
    <t xml:space="preserve">DOCENCIA UNIVERSITARIA NA AREA DE MATEMATICA                                                        </t>
  </si>
  <si>
    <t xml:space="preserve">ECOLOGIA E CONSERVACAO AMBIENTAL                                                                    </t>
  </si>
  <si>
    <t xml:space="preserve">EDUCACAO - ARTE - EDUCACAO                                                                          </t>
  </si>
  <si>
    <t xml:space="preserve">EDUCACAO - DIFICULDADES DE APRENDIZAGEM E REEDUCACAO PEDAGOGICA                                     </t>
  </si>
  <si>
    <t xml:space="preserve">EDUCACAO - METODOLOGIA DO ENSINO SUPERIOR                                                           </t>
  </si>
  <si>
    <t xml:space="preserve">EDUCACAO - O TEXTO E O PRE-TEXTO NA INTERDISCIPLINARIDADE                                           </t>
  </si>
  <si>
    <t xml:space="preserve">EDUCACAO - ORIENTACAO E SUPERVISAO EDUCACIONAL                                                      </t>
  </si>
  <si>
    <t xml:space="preserve">EDUCACAO - ORIENTACAO E SUPERVISAO EDUCACIONAL - VISAO INTEGRADA                                    </t>
  </si>
  <si>
    <t xml:space="preserve">EDUCACAO - SUPERVISAO PEDAGOGICA                                                                    </t>
  </si>
  <si>
    <t xml:space="preserve">EDUCACAO AFETIVO SEXUAL                                                                             </t>
  </si>
  <si>
    <t xml:space="preserve">EDUCACAO BASICA NAO FORMAL                                                                          </t>
  </si>
  <si>
    <t xml:space="preserve">EDUCACAO COM AREA DE CONCENTRACAO EM EDUCACAO SOCIO-COMUNITARIA                                     </t>
  </si>
  <si>
    <t xml:space="preserve">EDUCACAO DE JOVENS E ADULTOS                                                                        </t>
  </si>
  <si>
    <t xml:space="preserve">EDUCACAO ESCOLAR                                                                                    </t>
  </si>
  <si>
    <t xml:space="preserve">EDUCACAO ESPECIAL                                                                                   </t>
  </si>
  <si>
    <t xml:space="preserve">EDUCACAO ESPECIAL - ENFASE EM EDUCACAO INCLUSIVA                                                    </t>
  </si>
  <si>
    <t xml:space="preserve">EDUCACAO ESPECIAL INCLUSIVA                                                                         </t>
  </si>
  <si>
    <t xml:space="preserve">EDUCACAO ESPECIAL PARA TALENTOSOS E BEM DOTADOS                                                     </t>
  </si>
  <si>
    <t xml:space="preserve">EDUCACAO ESPECIAL - EDUCACAO REGULAR, INTEGRACAO NA INCLUSAO                                        </t>
  </si>
  <si>
    <t xml:space="preserve">EDUCACAO FISICA ADAPTADA  AS PESSOAS PORTADORAS DE DEFICIENCIA FIS. E MENTAL                        </t>
  </si>
  <si>
    <t xml:space="preserve">EDUCACAO FISICA - EDUCACAO FISICA E SOCIEDADE                                                       </t>
  </si>
  <si>
    <t xml:space="preserve">EDUCACAO FISICA ESCOLAR                                                                             </t>
  </si>
  <si>
    <t xml:space="preserve">EDUCACAO INFANTIL                                                                                   </t>
  </si>
  <si>
    <t xml:space="preserve">EDUCACAO INFANTIL - ENFASE EM ALFBETIZACAO E LETRAMENTO                                             </t>
  </si>
  <si>
    <t xml:space="preserve">EDUCACAO MATEMATICA                                                                                 </t>
  </si>
  <si>
    <t xml:space="preserve">EDUCACAO METODOLOGIA DO ENSINO DE 1 E 2 GRAUS                                                       </t>
  </si>
  <si>
    <t xml:space="preserve">EDUCACAO NO TRANSITO                                                                                </t>
  </si>
  <si>
    <t xml:space="preserve">EDUCACAO PRE-ESCOLAR                                                                                </t>
  </si>
  <si>
    <t xml:space="preserve">EDUCACAO - DOCENCIA SUPERIOR                                                                        </t>
  </si>
  <si>
    <t xml:space="preserve">EDUCACAO - PSICOPEDAGIA CLINICO-INSTITUCIONAL                                                       </t>
  </si>
  <si>
    <t xml:space="preserve">ENFASE EM EDUCACAO ESPECIAL E INCLUSIVA                                                             </t>
  </si>
  <si>
    <t xml:space="preserve">ENSINO DAS DISCIPLINAS E ATIVIDADES PRATICAS DO CURSO NORMAL (PEDAGOGIA)                            </t>
  </si>
  <si>
    <t xml:space="preserve">ENSINO DE 1 E 2 GRAUS                                                                               </t>
  </si>
  <si>
    <t xml:space="preserve">ENSINO DE CIENCIA                                                                                   </t>
  </si>
  <si>
    <t xml:space="preserve">ENSINO DE CIENCIA COM CONCENTRACAO FISICA                                                           </t>
  </si>
  <si>
    <t xml:space="preserve">ENSINO DE CIENCIAS - INFORMATICA EDUCATIVA                                                          </t>
  </si>
  <si>
    <t xml:space="preserve">ENSINO EM FISICA                                                                                    </t>
  </si>
  <si>
    <t xml:space="preserve">ENSINO ESPECIAL                                                                                     </t>
  </si>
  <si>
    <t xml:space="preserve">ENSINO RELIGIOSO                                                                                    </t>
  </si>
  <si>
    <t xml:space="preserve">FISIOLOGIA DO EXERCICIO E GRUPOS ESPECIAIS                                                          </t>
  </si>
  <si>
    <t xml:space="preserve">FISIOLOGIA E METODOLOGIA DA ATIVIDADE FISICA PERSONALIZADA                                          </t>
  </si>
  <si>
    <t xml:space="preserve">FORMACAO DE ORIENTADORES ACADEMICOS PARA MODALIDADE DE EDUCACAO A DISTANCIA                         </t>
  </si>
  <si>
    <t xml:space="preserve">FORMADORES EM EDUCACAO DE JOVENS E ADULTOS                                                          </t>
  </si>
  <si>
    <t xml:space="preserve">FUND. EM PRATICA INTERDISCIPLINAR 1║ E 2║ CICLO DE ENSINO FUNDAMENTAL                               </t>
  </si>
  <si>
    <t xml:space="preserve">FUNDAMENTACAO FILOSOFICO - ANTROPOLOGICA E TECNICO PEDAGOGICA                                       </t>
  </si>
  <si>
    <t xml:space="preserve">GESTAO DA EDUCACAO A DISTANCIA                                                                      </t>
  </si>
  <si>
    <t xml:space="preserve">GESTAO DE PRATICAS EDUCATIVAS EXTRA-ESCOLARES                                                       </t>
  </si>
  <si>
    <t xml:space="preserve">GESTAO DE PROCESSOS EDUCATIVOS E AVALIACAO - NOVA S TECNOLOGIAS                                     </t>
  </si>
  <si>
    <t xml:space="preserve">GESTAO E ADMINISTRACAO ESCOLAR                                                                      </t>
  </si>
  <si>
    <t xml:space="preserve">GESTAO E ORGANIZACAO DA ESCOLA                                                                      </t>
  </si>
  <si>
    <t xml:space="preserve">INOVACAO TECNOLOGICA E EDUCACAO                                                                     </t>
  </si>
  <si>
    <t xml:space="preserve">INSPECAO ESCOLAR NO ATUAL CONTEXTO EDUCACIONAL                                                      </t>
  </si>
  <si>
    <t xml:space="preserve">INTERPRETACAO E EDUCACAO AMBIENTAL                                                                  </t>
  </si>
  <si>
    <t xml:space="preserve">LEITURA E LITERATURA - ABORDAGEM INTERDISCIPLINAR                                                   </t>
  </si>
  <si>
    <t xml:space="preserve">LEITURA E PRODUCAO DE TEXTO DOS PRESSUPOSTOS LINGUISTICOS AS IMPLICACOES PEDAGOGICAS                </t>
  </si>
  <si>
    <t xml:space="preserve">LEITURA E PRODUCAO TEXTUAL                                                                          </t>
  </si>
  <si>
    <t xml:space="preserve">LETRAS - DIRECAO DA ESCOLA E PROJETO PEDAGOGICO                                                     </t>
  </si>
  <si>
    <t xml:space="preserve">LINGUA FALADA E ENSINO DE PORTUGUES                                                                 </t>
  </si>
  <si>
    <t xml:space="preserve">LINGUA INGLESA                                                                                      </t>
  </si>
  <si>
    <t xml:space="preserve">LINGUA PORTUGUESA - LEITURA E PRODUCAO DE TEXTOS                                                    </t>
  </si>
  <si>
    <t xml:space="preserve">LINGUA PORTUGUESA - VISAO DISCURSIVA                                                                </t>
  </si>
  <si>
    <t xml:space="preserve">LINGUA PORTUGUESA E LITERATURA BRASILEIRA                                                           </t>
  </si>
  <si>
    <t xml:space="preserve">LINGUA PORTUGUESA E LITERATURA DE LINGUA PORTUGUESA                                                 </t>
  </si>
  <si>
    <t xml:space="preserve">LINGUISTICA APLICADA                                                                                </t>
  </si>
  <si>
    <t xml:space="preserve">LITERATURA E ANALISE DO DISCURSO                                                                    </t>
  </si>
  <si>
    <t xml:space="preserve">MELHORAMENTO DA QUALIDADE DA EDUCACAO BASICA                                                        </t>
  </si>
  <si>
    <t xml:space="preserve">METODOLOGIA DO ENSINO                                                                               </t>
  </si>
  <si>
    <t xml:space="preserve">METODOLOGIA DO ENSINO - APRENDIZAGEM DA GEOGRAFIA NO PROCESSO EDUCATIVO                             </t>
  </si>
  <si>
    <t xml:space="preserve">METODOLOGIA DO ENSINO - APRENDIZAGEM DA LINGUA INGLESA NO PROCESSO EDUCATIVO                        </t>
  </si>
  <si>
    <t xml:space="preserve">METODOLOGIA DO ENSINO - APRENDIZAGEM DE CIENCIAS NO PROCESSO EDUCATIVO                              </t>
  </si>
  <si>
    <t xml:space="preserve">METODOLOGIA DO ENSINO APRENDIZAGEM DA HISTORIA NO PROCESSO EDUCATIVO                                </t>
  </si>
  <si>
    <t xml:space="preserve">METODOLOGIA DO ENSINO DA GEOGRAFIA NO PROCESSO EDUCATIVO                                            </t>
  </si>
  <si>
    <t xml:space="preserve">METODOLOGIA DO ENSINO DA MATEMATICA                                                                 </t>
  </si>
  <si>
    <t xml:space="preserve">METODOLOGIA DO ENSINO DA MATEMATICA NO PROCESSO EDUCATIVO                                           </t>
  </si>
  <si>
    <t xml:space="preserve">METODOLOGIA DO ENSINO DA QUIMICA NO ENSINO MEDIO                                                    </t>
  </si>
  <si>
    <t xml:space="preserve">METODOLOGIA DO ENSINO DE 1║ E 2║ GRAUS                                                              </t>
  </si>
  <si>
    <t xml:space="preserve">METODOLOGIA DO ENSINO DE CIENCIAS                                                                   </t>
  </si>
  <si>
    <t xml:space="preserve">METODOLOGIA DO ENSINO DE PORTUGUES                                                                  </t>
  </si>
  <si>
    <t xml:space="preserve">METODOLOGIA DO ENSINO SUPERIOR                                                                      </t>
  </si>
  <si>
    <t xml:space="preserve">METODOLOGIA E DIDATICA DO ENSINO                                                                    </t>
  </si>
  <si>
    <t xml:space="preserve">METODOLOGIAS INOVADORAS APLICADA A EDUCACAO                                                         </t>
  </si>
  <si>
    <t xml:space="preserve">METOLOGIA DO ENSINO DA EDUCACAO FISICA ESCOLAR                                                      </t>
  </si>
  <si>
    <t xml:space="preserve">NOVAS TECNOLOGIAS EM EDUCACAO E TREINAMENTO                                                         </t>
  </si>
  <si>
    <t xml:space="preserve">ORIENTACAO E SUPERVISAO EDUCACIONAL - VISAO INTEGRADA                                               </t>
  </si>
  <si>
    <t xml:space="preserve">ORIENTACAO E SUPERVISAO ESCOLAR                                                                     </t>
  </si>
  <si>
    <t xml:space="preserve">ORIENTACAO PEDAGOGICA EM EDUCACAO A DISTANCIA                                                       </t>
  </si>
  <si>
    <t xml:space="preserve">PEDAGOGIA E QUALIDADE EM EDUCACAO  -  EDUCACAO                                                      </t>
  </si>
  <si>
    <t xml:space="preserve">PEDAGOGIA EMPRESARIAL- ENFASE EM RECURSOS HUMANOS                                                   </t>
  </si>
  <si>
    <t xml:space="preserve">PEDAGOGIA ORGANIZACIONAL E DESENVOLVIMENTO DE RH                                                    </t>
  </si>
  <si>
    <t xml:space="preserve">PESQUISA E ENSINO NO CAMPO DAS ARTES PLASTICAS                                                      </t>
  </si>
  <si>
    <t xml:space="preserve">PLANEJAMENTO DE ENSINO                                                                              </t>
  </si>
  <si>
    <t xml:space="preserve">PLANEJAMENTO EDUCACIONAL                                                                            </t>
  </si>
  <si>
    <t xml:space="preserve">PROCESSO DE ENSINO E APRENDIZAGEM DA LINGUA PORTUGUESA                                              </t>
  </si>
  <si>
    <t xml:space="preserve">PROCESSO DE ENSINO-APRENDIZAGEM - FUNDAMENTACAO FILOSOFICO ANTROPOLOGICA E TECNICO PEDAGOGICA       </t>
  </si>
  <si>
    <t xml:space="preserve">PROCESSO DO ENSINO - APRENDIZAGEM DA LINGUA PORTUGUESA                                              </t>
  </si>
  <si>
    <t xml:space="preserve">SUPERVISAO ESCOLAR E COORDENACAO PEDAGOGICA                                                         </t>
  </si>
  <si>
    <t xml:space="preserve">TECNOLOGIAS DA EDUCACAO                                                                             </t>
  </si>
  <si>
    <t xml:space="preserve">TEORIA E METODO EM HISTORIA MODERNA                                                                 </t>
  </si>
  <si>
    <t xml:space="preserve">TEORIA E PRATICA DO ENSINO SUPERIOR                                                                 </t>
  </si>
  <si>
    <t xml:space="preserve">TEORIA E PRATICA PEDAGOGICA NO ENSINO TECNICO                                                       </t>
  </si>
  <si>
    <t xml:space="preserve">TEXTO E PRODUCAO DO SENTIDO                                                                         </t>
  </si>
  <si>
    <t xml:space="preserve">TUTORIA EM EDUCACAO A DISTANCIA                                                                     </t>
  </si>
  <si>
    <t xml:space="preserve">GESTAO EDUCACIONAL E METODOLOGIA DO ENSINO DE CIENCIAS HUMANAS - HISTORIA E GEOGRAFIA               </t>
  </si>
  <si>
    <t xml:space="preserve">DIREITO EDUCACIONAL NO PROCESSO ENSINO APRENDIZAGEM                                                 </t>
  </si>
  <si>
    <t xml:space="preserve">APRENDIZAGEM UMA FUNDAMENTACAO FILOSOFICO - ANTROPOLOGICA E TECNO-PEDAGOGICA                        </t>
  </si>
  <si>
    <t xml:space="preserve">SUPERVISAO ESCOLAR DE 1 GRAU                                                                        </t>
  </si>
  <si>
    <t xml:space="preserve">ADMINISTRACAO ESCOLAR DE 1 GRAU                                                                     </t>
  </si>
  <si>
    <t xml:space="preserve">INSPECAO ESCOLAR DE 1 GRAU                                                                          </t>
  </si>
  <si>
    <t xml:space="preserve">SUPERVISAO ESCOLAR DE 1 E 2 GRAUS                                                                   </t>
  </si>
  <si>
    <t xml:space="preserve">ADMINISTRACAO ESCOLAR DE 1 E 2 GRAUS                                                                </t>
  </si>
  <si>
    <t xml:space="preserve">INSPECAO ESCOLAR DE 1 E 2 GRAUS                                                                     </t>
  </si>
  <si>
    <t xml:space="preserve">MAGISTERIO DAS MATERIAS PEDAGOGICAS DO ENSINO MEDIO                                                 </t>
  </si>
  <si>
    <t xml:space="preserve">MAGISTERIO DAS SERIES INICIAIS DO ENSINO FUNDAMENTAL                                                </t>
  </si>
  <si>
    <t xml:space="preserve">MAGISTERIO DAS MATERIAS PEDAGOGICAS DO 2 GRAU                                                       </t>
  </si>
  <si>
    <t xml:space="preserve">ADMINISTRACAO DE 2 GRAU                                                                             </t>
  </si>
  <si>
    <t xml:space="preserve">ADMINISTRACAO ESCOLAR DE 2 GRAU                                                                     </t>
  </si>
  <si>
    <t xml:space="preserve">SUPERVISAO ESCOLAR DE 2 GRAU                                                                        </t>
  </si>
  <si>
    <t xml:space="preserve">INSPECAO ESCOLAR DE 2 GRAU                                                                          </t>
  </si>
  <si>
    <t xml:space="preserve">NORMAL SUPERIOR - ANOS INICIAIS DO ENS FUNDAMENTAL                                                  </t>
  </si>
  <si>
    <t xml:space="preserve">NORMAL SUPERIOR - MAGISTERIO DE 1 A 4 SERIES DO ENS FUND                                            </t>
  </si>
  <si>
    <t xml:space="preserve">NORMAL SUPERIOR - MAGISTERIO DE ED INFANTIL E ANOS INICIAIS DO ENS FUNDAMENTAL                      </t>
  </si>
  <si>
    <t xml:space="preserve">METODOLOGIA DO ENSINO DE EDUCACAO                                                                   </t>
  </si>
  <si>
    <t xml:space="preserve">FORMACAO DE PROFS PARA AS QUATRO PRIMEIRAS SERIES DO ENS FUND                                       </t>
  </si>
  <si>
    <t xml:space="preserve">TEORIA E PRATICA EM SUPERVISAO EDUCACIONAL                                                          </t>
  </si>
  <si>
    <t xml:space="preserve">PESQUISA E DOCENCIA DO ENSINO SUPERIOR                                                              </t>
  </si>
  <si>
    <t xml:space="preserve">TECNOLOGIA DE ENSINO EM CIENCIAS                                                                    </t>
  </si>
  <si>
    <t xml:space="preserve">ADMINISTRACAO E SUPERVISAO ESCOLAR                                                                  </t>
  </si>
  <si>
    <t xml:space="preserve">METODOLOGIA DO ENSINO DA FISICA NO ENSINO MEDIO                                                     </t>
  </si>
  <si>
    <t xml:space="preserve">ESPECIALIZACAO EM ENSINO DA GEOGRAFIA                                                               </t>
  </si>
  <si>
    <t xml:space="preserve">EDUCACAO MOTORA NA ESCOLA                                                                           </t>
  </si>
  <si>
    <t xml:space="preserve">METODOLOGIA DO ENSINO DA HISTORIA NO PROCESSO EDUCATIVO                                             </t>
  </si>
  <si>
    <t xml:space="preserve">FUNDAMENTOS TEORICOS METODOLOGICOS DO PROCESSO EDUCATIVO                                            </t>
  </si>
  <si>
    <t xml:space="preserve">GESTAO EDUCACIONAL                                                                                  </t>
  </si>
  <si>
    <t xml:space="preserve">O PROCESSO DE ENSINO-APRENDIZAGEM DA LINGUA PORTUGUESA                                              </t>
  </si>
  <si>
    <t xml:space="preserve">ADMINISTRACAO, ORIENTACAO E SUPERVISAO NA EDUCACAO BASICA: GESTAO EDUCACIONAL                       </t>
  </si>
  <si>
    <t xml:space="preserve">FORMACAO PEDAGOGICA                                                                                 </t>
  </si>
  <si>
    <t xml:space="preserve">MAGISTERIO DA EDUCACAO INFANTIL E DOS ANOS INICIAIS DO ENSINO FUNDAMENTAL                           </t>
  </si>
  <si>
    <t xml:space="preserve">SUPERVISAO ESCOLAR E COORDENACAO PEDAGOGICA: ENFASE EM EDUCACAO ESPECIAL E INCLUSIVA                </t>
  </si>
  <si>
    <t xml:space="preserve">METODOLOGIA DO ENSINO - APRENDIZAGEM DE MATEMATICA NO PROCESSO EDUCATIVO                            </t>
  </si>
  <si>
    <t xml:space="preserve">SUPERVISAO EDUCACIONAL E PSICOPEDAGOGIA                                                             </t>
  </si>
  <si>
    <t xml:space="preserve">INSPECAO ESCOLAR NO ATUAL CONTEXTO EDUCACIONAL COM ENFASE EM EDUCACAO ESPECIAL E INCLUSIVA          </t>
  </si>
  <si>
    <t xml:space="preserve">ENSINO DAS DISCIPLINAS E ATIVIDADES PRATICAS DOS CURSOS NORMAIS                                     </t>
  </si>
  <si>
    <t xml:space="preserve">METODOLOGIA DO ENSINO DA CIENCIA NO PROCESSO EDUCATIVO                                              </t>
  </si>
  <si>
    <t xml:space="preserve">DOCENCIA DO ENSINO SUPERIOR - NOVAS LINGUAGENS E NOVAS ABORDAGENS                                   </t>
  </si>
  <si>
    <t xml:space="preserve">PSICOMOTRICIDADE E EDUCACAO                                                                         </t>
  </si>
  <si>
    <t xml:space="preserve">COORDENACAO PEDAGOGICA - ENFASE EM EDUCACAO ESPECIAL E INCLUSIVA                                    </t>
  </si>
  <si>
    <t xml:space="preserve">DIDATICA - FUNDAMENTOS E PRATICA                                                                    </t>
  </si>
  <si>
    <t xml:space="preserve">METODOLOGIA DO ENSINO - APRENDIZAGEM EM LINGUA PORTUGUESA                                           </t>
  </si>
  <si>
    <t xml:space="preserve">DIDATICA                                                                                            </t>
  </si>
  <si>
    <t xml:space="preserve">DIDATICA DO ENSINO SUPERIOR                                                                         </t>
  </si>
  <si>
    <t xml:space="preserve">METODOLOGIA DO ENSINO EM ESTUDOS SOCIAIS                                                            </t>
  </si>
  <si>
    <t xml:space="preserve">INOVACOES METODOLOGICAS NA EDUCACAO                                                                 </t>
  </si>
  <si>
    <t xml:space="preserve">MET DO ENSINO DA ED INFANTIL E PRIMEIRAS SERIES DO ENS FUNDAMENTAL                                  </t>
  </si>
  <si>
    <t xml:space="preserve">METODOLOGIA DO ENSINO DA CIENCIAS NO PROCESSO EDUCATIVO                                             </t>
  </si>
  <si>
    <t xml:space="preserve">METODOLOGIA DO ENSINO APRENDIZAGEM EM MATEMATICA                                                    </t>
  </si>
  <si>
    <t xml:space="preserve">MAG DAS S INICIAIS DO ENS FUNDAMENTAL E MAT PEDAGOGICAS                                             </t>
  </si>
  <si>
    <t xml:space="preserve">SUPERVISAO ESCOLAR NA EDUCACAO BASICA                                                               </t>
  </si>
  <si>
    <t xml:space="preserve">AVALIACAO: AREA ESCOLAR                                                                             </t>
  </si>
  <si>
    <t xml:space="preserve">INSPECAO EDUCACIONAL                                                                                </t>
  </si>
  <si>
    <t xml:space="preserve">FUNDAMENTOS EM PRATICA INTERDISCIPLINAR: 1║ E 2║ CICLOS DO ENSINO FUNDAMENTAL                       </t>
  </si>
  <si>
    <t xml:space="preserve">ORGANIZACAO E GERENCIAMENTO DA EDUCACAO FISICA ESCOLAR E DE RECREACAO E LAZER                       </t>
  </si>
  <si>
    <t xml:space="preserve">ENSINO DE LINGUA PORTUGUESA                                                                         </t>
  </si>
  <si>
    <t xml:space="preserve">METODOLOGIA DE CIENCIAS                                                                             </t>
  </si>
  <si>
    <t xml:space="preserve">MAGISTERIO DE MATERIAS PEDAGOGICAS DE FORMACAO DOCENTE                                              </t>
  </si>
  <si>
    <t xml:space="preserve">MAGISTERIO DAS SERIES INICIAIS DO ENSINO FUNDAMENTAL E DA EDUCACAO ESPECIAL                         </t>
  </si>
  <si>
    <t xml:space="preserve">ALFABETIZACAO E APRENDIZAGEM                                                                        </t>
  </si>
  <si>
    <t xml:space="preserve">PROBLEMAS NO ENSINO ESCOLAR                                                                         </t>
  </si>
  <si>
    <t xml:space="preserve">DIDATICA DO ENSINO ESPECIAL - UMA VISAO INTEGRADORA                                                 </t>
  </si>
  <si>
    <t xml:space="preserve">PROF DAS DISC E ATIV PRATICAS DOS CURSOS DE FORMACAO DE PROF DO 1║ E 2║ GRAUS                       </t>
  </si>
  <si>
    <t xml:space="preserve">ADMINISTRACAO EDUCACIONAL                                                                           </t>
  </si>
  <si>
    <t xml:space="preserve">METODOLOGIA DO ENSINO E DA PESQUISA EM MATEMATICA                                                   </t>
  </si>
  <si>
    <t xml:space="preserve">PROBLEMAS NO DESEMPENHO ESCOLAR                                                                     </t>
  </si>
  <si>
    <t xml:space="preserve">GESTAO ESCOLAR                                                                                      </t>
  </si>
  <si>
    <t xml:space="preserve">DOCENCIA UNIVERSITARIA NA AREA DE HISTORIA                                                          </t>
  </si>
  <si>
    <t xml:space="preserve">PRE-ESCOLA                                                                                          </t>
  </si>
  <si>
    <t xml:space="preserve">BIOLOGIA: ENSINO E PESQUISA                                                                         </t>
  </si>
  <si>
    <t xml:space="preserve">PEDAGOGIA INDUSTRIAL                                                                                </t>
  </si>
  <si>
    <t xml:space="preserve">METODOLOGIA DO ENSINO DE HISTORIA                                                                   </t>
  </si>
  <si>
    <t xml:space="preserve">METODOLOGIA DO ENSINO FUNDAMENTAL E MEDIO                                                           </t>
  </si>
  <si>
    <t xml:space="preserve">METODOLOGIA EDUCACIONAL                                                                             </t>
  </si>
  <si>
    <t xml:space="preserve">GESTAO ESCOLAR - PROJETO E PLANEJAMENTO                                                             </t>
  </si>
  <si>
    <t xml:space="preserve">METODOLOGIA DO ENSINO DA LINGUA INGLESA NO PROCESSO EDUCATIVO                                       </t>
  </si>
  <si>
    <t xml:space="preserve">MAGISTERIO DAS MATERIAS PEDAGOGICAS DO ENSINO FUNDAMENTAL E MEDIO                                   </t>
  </si>
  <si>
    <t xml:space="preserve">PROFESSOR DA PARTE DE FORMACAO ESPECIAL DO CURRICULO DE ENSINO DE 2║ GRAU                           </t>
  </si>
  <si>
    <t xml:space="preserve">NORMAL SUPERIOR: EDUCACAO INFANTIL                                                                  </t>
  </si>
  <si>
    <t xml:space="preserve">DIDATICA E METODOLOGIA DA LINGUA PORTUGUESA                                                         </t>
  </si>
  <si>
    <t xml:space="preserve">ENSINO DA LINGUA INGLESA                                                                            </t>
  </si>
  <si>
    <t xml:space="preserve">METODOLOGIA DA MATEMATICA                                                                           </t>
  </si>
  <si>
    <t xml:space="preserve">ENSINO DE HISTORIA DO BRASIL                                                                        </t>
  </si>
  <si>
    <t xml:space="preserve">ENSINO DE FISICA                                                                                    </t>
  </si>
  <si>
    <t xml:space="preserve">TEORIA E PESQUISA NO ENSINO DE HISTORIA                                                             </t>
  </si>
  <si>
    <t xml:space="preserve">DOCENTES E ESPECIALISTAS EM ESCOLA NORMAL - AREA DE INGLES                                          </t>
  </si>
  <si>
    <t xml:space="preserve">METODOLOGIA DO ENSINO DA LINGUA PORTUGUESA                                                          </t>
  </si>
  <si>
    <t xml:space="preserve">LINGUA PORTUGUESA: INTERDISCIPLINALIDADE                                                            </t>
  </si>
  <si>
    <t xml:space="preserve">ADMINISTRACAO, SUPERVISAO E INSPECAO ESCOLAR                                                        </t>
  </si>
  <si>
    <t xml:space="preserve">HABILITACAO PEDAGOGIA: EDUCACAO DE EXCEPCIONAIS DEFICIENTES MENTAIS                                 </t>
  </si>
  <si>
    <t xml:space="preserve">EDUCACAO: NOVOS PARADIGMAS                                                                          </t>
  </si>
  <si>
    <t xml:space="preserve">COORDENACAO/SUPERVISAO PEDAGOGICA                                                                   </t>
  </si>
  <si>
    <t xml:space="preserve">SUPERVISAO EDUCACIONAL                                                                              </t>
  </si>
  <si>
    <t xml:space="preserve">EDUCACAO - MATEMATICA SUPERIOR                                                                      </t>
  </si>
  <si>
    <t xml:space="preserve">GESTAO E PLANEJAMENTO ESCOLAR                                                                       </t>
  </si>
  <si>
    <t xml:space="preserve">MATEMATICA EDUCACIONAL                                                                              </t>
  </si>
  <si>
    <t xml:space="preserve">GEOGRAFIA E ENSINO: PROPOSTAS METODOLOGICAS                                                         </t>
  </si>
  <si>
    <t xml:space="preserve">SUPERVISAO EM ESCOLAS E EMPRESAS                                                                    </t>
  </si>
  <si>
    <t xml:space="preserve">EDUCACAO ESPECIAL: UM NOVO PARADIGMA                                                                </t>
  </si>
  <si>
    <t xml:space="preserve">DIDATICA DE METODOLOGIA                                                                             </t>
  </si>
  <si>
    <t xml:space="preserve">DIDATICA DE METODOLOGIA DO ENSINO SUPERIOR                                                          </t>
  </si>
  <si>
    <t xml:space="preserve">FORMACAO DE PROFESSORES DA PARTE ESPECIAL DO CURRICULO DO ENSINO DE 2 GRAU                          </t>
  </si>
  <si>
    <t xml:space="preserve">MAGISTERIO PARA AS CLASSES DE ALFABETIZACAO                                                         </t>
  </si>
  <si>
    <t xml:space="preserve">GESTAO E EDUCACAO                                                                                   </t>
  </si>
  <si>
    <t xml:space="preserve">PROCESSO DO ENSINO APRENDIZAGEM DA EDUCACAO INFANTIL E SERIES INICIAIS                              </t>
  </si>
  <si>
    <t xml:space="preserve">EDUCACAO BRASILEIRA                                                                                 </t>
  </si>
  <si>
    <t xml:space="preserve">SUPERVISAO E INSPECAO ESCOLAR                                                                       </t>
  </si>
  <si>
    <t xml:space="preserve">SUPERVISAO E ORIENTACAO                                                                             </t>
  </si>
  <si>
    <t xml:space="preserve">SUPERVISAO EDUCACIONAL: ENFASE EM COORDENACAO PEDAGOGICA                                            </t>
  </si>
  <si>
    <t xml:space="preserve">ORIENTACAO EDUCACIONAL: ENFASE EM PSICOPEDAGOGIA NUMA PERSPECTIVA INCLUSIVA                         </t>
  </si>
  <si>
    <t xml:space="preserve">ENSINO DE ESTATISTICA                                                                               </t>
  </si>
  <si>
    <t xml:space="preserve">METODOLOGIA DO ENSINO SUPERIOR NOVAS TECNOLOGIAS                                                    </t>
  </si>
  <si>
    <t xml:space="preserve">ESPECIALIZACAO DO PEDAGOGO                                                                          </t>
  </si>
  <si>
    <t xml:space="preserve">METODOLOGIA E DIDATICA DO ENSINO SUPERIOR                                                           </t>
  </si>
  <si>
    <t xml:space="preserve">PSICOPEDAGOGIA COM ENFASE EM METODOLOGIA DE ENSINO                                                  </t>
  </si>
  <si>
    <t xml:space="preserve">ADOLESCENCIA E SOCIEDADE CONTEMPORANEA: FUNDAMENTOS PARA UMA PRATICA INTERDISCIPLINAR               </t>
  </si>
  <si>
    <t xml:space="preserve">ENSINO DE PORTUGUES: O PROFESSOR LEITOR, AUTOR E ANALISTA DE TEXTOS                                 </t>
  </si>
  <si>
    <t xml:space="preserve">LETRAS - PRODUCAO DE TEXTOS                                                                         </t>
  </si>
  <si>
    <t xml:space="preserve">DOCENCIA DO ENSINO MEDIO E SUPERIOR                                                                 </t>
  </si>
  <si>
    <t xml:space="preserve">EDUCACAO - CURRICULO E PRATICA EDUCATIVA                                                            </t>
  </si>
  <si>
    <t xml:space="preserve">EDUCACAO PARA A CIENCIA                                                                             </t>
  </si>
  <si>
    <t xml:space="preserve">METODOS E TECNICAS DE ENSINO                                                                        </t>
  </si>
  <si>
    <t xml:space="preserve">EDUCACAO FISICA INFANTIL                                                                            </t>
  </si>
  <si>
    <t xml:space="preserve">EDUCACAO INFANTIL: CRECHE E PRE-ESCOLA                                                              </t>
  </si>
  <si>
    <t xml:space="preserve">METODOLOGIA DO ENSINO DE CIENCIAS SOCIAIS - HISTORIA E GEOGRAFIA                                    </t>
  </si>
  <si>
    <t xml:space="preserve">EDUCACAO RELIGIOSA                                                                                  </t>
  </si>
  <si>
    <t xml:space="preserve">METODOLOGIA DO ENSINO RELIGIOSO                                                                     </t>
  </si>
  <si>
    <t xml:space="preserve">PRATICA DE ENSINO DE FISICA                                                                         </t>
  </si>
  <si>
    <t xml:space="preserve">ALFABETIZACAO E LETRAMENTO                                                                          </t>
  </si>
  <si>
    <t xml:space="preserve">FUNDAMENTOS SOCIOLOGICOS DA PRATICA PEDAGOGICA                                                      </t>
  </si>
  <si>
    <t xml:space="preserve">EDUCACAO ESPECIAL COM ENFASE EM INCLUSAO                                                            </t>
  </si>
  <si>
    <t xml:space="preserve">ENSINO DE GEOGRAFIA                                                                                 </t>
  </si>
  <si>
    <t xml:space="preserve">EDUCACAO EM MATEMATICA                                                                              </t>
  </si>
  <si>
    <t xml:space="preserve">DIDATICA E METODOLOGIA                                                                              </t>
  </si>
  <si>
    <t xml:space="preserve">DIDATICA: O ENSINO E A PESQUISA NA EDUCACAO                                                         </t>
  </si>
  <si>
    <t xml:space="preserve">DOCENCIA PARA A EDUCACAO PROFISSIONAL                                                               </t>
  </si>
  <si>
    <t xml:space="preserve">TECNOLOGIAS NA EDUCACAO                                                                             </t>
  </si>
  <si>
    <t xml:space="preserve">EMERGENCIA DE SAUDE NA EDUCACAO INCLUSIVA                                                           </t>
  </si>
  <si>
    <t xml:space="preserve">EDUCACAO: AREA PEDAGOGICA EMPRESARIAL                                                               </t>
  </si>
  <si>
    <t xml:space="preserve">SUPERVISAO/COORDENACAO PEDAGOGICA                                                                   </t>
  </si>
  <si>
    <t xml:space="preserve">INSPECAO E SUPERVISAO ESCOLAR                                                                       </t>
  </si>
  <si>
    <t xml:space="preserve">CIENCIAS E PRATICAS EDUCATIVAS                                                                      </t>
  </si>
  <si>
    <t xml:space="preserve">ENSINO DE GEOCIENCIAS                                                                               </t>
  </si>
  <si>
    <t xml:space="preserve">GEOGRAFIA: A PRATICA DOCENTE                                                                        </t>
  </si>
  <si>
    <t xml:space="preserve">DIDATICA E METODOLOGIA DO ENSINO FUNDAMENTAL E SUPERIOR                                             </t>
  </si>
  <si>
    <t xml:space="preserve">FUNDAMENTOS DE EDUCACAO                                                                             </t>
  </si>
  <si>
    <t xml:space="preserve">TECNOLOGIA EDUCACIONAL                                                                              </t>
  </si>
  <si>
    <t xml:space="preserve">FUNDAMENTOS TEORICOS E METODOLOGICOS DO ENSINO DA EDUCACAO FISICA ESCOLAR                           </t>
  </si>
  <si>
    <t xml:space="preserve">EDUCACAO ESPECIAL E INFANTIL COM ENFASE EM ALFABETIZACAO                                            </t>
  </si>
  <si>
    <t xml:space="preserve">ATIVIDADES PRATICO EXPERIMENTAIS NA EDUCACAO EM CIENCIAS E TECNOLOGIA                               </t>
  </si>
  <si>
    <t xml:space="preserve">SUPERVISAO ESCOLAR E COORDENACAO PEDAGOGICA COM ENFASE EM EDUCACAO ESPECIAL INCLUSIVA               </t>
  </si>
  <si>
    <t xml:space="preserve">EDUCACAO INFANTIL E ESPECIAL                                                                        </t>
  </si>
  <si>
    <t xml:space="preserve">ORIENTACAO EDUCACIONAL E VOCACIONAL                                                                 </t>
  </si>
  <si>
    <t xml:space="preserve">A PRODUCAO DO CONHECIMENTO NA ESCOLA BASICA: DA PRE-ESCOLA A QUARTA SERIE                           </t>
  </si>
  <si>
    <t xml:space="preserve">ADMINISTRACAO E INSPECAO ESCOLAR                                                                    </t>
  </si>
  <si>
    <t xml:space="preserve">FORMACAO DE PROFESSORES PARA AS DISCIPLINAS PROFISSIONAIS DE ENSINO TECNICO                         </t>
  </si>
  <si>
    <t xml:space="preserve">ENSINO DA EDUCACAO FISICA                                                                           </t>
  </si>
  <si>
    <t xml:space="preserve">METODOLOGIA DO ENSINO E DA PESQUISA EM PSICOPEDAGOGIA                                               </t>
  </si>
  <si>
    <t xml:space="preserve">GESTAO E DOCENCIA DA EDUCACAO INFANTIL                                                              </t>
  </si>
  <si>
    <t xml:space="preserve">O ENSINO DA LINGUA PORTUGUESA : LEITURA E ESCRITA (ABORDAGEM INTERACIONISTA)                        </t>
  </si>
  <si>
    <t xml:space="preserve">O ENSINO DA GEOGRAFIA DO BRASIL                                                                     </t>
  </si>
  <si>
    <t xml:space="preserve">ESPECIALIZACAO EM ENSINO                                                                            </t>
  </si>
  <si>
    <t xml:space="preserve">ENSINO DE CIENCIAS POR INVESTIGACAO                                                                 </t>
  </si>
  <si>
    <t xml:space="preserve">PSICOPEDAGOGIA: ARTICULACOES TEORICOS-PRATICAS                                                      </t>
  </si>
  <si>
    <t xml:space="preserve">PRATICA DOCENTE, FUNDAMENTOS TECNICAS                                                               </t>
  </si>
  <si>
    <t xml:space="preserve">METODOLOGIA DE ENSINO: QUALIFICACAO, APERFEICOAMENTO, E ATUALIZACAO DO MAGISTERIO                   </t>
  </si>
  <si>
    <t xml:space="preserve">ADMINISTRACAO, SUPERVISAO E ORIENTACAO EDUCACIONAL                                                  </t>
  </si>
  <si>
    <t xml:space="preserve">ENSINO DE GENETICA                                                                                  </t>
  </si>
  <si>
    <t xml:space="preserve">FORMACAO DE PROFESSORES PARA AS SERIES INICIAIS DA EDUCACAO BASICA                                  </t>
  </si>
  <si>
    <t xml:space="preserve">MAGISTERIO DAS SERIES INICIAIS                                                                      </t>
  </si>
  <si>
    <t xml:space="preserve">DOCENCIA DO 3O GRAU                                                                                 </t>
  </si>
  <si>
    <t xml:space="preserve">ALFABETIZACAO ESCOLAR                                                                               </t>
  </si>
  <si>
    <t xml:space="preserve">DIDATICA DO MAGISTERIO SUPERIOR                                                                     </t>
  </si>
  <si>
    <t xml:space="preserve">ORIENTACAO EDUCACIONAL: ENFASE EM PSICOPEDAGOGIA PREVENTIVA                                         </t>
  </si>
  <si>
    <t xml:space="preserve">METODOLOGIA DO ENSINO DE CIENCIAS E BIOLOGIA                                                        </t>
  </si>
  <si>
    <t xml:space="preserve">FORMACAO MULTIDISCIPLINAR PARA A DOCENCIA NOS ANOS INICIAIS DO ENSINO FUNDAMENTAL                   </t>
  </si>
  <si>
    <t xml:space="preserve">DIDATICA: NOCOES/ORIENTACAO EDUCACIONAL                                                             </t>
  </si>
  <si>
    <t xml:space="preserve">EXERCICIO DA DOCENCIA NA EDUCACAO BASICA                                                            </t>
  </si>
  <si>
    <t xml:space="preserve">EDUCACAO E MOVIMENTO                                                                                </t>
  </si>
  <si>
    <t xml:space="preserve">DIDATICA, CONSTRUTIVISMO E EDUCACAO                                                                 </t>
  </si>
  <si>
    <t xml:space="preserve">METODOLOGIA DA APRENDIZAGEM E TREINAMENTO DO FUTEBOL E DO FUTSAL                                    </t>
  </si>
  <si>
    <t xml:space="preserve">CIENCIAS EDUCATIVAS                                                                                 </t>
  </si>
  <si>
    <t xml:space="preserve">DOCENCIA NA EDUCACAO SUPERIOR                                                                       </t>
  </si>
  <si>
    <t xml:space="preserve">PSICOLOGIA E EDUCACAO                                                                               </t>
  </si>
  <si>
    <t xml:space="preserve">DOCENCIA EM ENSINO SUPERIOR                                                                         </t>
  </si>
  <si>
    <t xml:space="preserve">METODOLOGIA DA EDUCACAO INTERDISCIPLINAR                                                            </t>
  </si>
  <si>
    <t xml:space="preserve">DIDATICA: A PRATICA ESCOLAR NOS DIFERENTES NIVEIS DE ENSINO                                         </t>
  </si>
  <si>
    <t xml:space="preserve">METODOLOGIA DO ENSINO DA LINGUA INGLESA                                                             </t>
  </si>
  <si>
    <t xml:space="preserve">ADMINISTRACAO, ORIENTACAO E SUPERVISAO EDUCACIONAL                                                  </t>
  </si>
  <si>
    <t xml:space="preserve">DOCENCIA UNIVERSITARIA NA AREA DE PEDAGOGIA                                                         </t>
  </si>
  <si>
    <t xml:space="preserve">PEDAGOGIA ENFASE EM PSICOPEDAGOGIA                                                                  </t>
  </si>
  <si>
    <t xml:space="preserve">LING▄ISTICA APLICADA AO ENSINO DA LINGUA PORTUGUESA                                                 </t>
  </si>
  <si>
    <t xml:space="preserve">PEDAGOGIA E DIDATICA APLICADA A APRENDIZAGEM                                                        </t>
  </si>
  <si>
    <t xml:space="preserve">DOCENCIA DE LINGUA INGLESA                                                                          </t>
  </si>
  <si>
    <t xml:space="preserve">EDUCACAO INFANTIL E ALFABETIZACAO                                                                   </t>
  </si>
  <si>
    <t xml:space="preserve">METODOLOGIA DO ENSINO E DA PESQUISA EM MATEMATICA E FISICA                                          </t>
  </si>
  <si>
    <t xml:space="preserve">METODOLOGIA DO ENSINO E DA PESQUISA EM LINGUA PORTUGUESA                                            </t>
  </si>
  <si>
    <t xml:space="preserve">ENSINO DE CIENCIAS                                                                                  </t>
  </si>
  <si>
    <t xml:space="preserve">METODOLOGIA DO ENSINO EM ADMINISTRACAO E SUPERVISAO ESCOLAR                                         </t>
  </si>
  <si>
    <t xml:space="preserve">EDUCACAO PARA O PENSAR                                                                              </t>
  </si>
  <si>
    <t xml:space="preserve">METODOLOGIA DO ENSINO DAS CIENCIAS FISICAS E BIOLOGICAS                                             </t>
  </si>
  <si>
    <t xml:space="preserve">METODOS E TECNICAS EDUCACIONAIS                                                                     </t>
  </si>
  <si>
    <t xml:space="preserve">GESTAO, ORIENTACAO, SUPERVISAO ESCOLAR                                                              </t>
  </si>
  <si>
    <t xml:space="preserve">PEDAGOGIA E DIDATICA APLICADA A ENFERMAGEM                                                          </t>
  </si>
  <si>
    <t xml:space="preserve">HABILITACAO PEDAGOGIA: COORDENACAO PEDAGOGICA                                                       </t>
  </si>
  <si>
    <t xml:space="preserve">PRATICA PEDAGOGICA NO ENSINO SUPERIOR                                                               </t>
  </si>
  <si>
    <t xml:space="preserve">ORGANIZACAO E PROCESSOS DO ENSINO SUPERIOR                                                          </t>
  </si>
  <si>
    <t xml:space="preserve">FORMACAO DO PROFESSOR PARA ATUAR COM O PORTADOR DE NECESSIDADES ESPECIAIS                           </t>
  </si>
  <si>
    <t xml:space="preserve">DIDATICAS E ALTERNATIVAS TECNOLOGICAS EM CONTEXTOSEDUCATIVOS                                        </t>
  </si>
  <si>
    <t xml:space="preserve">HABILITACAO DE PEDAGOGIA: GESTAO DE ATIVIDADE EDUCATIVA                                             </t>
  </si>
  <si>
    <t xml:space="preserve">MAGISTERIO EM EDUCACAO PRE-ESCOLAR                                                                  </t>
  </si>
  <si>
    <t xml:space="preserve">PESQUISA E DOCENCIA EM HISTORIA                                                                     </t>
  </si>
  <si>
    <t xml:space="preserve">PSICOPEDAGOGIA EM CONTEXTOS EDUCACIONAIS                                                            </t>
  </si>
  <si>
    <t xml:space="preserve">EDUCACAO ESCOLAR NAS SERIES INICIAIS DO ENSINO FUNDAMENTAL                                          </t>
  </si>
  <si>
    <t xml:space="preserve">METODOLOGIA DA EDUCACAO E REEDUCACAO PSICOMOTORA                                                    </t>
  </si>
  <si>
    <t xml:space="preserve">INSPECAO ESCOLAR: FORMACAO, IDENTIDADE E PRATICAS PEDAGOGICAS                                       </t>
  </si>
  <si>
    <t xml:space="preserve">PREVENCAO E INTERVENCAO PSICOLOGICA NO FRACASSO ESCOLAR                                             </t>
  </si>
  <si>
    <t xml:space="preserve">GESTAO COLEGIADA DA ESCOLA CATOLICA                                                                 </t>
  </si>
  <si>
    <t xml:space="preserve">AVALIACAO EDUCACIONAL                                                                               </t>
  </si>
  <si>
    <t xml:space="preserve">LINGUISTICA TEXTUAL: LEITURA E PRODUCAO DE TEXTOS NA SALA DE AULA                                   </t>
  </si>
  <si>
    <t xml:space="preserve">DIDATICA: SUPERVISAO ESCOLAR                                                                        </t>
  </si>
  <si>
    <t xml:space="preserve">EDUCACAO ESPECIAL: EDUCACAO PARA A DIVERSIDADE E SINGULARIDADE HUMANAS                              </t>
  </si>
  <si>
    <t xml:space="preserve">INSTRUMENTACAO PARA O ENSINO DA MATEMATICA                                                          </t>
  </si>
  <si>
    <t xml:space="preserve">CIENCIAS DA RELIGIAO (COM ENFASE EM EDUCACAO RELIGIOSA ESCOLAR)                                     </t>
  </si>
  <si>
    <t xml:space="preserve">INSTRUMENTACAO PARA O ENSINO DA QUIMICA                                                             </t>
  </si>
  <si>
    <t xml:space="preserve">TREINAMENTO TECNICO DESPORTIVO - MODALIDADE VOLEIBOL                                                </t>
  </si>
  <si>
    <t xml:space="preserve">EDUCACAO INFANTIL: A CONSTRUCAO DO CONHECIMENTO PELA CRIANCA DE 0 A 10 ANOS                         </t>
  </si>
  <si>
    <t xml:space="preserve">ENSINO E EDUCACAO AMBIENTAL                                                                         </t>
  </si>
  <si>
    <t xml:space="preserve">TEORIA E METODOLOGIA DO ENSINO E DA PESQUISA EM HISTORIA                                            </t>
  </si>
  <si>
    <t xml:space="preserve">MAGISTERIO SUPERIOR                                                                                 </t>
  </si>
  <si>
    <t xml:space="preserve">INSTRUMENTACAO PARA O ENSINO DA GEOGRAFIA                                                           </t>
  </si>
  <si>
    <t xml:space="preserve">EDUCACAO ESCOLAR NO ENSINO FUNDAMENTAL                                                              </t>
  </si>
  <si>
    <t xml:space="preserve">O ESPECIALISTA HOJE                                                                                 </t>
  </si>
  <si>
    <t xml:space="preserve">ESTRUTURA E FUNCIONAMENTO DO ENSINO DE 1║ GRAU                                                      </t>
  </si>
  <si>
    <t xml:space="preserve">MAGISTERIO PARA A PRE-ESCOLA                                                                        </t>
  </si>
  <si>
    <t xml:space="preserve">EDUCACAO PRE-ESCOLAR E ALFABETIZACAO                                                                </t>
  </si>
  <si>
    <t xml:space="preserve">ENSINO E APRENDIZAGEM DE LINGUA ESTRANGEIRA                                                         </t>
  </si>
  <si>
    <t xml:space="preserve">ENSINO DE CIENCIAS E BIOLOGIA COM ENFASE EM EDUCACAO AMBIENTAL                                      </t>
  </si>
  <si>
    <t xml:space="preserve">EDUCACAO ESPECIAL: UMA VISAO INTEGRADORA                                                            </t>
  </si>
  <si>
    <t xml:space="preserve">EDUCACAO E O ENSINO DA HISTORIA                                                                     </t>
  </si>
  <si>
    <t xml:space="preserve">GESTAO, ORIENTACAO E SUPERVISAO ESCOLAR                                                             </t>
  </si>
  <si>
    <t xml:space="preserve">EDUCACAO, COMUNICACAO E TECNOLOGIA                                                                  </t>
  </si>
  <si>
    <t xml:space="preserve">DOCENCIA DO ENSINO SUPERIOR - TEORIA E PRATICA                                                      </t>
  </si>
  <si>
    <t xml:space="preserve">EDUCACAO PRE-PRIMARIA                                                                               </t>
  </si>
  <si>
    <t xml:space="preserve">ENSINO DA LINGUA PORTUGUESA E DA LITERATURA BRASILEIRA                                              </t>
  </si>
  <si>
    <t xml:space="preserve">PRATICAS PEDAGOGICAS NA EDUCACAO BASICA                                                             </t>
  </si>
  <si>
    <t xml:space="preserve">PRE-ESCOLAR                                                                                         </t>
  </si>
  <si>
    <t xml:space="preserve">DOCENCIA NA EDUCACAO INFANTIL                                                                       </t>
  </si>
  <si>
    <t xml:space="preserve">EDUCACAO ESPECIAL E SERIES INICIAIS DO ENSINO FUNDAMENTAL INTEGRADA A FORMACAO P GESTAO EDUCACIONAL </t>
  </si>
  <si>
    <t xml:space="preserve">MAGISTERIO DA PRE-ESCOLA E DAS SERIES INICIAIS DO ENSINO FUNDAMENTAL                                </t>
  </si>
  <si>
    <t xml:space="preserve">ALFABETIZACAO, LEITURA E ESCRITA                                                                    </t>
  </si>
  <si>
    <t xml:space="preserve">EDUCACAO DE ADULTOS                                                                                 </t>
  </si>
  <si>
    <t xml:space="preserve">MAGISTERIO DE DISCIPLINAS ESPECIFICAS DO ENSINO NORMAL (MAGISTERIO DO 1║ E 2║ GRAU)                 </t>
  </si>
  <si>
    <t xml:space="preserve">GESTAO DE ATIVIDADE EDUCATIVA                                                                       </t>
  </si>
  <si>
    <t xml:space="preserve">GESTAO DE SISTEMAS EDUCACIONAIS                                                                     </t>
  </si>
  <si>
    <t xml:space="preserve">GESTAO CONTEMPORANEA DA EDUCACAO ESCOLAR                                                            </t>
  </si>
  <si>
    <t xml:space="preserve">ORIENTACAO PROFISSIONAL                                                                             </t>
  </si>
  <si>
    <t xml:space="preserve">FORMACAO DE ESPECIALISTA EM EDUCACAO                                                                </t>
  </si>
  <si>
    <t xml:space="preserve">GESTAO EDUCACIONAL E COORDENACAO PEDAGOGICA                                                         </t>
  </si>
  <si>
    <t xml:space="preserve">TEXTO E PRODUCAO DE SENTIDO: APRENDER E ENSINAR                                                     </t>
  </si>
  <si>
    <t xml:space="preserve">APERFEICOAMENTO EM EDUCACAO MATEMATICA                                                              </t>
  </si>
  <si>
    <t xml:space="preserve">EDUCACAO E TRABALHO                                                                                 </t>
  </si>
  <si>
    <t xml:space="preserve">DIDATICA E METODOLOGIA DO ENSINO BASICO AO SUPERIOR                                                 </t>
  </si>
  <si>
    <t xml:space="preserve">ARTE E ENSINO                                                                                       </t>
  </si>
  <si>
    <t xml:space="preserve">METODOLOGIA DO ENSINO DA CIENCIA DE FISICA                                                          </t>
  </si>
  <si>
    <t xml:space="preserve">EDUCACAO INFANTIL E SERIES INICIAIS DO ENSINO FUNDAMENTAL                                           </t>
  </si>
  <si>
    <t xml:space="preserve">METODOLOGIA DO ENSINO FUNDAMENTAL                                                                   </t>
  </si>
  <si>
    <t xml:space="preserve">METODOLOGIA DA EDUCACAO FISICA ESCOLAR                                                              </t>
  </si>
  <si>
    <t xml:space="preserve">METODOLOGIA DO ENSINO E APRENDIZAGEM EM GEOGRAFIA                                                   </t>
  </si>
  <si>
    <t xml:space="preserve">INSTRUMENTACAO PARA O ENSINO DE BIOLOGIA                                                            </t>
  </si>
  <si>
    <t xml:space="preserve">METODOLOGIA DO ENSINO DE GEOGRAFIA                                                                  </t>
  </si>
  <si>
    <t xml:space="preserve">COORDENACAO DE PROCESSOS EDUCATIVOS ESCOLARES                                                       </t>
  </si>
  <si>
    <t xml:space="preserve">COORDENACAO PEDAGOGICA                                                                              </t>
  </si>
  <si>
    <t xml:space="preserve">TECNOLOGIA DA INFORMACAO APLICADA A EDUCACAO                                                        </t>
  </si>
  <si>
    <t xml:space="preserve">ATUALIZACAO PEDAGOGICA                                                                              </t>
  </si>
  <si>
    <t xml:space="preserve">EDUCACAO E GESTAO EMPRESARIAL                                                                       </t>
  </si>
  <si>
    <t xml:space="preserve">ORIENTACAO EDUCACIONAL E SUPERVISAO ESCOLAR                                                         </t>
  </si>
  <si>
    <t xml:space="preserve">METODOLOGIA DO ENSINO DE 1║ GRAU - AREA CIENCIAS FISICAS E BIOLOGICAS E MATEMATICA                  </t>
  </si>
  <si>
    <t xml:space="preserve">EDUCACAO / SUPERVISAO PEDAGOGICA / ADMINISTRACAO EDUCACIONAL                                        </t>
  </si>
  <si>
    <t xml:space="preserve">ALFABETIZACAO: LINGUA PORTUGUESA DO 1║ AO 4║ CICLO DO ENSINO FUNDAMENTAL                            </t>
  </si>
  <si>
    <t xml:space="preserve">METODOLOGIA DO ENSINO DE CIENCIAS EXATAS E BIOLOGICAS                                               </t>
  </si>
  <si>
    <t xml:space="preserve">GESTAO PEDAGOGICA                                                                                   </t>
  </si>
  <si>
    <t xml:space="preserve">PROBLEMAS DE APRENDIZAGEM                                                                           </t>
  </si>
  <si>
    <t xml:space="preserve">FUNDAMENTOS DE EDUCACAO AMBIENTAL                                                                   </t>
  </si>
  <si>
    <t xml:space="preserve">ESTUDOS SOCIAIS - 1║ GRAU                                                                           </t>
  </si>
  <si>
    <t xml:space="preserve">CIENCIAS DAS RELIGIOES: METODOLOGIA E FILOSOFIA DO ENSINO RELIGIOSO                                 </t>
  </si>
  <si>
    <t xml:space="preserve">SECRETARIA ESCOLAR E ACADEMICA                                                                      </t>
  </si>
  <si>
    <t xml:space="preserve">DIDATICA PARA A MODERNIDADE                                                                         </t>
  </si>
  <si>
    <t xml:space="preserve">METODOLOGIA DO ENSINO SUPERIOR E INSPECAO ESCOLAR                                                   </t>
  </si>
  <si>
    <t xml:space="preserve">GESTAO ESCOLAR INTEGRADORA                                                                          </t>
  </si>
  <si>
    <t xml:space="preserve">METODOLOGIA DO ENSINO-APRENDIZAGEM DA GEOGRAFIA NO PROCESSO EDUCATIVO                               </t>
  </si>
  <si>
    <t xml:space="preserve">METODOLOGIAS DO ENSINO DE LINGUAS ESTRANGEIRAS                                                      </t>
  </si>
  <si>
    <t xml:space="preserve">EDUCACAO ESPECIAL INCLUSIVA COM ENFASE EM DEFICIENCIA                                               </t>
  </si>
  <si>
    <t xml:space="preserve">ESPECIALIZACAO DE DOCENTES E ESPECIALISTAS DA ESCOLA NORMAL - AREA GEOGRAFIA                        </t>
  </si>
  <si>
    <t>EDUC ESCOLAR NAS SERIES INICIAIS DO ENS. FUNDAM.: A PROD. DO CONHEC. E O FAZER PEDAG. NO CONT. ATUAL</t>
  </si>
  <si>
    <t xml:space="preserve">METODOLOGIA E PESQUISA                                                                              </t>
  </si>
  <si>
    <t xml:space="preserve">EDUCACAO: DIDATICA                                                                                  </t>
  </si>
  <si>
    <t xml:space="preserve">EDUCACAO ESPECIAL - EDUCACAO EXCLUSIVA E PSICOPEDAGOGIA                                             </t>
  </si>
  <si>
    <t xml:space="preserve">FORMACAO BASICA - ANOS INICIAIS DO ENSINO FUNDAMENTAL                                               </t>
  </si>
  <si>
    <t xml:space="preserve">NORMAL SUPERIOR - HABILITACOES EM DOCENCIA - EDUCACAO INFANTIL E ANOS INICIAIS                      </t>
  </si>
  <si>
    <t xml:space="preserve">EDUCACAO DO CAMPO E AGRICULTURA FAMILIAR CAMPONESA                                                  </t>
  </si>
  <si>
    <t xml:space="preserve">LICENCIATURA EM EDUCACAO BASICA: ANOS INICIAIS DO ENSINO FUNDAMENTAL                                </t>
  </si>
  <si>
    <t xml:space="preserve">PEDAGOGIA COM ENFASE EM ENSINO RELIGIOSO                                                            </t>
  </si>
  <si>
    <t xml:space="preserve">GRADUACAO DE PROFESSOR                                                                              </t>
  </si>
  <si>
    <t xml:space="preserve">FORMACAO ESPECIAL DO CURRICULO DE ENSINO DE 2║ GRAU - ESQUEMA I                                     </t>
  </si>
  <si>
    <t xml:space="preserve">DESIGN INSTRUCIONAL PARA EAD VIRTUAL                                                                </t>
  </si>
  <si>
    <t xml:space="preserve">ESPECIALIZACAO EM ESTUDOS LINGUISTICOS: FUNDAMENTOS PARA ENSINO E PESQUISA                          </t>
  </si>
  <si>
    <t xml:space="preserve">INTERDISCIPLINARIDADE EDUCACIONAL                                                                   </t>
  </si>
  <si>
    <t xml:space="preserve">GESTAO E EXERCICIO DA DOCENCIA NO ENSINO SUPERIOR                                                   </t>
  </si>
  <si>
    <t xml:space="preserve">FORMACAO DE PROFESSORES EM EDUCACAO A DISTANCIA                                                     </t>
  </si>
  <si>
    <t xml:space="preserve">LINGUAGEM E TECNOLOGIA NA AREA DE LINGUISTICA APLICADA                                              </t>
  </si>
  <si>
    <t xml:space="preserve">INSPECAO ESCOLAR, SUPERVISAO ESCOLAR E ORIENTACAO ESCOLAR                                           </t>
  </si>
  <si>
    <t xml:space="preserve">EDUCACAO E SOCIEDADE                                                                                </t>
  </si>
  <si>
    <t xml:space="preserve">PRATICAS EDUCATIVAS EM INCLUSAO                                                                     </t>
  </si>
  <si>
    <t>PREPARACAO DE RECURSOS HUMANOS PARA O ATENDIMENTO EDUCACIONAL AOS PORTADORES DE MULTIPLA DEFICIENCIA</t>
  </si>
  <si>
    <t xml:space="preserve">ENSINO E APRENDIZAGEM EM LINGUA INGLESA                                                             </t>
  </si>
  <si>
    <t xml:space="preserve">METODOLOGIA DO ENSINO E PESQUISA EM BIOLOGIA                                                        </t>
  </si>
  <si>
    <t xml:space="preserve">GESTAO EM PROCESSOS EDUCATIVOS: SUPERVISAO E INSPECAO ESCOLAR                                       </t>
  </si>
  <si>
    <t xml:space="preserve">PEDAGOGIA CLINICA                                                                                   </t>
  </si>
  <si>
    <t xml:space="preserve">ARTE-EDUCACAO: LINGUAGENS ARTISTICAS E PRATICAS PEDAGOGICAS                                         </t>
  </si>
  <si>
    <t xml:space="preserve">EDUCACAO EMPREENDEDORA                                                                              </t>
  </si>
  <si>
    <t xml:space="preserve">DIDATICA E GESTAO PEDAGOGICA                                                                        </t>
  </si>
  <si>
    <t xml:space="preserve">LINGUA PORTUGUESA: DA TEORIA A PRATICA                                                              </t>
  </si>
  <si>
    <t xml:space="preserve">DOCENCIA NA EDUCACAO A DISTANCIA                                                                    </t>
  </si>
  <si>
    <t xml:space="preserve">ENSINO DE CIENCIAS E MATEMATICA                                                                     </t>
  </si>
  <si>
    <t xml:space="preserve">EDUCACAO AFROBRASILEIRA                                                                             </t>
  </si>
  <si>
    <t xml:space="preserve">EDUCACAO E TRANDISCIPLINARIDADE                                                                     </t>
  </si>
  <si>
    <t xml:space="preserve">PEDAGOGOS: A GESTAO DA PRATICA PEDAGOGICA                                                           </t>
  </si>
  <si>
    <t xml:space="preserve">EDUCACAO FISICA DA PRE-ESCOLA A QUARTA SERIE DO PRIMEIRO GRAU                                       </t>
  </si>
  <si>
    <t xml:space="preserve">EDUCACAO ESPECIAL: DEFICIENCIA MENTAL                                                               </t>
  </si>
  <si>
    <t xml:space="preserve">TEORIA E PRATICA DE PRODUCAO DE MATERIAL AUDIOVISUAL                                                </t>
  </si>
  <si>
    <t xml:space="preserve">O DEFICIENTE AUDITIVO E O ATENDIMENTO INTERDISCIPLINAR                                              </t>
  </si>
  <si>
    <t xml:space="preserve">MIDIAS NA EDUCACAO                                                                                  </t>
  </si>
  <si>
    <t xml:space="preserve">TECNOLOGIAS DA INFORMACAO E EDUCACAO                                                                </t>
  </si>
  <si>
    <t xml:space="preserve">METODOLOGIA DO ENSINO E DA PESQUISA EM HISTORIA E GEOGRAFIA DO BRASIL                               </t>
  </si>
  <si>
    <t xml:space="preserve">ENSINO DE ARTES VISUAIS                                                                             </t>
  </si>
  <si>
    <t xml:space="preserve">ESPECIALIZACAO DE DOCENTES E DE ESPECIALISTAS DA ESCOLA NORMAL                                      </t>
  </si>
  <si>
    <t xml:space="preserve">PROGRAMA DE ESTUDOS POS-GRADUADOS EM EDUCACAO NA AREA DE CURRICULO                                  </t>
  </si>
  <si>
    <t xml:space="preserve">PEDAGOGIA SOCIAL                                                                                    </t>
  </si>
  <si>
    <t xml:space="preserve">APERFEICOAMENTO EM EDUCACAO                                                                         </t>
  </si>
  <si>
    <t xml:space="preserve">ENSINO DE LINGUAS E LITERATURAS                                                                     </t>
  </si>
  <si>
    <t xml:space="preserve">GESTAO DO TRABALHO PEDAGOGICO: SUPERVISAO E ORIENTACAO ESCOLAR                                      </t>
  </si>
  <si>
    <t xml:space="preserve">DIDATICA E TECNOLOGIA DO ENSINO SUPERIOR                                                            </t>
  </si>
  <si>
    <t xml:space="preserve">EDUCACAO, CIENCIAS E TECNOLOGIA                                                                     </t>
  </si>
  <si>
    <t>GESTAO DE PROCESSOS EDUCAT DA EDU BASICA: ADMIN, PLANEJAMENTO, INSPECAO, SUPERVISAO E ORIENT EDUCAC.</t>
  </si>
  <si>
    <t xml:space="preserve">REENGENHARIA DE PROJETOS EDUCACIONAIS - MATEMATICA                                                  </t>
  </si>
  <si>
    <t xml:space="preserve">DIDATICA E METODOLOGIA DO ENSINO PARA PORTADORES DE NECESSIDADES ESPECIAIS                          </t>
  </si>
  <si>
    <t xml:space="preserve">ACAO MULTIDISCIPLINAR DO TRABALHO PEDAGOGICO: GESTAO, SUPERVISAO, ORIENTACAO E INSPECAO ESCOLAR     </t>
  </si>
  <si>
    <t xml:space="preserve">FORMACAO PEDAGOGICA PARA DOCENTES EM MUSICA                                                         </t>
  </si>
  <si>
    <t xml:space="preserve">REENGENHARIA DE PROJETOS EDUCACIONAIS: LINGUA PORTUGUESA E LINGUA ESPANHOLA                         </t>
  </si>
  <si>
    <t xml:space="preserve">GRADUACAO DE PROFESSORES DA PARTE DE FORMACAO ESPECIAL DO CURRICULO DO ENSINO MEDIO                 </t>
  </si>
  <si>
    <t xml:space="preserve">ESPECIALIZACAO DE DOCENTES E ESPECIALISTAS DA ESCOLA NORMAL - AREA DE QUIMICA                       </t>
  </si>
  <si>
    <t xml:space="preserve">REDES SOLIDARIAS DE EDUC E ACAO SOCIAL:NOVOS MODELDE ALTERNAT NA CONST DO CONHEC E DE EDUCACAO      </t>
  </si>
  <si>
    <t xml:space="preserve">DOCENCIA UNIVERSITARIA - AREA DE CIENCIAS                                                           </t>
  </si>
  <si>
    <t xml:space="preserve">DOCENCIA UNIVERSITARIA - AREA DE DIDATICA                                                           </t>
  </si>
  <si>
    <t>EDUCACAO ESCOLAR NO ENSINO FUNDAMENTAL:A PRODUCAO DO CONHECIMENTO E OFAZER PEDAGOGICO CONTEXTO ATUAL</t>
  </si>
  <si>
    <t xml:space="preserve">EDUCACAO BASICA: INFANTIL, FUNDAMENTAL E EJA                                                        </t>
  </si>
  <si>
    <t xml:space="preserve">PLANEJAMENTO E CURRICULO DA EDUCACAO                                                                </t>
  </si>
  <si>
    <t xml:space="preserve">EDUCACAO ESPECIAL, EDUCACAO INCLUSIVA E PSICOPEDAGOGIA                                              </t>
  </si>
  <si>
    <t xml:space="preserve">EDUCACAO E ORGANIZACAO DO TRABALHO EM INSTITUICAO DE ENSINO SUPERIOR                                </t>
  </si>
  <si>
    <t xml:space="preserve">EDUCACAO INFANTIL E SERIES INICIAIS DO ENSINO FUNDAMENTAL: APROFUNDAMENTO TEORICO-PRATICO           </t>
  </si>
  <si>
    <t xml:space="preserve">FILOSOFIA PARA DOCENCIA NA EDUCACAO INFANTIL E NO ENSINO FUNDAMENTAL                                </t>
  </si>
  <si>
    <t xml:space="preserve">ARTE-EDUCACAO: FUNDAMENTOS ESTETICOS DA EDUCACAO                                                    </t>
  </si>
  <si>
    <t xml:space="preserve">GESTAO DO TRABALHO PEDAGOGICO: SUPERVISAO, INSPECAO E ORIENTACAO                                    </t>
  </si>
  <si>
    <t xml:space="preserve">LINGUISTICA APLICADA: GENEROS DISCURSIVOS - TEORIA E PRATICA EM SALA DE AULA                        </t>
  </si>
  <si>
    <t xml:space="preserve">PLANEJAMENTO EDUCACIONAL E DOCENCIA DO ENSINO SUPERIOR                                              </t>
  </si>
  <si>
    <t xml:space="preserve">ENSINO E INTERDISCIPLINARIDADE: HISTORIA E LITERATURA - TEXTO E CONTEXTO                            </t>
  </si>
  <si>
    <t xml:space="preserve">DOCENCIA NA EDUCACAO INFANTIL E ANOS INICIAIS DO ENSINO FUNDAMENTAL E SUPERVISAO PEDAGOGICA         </t>
  </si>
  <si>
    <t xml:space="preserve">ALFABETIZACAO E EDUCACAO INFANTIL                                                                   </t>
  </si>
  <si>
    <t xml:space="preserve">INSPECAO E GESTAO ESCOLAR                                                                           </t>
  </si>
  <si>
    <t xml:space="preserve">COORDENACAO E GESTAO DOS PROCESSOS EDUCATIVOS                                                       </t>
  </si>
  <si>
    <t>DOCENCIA CURSOS DE ENS MEDIO,NA MODALIDADE NORMAL E CURSOS ED PROFIS NA AREA DE SERVICOS E APOIO ESC</t>
  </si>
  <si>
    <t xml:space="preserve">ENSINO DA MATEMATICA PARA CURSO TECNICO                                                             </t>
  </si>
  <si>
    <t xml:space="preserve">METODOLOGIA DO ENSINO DE CIENCIAS E MATEMATICA                                                      </t>
  </si>
  <si>
    <t xml:space="preserve">AVALIACAO A DISTANCIA                                                                               </t>
  </si>
  <si>
    <t xml:space="preserve">ESPECIALIZACAO DE DOCENTES E DE ESPECIALISTAS DA ESCOLA NORMAL - AREA: ADMINISTRACAO DA EDUCACAO    </t>
  </si>
  <si>
    <t xml:space="preserve">FORMACAO PEDAGOGICA DE DOC P/ DISCIP DO CURRICULO ENS FUND,DO ENS MEDIO E EDUC PROF EM NIVEL MEDIO  </t>
  </si>
  <si>
    <t>EDUC PROFISS TECNICA INTEGRADA AO ENS MEDIO NA MODALIDADE DE EDUC DE JOVENS E ADULTOS NA AREA EDUCAC</t>
  </si>
  <si>
    <t xml:space="preserve">LICENCIATURA DE 2║ GRAU EM PORTUGUES - INGLES                                                       </t>
  </si>
  <si>
    <t>DOCEN EDUC INFANTIL,EDUC ESPECIAL E SERIES INICIAIS DO ENS FUND INTEGRADA A FORMACAO P/ GESTAO EDUCA</t>
  </si>
  <si>
    <t xml:space="preserve">METODOLOGIA DO PLANEJAMENTO EDUCACIONAL                                                             </t>
  </si>
  <si>
    <t xml:space="preserve">CIENCIAS COM HABILITACAO EM QUIMICA                                                                 </t>
  </si>
  <si>
    <t xml:space="preserve">FILOSOFIA DA EDUCACAO                                                                               </t>
  </si>
  <si>
    <t xml:space="preserve">EDUCACAO PSICOMOTORA                                                                                </t>
  </si>
  <si>
    <t xml:space="preserve">PESQUISA EM EDUCACAO                                                                                </t>
  </si>
  <si>
    <t xml:space="preserve">PEDAGOGIA EMPRESARIAL: EDUCACAO E DESENVOLVIMENTO DE TALENTOS HUMANOS                               </t>
  </si>
  <si>
    <t xml:space="preserve">COMPUTACAO APLICADA AO ENSINO                                                                       </t>
  </si>
  <si>
    <t xml:space="preserve">PEDAGOGIA DA PRAXIS: SABER E FAZER DOCENTE                                                          </t>
  </si>
  <si>
    <t xml:space="preserve">EDUCACAO SUPERIOR                                                                                   </t>
  </si>
  <si>
    <t xml:space="preserve">ENSINO E PRATICA DE GEOGRAFIA                                                                       </t>
  </si>
  <si>
    <t xml:space="preserve">REENGENHARIA DE PROJETOS EDUCACIONAIS: EDUCACAO ESPECIAL                                            </t>
  </si>
  <si>
    <t xml:space="preserve">REENGENHARIA DE PROJETOS EDUCACIONAIS: LINGUA PORTUGUESA E LINGUA ESTRANGEIRA                       </t>
  </si>
  <si>
    <t xml:space="preserve">REENGENHARIA DE PROJETOS EDUCACIONAIS: HISTORIA                                                     </t>
  </si>
  <si>
    <t xml:space="preserve">PEDAGOGIA E QUALIFICACAO EM EDUCACAO                                                                </t>
  </si>
  <si>
    <t xml:space="preserve">ESPECIALIZACAO DE DOCENTES E DE ESPECIALISTA DA ESCOLA NORMAL - AREA: MATEMATICA                    </t>
  </si>
  <si>
    <t xml:space="preserve">CINEMA E LITERATURA EM SALA DE AULA                                                                 </t>
  </si>
  <si>
    <t xml:space="preserve">EDUCACAO DO CAMPO / CIENCIAS DA VIDA E DA NATUREZA                                                  </t>
  </si>
  <si>
    <t xml:space="preserve">EDUCACAO DO CAMPO                                                                                   </t>
  </si>
  <si>
    <t xml:space="preserve">FUNDAMENTOS ESTETICOS DA EDUCACAO                                                                   </t>
  </si>
  <si>
    <t xml:space="preserve">METODOLOGIA DE ENSINO: QUALIFICACAO, APERFEICOAMENTO E ATUALIZACAO PARA O MAGISTERIO                </t>
  </si>
  <si>
    <t xml:space="preserve">ESTRUTURA E FUNCIONAMENTO DO ENSINO DE PRIMEIRO E SEGUNDO GRAUS                                     </t>
  </si>
  <si>
    <t xml:space="preserve">ESPECIALIZACAO DE DOCENTES E DE ESPECIALISTAS DA ESCOLA NORMAL - AREA FISICA                        </t>
  </si>
  <si>
    <t xml:space="preserve">SUPERVISAO, ORIENTACAO E GESTAO ESCOLAR                                                             </t>
  </si>
  <si>
    <t xml:space="preserve">EDUCACAO INCLUSIVA E ESPECIAL                                                                       </t>
  </si>
  <si>
    <t xml:space="preserve">ESPECIALIZACAO DE DOCENTES E ESPECIALISTAS DA ESCOLA NORMAL - AREA SUPERVISAO PEDAGOGICA            </t>
  </si>
  <si>
    <t xml:space="preserve">EDUCACAO PROFISSIONAL INTEGRADA A EEDUCACAO BASICANA MODALIDADE EDUCACAO DE JOVENS E ADULTOS        </t>
  </si>
  <si>
    <t xml:space="preserve">PSICOLOGIA                                                                 </t>
  </si>
  <si>
    <t xml:space="preserve">PSICOLOGIA                                                                                          </t>
  </si>
  <si>
    <t xml:space="preserve">PSICANALISE                                                                                         </t>
  </si>
  <si>
    <t xml:space="preserve">PSICODRAMA                                                                                          </t>
  </si>
  <si>
    <t xml:space="preserve">PSICOLOGIA CLINICA                                                                                  </t>
  </si>
  <si>
    <t xml:space="preserve">PSICOLOGIA DO TRANSITO                                                                              </t>
  </si>
  <si>
    <t xml:space="preserve">PSICOLOGIA ESCOLAR                                                                                  </t>
  </si>
  <si>
    <t xml:space="preserve">PSICOLOGIA GERAL                                                                                    </t>
  </si>
  <si>
    <t xml:space="preserve">PSICOLOGIA HOSPITALAR                                                                               </t>
  </si>
  <si>
    <t xml:space="preserve">PSICOLOGIA IND.OU DO TRABALHO                                                                       </t>
  </si>
  <si>
    <t xml:space="preserve">PSICOLOGIA ORGANIZACIONAL                                                                           </t>
  </si>
  <si>
    <t xml:space="preserve">PSICOLOGIA SOCIAL                                                                                   </t>
  </si>
  <si>
    <t xml:space="preserve">PSICOPEDAGOGIA                                                                                      </t>
  </si>
  <si>
    <t xml:space="preserve">ESPECIALIZACAO/PSICANALISE                                                                          </t>
  </si>
  <si>
    <t xml:space="preserve">ESPECIALIZACAO EM PSICOLOGIA DO TRABALHO                                                            </t>
  </si>
  <si>
    <t xml:space="preserve">ESPECIALIZACAO EM DIALETICA NATUREZA-CULTURA OU PRAXIS PSICANALITICA                                </t>
  </si>
  <si>
    <t xml:space="preserve">ESPECIALIZACAO EM FUNDAMENTOS DA PSICANALISE                                                        </t>
  </si>
  <si>
    <t xml:space="preserve">ESPECIALIZACAO EM PSICOPEDAGOGIA INSTITUCIONAL E CLINICA                                            </t>
  </si>
  <si>
    <t xml:space="preserve">PSICANALISE E EDUCACAO                                                                              </t>
  </si>
  <si>
    <t xml:space="preserve">PSICOLOGIA - FORMACAO DE PSICOLOGO                                                                  </t>
  </si>
  <si>
    <t xml:space="preserve">PSICOMOTROCIDADE E EDUCACAO                                                                         </t>
  </si>
  <si>
    <t xml:space="preserve">PSICOPEDAGOGIA - ENFASE EM EDUCACAO INCLUSIVA                                                       </t>
  </si>
  <si>
    <t xml:space="preserve">PSICOPEDAGOGIA CLINICA E INSTITUCIONAL                                                              </t>
  </si>
  <si>
    <t xml:space="preserve">PSICOPEDAGOGIA CLINICO INSTITUCIONAL                                                                </t>
  </si>
  <si>
    <t xml:space="preserve">PSICOPEDAGOGIA E INTERDICIPLINARIDADE                                                               </t>
  </si>
  <si>
    <t xml:space="preserve">PSICOPEDAGOGIA INSTITUCIONAL                                                                        </t>
  </si>
  <si>
    <t xml:space="preserve">PSICOPEDAGOGIA INSTITUCIONAL E CLINICA                                                              </t>
  </si>
  <si>
    <t xml:space="preserve">PSICOLOGIA EDUCACIONAL                                                                              </t>
  </si>
  <si>
    <t xml:space="preserve">PSICOLOGIA DO ENSINO E DA APRENDIZAGEM                                                              </t>
  </si>
  <si>
    <t xml:space="preserve">PSIQUIATRIA E PSICOLOGIA NA INFANCIA E ADOLESCENCIA                                                 </t>
  </si>
  <si>
    <t xml:space="preserve">PSICOPEDAGOGIA ESCOLAR                                                                              </t>
  </si>
  <si>
    <t xml:space="preserve">PSICOTERAPIA CONTEMPORANEA (TENDENCIAS HISTORICAS, METODOLOGICAS E CLINICAS)                        </t>
  </si>
  <si>
    <t xml:space="preserve">PSICOPEDAGODIA CLINICA                                                                              </t>
  </si>
  <si>
    <t xml:space="preserve">PSICOTERAPIA CONTEMPORANEA                                                                          </t>
  </si>
  <si>
    <t xml:space="preserve">PSICOLOGIA DA EDUCACAO                                                                              </t>
  </si>
  <si>
    <t xml:space="preserve">PSICOLOGIA CLINICA E SAUDE MENTAL                                                                   </t>
  </si>
  <si>
    <t xml:space="preserve">PSICOPEDAGOGIA - EDUCACAO ESPECIAL                                                                  </t>
  </si>
  <si>
    <t xml:space="preserve">A IMPORTANCIA DA PSICOMOTRICIDADE NA APRENDIZAGEM                                                   </t>
  </si>
  <si>
    <t xml:space="preserve">PSICOPEDAGOGIA NO PROCESSO ENSINO APRENDIZAGEM                                                      </t>
  </si>
  <si>
    <t xml:space="preserve">PSICOPEDAGOGIA NA ESCOLA                                                                            </t>
  </si>
  <si>
    <t xml:space="preserve">PSICOLOGIA DA EDUCACAO: ENFASE EM PSICOPEDAGOGIA PREVENTIVA                                         </t>
  </si>
  <si>
    <t xml:space="preserve">PSICOPEDAGOGIA APLICADA AOS PORTADORES DE NECESSIDADES ESPECIAIS                                    </t>
  </si>
  <si>
    <t xml:space="preserve">PSICOLOGIA APLICADA NA EDUCACAO                                                                     </t>
  </si>
  <si>
    <t xml:space="preserve">PSICOPEDAGOGIA REEDUCATIVA                                                                          </t>
  </si>
  <si>
    <t xml:space="preserve">PSICOPEDAGOGIA: ABORDAGEM CLINICA DOS PROBLEMAS DE APRENDIZAGEM                                     </t>
  </si>
  <si>
    <t xml:space="preserve">PSICOPEDAGOGIA E ORIENTACAO VOCACIONAL                                                              </t>
  </si>
  <si>
    <t xml:space="preserve">DESENVOLVIMENTO DA CRIANCA DE ZERO AOS TRES ANOS DE IDADE                                           </t>
  </si>
  <si>
    <t xml:space="preserve">PSICOPEDAGOGIA E ORIENTACAO EDUCACIONAL                                                             </t>
  </si>
  <si>
    <t xml:space="preserve">TEORIA PSICANALITICA                                                                                </t>
  </si>
  <si>
    <t xml:space="preserve">PSICOPEDAGOGIA CLINICA E ESCOLAR                                                                    </t>
  </si>
  <si>
    <t xml:space="preserve">PSICOPEDAGOGIA E AS RELACOES PSICOAFETIVAS                                                          </t>
  </si>
  <si>
    <t xml:space="preserve">TRANSTORNOS GRAVES NA INFANCIA E NA ADOLESCENCIA                                                    </t>
  </si>
  <si>
    <t xml:space="preserve">PSICOLOGIA ESCOLAR E INFANTIL                                                                       </t>
  </si>
  <si>
    <t xml:space="preserve">PSICOMOTRICIDADE E PROBLEMAS DE APRENDIZAGEM                                                        </t>
  </si>
  <si>
    <t xml:space="preserve">PSICOPEDAGOGIA: DISTURBIOS E DIFICULDADES DE APRENDIZAGEM                                           </t>
  </si>
  <si>
    <t xml:space="preserve">PSICOLOGIA DO TRABALHO E DESENVOLVIMENTO ORGANIZACIONAL                                             </t>
  </si>
  <si>
    <t xml:space="preserve">NEUROPSICOLOGIA                                                                                     </t>
  </si>
  <si>
    <t xml:space="preserve">PSIQUIATRIA DA INFANCIA E DA ADOLESCENCIA                                                           </t>
  </si>
  <si>
    <t xml:space="preserve">PSICANALISE COM CRIANCA E ADOLESCENTE                                                               </t>
  </si>
  <si>
    <t xml:space="preserve">PSICOLOGIA PREVENTIVA E COMUNITARIA                                                                 </t>
  </si>
  <si>
    <t xml:space="preserve">PSICOLOGIA MEDICA                                                                                   </t>
  </si>
  <si>
    <t xml:space="preserve">PSICOLOGIA JURIDICA                                                                                 </t>
  </si>
  <si>
    <t xml:space="preserve">PSICOLOGIA PASTORAL                                                                                 </t>
  </si>
  <si>
    <t xml:space="preserve">RELACOES HUMANAS COM BASE NA PSICOTERAPIA ANALITICO-FENOMENOLOGICO-EXISTENCIAL                      </t>
  </si>
  <si>
    <t xml:space="preserve">ESTIMULACAO ESSENCIAL AO DESENVOLVIMENTO (PRECOCE)                                                  </t>
  </si>
  <si>
    <t xml:space="preserve">SOCIO-PSICOLOGIA: FORMACAO SOCIAL DA CONSCIENCIA                                                    </t>
  </si>
  <si>
    <t xml:space="preserve">AVALIACAO PSICOLOGICA E PERITO EXAMINADOR DE TRANSITO                                               </t>
  </si>
  <si>
    <t xml:space="preserve">PSICO-ONCOLOGIA                                                                                     </t>
  </si>
  <si>
    <t xml:space="preserve">FUNDAMENTOS DA CLINICA PSICANALITICA                                                                </t>
  </si>
  <si>
    <t xml:space="preserve">TERAPIA FAMILIAR E DE CASAL                                                                         </t>
  </si>
  <si>
    <t xml:space="preserve">TERAPIA DA MAO                                                                                      </t>
  </si>
  <si>
    <t xml:space="preserve">PSICOMOTRICIDADE APLICADA A EDUCACAO                                                                </t>
  </si>
  <si>
    <t xml:space="preserve">PSICANALISE, EDUCACAO E SOCIEDADE                                                                   </t>
  </si>
  <si>
    <t xml:space="preserve">PSICOLOGIA E SERVICO SOCIAL JUDICIAL                                                                </t>
  </si>
  <si>
    <t xml:space="preserve">EDUCACAO, SAUDE E NEUROPSICOLOGIA                                                                   </t>
  </si>
  <si>
    <t xml:space="preserve">CIENCIAS SOCIAIS APLICADAS                                                 </t>
  </si>
  <si>
    <t xml:space="preserve">ADMINISTRACAO                                                              </t>
  </si>
  <si>
    <t xml:space="preserve">ADMINISTRACAO                                                                                       </t>
  </si>
  <si>
    <t xml:space="preserve">ADMINISTRACAO - ORGANIZACAO E METODOS                                                               </t>
  </si>
  <si>
    <t xml:space="preserve">ADMINISTRACAO CONTABIL                                                                              </t>
  </si>
  <si>
    <t xml:space="preserve">ADMINISTRACAO DE EMPRESAS                                                                           </t>
  </si>
  <si>
    <t xml:space="preserve">ADMINISTRACAO DE MARKETING(MERCADOLOGIA)                                                            </t>
  </si>
  <si>
    <t xml:space="preserve">ADMINISTRACAO DE MATERIAIS                                                                          </t>
  </si>
  <si>
    <t xml:space="preserve">ADMINISTRACAO DE MERCADO DE CAPITAIS                                                                </t>
  </si>
  <si>
    <t xml:space="preserve">ADMINISTRACAO DE PRODUCAO/OPERACAO                                                                  </t>
  </si>
  <si>
    <t xml:space="preserve">ADMINISTRACAO DE RECURSOS HUMANOS                                                                   </t>
  </si>
  <si>
    <t xml:space="preserve">ADMINISTRACAO DE SISTEMAS DE INFORMACAO                                                             </t>
  </si>
  <si>
    <t xml:space="preserve">ADMINISTRACAO E COMERCIO EXTERIOR                                                                   </t>
  </si>
  <si>
    <t xml:space="preserve">ADMINISTRACAO FINANCEIRA                                                                            </t>
  </si>
  <si>
    <t xml:space="preserve">ADMINISTRACAO POSTAL                                                                                </t>
  </si>
  <si>
    <t xml:space="preserve">ADMINISTRACAO PUBLICA                                                                               </t>
  </si>
  <si>
    <t xml:space="preserve">ADMINISTRACAO RURAL                                                                                 </t>
  </si>
  <si>
    <t xml:space="preserve">HOTELARIA E TURISMO                                                                                 </t>
  </si>
  <si>
    <t xml:space="preserve">SECRETARIADO                                                                                        </t>
  </si>
  <si>
    <t xml:space="preserve">TECNOLOGO EM HOTELARIA                                                                              </t>
  </si>
  <si>
    <t xml:space="preserve">TECNOLOGO EM TURISMO                                                                                </t>
  </si>
  <si>
    <t xml:space="preserve">TURISMO                                                                                             </t>
  </si>
  <si>
    <t xml:space="preserve">ADMINISTRACAO DE SAUDE                                                                              </t>
  </si>
  <si>
    <t xml:space="preserve">GESTAO CULTURAL                                                                                     </t>
  </si>
  <si>
    <t xml:space="preserve">ADMINISTRACAO DE TRANSPORTES E OBRAS PUBLICAS                                                       </t>
  </si>
  <si>
    <t xml:space="preserve">GESTAO DA INFORMACAO                                                                                </t>
  </si>
  <si>
    <t xml:space="preserve">GESTAO DE RECURSOS LOGISTICOS                                                                       </t>
  </si>
  <si>
    <t xml:space="preserve">GESTAO DE RECURSOS HIDRICOS                                                                         </t>
  </si>
  <si>
    <t xml:space="preserve">GESTAO DA IMAGEM CORPORATIVA                                                                        </t>
  </si>
  <si>
    <t xml:space="preserve">ADMINISTRACAO DE REDES DE COMPUTADORES                                                              </t>
  </si>
  <si>
    <t xml:space="preserve">GESTAO DE ARQUIVOS E DOCUMENTOS                                                                     </t>
  </si>
  <si>
    <t xml:space="preserve">GESTAO EM TURISMO                                                                                   </t>
  </si>
  <si>
    <t xml:space="preserve">GESTAO ESTRATEGICA DE MARKETING                                                                     </t>
  </si>
  <si>
    <t xml:space="preserve">TECNOLOGIA EM LOGISTICA COMERCIAL                                                                   </t>
  </si>
  <si>
    <t xml:space="preserve">GESTAO DE POLITICAS PUBLICAS                                                                        </t>
  </si>
  <si>
    <t xml:space="preserve">ADMINISTRACAO DE PEQUENAS E MEDIAS EMPRESAS                                                         </t>
  </si>
  <si>
    <t xml:space="preserve">GESTAO EM AGRONEGOCIOS/COOPERATIVAS                                                                 </t>
  </si>
  <si>
    <t xml:space="preserve">GESTAO DA COMUNICACAO                                                                               </t>
  </si>
  <si>
    <t xml:space="preserve">GESTAO DE PROJETOS                                                                                  </t>
  </si>
  <si>
    <t xml:space="preserve">GESTAO PUBLICA / TECNOLOGO                                                                          </t>
  </si>
  <si>
    <t xml:space="preserve">GESTAO DE CUSTOS                                                                                    </t>
  </si>
  <si>
    <t xml:space="preserve">GESTAO PREVIDENCIARIA E CONTROLE NA ADMINISTRACAO                                                   </t>
  </si>
  <si>
    <t xml:space="preserve">PLANEJAMENTO ESTRATEGICO DE PESSOAS                                                                 </t>
  </si>
  <si>
    <t xml:space="preserve">GESTAO GOVERNAMENTAL E RESPONSABILIDADE FISCAL                                                      </t>
  </si>
  <si>
    <t xml:space="preserve">TECNOLOGIA EM PROCESSOS GERENCIAIS                                                                  </t>
  </si>
  <si>
    <t xml:space="preserve">GESTAO DE FINANCAS PUBLICAS E CONTROLE INTERNO E  EXTERNO                                           </t>
  </si>
  <si>
    <t xml:space="preserve">DESENVOLVIMENTO GERENCIAL                                                                           </t>
  </si>
  <si>
    <t xml:space="preserve">GESTAO DE SAUDE PUBLICA                                                                             </t>
  </si>
  <si>
    <t xml:space="preserve">GESTAO DE POLITICAS DE SAUDE                                                                        </t>
  </si>
  <si>
    <t xml:space="preserve">GESTAO DE PESSOAS                                                                                   </t>
  </si>
  <si>
    <t xml:space="preserve">GESTAO EM SERVICOS DE SAUDE                                                                         </t>
  </si>
  <si>
    <t xml:space="preserve">GESTAO EM TECNOLOGIA EM SAUDE                                                                       </t>
  </si>
  <si>
    <t xml:space="preserve">GESTAO EM SAUDE                                                                                     </t>
  </si>
  <si>
    <t xml:space="preserve">ADMINISTRACAO PEDAGOGICA EM RECURSOS HUMANOS                                                        </t>
  </si>
  <si>
    <t xml:space="preserve">GESTAO DE EVENTOS E CERIMONIAL                                                                      </t>
  </si>
  <si>
    <t xml:space="preserve">MESTRADO ADMINISTRACAO PUBLICA                                                                      </t>
  </si>
  <si>
    <t xml:space="preserve">ESPECIALIZACAO ADMINISTRACAO PUBLICA                                                                </t>
  </si>
  <si>
    <t xml:space="preserve">TECNOLOGIA EM GESTAO COMERCIAL                                                                      </t>
  </si>
  <si>
    <t xml:space="preserve">GESTAO                                                                                              </t>
  </si>
  <si>
    <t xml:space="preserve">MESTRADO GESTAO EMPRESARIAL                                                                         </t>
  </si>
  <si>
    <t xml:space="preserve">GESTAO ESTRATEGICA DA INFORMACAO                                                                    </t>
  </si>
  <si>
    <t xml:space="preserve">ESPECIALIZACAO EM GESTAO                                                                            </t>
  </si>
  <si>
    <t xml:space="preserve">COMUNICACAO EMPRESARIAL                                                                             </t>
  </si>
  <si>
    <t xml:space="preserve">ESPECIALIZACAO EM GESTAO ESTRATEGICA DA INOVACAO E DO CONHECIMENTO                                  </t>
  </si>
  <si>
    <t xml:space="preserve">ESPECIALIZACAO EM GESTAO ESTRATEGICA DA INOVACAO                                                    </t>
  </si>
  <si>
    <t xml:space="preserve">ESPECIALIZACAO EM GESTAO ESTRATEGICA DE PESSOAS                                                     </t>
  </si>
  <si>
    <t xml:space="preserve">ESPECIALIZACAO EM ADMINISTRACAO DE RECURSOS HUMANOS                                                 </t>
  </si>
  <si>
    <t xml:space="preserve">TECNOLOGIA EM GESTAO FINANCEIRA                                                                     </t>
  </si>
  <si>
    <t xml:space="preserve">TECNOLOGIA EM LOGISTICA                                                                             </t>
  </si>
  <si>
    <t xml:space="preserve">ESPECIALIZACAO EM PEDAGOGIA EMPRESARIAL: QUALIDADE EM RECURSOS HUMANOS                              </t>
  </si>
  <si>
    <t xml:space="preserve">ESPECIALIZACAO EM GESTAO PUBLICA PARA RESULTADOS                                                    </t>
  </si>
  <si>
    <t xml:space="preserve">GESTAO DE NEGOCIOS                                                                                  </t>
  </si>
  <si>
    <t xml:space="preserve">ESPECIALIZACAO EM GESTAO INSTITUCIONAL                                                              </t>
  </si>
  <si>
    <t xml:space="preserve">ADMINISTRACAO / HABILITACAO MERCADOLOGIA                                                            </t>
  </si>
  <si>
    <t xml:space="preserve">ESPECIALIZACAO EM GESTAO ORCAMENTARIA E FINANCEIRA                                                  </t>
  </si>
  <si>
    <t xml:space="preserve">MBA EM GESTAO EMPRESARIAL                                                                           </t>
  </si>
  <si>
    <t xml:space="preserve">DOUTORADO EM ADMINISTRACAO PUBLICA                                                                  </t>
  </si>
  <si>
    <t xml:space="preserve">ESPECIALIZACAO EM GESTAO DE PESSOAS                                                                 </t>
  </si>
  <si>
    <t xml:space="preserve">ESPECIALIZACAO EM GESTAO DE PROJETOS                                                                </t>
  </si>
  <si>
    <t xml:space="preserve">ESPECIALIZACAO EM GESTAO -  ENFASE EM PROJETOS                                                      </t>
  </si>
  <si>
    <t xml:space="preserve">MBA EM GERENCIAMENTO DE PROJETOS                                                                    </t>
  </si>
  <si>
    <t xml:space="preserve">MBA EM GESTAO ESTRATEGICA DE OPERACOES                                                              </t>
  </si>
  <si>
    <t xml:space="preserve">MESTRADO EM ADMINISTRACAO                                                                           </t>
  </si>
  <si>
    <t xml:space="preserve">MESTRADO EM GESTAO DE PESSOAS                                                                       </t>
  </si>
  <si>
    <t xml:space="preserve">ESPECIALIZACAO EM ADMINISTRACAO PUBLICA                                                             </t>
  </si>
  <si>
    <t xml:space="preserve">ESPECIALIZACAO EM ARQUITETURA E ORGANIZACAO DA INFORMACAO                                           </t>
  </si>
  <si>
    <t xml:space="preserve">MBA EM GESTAO DE PROJETOS                                                                           </t>
  </si>
  <si>
    <t xml:space="preserve">ESPECIALIZACAO EM GESTAO DE NEGOCIOS                                                                </t>
  </si>
  <si>
    <t xml:space="preserve">MBA EM GESTAO DE NEGOCIOS                                                                           </t>
  </si>
  <si>
    <t xml:space="preserve">ESPECIALIZACAO EM ADMINISTRACAO                                                                     </t>
  </si>
  <si>
    <t xml:space="preserve">ESPECIALIZACAO EM GESTAO ESTRATEGICA                                                                </t>
  </si>
  <si>
    <t xml:space="preserve">TECNOLOGO EM GESTAO FINANCEIRA                                                                      </t>
  </si>
  <si>
    <t xml:space="preserve">SECRETARIADO EXECUTIVO BILINGUE                                                                     </t>
  </si>
  <si>
    <t xml:space="preserve">MBA EXECUTIVO EM ADMINISTRACAO DE NEGOCIOS                                                          </t>
  </si>
  <si>
    <t xml:space="preserve">TECNOLOGO EM ADMINISTRACAO PUBLICA                                                                  </t>
  </si>
  <si>
    <t xml:space="preserve">TECNOLOGO EM GESTAO DE RECURSOS HUMANOS                                                             </t>
  </si>
  <si>
    <t xml:space="preserve">TECNOLOGIA EM MARKETING DE VAREJO                                                                   </t>
  </si>
  <si>
    <t xml:space="preserve">ESPECIALIZACAO EM GESTAO PUBLICA INTEGRADA                                                          </t>
  </si>
  <si>
    <t xml:space="preserve">GERENCIA DE RECURSOS HUMANOS                                                                        </t>
  </si>
  <si>
    <t xml:space="preserve">ESPECIALIZACAO EM PLANEJAMENTO E ADMINISTRACAO DE POLITICAS CULTURAIS                               </t>
  </si>
  <si>
    <t xml:space="preserve">ESPECIALIZACAO EM GESTAO DE SEGURANCA CONTRA INCENDIO E PANICO                                      </t>
  </si>
  <si>
    <t xml:space="preserve">ESPECIALIZACAO EM AUDITORIA EXTERNA                                                                 </t>
  </si>
  <si>
    <t xml:space="preserve">GERENCIA EMPRESARIAL                                                                                </t>
  </si>
  <si>
    <t xml:space="preserve">GESTAO DE COOPERATIVISMO                                                                            </t>
  </si>
  <si>
    <t xml:space="preserve">GESTAO EM OBRAS PUBLICAS                                                                            </t>
  </si>
  <si>
    <t xml:space="preserve">PLANEJAMENTO AMBIENTAL                                                                              </t>
  </si>
  <si>
    <t xml:space="preserve">PLANEJAMENTO E ADMINISTRACAO FLORESTAL                                                              </t>
  </si>
  <si>
    <t xml:space="preserve">PLANEJAMENTO E LICENCIAMENTO AMBIENTAL                                                              </t>
  </si>
  <si>
    <t xml:space="preserve">PRODUCAO AMBIENTAL                                                                                  </t>
  </si>
  <si>
    <t xml:space="preserve">PLANEJAMENTO E ADMINISTRACAO DE SISTEMAS DE SAUDE                                                   </t>
  </si>
  <si>
    <t xml:space="preserve">GERENCIA DE EMPRESAS                                                                                </t>
  </si>
  <si>
    <t xml:space="preserve">GESTAO EMPRESARIAL                                                                                  </t>
  </si>
  <si>
    <t xml:space="preserve">GESTAO ESTRATEGICA DE RECURSOS HUMANOS                                                              </t>
  </si>
  <si>
    <t xml:space="preserve">GESTAO EMPRESARIAL ESTRATEGICA                                                                      </t>
  </si>
  <si>
    <t xml:space="preserve">ESPECIALIZACAO EM GESTAO EMPRESARIAL                                                                </t>
  </si>
  <si>
    <t xml:space="preserve">GERENCIAMENTO DE MICRO E PEQUENAS EMPRESAS                                                          </t>
  </si>
  <si>
    <t xml:space="preserve">GESTAO EMPRESARIAL E DE BIOLOGICAS                                                                  </t>
  </si>
  <si>
    <t xml:space="preserve">GESTAO ESTRATEGICA                                                                                  </t>
  </si>
  <si>
    <t xml:space="preserve">QUALIDADE E PRODUTIVIDADE                                                                           </t>
  </si>
  <si>
    <t xml:space="preserve">ADMINISTRACAO DE EMPRESAS - ENFASE EM MARKETING, RH E FINANCAS                                      </t>
  </si>
  <si>
    <t xml:space="preserve">ADMINISTRACAO MUNICIPAL                                                                             </t>
  </si>
  <si>
    <t xml:space="preserve">TECNOLOGIA EM GESTAO DE SERVICOS DE SAUDE                                                           </t>
  </si>
  <si>
    <t xml:space="preserve">GESTAO DE ORGANIZACOES HOSPITALARES E SISTEMAS DE SAUDE                                             </t>
  </si>
  <si>
    <t xml:space="preserve">GESTAO DE PROGRAMA DE SAUDE DA FAMILIA                                                              </t>
  </si>
  <si>
    <t xml:space="preserve">CAPACITACAO DE GERENTES HOSPITALARES MACRO E MICRORREGIONAIS DE SAUDE                               </t>
  </si>
  <si>
    <t xml:space="preserve">DIAGNOSTICO E GERENCIAMENTO DE RECURSOS HUMANOS                                                     </t>
  </si>
  <si>
    <t xml:space="preserve">PLANEJAMENTO E GESTAO SOCIAL                                                                        </t>
  </si>
  <si>
    <t xml:space="preserve">DESENVOLVIMENTO EM RECURSOS HUMANOS PARA A SAUDE                                                    </t>
  </si>
  <si>
    <t xml:space="preserve">DIRECAO E ADMINISTRACAO HOSPITALAR NO SUS                                                           </t>
  </si>
  <si>
    <t xml:space="preserve">POLITICA DE GESTAO AMBIENTAL                                                                        </t>
  </si>
  <si>
    <t xml:space="preserve">COOPERATIVISMO                                                                                      </t>
  </si>
  <si>
    <t xml:space="preserve">GESTAO DE NEGOCIOS E TECNOLOGIA DA INFORMACAO                                                       </t>
  </si>
  <si>
    <t xml:space="preserve">GERENCIA E TECNOLOGIA DA QUALIDADE                                                                  </t>
  </si>
  <si>
    <t xml:space="preserve">PLANEJAMENTO E GESTAO CULTURAL                                                                      </t>
  </si>
  <si>
    <t xml:space="preserve">CONTROLE INTERNO                                                                                    </t>
  </si>
  <si>
    <t xml:space="preserve">CONTROLE EXTERNO                                                                                    </t>
  </si>
  <si>
    <t xml:space="preserve">DINAMICA DE GRUPO                                                                                   </t>
  </si>
  <si>
    <t xml:space="preserve">GESTAO MERCADOLOGICA DE PEQUENAS E MEDIAS EMPRESAS                                                  </t>
  </si>
  <si>
    <t xml:space="preserve">ADMINISTRACAO GERAL E RECURSOS HUMANOS                                                              </t>
  </si>
  <si>
    <t xml:space="preserve">MARKETING E COMUNICACAO CORPORATIVA                                                                 </t>
  </si>
  <si>
    <t xml:space="preserve">ADMINISTRACAO DA QUALIDADE E PRODUTIVIDADE                                                          </t>
  </si>
  <si>
    <t xml:space="preserve">GESTAO PUBLICA E DIREITO ADMINISTRATIVO                                                             </t>
  </si>
  <si>
    <t xml:space="preserve">RECURSOS HUMANOS                                                                                    </t>
  </si>
  <si>
    <t xml:space="preserve">ESTUDOS SUPERIORES DE PLANEJAMENTO ESTRATEGICO                                                      </t>
  </si>
  <si>
    <t xml:space="preserve">ADMINISTRACAO GERAL E AGROINDUSTRIAL                                                                </t>
  </si>
  <si>
    <t xml:space="preserve">ADMINISTRACAO HOSPITALAR E DA SAUDE                                                                 </t>
  </si>
  <si>
    <t xml:space="preserve">EMPREENDEDORISMO, MARKETING E FINANCAS                                                              </t>
  </si>
  <si>
    <t xml:space="preserve">GESTAO ORGANIZACIONAL                                                                               </t>
  </si>
  <si>
    <t xml:space="preserve">PLANEJAMENTO E GESTAO ESTRATEGICA DA SAUDE                                                          </t>
  </si>
  <si>
    <t xml:space="preserve">ADMINISTRACAO DE EMPRESAS COM ENFASE EM MARKETING                                                   </t>
  </si>
  <si>
    <t xml:space="preserve">ADMINISTRACAO DE SISTEMAS MUNICIPAIS DE ENSINO                                                      </t>
  </si>
  <si>
    <t xml:space="preserve">REVITALIZACAO URBANA E ARQUITETONICA                                                                </t>
  </si>
  <si>
    <t xml:space="preserve">ADMINISTRACAO DE EMPRESAS - ENFASE EM RECURSOS HUMANOS                                              </t>
  </si>
  <si>
    <t xml:space="preserve">OPERACAO E GERENCIA DE PRODUCAO DE USINAS ALCOOLEIRAS                                               </t>
  </si>
  <si>
    <t xml:space="preserve">GESTAO ESTRATEGICA DE NEGOCIOS                                                                      </t>
  </si>
  <si>
    <t xml:space="preserve">ORGANIZACAO E NORMAS TECNICAS                                                                       </t>
  </si>
  <si>
    <t xml:space="preserve">ORGANIZACAO E TECNICA COMERCIAL                                                                     </t>
  </si>
  <si>
    <t xml:space="preserve">ADMINISTRACAO, ENGENHARIA E MARKETING DESPORTIVO                                                    </t>
  </si>
  <si>
    <t xml:space="preserve">GESTAO ESTRATEGICA COM PESSOAS E EQUIPES                                                            </t>
  </si>
  <si>
    <t xml:space="preserve">ADMINISTRACAO E DESENVOLVIMENTO DE RECURSOS HUMANOS                                                 </t>
  </si>
  <si>
    <t xml:space="preserve">ADMINISTRACAO MERCADOLOGICA                                                                         </t>
  </si>
  <si>
    <t xml:space="preserve">PLANEJAMENTO MUNICIPAL                                                                              </t>
  </si>
  <si>
    <t xml:space="preserve">GESTAO EMPRESARIAL E DE SAUDE                                                                       </t>
  </si>
  <si>
    <t xml:space="preserve">ADMINISTRACAO - GESTAO AMBIENTAL E RECURSOS NATURAIS                                                </t>
  </si>
  <si>
    <t xml:space="preserve">GESTAO DE ADMINISTRACAO FAZENDARIA                                                                  </t>
  </si>
  <si>
    <t xml:space="preserve">ADMINISTRACAO PARA A SEF/CEAFAZ                                                                     </t>
  </si>
  <si>
    <t xml:space="preserve">TECNICAS DE SECRETARIADO                                                                            </t>
  </si>
  <si>
    <t xml:space="preserve">DOCUMENTACAO E ARQUIVO                                                                              </t>
  </si>
  <si>
    <t xml:space="preserve">TECNICA DE COMERCIO E SERVICO                                                                       </t>
  </si>
  <si>
    <t xml:space="preserve">ADMINISTRACAO E GERENCIA DE RECURSOS HUMANOS                                                        </t>
  </si>
  <si>
    <t xml:space="preserve">ADMINISTRACAO E GERENCIA                                                                            </t>
  </si>
  <si>
    <t xml:space="preserve">GESTAO DE DERIVATIVOS AGROPECUARIOS                                                                 </t>
  </si>
  <si>
    <t xml:space="preserve">ADMINISTRACAO E CONTROLE                                                                            </t>
  </si>
  <si>
    <t xml:space="preserve">ADMINISTRACAO DE TRANSPORTES                                                                        </t>
  </si>
  <si>
    <t xml:space="preserve">FINANCAS E PLANEJAMENTO EMPRESARIAL                                                                 </t>
  </si>
  <si>
    <t xml:space="preserve">DESENVOLVIMENTO DE CONSULTORES EMPRESARIAIS: ENFASE EM RECURSOS HUMANOS                             </t>
  </si>
  <si>
    <t xml:space="preserve">ADMINISTRACAO HOTELEIRA                                                                             </t>
  </si>
  <si>
    <t xml:space="preserve">ELABORACAO E GESTAO DE PROJETOS INTERNACIONAIS                                                      </t>
  </si>
  <si>
    <t xml:space="preserve">ADMINISTRACAO CONTABIL E FINANCEIRA                                                                 </t>
  </si>
  <si>
    <t xml:space="preserve">GESTAO DE SEGURANCA DA INFORMACAO                                                                   </t>
  </si>
  <si>
    <t xml:space="preserve">GESTAO ESTRATEGICA DE EMPRESAS                                                                      </t>
  </si>
  <si>
    <t xml:space="preserve">DESENVOLVIMENTO GERENCIAL DE UNIDADES DE SAUDE                                                      </t>
  </si>
  <si>
    <t xml:space="preserve">GESTAO DE EMPRESAS E NEGOCIOS                                                                       </t>
  </si>
  <si>
    <t xml:space="preserve">GESTAO ESTRATEGICA DE FINANCAS                                                                      </t>
  </si>
  <si>
    <t xml:space="preserve">GESTAO DO PATRIMONIO HISTORICO CULTURAL E AMBIENTAL - ENFASE EM TURISMO                             </t>
  </si>
  <si>
    <t xml:space="preserve">GESTAO DE PESSOAS: ENFASE EM PEDAGOGIA EMPRESARIAL                                                  </t>
  </si>
  <si>
    <t xml:space="preserve">PLANEJAMENTO PUBLICO                                                                                </t>
  </si>
  <si>
    <t xml:space="preserve">GESTAO INDUSTRIAL FARMACEUTICA                                                                      </t>
  </si>
  <si>
    <t xml:space="preserve">GESTAO EMPRESARIAL E MARKETING                                                                      </t>
  </si>
  <si>
    <t xml:space="preserve">ADMINISTRACAO ESPORTIVA                                                                             </t>
  </si>
  <si>
    <t xml:space="preserve">GESTAO DE PEQUENAS E MEDIAS EMPRESAS                                                                </t>
  </si>
  <si>
    <t xml:space="preserve">ADMINISTRACAO, MARKETING E GESTAO PUBLICA                                                           </t>
  </si>
  <si>
    <t xml:space="preserve">GESTAO EM TECNOLOGIA DA INFORMACAO                                                                  </t>
  </si>
  <si>
    <t xml:space="preserve">GESTAO EM RECURSOS HUMANOS                                                                          </t>
  </si>
  <si>
    <t xml:space="preserve">NEGOCIOS PARA EXECUTIVOS                                                                            </t>
  </si>
  <si>
    <t xml:space="preserve">LOGISTICA                                                                                           </t>
  </si>
  <si>
    <t xml:space="preserve">SEGURANCA DO TRABALHO                                                                               </t>
  </si>
  <si>
    <t xml:space="preserve">LOGISTICA DE SUPRIMENTOS                                                                            </t>
  </si>
  <si>
    <t xml:space="preserve">ADMINISTRACAO E ECONOMIA RURAL                                                                      </t>
  </si>
  <si>
    <t xml:space="preserve">GESTAO PUBLICA E RESPONSABILIDADE FISCAL                                                            </t>
  </si>
  <si>
    <t xml:space="preserve">GESTAO ESTRATEGICA DE PROCESSOS DE NEGOCIOS                                                         </t>
  </si>
  <si>
    <t xml:space="preserve">ADMINISTRACAO DA QUALIDADE                                                                          </t>
  </si>
  <si>
    <t xml:space="preserve">PLANEJAMENTO E GESTAO ESTRATEGICA                                                                   </t>
  </si>
  <si>
    <t xml:space="preserve">TURISMO E DESENVOLVIMENTO SUSTENTAVEL                                                               </t>
  </si>
  <si>
    <t xml:space="preserve">PLANEJAMENTO ESTRATEGICO E SISTEMA DE INFORMACAO                                                    </t>
  </si>
  <si>
    <t xml:space="preserve">ESPECIALIZAÃ├O EM GEST├O ESTRATEGICA DE NEGOCIOS E FINANÃAS                                         </t>
  </si>
  <si>
    <t xml:space="preserve">TEORIA E PRATICA DO TURISMO                                                                         </t>
  </si>
  <si>
    <t xml:space="preserve">TEORIA E PROMOCAO DO TURISMO INTERNO                                                                </t>
  </si>
  <si>
    <t xml:space="preserve">ADMINISTRACAO DE BIBLIOTECAS                                                                        </t>
  </si>
  <si>
    <t xml:space="preserve">ADMINISTRACAO DE SISTEMAS PUBLICOS MUNICIPAIS                                                       </t>
  </si>
  <si>
    <t xml:space="preserve">TURISMO DE DESENVOLVIMENTO SUSTENTAVEL                                                              </t>
  </si>
  <si>
    <t xml:space="preserve">GESTAO ESTRATEGICA DA EDUCACAO                                                                      </t>
  </si>
  <si>
    <t xml:space="preserve">ESTRATEGIAS E ADMINISTRACAO DE MARKETING                                                            </t>
  </si>
  <si>
    <t xml:space="preserve">ORGANIZACAO E PLANEJAMENTO DE EDUCACAO INFANTIL NO MUNICIPIO                                        </t>
  </si>
  <si>
    <t xml:space="preserve">DESAFIO A PARTICIPACAO                                                                              </t>
  </si>
  <si>
    <t xml:space="preserve">PLANEJAMENTO E ADMINISTRACAO DA EDUCACAO                                                            </t>
  </si>
  <si>
    <t xml:space="preserve">DESENVOLVIMENTO ORGANIZACIONAL HOLISTICO                                                            </t>
  </si>
  <si>
    <t xml:space="preserve">ORIENTACAO, SUPERVISAO E ADMINISTRACAO (VISAO INTEGRADA)                                            </t>
  </si>
  <si>
    <t xml:space="preserve">TECNOLOGIA EM COMUNICACAO INSTITUCIONAL                                                             </t>
  </si>
  <si>
    <t xml:space="preserve">GESTAO AMBIENTAL EMPRESARIAL                                                                        </t>
  </si>
  <si>
    <t xml:space="preserve">ADMINISTRACAO E GERENCIAMENTO DOS SERVICOS DE SAUDE                                                 </t>
  </si>
  <si>
    <t xml:space="preserve">ADMINISTRACAO DE TURISMO                                                                            </t>
  </si>
  <si>
    <t xml:space="preserve">ORGANIZACAO E ADMINISTRACAO DE BIBLIOTECAS                                                          </t>
  </si>
  <si>
    <t xml:space="preserve">TURISMO REGIONAL: A ESTRADA REAL                                                                    </t>
  </si>
  <si>
    <t xml:space="preserve">ADMINISTRACAO GERAL E RELACOES INDUSTRIAIS                                                          </t>
  </si>
  <si>
    <t xml:space="preserve">ADMINISTRACAO EM EDUCACAO                                                                           </t>
  </si>
  <si>
    <t xml:space="preserve">GESTAO E DIAGNOSTICO EMPRESARIAL                                                                    </t>
  </si>
  <si>
    <t xml:space="preserve">CONSULTORIA EMPRESARIAL                                                                             </t>
  </si>
  <si>
    <t xml:space="preserve">TECNICA DE TURISMO                                                                                  </t>
  </si>
  <si>
    <t xml:space="preserve">COMERCIO EXTERIOR                                                                                   </t>
  </si>
  <si>
    <t xml:space="preserve">FINANCAS DE EMPRESAS                                                                                </t>
  </si>
  <si>
    <t xml:space="preserve">GESTAO DE LOGISTICA EMPRESARIAL                                                                     </t>
  </si>
  <si>
    <t xml:space="preserve">EXECUTIVO INTERNACIONAL                                                                             </t>
  </si>
  <si>
    <t xml:space="preserve">TECNOLOGIA EM MARKETING E PROPAGANDA                                                                </t>
  </si>
  <si>
    <t xml:space="preserve">GESTAO SISTEMICA BASEADA EM VALORES HUMANOS                                                         </t>
  </si>
  <si>
    <t xml:space="preserve">GESTAO DE COOPERATIVAS DE CREDITO                                                                   </t>
  </si>
  <si>
    <t xml:space="preserve">GESTAO EMPREENDEDORA DE NEGOCIOS                                                                    </t>
  </si>
  <si>
    <t xml:space="preserve">GESTAO SUCROALCOOLEIRA                                                                              </t>
  </si>
  <si>
    <t xml:space="preserve">GESTAO DA SEGURANCA PUBLICA E PLANEJAMENTO INSTITUCIONAL                                            </t>
  </si>
  <si>
    <t xml:space="preserve">ADMINISTRACAO DE EMPRESAS - ENFASE EM GESTAO HOSPITALAR                                             </t>
  </si>
  <si>
    <t xml:space="preserve">GESTAO EM SISTEMAS E SERVICOS DE SAUDE                                                              </t>
  </si>
  <si>
    <t xml:space="preserve">GESTAO DE PESSOAS NAS ORGANIZACOES - TOPICOS AVANCADOS                                              </t>
  </si>
  <si>
    <t xml:space="preserve">GESTAO AMBIENTAL EM PROBLEMAS URBANOS                                                               </t>
  </si>
  <si>
    <t xml:space="preserve">GESTAO FINANCEIRA                                                                                   </t>
  </si>
  <si>
    <t xml:space="preserve">COMERCIO ELETRONICO                                                                                 </t>
  </si>
  <si>
    <t xml:space="preserve">SUSTENTABILIDADE SOCIO-ECONOMIA E AMBIENTAL                                                         </t>
  </si>
  <si>
    <t xml:space="preserve">GESTAO DE SEGURANCA PRIVADA                                                                         </t>
  </si>
  <si>
    <t xml:space="preserve">GESTAO DE AGRONEGOCIOS                                                                              </t>
  </si>
  <si>
    <t xml:space="preserve">PROCESSOS GERENCIAIS                                                                                </t>
  </si>
  <si>
    <t xml:space="preserve">GESTAO EM AGRONEGOCIOS E FINANCAS                                                                   </t>
  </si>
  <si>
    <t xml:space="preserve">ADMINISTRACAO ESTRATEGICA                                                                           </t>
  </si>
  <si>
    <t xml:space="preserve">GESTAO ESTRATEGICA DE FINANCAS E PLANEJAMENTO TRIBUTARIO                                            </t>
  </si>
  <si>
    <t xml:space="preserve">ADMINISTRACAO COM HABILITACAO EM GESTAO AMBIENTAL E RECURSOS NATURAIS                               </t>
  </si>
  <si>
    <t xml:space="preserve">GESTAO ESTRATEGICA E QUALIDADE                                                                      </t>
  </si>
  <si>
    <t xml:space="preserve">PLANEJAMENTO E GERENCIAMENTO DE RECURSOS NATURAIS                                                   </t>
  </si>
  <si>
    <t xml:space="preserve">GESTAO DE SEGURANCA PATRIMONIAL - TECNICAS E MARKETING                                              </t>
  </si>
  <si>
    <t xml:space="preserve">GESTAO DA ECONOMIA SOLIDARIA E DESENVOLVIMENTO SUSTENTAVEL                                          </t>
  </si>
  <si>
    <t xml:space="preserve">GESTAO E AUDITORIA EM SISTEMAS DE SAUDE                                                             </t>
  </si>
  <si>
    <t xml:space="preserve">ADMINISTRACAO E DESENVOLVIMENTO EMPRESARIAL                                                         </t>
  </si>
  <si>
    <t xml:space="preserve">LOGISTICA EMPRESARIAL                                                                               </t>
  </si>
  <si>
    <t xml:space="preserve">GESTAO EMPRESARIAL COM FOCO EM SAUDE                                                                </t>
  </si>
  <si>
    <t xml:space="preserve">GESTAO DA ADMINISTRACAO PUBLICA                                                                     </t>
  </si>
  <si>
    <t xml:space="preserve">ADMINISTRACAO INDUSTRIAL                                                                            </t>
  </si>
  <si>
    <t xml:space="preserve">ADMINISTRACAO TRIBUTARIA                                                                            </t>
  </si>
  <si>
    <t xml:space="preserve">GESTAO DE OPERACOES E LOGISTICA                                                                     </t>
  </si>
  <si>
    <t xml:space="preserve">GESTAO ESTRATEGICA DE PROJETOS                                                                      </t>
  </si>
  <si>
    <t xml:space="preserve">PLANEJAMENTO E GESTAO                                                                               </t>
  </si>
  <si>
    <t xml:space="preserve">ORGANIZACAO, SISTEMAS E METODOS                                                                     </t>
  </si>
  <si>
    <t xml:space="preserve">GESTAO DA CONSTRUCAO CIVIL PUBLICA                                                                  </t>
  </si>
  <si>
    <t xml:space="preserve">GESTAO DE INSTITUICOES DE ENSINO SUPERIOR                                                           </t>
  </si>
  <si>
    <t xml:space="preserve">GESTAO DE NEGOCIOS NO CONTEXTO EMPREENDEDOR                                                         </t>
  </si>
  <si>
    <t xml:space="preserve">GESTAO COLEGIADA DAS ESCOLAS CATOLICAS                                                              </t>
  </si>
  <si>
    <t xml:space="preserve">GERENCIA PELA QUALIDADE TOTAL                                                                       </t>
  </si>
  <si>
    <t xml:space="preserve">GESTAO DO DESENVOLVIMENTO RURAL SUSTENTAVEL                                                         </t>
  </si>
  <si>
    <t xml:space="preserve">QUALIDADE TOTAL E AGRICULTURA EMPRESARIAL                                                           </t>
  </si>
  <si>
    <t xml:space="preserve">GESTAO AGROINDUSTRIAL                                                                               </t>
  </si>
  <si>
    <t xml:space="preserve">TRABALHO E PREVIDENCIA SOCIAL                                                                       </t>
  </si>
  <si>
    <t xml:space="preserve">GESTAO AMBIENTAL E URBANA                                                                           </t>
  </si>
  <si>
    <t xml:space="preserve">GESTAO E ESTRATEGIA ESCOLAR NA EDUCACAO BASICA E SUPERIOR                                           </t>
  </si>
  <si>
    <t xml:space="preserve">APERFEICOAMENTO EM PLANEJAMENTO E GESTAO EM CIENCIA E TECNOLOGIA                                    </t>
  </si>
  <si>
    <t xml:space="preserve">CIENCIAS GERENCIAIS                                                                                 </t>
  </si>
  <si>
    <t xml:space="preserve">GESTAO DA QUALIDADE E CERTIFICACAO                                                                  </t>
  </si>
  <si>
    <t xml:space="preserve">GESTAO CONTEMPORANEA DE TALENTOS HUMANOS                                                            </t>
  </si>
  <si>
    <t xml:space="preserve">E-BUSINESS                                                                                          </t>
  </si>
  <si>
    <t xml:space="preserve">PLANEJAMENTO DO SETOR SAUDE                                                                         </t>
  </si>
  <si>
    <t xml:space="preserve">GESTAO CULTURAL E POLITICAS PUBLICAS                                                                </t>
  </si>
  <si>
    <t xml:space="preserve">ADMINISTRACAO DESPORTIVA                                                                            </t>
  </si>
  <si>
    <t xml:space="preserve">GESTAO DA EXCELENCIA NAS ORGANIZACOES                                                               </t>
  </si>
  <si>
    <t xml:space="preserve">GESTAO ORGANIZACIONAL EM SERVICOS DE SAUDE                                                          </t>
  </si>
  <si>
    <t xml:space="preserve">GESTAO LOCAL E DISTRITAL DO SISTEMA UNICO DE SAUDE                                                  </t>
  </si>
  <si>
    <t xml:space="preserve">GESTAO DE RELACIONAMENTO COM O CLIENTE                                                              </t>
  </si>
  <si>
    <t xml:space="preserve">POLITICA, PLANEJAMENTO E GESTAO DA EDUCACAO BASICA NO MUNICIPIO                                     </t>
  </si>
  <si>
    <t xml:space="preserve">EDUCACAO BRASILEIRA: ORGANIZACAO E ADMINISTRACAO DO ENSINO                                          </t>
  </si>
  <si>
    <t xml:space="preserve">GESTAO DA INFORMACAO E DO CONHECIMENTO                                                              </t>
  </si>
  <si>
    <t xml:space="preserve">PLANEJAMENTO - HABILITACAO EM PEDAGOGIA                                                             </t>
  </si>
  <si>
    <t xml:space="preserve">NEGOCIOS INTERNACIONAIS                                                                             </t>
  </si>
  <si>
    <t xml:space="preserve">TECNOLOGO DE EVENTOS                                                                                </t>
  </si>
  <si>
    <t xml:space="preserve">MARKETING E GESTAO DE INSTITUICOES EDUCACIONAIS                                                     </t>
  </si>
  <si>
    <t xml:space="preserve">GESTAO DA INSTITUICAO DE ENSINO                                                                     </t>
  </si>
  <si>
    <t xml:space="preserve">EDUCACAO: PRATICAS MODERNAS DE GESTAO EM EDUCACAO                                                   </t>
  </si>
  <si>
    <t xml:space="preserve">TEORIAS E PRATICAS ATUAIS EM ADMINISTRACAO EDUCACIONAL                                              </t>
  </si>
  <si>
    <t xml:space="preserve">GESTAO DE NEGOCIOS EM TELECOMUNICACOES                                                              </t>
  </si>
  <si>
    <t xml:space="preserve">GESTAO E LOGISTICA HOSPITALAR                                                                       </t>
  </si>
  <si>
    <t xml:space="preserve">GESTAO HOSPITALAR E ACREDITACAO                                                                     </t>
  </si>
  <si>
    <t xml:space="preserve">ASSISTENTE DE ADMINISTRACAO EM SAUDE                                                                </t>
  </si>
  <si>
    <t xml:space="preserve">PERICIA, AUDITORIA E GESTAO AMBIENTAL                                                               </t>
  </si>
  <si>
    <t xml:space="preserve">GESTAO DE COOPERATIVAS                                                                              </t>
  </si>
  <si>
    <t xml:space="preserve">GESTAO E AUDITORIA EM ENTIDADES GOVERNAMENTAIS                                                      </t>
  </si>
  <si>
    <t xml:space="preserve">GESTAO E TECNOLOGIA EDUCACIONAL                                                                     </t>
  </si>
  <si>
    <t xml:space="preserve">FINANCAS E ESTRATEGIAS EMPRESARIAIS                                                                 </t>
  </si>
  <si>
    <t xml:space="preserve">ADMINISTRACAO COM ENFASE EM NEGOCIOS INTERNACIONAIS                                                 </t>
  </si>
  <si>
    <t xml:space="preserve">ADMINISTRACAO DE SISTEMAS DE SAUDE                                                                  </t>
  </si>
  <si>
    <t xml:space="preserve">COMUNICACAO INTERNA PARA RELACIONAMENTOS ESTRATEGICOS                                               </t>
  </si>
  <si>
    <t xml:space="preserve">GESTAO DE EMPRESAS DE SAUDE                                                                         </t>
  </si>
  <si>
    <t xml:space="preserve">ADMINISTRACAO E PLANEJAMENTO PARA DOCENTES                                                          </t>
  </si>
  <si>
    <t xml:space="preserve">CONCEPCAO, DESENVOLVIMENTO E AVALIACAO                                                              </t>
  </si>
  <si>
    <t xml:space="preserve">GESTAO HOSPITALAR NO SUS                                                                            </t>
  </si>
  <si>
    <t xml:space="preserve">TREINAMENTO DE PROFESSORES EM TECNICAS COMERCIAIS                                                   </t>
  </si>
  <si>
    <t xml:space="preserve">GESTAO ESTRATEGICA DE PESSOAS EM AMBIENTE DE MUDANCAS                                               </t>
  </si>
  <si>
    <t xml:space="preserve">GESTAO E TECNOLOGIA DA QUALIDADE NA AREA DE ADMINISTRACAO                                           </t>
  </si>
  <si>
    <t xml:space="preserve">GESTAO ESTRATEGICA EM SAUDE                                                                         </t>
  </si>
  <si>
    <t xml:space="preserve">PLANEJAMENTO, GESTAO E ENSINO EM TURISMO                                                            </t>
  </si>
  <si>
    <t xml:space="preserve">GESTAO E ESTRATEGIA ESCOLAR NA EDUCACAO BASICA E SUPERIOR, SUPERVISAO E ORIENTACAO                  </t>
  </si>
  <si>
    <t xml:space="preserve">GESTAO SOCIAL                                                                                       </t>
  </si>
  <si>
    <t xml:space="preserve">GESTAO E ESTRATEGIA NA EDUCACAO BASICA E SUPERIOR                                                   </t>
  </si>
  <si>
    <t xml:space="preserve">ADMINISTRACAO DE PROJETOS E MEIO AMBIENTE                                                           </t>
  </si>
  <si>
    <t xml:space="preserve">GESTAO DA COMUNICACAO EMPRESARIAL                                                                   </t>
  </si>
  <si>
    <t xml:space="preserve">GESTAO SUSTENTAVEL EM QMSS - QUALIDADE, MEIO AMBIENTE, SAUDE E SEGURANCA                            </t>
  </si>
  <si>
    <t xml:space="preserve">CONSULTORIA ORGANIZACIONAL                                                                          </t>
  </si>
  <si>
    <t xml:space="preserve">GESTAO EM ADMINISTRACAO EMPRESARIAL                                                                 </t>
  </si>
  <si>
    <t xml:space="preserve">DESENVOLVIMENTO DE EXECUTIVOS EM GESTAO E ECONOMIA EMPRESARIAL                                      </t>
  </si>
  <si>
    <t xml:space="preserve">CIENCIAS CONTABEIS                                                         </t>
  </si>
  <si>
    <t xml:space="preserve">CONTABILIDADE                                                                                       </t>
  </si>
  <si>
    <t xml:space="preserve">CONTABILIDADE DE CUSTOS                                                                             </t>
  </si>
  <si>
    <t xml:space="preserve">CONTABILIDADE ECONOMICA                                                                             </t>
  </si>
  <si>
    <t xml:space="preserve">CONTABILIDADE JURIDICA                                                                              </t>
  </si>
  <si>
    <t xml:space="preserve">CONTABILIDADE POLITICA                                                                              </t>
  </si>
  <si>
    <t xml:space="preserve">CONTABILIDADE PUBLICA                                                                               </t>
  </si>
  <si>
    <t xml:space="preserve">CONTABILIDADE SOCIAL                                                                                </t>
  </si>
  <si>
    <t xml:space="preserve">CONTABILIDADE TRIBUTARIA                                                                            </t>
  </si>
  <si>
    <t xml:space="preserve">MATEMATICA FINANCEIRA/COMERCIAL                                                                     </t>
  </si>
  <si>
    <t xml:space="preserve">CONTABILIDADE E FINANCAS PUBLICAS                                                                   </t>
  </si>
  <si>
    <t xml:space="preserve">AUDITORIA EM SERVICOS DE SAUDE                                                                      </t>
  </si>
  <si>
    <t xml:space="preserve">GESTAO E AUDITORIA AMBIENTAL                                                                        </t>
  </si>
  <si>
    <t xml:space="preserve">AUDITORIA EXTERNA                                                                                   </t>
  </si>
  <si>
    <t xml:space="preserve">CIENCIAS CONTABEIS                                                                                  </t>
  </si>
  <si>
    <t xml:space="preserve">AUDITORIA                                                                                           </t>
  </si>
  <si>
    <t xml:space="preserve">FINANCAS CONTROLADORIA E AUDITORIA                                                                  </t>
  </si>
  <si>
    <t xml:space="preserve">PERICIA CONTABIL / BACHAREL                                                                         </t>
  </si>
  <si>
    <t xml:space="preserve">PERICIA CONTABIL / ESPECIALIZACAO                                                                   </t>
  </si>
  <si>
    <t xml:space="preserve">PERICIA CONTABIL / MESTRADO                                                                         </t>
  </si>
  <si>
    <t xml:space="preserve">AUDITORIA E FINANCAS PUBLICAS                                                                       </t>
  </si>
  <si>
    <t xml:space="preserve">AUDITORIA CONTABIL                                                                                  </t>
  </si>
  <si>
    <t xml:space="preserve">AUDITORIA DE SISTEMA DE SAUDE                                                                       </t>
  </si>
  <si>
    <t xml:space="preserve">CONTABILIDADE GOVERNAMENTAL                                                                         </t>
  </si>
  <si>
    <t xml:space="preserve">ESPECIALIZACAO EM CONTABILIDADE GOVERNAMENTAL                                                       </t>
  </si>
  <si>
    <t xml:space="preserve">ESPECIALIZACAO EM CONTROLE EXTERNO                                                                  </t>
  </si>
  <si>
    <t xml:space="preserve">GESTAO DE CUSTOS E CONTROLADORIA                                                                    </t>
  </si>
  <si>
    <t xml:space="preserve">CONTROLADORIA                                                                                       </t>
  </si>
  <si>
    <t xml:space="preserve">CONTABILIDADE E CUSTOS                                                                              </t>
  </si>
  <si>
    <t xml:space="preserve">CONTABILIDADE PARA AGENTES MULTIPLICADORES                                                          </t>
  </si>
  <si>
    <t xml:space="preserve">AUDITORIA FISCAL E TRIBUTARIA                                                                       </t>
  </si>
  <si>
    <t xml:space="preserve">CONTABILIDADE GERAL                                                                                 </t>
  </si>
  <si>
    <t xml:space="preserve">GESTAO FINANCEIRA E CONTABIL DAS EMPRESAS                                                           </t>
  </si>
  <si>
    <t xml:space="preserve">GESTAO FISCAL E TRIBUTARIA                                                                          </t>
  </si>
  <si>
    <t xml:space="preserve">CONTABILIDADE E AUDITORIA                                                                           </t>
  </si>
  <si>
    <t xml:space="preserve">LEGISLACAO FINANCEIRA E TRIBUTARIA                                                                  </t>
  </si>
  <si>
    <t xml:space="preserve">GESTAO DE CONTROLADORIA, AUDITORIA E TRIBUTOS                                                       </t>
  </si>
  <si>
    <t xml:space="preserve">CONTABILIDADE E CONTROLADORIA                                                                       </t>
  </si>
  <si>
    <t xml:space="preserve">CONTABILIDADE ANALISE E GERENCIAMENTO                                                               </t>
  </si>
  <si>
    <t xml:space="preserve">ORCAMENTO E CONTABILIDADE                                                                           </t>
  </si>
  <si>
    <t xml:space="preserve">AUDITORIA INTERNA E DE SISTEMAS INFORMATIZADOS                                                      </t>
  </si>
  <si>
    <t xml:space="preserve">AUDITORIA INTERNA E EXTERNA                                                                         </t>
  </si>
  <si>
    <t xml:space="preserve">GESTAO ESTRATEGICA EM CONTABILIDADE                                                                 </t>
  </si>
  <si>
    <t xml:space="preserve">GESTAO ESTRATEGICA EM CONTROLADORIA                                                                 </t>
  </si>
  <si>
    <t xml:space="preserve">AUDITORIA E CONTABILIDADE FINANCEIRA                                                                </t>
  </si>
  <si>
    <t xml:space="preserve">CONTABILIDADE E FINANCAS                                                                            </t>
  </si>
  <si>
    <t xml:space="preserve">CONTROLADORIA E AUDITORIA CONTABIL                                                                  </t>
  </si>
  <si>
    <t xml:space="preserve">CONTROLADORIA E FINANCAS                                                                            </t>
  </si>
  <si>
    <t xml:space="preserve">CONTABILIDADE, AUDITORIA E PLANEJAMENTO TRIBUTARIO                                                  </t>
  </si>
  <si>
    <t xml:space="preserve">CONTROLADORIA E FINANCAS EMPRESARIAIS                                                               </t>
  </si>
  <si>
    <t xml:space="preserve">GESTAO FINANCEIRA, CONTROLADORIA E AUDITORIA                                                        </t>
  </si>
  <si>
    <t xml:space="preserve">AUDITORIA E PERICIA CONTABIL                                                                        </t>
  </si>
  <si>
    <t xml:space="preserve">GESTAO TRIBUTARIA EM COMERCIO EXTERIOR                                                              </t>
  </si>
  <si>
    <t xml:space="preserve">GESTAO, AUDITORIA E PERICIA AMBIENTAL                                                               </t>
  </si>
  <si>
    <t xml:space="preserve">CONTROLADORIA CORPORATIVA                                                                           </t>
  </si>
  <si>
    <t xml:space="preserve">AUDITORIA E FINANCAS                                                                                </t>
  </si>
  <si>
    <t xml:space="preserve">CONTROLADORIA E AUDITORIA                                                                           </t>
  </si>
  <si>
    <t xml:space="preserve">AUDITORIA E PERICIA AMBIENTAL                                                                       </t>
  </si>
  <si>
    <t xml:space="preserve">CONTABILIDADE EMPRESARIAL E AUDITORIA                                                               </t>
  </si>
  <si>
    <t xml:space="preserve">GESTAO FINANCEIRA E CONTROLADORIA                                                                   </t>
  </si>
  <si>
    <t xml:space="preserve">GESTAO EM CONTROLADORIA, AUDITORIA E TRIBUTOS                                                       </t>
  </si>
  <si>
    <t xml:space="preserve">TRIBUTACAO E ARRECADACAO                                                                            </t>
  </si>
  <si>
    <t xml:space="preserve">GESTAO CONTABIL                                                                                     </t>
  </si>
  <si>
    <t xml:space="preserve">CONTABILIDADE PUBLICA E RESPONSABILIDADE SOCIAL                                                     </t>
  </si>
  <si>
    <t xml:space="preserve">COMUNICACAO                                                                </t>
  </si>
  <si>
    <t xml:space="preserve">COMUNICACAO SOCIAL                                                                                  </t>
  </si>
  <si>
    <t xml:space="preserve">EDITORACAO                                                                                          </t>
  </si>
  <si>
    <t xml:space="preserve">ESCRITORES/CRITICOS/REDATORES                                                                       </t>
  </si>
  <si>
    <t xml:space="preserve">JORNALISMO                                                                                          </t>
  </si>
  <si>
    <t xml:space="preserve">JORNALISMO AUDIO-VISUAL                                                                             </t>
  </si>
  <si>
    <t xml:space="preserve">JORNALISMO GRAFICO                                                                                  </t>
  </si>
  <si>
    <t xml:space="preserve">LOCUTORES/COMENTARISTAS/PALESTRISTAS                                                                </t>
  </si>
  <si>
    <t xml:space="preserve">MARKETING                                                                                           </t>
  </si>
  <si>
    <t xml:space="preserve">PRODUCAO CULTURAL                                                                                   </t>
  </si>
  <si>
    <t xml:space="preserve">PRODUCAO EDITORIAL                                                                                  </t>
  </si>
  <si>
    <t xml:space="preserve">PROGRAMACAO VISUAL                                                                                  </t>
  </si>
  <si>
    <t xml:space="preserve">PUBLICIDADE E PROPAGANDA                                                                            </t>
  </si>
  <si>
    <t xml:space="preserve">RADIALISMO - RADIO E TV                                                                             </t>
  </si>
  <si>
    <t xml:space="preserve">RELACOES INTERNACIONAIS                                                                             </t>
  </si>
  <si>
    <t xml:space="preserve">RELACOES PUBLICAS                                                                                   </t>
  </si>
  <si>
    <t xml:space="preserve">ESPECIALIZACAO EM COMUNICACAO PUBLICA                                                               </t>
  </si>
  <si>
    <t xml:space="preserve">ESPECIALIZACAO EM COMUNICACAO, EDUCACAO E MIDIAS INTERATIVAS                                        </t>
  </si>
  <si>
    <t xml:space="preserve">ESPECIALIZACAO EM COMUNICACAO SOCIAL                                                                </t>
  </si>
  <si>
    <t xml:space="preserve">ESPECIALIZACAO EM COMUNICACAO E POLITICA                                                            </t>
  </si>
  <si>
    <t xml:space="preserve">COMUNICACAO VISUAL                                                                                  </t>
  </si>
  <si>
    <t xml:space="preserve">GESTAO DE MARKETING                                                                                 </t>
  </si>
  <si>
    <t xml:space="preserve">COMUNICACAO E GESTAO EMPRESARIAL                                                                    </t>
  </si>
  <si>
    <t xml:space="preserve">TEORIA E PRATICA DA PRODUCAO DE MATERIAL AUDIOVISUAL                                                </t>
  </si>
  <si>
    <t xml:space="preserve">MARKETING E COMUNICACAO                                                                             </t>
  </si>
  <si>
    <t xml:space="preserve">COMUNICACAO                                                                                         </t>
  </si>
  <si>
    <t xml:space="preserve">MARKETING POLITICO                                                                                  </t>
  </si>
  <si>
    <t xml:space="preserve">ESPECIALIZACAO EM MIDIA E DEFICIENCIA                                                               </t>
  </si>
  <si>
    <t xml:space="preserve">CRIACAO E PRODUCAO EM MIDIA ELETRONICA - RADIO E TV                                                 </t>
  </si>
  <si>
    <t xml:space="preserve">GESTAO ESTRATEGICA DA COMUNICACAO                                                                   </t>
  </si>
  <si>
    <t xml:space="preserve">TECNICAS DE EXPRESSAO                                                                               </t>
  </si>
  <si>
    <t xml:space="preserve">PUBLICIDADE                                                                                         </t>
  </si>
  <si>
    <t xml:space="preserve">TRATAMENTO DA INFORMACAO                                                                            </t>
  </si>
  <si>
    <t xml:space="preserve">TECNICA DA COMUNICACAO                                                                              </t>
  </si>
  <si>
    <t xml:space="preserve">RELACOES PUBLICAS E HUMANAS NO TRABALHO                                                             </t>
  </si>
  <si>
    <t xml:space="preserve">COMUNICACAO E LETRAS                                                                                </t>
  </si>
  <si>
    <t xml:space="preserve">TECNICA DE RELACOES PUBLICAS                                                                        </t>
  </si>
  <si>
    <t xml:space="preserve">COMUNICACAO E EXPRESSAO                                                                             </t>
  </si>
  <si>
    <t xml:space="preserve">COMUNICACAO, ESTRATEGIA E LINGUAGENS                                                                </t>
  </si>
  <si>
    <t xml:space="preserve">METODOLOGIA DE COMUNICACAO E EXPRESSAO                                                              </t>
  </si>
  <si>
    <t xml:space="preserve">INFORMATION SPECIALISEE                                                                             </t>
  </si>
  <si>
    <t xml:space="preserve">COMUNICACAO CORPORATIVA                                                                             </t>
  </si>
  <si>
    <t xml:space="preserve">ECONOMIA                                                                   </t>
  </si>
  <si>
    <t xml:space="preserve">CIENCIAS ECONOMICAS                                                                                 </t>
  </si>
  <si>
    <t xml:space="preserve">ECONOMETRIA                                                                                         </t>
  </si>
  <si>
    <t xml:space="preserve">ECONOMIA AGRICOLA E RURAL                                                                           </t>
  </si>
  <si>
    <t xml:space="preserve">ECONOMIA DIGITAL / E-COMMERCE                                                                       </t>
  </si>
  <si>
    <t xml:space="preserve">ECONOMIA INTERNACIONAL                                                                              </t>
  </si>
  <si>
    <t xml:space="preserve">ECONOMIA MONETARIA                                                                                  </t>
  </si>
  <si>
    <t xml:space="preserve">ECONOMIA PUBLICA                                                                                    </t>
  </si>
  <si>
    <t xml:space="preserve">ECONOMIA REGIONAL                                                                                   </t>
  </si>
  <si>
    <t xml:space="preserve">ECONOMIA URBANA                                                                                     </t>
  </si>
  <si>
    <t xml:space="preserve">ESTATISTICA ECONOMICA                                                                               </t>
  </si>
  <si>
    <t xml:space="preserve">ECONOMIA EM SAUDE                                                                                   </t>
  </si>
  <si>
    <t xml:space="preserve">MBA EM FINANCAS PUBLICAS                                                                            </t>
  </si>
  <si>
    <t xml:space="preserve">ESPECIALIZACAO EM FINANCAS                                                                          </t>
  </si>
  <si>
    <t xml:space="preserve">ESPECIALIZACAO EM IVA                                                                               </t>
  </si>
  <si>
    <t xml:space="preserve">MESTRADO EM ECONOMIA                                                                                </t>
  </si>
  <si>
    <t xml:space="preserve">TEORIA ECONOMICA                                                                                    </t>
  </si>
  <si>
    <t xml:space="preserve">GESTAO EM FINANCAS                                                                                  </t>
  </si>
  <si>
    <t xml:space="preserve">ECONOMIA                                                                                            </t>
  </si>
  <si>
    <t xml:space="preserve">ORCAMENTO E FINANCAS PUBLICAS                                                                       </t>
  </si>
  <si>
    <t xml:space="preserve">ANALISE ECONOMICA, REGIONAL E URBANA                                                                </t>
  </si>
  <si>
    <t xml:space="preserve">POLITICA ECONOMICA                                                                                  </t>
  </si>
  <si>
    <t xml:space="preserve">ECONOMIA E MERCADOS                                                                                 </t>
  </si>
  <si>
    <t xml:space="preserve">ECONOMIA INDUSTRIAL                                                                                 </t>
  </si>
  <si>
    <t xml:space="preserve">ECONOMIA RURAL                                                                                      </t>
  </si>
  <si>
    <t xml:space="preserve">ECONOMIA DA SAUDE                                                                                   </t>
  </si>
  <si>
    <t xml:space="preserve">ECONOMIA DE EMPRESAS                                                                                </t>
  </si>
  <si>
    <t xml:space="preserve">INTEGRACAO ECONOMICA E DIREITO INTERNACIONAL FISCAL                                                 </t>
  </si>
  <si>
    <t xml:space="preserve">MERCADO DE CAPITAIS E DERIVATIVOS                                                                   </t>
  </si>
  <si>
    <t xml:space="preserve">GESTAO DE INSTITUICAO FINANCEIRA                                                                    </t>
  </si>
  <si>
    <t xml:space="preserve">ELEMENTOS DE ECONOMIA                                                                               </t>
  </si>
  <si>
    <t xml:space="preserve">MBA EXECUTIVO EM FINANCAS                                                                           </t>
  </si>
  <si>
    <t xml:space="preserve">ENGENHARIAS E TECNOLOGIAS                                                  </t>
  </si>
  <si>
    <t xml:space="preserve">CIENCIAS DA COMPUTACAO                                                     </t>
  </si>
  <si>
    <t xml:space="preserve">ADMINISTRADOR DE CPD                                                                                </t>
  </si>
  <si>
    <t xml:space="preserve">ANALISE DE SISTEMAS                                                                                 </t>
  </si>
  <si>
    <t xml:space="preserve">CIENCIAS DA COMPUTACAO                                                                              </t>
  </si>
  <si>
    <t xml:space="preserve">COMPUTACAO E INFORMATICA                                                                            </t>
  </si>
  <si>
    <t xml:space="preserve">ENGENHARIA DA COMPUTACAO                                                                            </t>
  </si>
  <si>
    <t xml:space="preserve">GERENCIA EM INFORMATICA                                                                             </t>
  </si>
  <si>
    <t xml:space="preserve">MATEMATICA COMPUTACIONAL                                                                            </t>
  </si>
  <si>
    <t xml:space="preserve">ORG.METODOS E SISTEMAS INFORMACAO GERENCIAL                                                         </t>
  </si>
  <si>
    <t xml:space="preserve">PROCESSAMENTO DE DADOS                                                                              </t>
  </si>
  <si>
    <t xml:space="preserve">PROGRAMACAO                                                                                         </t>
  </si>
  <si>
    <t xml:space="preserve">SISTEMA DE INFORMACAO                                                                               </t>
  </si>
  <si>
    <t xml:space="preserve">TECNOLOGO DE MANUTENCAO DE COMPUTADORES                                                             </t>
  </si>
  <si>
    <t xml:space="preserve">TECNOLOGO EM PROC.DADOS                                                                             </t>
  </si>
  <si>
    <t xml:space="preserve">ESPECIALIZACAO EM ENGENHARIA DE SOFTWARE E GOVERNANCA DE TECNOLOGIA DA INFORMACAO                   </t>
  </si>
  <si>
    <t xml:space="preserve">TECNOLOGO EM GESTAO DA TECNOLOGIA DA INFORMACAO                                                     </t>
  </si>
  <si>
    <t xml:space="preserve">ANALISE E DESENVOLVIMENTO DE SISTEMAS                                                               </t>
  </si>
  <si>
    <t xml:space="preserve">ESPECIALIZACAO EM TECNOLOGIA DA INFORMACAO                                                          </t>
  </si>
  <si>
    <t xml:space="preserve">TECNOLOGO EM TELECOMUNICACOES                                                                       </t>
  </si>
  <si>
    <t xml:space="preserve">ADMINISTRACAO EM REDES LINUX                                                                        </t>
  </si>
  <si>
    <t xml:space="preserve">ANALISE DE SISTEMAS DE PROCESSAMENTO DE DADOS                                                       </t>
  </si>
  <si>
    <t xml:space="preserve">BANCO DE DADOS                                                                                      </t>
  </si>
  <si>
    <t xml:space="preserve">ANALISE DE SISTEMAS DE INFORMACAO                                                                   </t>
  </si>
  <si>
    <t xml:space="preserve">NOVAS TECNOLOGIAS EM COMUNICACAO                                                                    </t>
  </si>
  <si>
    <t xml:space="preserve">ANALISE DE SISTEMAS DE INFORMACOES                                                                  </t>
  </si>
  <si>
    <t xml:space="preserve">TECNOLOGIA EM INFORMATICA                                                                           </t>
  </si>
  <si>
    <t xml:space="preserve">INFORMATICA                                                                                         </t>
  </si>
  <si>
    <t xml:space="preserve">MECANOGRAFIA E PROCESSAMENTO DE DADOS                                                               </t>
  </si>
  <si>
    <t xml:space="preserve">SISTEMAS E COMPUTACAO                                                                               </t>
  </si>
  <si>
    <t xml:space="preserve">ARQUITETURA DA INFORMACAO                                                                           </t>
  </si>
  <si>
    <t xml:space="preserve">GERENCIA DE TELECOMUNICACOES E REDES DE COMPUTADORES                                                </t>
  </si>
  <si>
    <t xml:space="preserve">TECNOLOGIA                                                                                          </t>
  </si>
  <si>
    <t xml:space="preserve">SISTEMAS PARA INTERNET                                                                              </t>
  </si>
  <si>
    <t xml:space="preserve">MATEMATICA NA COMPUTACAO                                                                            </t>
  </si>
  <si>
    <t xml:space="preserve">SISTEMAS ELETROELETRONICOS                                                                          </t>
  </si>
  <si>
    <t xml:space="preserve">ADMINISTRACAO, ANALISE E DESENVOLVIMENTO DE SISTEMAS DA INFORMACAO                                  </t>
  </si>
  <si>
    <t xml:space="preserve">ANALISE E PROJETO DE SISTEMAS                                                                       </t>
  </si>
  <si>
    <t xml:space="preserve">SISTEMA DE TV DIGITAL                                                                               </t>
  </si>
  <si>
    <t xml:space="preserve">ADMINISTRACAO DE SISTEMAS DE BANCO DE DADOS                                                         </t>
  </si>
  <si>
    <t xml:space="preserve">TECNOLOGO EM INFORMATICA                                                                            </t>
  </si>
  <si>
    <t xml:space="preserve">TECNOLOGIA EM GESTAO PUBLICA                                                                        </t>
  </si>
  <si>
    <t xml:space="preserve">TECNOLOGIA EM SECRETARIADO E GESTAO CLINICO HOSPITALAR                                              </t>
  </si>
  <si>
    <t xml:space="preserve">MELHORIAS DO PROCESSO DE SOFTWARE                                                                   </t>
  </si>
  <si>
    <t xml:space="preserve">MODELAGEM MATEMATICA E COMPUTACIONAL                                                                </t>
  </si>
  <si>
    <t xml:space="preserve">GERENCIAMENTO DE BANCO DE DADOS                                                                     </t>
  </si>
  <si>
    <t xml:space="preserve">MODELAGEM COMPUTACIONAL                                                                             </t>
  </si>
  <si>
    <t xml:space="preserve">INFORMATICA EM AGROPECUARIA                                                                         </t>
  </si>
  <si>
    <t xml:space="preserve">TECNOLOGIA EM EVENTOS                                                                               </t>
  </si>
  <si>
    <t xml:space="preserve">TECNOLOGIA EM COMUNICACAO ASSISTIVA                                                                 </t>
  </si>
  <si>
    <t xml:space="preserve">TECNOLOGIA EM INFORMATICA NO AGRONEGOCIO                                                            </t>
  </si>
  <si>
    <t xml:space="preserve">TECNOLOGIAS DIGITAS APLICADAS A EDUCACAO                                                            </t>
  </si>
  <si>
    <t xml:space="preserve">TECNOLOGIA EM AGRONEGOCIOS                                                                          </t>
  </si>
  <si>
    <t xml:space="preserve">ANALISE DE SISTEMAS ADMINISTRATIVOS EM PROCESSAMENTO DE DADOS                                       </t>
  </si>
  <si>
    <t xml:space="preserve">TECNOLOGIA EM DESENVOLVIMENTO DE WEB                                                                </t>
  </si>
  <si>
    <t xml:space="preserve">TECNOLOGIA EM GESTAO DE SEGURANCA PUBLICA E EMPRESARIAL                                             </t>
  </si>
  <si>
    <t xml:space="preserve">TECNOLOGIA EM SISTEMAS DE TELECOMUNICACOES MOVEIS                                                   </t>
  </si>
  <si>
    <t xml:space="preserve">TECNOLOGIA EM GESTAO DE SEGURANCA EMPRESARIAL                                                       </t>
  </si>
  <si>
    <t xml:space="preserve">TECNOLOGIA DA INFORMACAO COM ENFASE EM ENGENHARIA DE SOFTWARES                                      </t>
  </si>
  <si>
    <t xml:space="preserve">ENGENHARIA                                                                 </t>
  </si>
  <si>
    <t xml:space="preserve">AGRONOMIA                                                                                           </t>
  </si>
  <si>
    <t xml:space="preserve">ARQUITETURA E URBANISMO                                                                             </t>
  </si>
  <si>
    <t xml:space="preserve">ENG.CIVIL - EDIFICACOES                                                                             </t>
  </si>
  <si>
    <t xml:space="preserve">ENG.CIVIL - ESTRUTURAS METALICAS                                                                    </t>
  </si>
  <si>
    <t xml:space="preserve">ENG.CIVIL - FERROVIARIA                                                                             </t>
  </si>
  <si>
    <t xml:space="preserve">ENG.CIVIL - FUNDACOES                                                                               </t>
  </si>
  <si>
    <t xml:space="preserve">ENG.CIVIL - HIDRAULICA                                                                              </t>
  </si>
  <si>
    <t xml:space="preserve">ENG.CIVIL - NAVAL                                                                                   </t>
  </si>
  <si>
    <t xml:space="preserve">ENG.CIVIL - PONTES E VIADUTOS                                                                       </t>
  </si>
  <si>
    <t xml:space="preserve">ENG.CIVIL - PROJETOS                                                                                </t>
  </si>
  <si>
    <t xml:space="preserve">ENG.CIVIL - RODOVIARIA                                                                              </t>
  </si>
  <si>
    <t xml:space="preserve">ENGENHARIA AERONAUTICA                                                                              </t>
  </si>
  <si>
    <t xml:space="preserve">ENGENHARIA AMBIENTAL                                                                                </t>
  </si>
  <si>
    <t xml:space="preserve">ENGENHARIA CARTOGRAFICA                                                                             </t>
  </si>
  <si>
    <t xml:space="preserve">ENGENHARIA CIVIL                                                                                    </t>
  </si>
  <si>
    <t xml:space="preserve">ENGENHARIA DE AGRIMENSURA                                                                           </t>
  </si>
  <si>
    <t xml:space="preserve">ENGENHARIA DE ALIMENTOS                                                                             </t>
  </si>
  <si>
    <t xml:space="preserve">ENGENHARIA DE AQUICULTURA                                                                           </t>
  </si>
  <si>
    <t xml:space="preserve">ENGENHARIA DE AUTOMACAO                                                                             </t>
  </si>
  <si>
    <t xml:space="preserve">ENGENHARIA DE CONTROLE E AUTOMACAO                                                                  </t>
  </si>
  <si>
    <t xml:space="preserve">ENGENHARIA DE MATERIAIS                                                                             </t>
  </si>
  <si>
    <t xml:space="preserve">ENGENHARIA DE MINAS                                                                                 </t>
  </si>
  <si>
    <t xml:space="preserve">ENGENHARIA DE OPERACOES INDUSTRIAIS                                                                 </t>
  </si>
  <si>
    <t xml:space="preserve">ENGENHARIA DE PRODUCAO                                                                              </t>
  </si>
  <si>
    <t xml:space="preserve">ENGENHARIA DE QUALIDADE E SEGURANCA NO TRABALHO                                                     </t>
  </si>
  <si>
    <t xml:space="preserve">ENGENHARIA DE TELECOMUNICACOES                                                                      </t>
  </si>
  <si>
    <t xml:space="preserve">ENGENHARIA DE TRAFEGO                                                                               </t>
  </si>
  <si>
    <t xml:space="preserve">ENGENHARIA ELETRICA/ELETRONICA                                                                      </t>
  </si>
  <si>
    <t xml:space="preserve">ENGENHARIA FLORESTAL                                                                                </t>
  </si>
  <si>
    <t xml:space="preserve">ENGENHARIA MECANICA                                                                                 </t>
  </si>
  <si>
    <t xml:space="preserve">ENGENHARIA MECATRONICA                                                                              </t>
  </si>
  <si>
    <t xml:space="preserve">ENGENHARIA METALURGICA                                                                              </t>
  </si>
  <si>
    <t xml:space="preserve">ENGENHARIA NUCLEAR                                                                                  </t>
  </si>
  <si>
    <t xml:space="preserve">ENGENHARIA QUIMICA                                                                                  </t>
  </si>
  <si>
    <t xml:space="preserve">ENGENHARIA SANITARIA                                                                                </t>
  </si>
  <si>
    <t xml:space="preserve">ENGENHARIA DE AVALIACOES E PERICIAS                                                                 </t>
  </si>
  <si>
    <t xml:space="preserve">ESPECIALIZACAO EM GESTAO DE ENGENHARIA DE PROJETOS E ESTRUTURAS                                     </t>
  </si>
  <si>
    <t xml:space="preserve">ESPECIALIZACAO EM ENGENHARIA DE AR CONDICIONADO                                                     </t>
  </si>
  <si>
    <t xml:space="preserve">ESPECIALIZACAO EM ENGENHARIA DE AVALIACAO E PERICIA                                                 </t>
  </si>
  <si>
    <t xml:space="preserve">MESTRADO EM ENGENHARIA INDUSTRIAL                                                                   </t>
  </si>
  <si>
    <t xml:space="preserve">BACHARELADO EM ENGENHARIA AGRONOMA                                                                  </t>
  </si>
  <si>
    <t xml:space="preserve">ENGENHARIA DE OPERACAO                                                                              </t>
  </si>
  <si>
    <t xml:space="preserve">CONSTRUCAO CIVIL                                                                                    </t>
  </si>
  <si>
    <t xml:space="preserve">ESPECIALIZACAO EM ENGENHARIA DE SEGURANCA DO TRABALHO                                               </t>
  </si>
  <si>
    <t xml:space="preserve">ENGENHARIA AGRICOLA                                                                                 </t>
  </si>
  <si>
    <t xml:space="preserve">ENGENHARIA DE SEGURANCA DO TRABALHO                                                                 </t>
  </si>
  <si>
    <t xml:space="preserve">ENGENHARIA EM SAUDE PUBLICA                                                                         </t>
  </si>
  <si>
    <t xml:space="preserve">ENGENHARIA SANITARIA E AMBIENTAL                                                                    </t>
  </si>
  <si>
    <t xml:space="preserve">ESPECIALIZACAO EM PAVIMENTACAO                                                                      </t>
  </si>
  <si>
    <t xml:space="preserve">TRANSPORTE E TRANSITO                                                                               </t>
  </si>
  <si>
    <t xml:space="preserve">GESTAO PUBLICA - ENFASE EM GESTAO DE TRANSPORTES E OBRAS                                            </t>
  </si>
  <si>
    <t xml:space="preserve">DESENVOLVIMENTO DE EXECUTIVOS DA CONSTRUCAO PESADA                                                  </t>
  </si>
  <si>
    <t xml:space="preserve">PLANEJAMENTO DE TRANSPORTES URBANOS                                                                 </t>
  </si>
  <si>
    <t xml:space="preserve">ENGENHARIA ECONOMICA                                                                                </t>
  </si>
  <si>
    <t xml:space="preserve">ENGENHARIA DE TRANSPORTES                                                                           </t>
  </si>
  <si>
    <t xml:space="preserve">ENGENHARIA CIVIL - HIDRAULICA E SANEAMENTO                                                          </t>
  </si>
  <si>
    <t xml:space="preserve">ENGENHARIA MECANICA - CALOR E FLUIDOS                                                               </t>
  </si>
  <si>
    <t xml:space="preserve">ENGENHARIA ELETRICA                                                                                 </t>
  </si>
  <si>
    <t xml:space="preserve">FISICA DO SOLO                                                                                      </t>
  </si>
  <si>
    <t xml:space="preserve">ENGENHARIA DE INFORMACOES                                                                           </t>
  </si>
  <si>
    <t xml:space="preserve">ENGENHARIA METALURGICA E DE MINAS                                                                   </t>
  </si>
  <si>
    <t xml:space="preserve">ENGENHARIA DE SOFTWARE                                                                              </t>
  </si>
  <si>
    <t xml:space="preserve">AGRONOMIA - SOLOS E NUTRICAO DE PLANTAS                                                             </t>
  </si>
  <si>
    <t xml:space="preserve">ENGENHARIA DE PRODUCAO CIVIL                                                                        </t>
  </si>
  <si>
    <t xml:space="preserve">ENGENHARIA CLINICA                                                                                  </t>
  </si>
  <si>
    <t xml:space="preserve">ENGENHARIA INDUSTRIAL MECANICA                                                                      </t>
  </si>
  <si>
    <t xml:space="preserve">ENGENHARIA DE CUSTOS                                                                                </t>
  </si>
  <si>
    <t xml:space="preserve">ENGENHARIA - EDUCACAO PARA O TRANSITO                                                               </t>
  </si>
  <si>
    <t xml:space="preserve">ENGENHARIA INDUSTRIAL ELETRICA                                                                      </t>
  </si>
  <si>
    <t xml:space="preserve">MECANICA                                                                                            </t>
  </si>
  <si>
    <t xml:space="preserve">ENGENHARIA INDUSTRIAL                                                                               </t>
  </si>
  <si>
    <t xml:space="preserve">MATERIAIS DE CONSTRUCAO                                                                             </t>
  </si>
  <si>
    <t xml:space="preserve">ENGENHARIA INDUSTRIAL QUIMICA                                                                       </t>
  </si>
  <si>
    <t xml:space="preserve">ENGENHARIA DE BARRAGENS E REPRESAS                                                                  </t>
  </si>
  <si>
    <t xml:space="preserve">ENGENHARIA DE AVALIACOES                                                                            </t>
  </si>
  <si>
    <t xml:space="preserve">ENGENHARIA DE ESTRUTURAS                                                                            </t>
  </si>
  <si>
    <t xml:space="preserve">CONSTRUCAO                                                                                          </t>
  </si>
  <si>
    <t xml:space="preserve">DESENHO DE ARQUITETURA E ESTRUTURA                                                                  </t>
  </si>
  <si>
    <t xml:space="preserve">ENGENHARIA GEOLOGICA                                                                                </t>
  </si>
  <si>
    <t xml:space="preserve">DESENHO TECNICO                                                                                     </t>
  </si>
  <si>
    <t xml:space="preserve">MAQUINAS E INSTALACOES ELETRICAS                                                                    </t>
  </si>
  <si>
    <t xml:space="preserve">ENGENHARIA DE ENERGIA                                                                               </t>
  </si>
  <si>
    <t xml:space="preserve">ENGENHARIA DE SISTEMA DE TV DIGITAL                                                                 </t>
  </si>
  <si>
    <t xml:space="preserve">SISTEMAS ELETROELETRONICOS E AUTOMACAO INDUSTRIAL                                                   </t>
  </si>
  <si>
    <t xml:space="preserve">AUTOMACAO INDUSTRIAL                                                                                </t>
  </si>
  <si>
    <t xml:space="preserve">ENGENHEIRO TECNOLOGO DE ALIMENTOS                                                                   </t>
  </si>
  <si>
    <t xml:space="preserve">ENGENHARIA DE ENERGIA EM CENTRAIS TERMELETRICAS                                                     </t>
  </si>
  <si>
    <t xml:space="preserve">ENGENHARIA DE IRRIGACAO                                                                             </t>
  </si>
  <si>
    <t xml:space="preserve">BOVINOCULTURA LEITEIRA: MANEJO, MERCADO E TECNOLOGIA                                                </t>
  </si>
  <si>
    <t xml:space="preserve">ENGENHARIA FLORESTAL - CIENCIA E TECNOLOGIA DA MADEIRA                                              </t>
  </si>
  <si>
    <t xml:space="preserve">SOLOS E NUTRICAO DE PLANTAS                                                                         </t>
  </si>
  <si>
    <t xml:space="preserve">PROJETOS DE CONSTRUCAO CIVIL                                                                        </t>
  </si>
  <si>
    <t xml:space="preserve">TECNOLOGIA DOS MATERIAIS DE CONSTRUCAO                                                              </t>
  </si>
  <si>
    <t xml:space="preserve">ENGENHARIA DE SANEAMENTO AMBIENTAL                                                                  </t>
  </si>
  <si>
    <t xml:space="preserve">ENGENHARIA METALURGICA E DE MATERIAIS                                                               </t>
  </si>
  <si>
    <t xml:space="preserve">ENGENHARIA SANITARIA E MEIO AMBIENTE                                                                </t>
  </si>
  <si>
    <t xml:space="preserve">MAQUINAS E EQUIPAMENTOS                                                                             </t>
  </si>
  <si>
    <t xml:space="preserve">TOPOGRAFIA                                                                                          </t>
  </si>
  <si>
    <t xml:space="preserve">ENGENHARIA SANITARIA E TECNOLOGIA AMBIENTAL                                                         </t>
  </si>
  <si>
    <t xml:space="preserve">ESTUDOS DE IMPACTO E LICENCIAMENTO AMBIENTAL EM UMA PERSPECTIVA MULTIDISCIPLINAR                    </t>
  </si>
  <si>
    <t xml:space="preserve">CIENCIAS DE ENGENHARIA                                                                              </t>
  </si>
  <si>
    <t xml:space="preserve">TECNICAS INDUSTRIAIS                                                                                </t>
  </si>
  <si>
    <t xml:space="preserve">TRATAMENTO DE MINERIOS                                                                              </t>
  </si>
  <si>
    <t xml:space="preserve">ARQUITETURA E ENGENHARIA DE ESTABELECIMENTOS DE SAUDE                                               </t>
  </si>
  <si>
    <t xml:space="preserve">CONSTRUCAO CIVIL: TECNOLOGIA E PRODUTIVIDADE DAS CONSTRUCOES                                        </t>
  </si>
  <si>
    <t xml:space="preserve">ARQUITETURA E ENGENHARIA EM ESTABELECIMENTOS ASSISTENCIAIS DE SAUDE                                 </t>
  </si>
  <si>
    <t xml:space="preserve">ESPECIALIZACAO EM REDES E TELECOMUNICACOES                                                          </t>
  </si>
  <si>
    <t xml:space="preserve">ESTRUTURAS                                                                                          </t>
  </si>
  <si>
    <t xml:space="preserve">ENGENHARIA DE PROJETOS INDUSTRIAIS                                                                  </t>
  </si>
  <si>
    <t xml:space="preserve">ENGENHARIA DA QUALIDADE                                                                             </t>
  </si>
  <si>
    <t xml:space="preserve">ENGENHARIA DE OPERACAO ELETRICISTA                                                                  </t>
  </si>
  <si>
    <t xml:space="preserve">GESTAO E INOVACOES TECNOLOGICAS NA CONSTRUCAO                                                       </t>
  </si>
  <si>
    <t xml:space="preserve">TECNOLOGIA ELETRICA                                                                                 </t>
  </si>
  <si>
    <t xml:space="preserve">CIENCIAS NAVAIS                                                                                     </t>
  </si>
  <si>
    <t xml:space="preserve">DESENHO MECANICO                                                                                    </t>
  </si>
  <si>
    <t xml:space="preserve">TECNICAS AGRICOLAS                                                                                  </t>
  </si>
  <si>
    <t xml:space="preserve">IRRIGACAO E DRENAGEM                                                                                </t>
  </si>
  <si>
    <t xml:space="preserve">ENGENHARIA MINERAL                                                                                  </t>
  </si>
  <si>
    <t xml:space="preserve">MANEJO INTEGRADO DE PRAGAS E RECEITUARIO AGRONOMICO                                                 </t>
  </si>
  <si>
    <t xml:space="preserve">ENGENHARIA CIVIL E ELETROTECNICA                                                                    </t>
  </si>
  <si>
    <t xml:space="preserve">MANEJO DE DOENCAS DE PLANTAS                                                                        </t>
  </si>
  <si>
    <t xml:space="preserve">NORMALIZACAO E QUALIDADE INDUSTRIAL                                                                 </t>
  </si>
  <si>
    <t xml:space="preserve">CIENCIAS NAUTICAS                                                                                   </t>
  </si>
  <si>
    <t xml:space="preserve">TECNOLOGIA DA CACHACA                                                                               </t>
  </si>
  <si>
    <t xml:space="preserve">ENGENHARIA NAVAL                                                                                    </t>
  </si>
  <si>
    <t xml:space="preserve">CIENCIAS AERONAUTICAS                                                                               </t>
  </si>
  <si>
    <t xml:space="preserve">ENGENHARIA DE TRANSPORTES URBANOS E TRANSITO                                                        </t>
  </si>
  <si>
    <t xml:space="preserve">PECUARIA LEITEIRA                                                                                   </t>
  </si>
  <si>
    <t xml:space="preserve">TECNOLOGIA EM CAFEICULTURA                                                                          </t>
  </si>
  <si>
    <t xml:space="preserve">TECNOLOGO EM CAFEICULTURA                                                                           </t>
  </si>
  <si>
    <t xml:space="preserve">ENGENHARIA                                                                                          </t>
  </si>
  <si>
    <t xml:space="preserve">ENGENHARIA ELETRICA COM ENFASE EM ELETROTECNICA                                                     </t>
  </si>
  <si>
    <t xml:space="preserve">ENGENHARIA ELETRONICA E DE TELECOMUNICACAO                                                          </t>
  </si>
  <si>
    <t xml:space="preserve">PRODUCAO DE CACHACA                                                                                 </t>
  </si>
  <si>
    <t xml:space="preserve">TECNOLOGIAS PARA MANUTENCAO DE SISTEMAS INDUSTRIAIS                                                 </t>
  </si>
  <si>
    <t xml:space="preserve">ENGENHARIA DE SUPERFICIES                                                                           </t>
  </si>
  <si>
    <t xml:space="preserve">PAVIMENTACAO E RESTAURACAO RODOVIARIA E AEROPORTUARIA                                               </t>
  </si>
  <si>
    <t xml:space="preserve">ATUALIZACAO EM TECNOLOGIA E ENGENHARIA MECANICA NA GESTAO PARA RESULTADOS                           </t>
  </si>
  <si>
    <t xml:space="preserve">TECNICO/HABILITACAO                                                        </t>
  </si>
  <si>
    <t xml:space="preserve">AGROPECUARIA                                                               </t>
  </si>
  <si>
    <t xml:space="preserve">TECNICO EM AGROPECUARIA                                                                             </t>
  </si>
  <si>
    <t xml:space="preserve">TECNICO AGROINDUSTRIAL                                                                              </t>
  </si>
  <si>
    <t xml:space="preserve">TECNICO EM AGRICULTURA                                                                              </t>
  </si>
  <si>
    <t xml:space="preserve">TECNICO EM AGROINDUSTRIA                                                                            </t>
  </si>
  <si>
    <t xml:space="preserve">TECNICO EM AGROPECUARIA COM HABILITACAO EM AGRICULTURA                                              </t>
  </si>
  <si>
    <t xml:space="preserve">TECNICO EM AGROPECUARIA COM HABILITACAO EM AGROINDUSTRIA                                            </t>
  </si>
  <si>
    <t xml:space="preserve">TECNICO EM AGROPECUARIA COM HABILITACAO EM ZOOTECNIA                                                </t>
  </si>
  <si>
    <t xml:space="preserve">TECNICO EM FLORICULTURA                                                                             </t>
  </si>
  <si>
    <t xml:space="preserve">TECNICO EM PECUARIA                                                                                 </t>
  </si>
  <si>
    <t xml:space="preserve">TECNICO EM ZOOTECNIA                                                                                </t>
  </si>
  <si>
    <t xml:space="preserve">TECNICO ATOR                                                                                        </t>
  </si>
  <si>
    <t xml:space="preserve">CONSTRUCAO CIVIL                                                           </t>
  </si>
  <si>
    <t xml:space="preserve">TECNICO EM EDIFICACOES                                                                              </t>
  </si>
  <si>
    <t xml:space="preserve">DESIGN                                                                     </t>
  </si>
  <si>
    <t xml:space="preserve">TECNICO EM PAISAGISMO                                                                               </t>
  </si>
  <si>
    <t xml:space="preserve">TECNICO EM DESIGN GRAFICO                                                                           </t>
  </si>
  <si>
    <t xml:space="preserve">GEOMATICA                                                                  </t>
  </si>
  <si>
    <t xml:space="preserve">TECNICO EM AGRIMENSURA                                                                              </t>
  </si>
  <si>
    <t xml:space="preserve">GESTAO                                                                     </t>
  </si>
  <si>
    <t xml:space="preserve">TECNICO EM GESTAO DE NEGOCIOS                                                                       </t>
  </si>
  <si>
    <t xml:space="preserve">TECNICO EM ADMINISTRACAO                                                                            </t>
  </si>
  <si>
    <t xml:space="preserve">TECNICO EM CONTABILIDADE                                                                            </t>
  </si>
  <si>
    <t xml:space="preserve">TECNICO EM GESTAO DO AGRONEGOCIO                                                                    </t>
  </si>
  <si>
    <t xml:space="preserve">TECNICO EM SECRETARIADO                                                                             </t>
  </si>
  <si>
    <t xml:space="preserve">IMAGEM PESSOAL                                                             </t>
  </si>
  <si>
    <t xml:space="preserve">TECNICO EM VESTUARIO                                                                                </t>
  </si>
  <si>
    <t xml:space="preserve">INDUSTRIA                                                                  </t>
  </si>
  <si>
    <t xml:space="preserve">INSTRUMENTACAO ELETRONICA E CONTROLE DE PROCESSOS                                                   </t>
  </si>
  <si>
    <t xml:space="preserve">TECNICO EM CALCADOS                                                                                 </t>
  </si>
  <si>
    <t xml:space="preserve">TECNICO EM ELETROMECANICA                                                                           </t>
  </si>
  <si>
    <t xml:space="preserve">TECNICO EM ELETRONICA                                                                               </t>
  </si>
  <si>
    <t xml:space="preserve">TECNICO EM ELETROTECNICA                                                                            </t>
  </si>
  <si>
    <t xml:space="preserve">TECNICO EM INFORMATICA INDUSTRIAL                                                                   </t>
  </si>
  <si>
    <t xml:space="preserve">TECNICO EM INSTRUMENTACAO CONTROLE E AUTOMACAO                                                      </t>
  </si>
  <si>
    <t xml:space="preserve">TECNICO EM MECANICA                                                                                 </t>
  </si>
  <si>
    <t xml:space="preserve">TECNICO EM METALURGIA                                                                               </t>
  </si>
  <si>
    <t xml:space="preserve">TECNICO INDUSTRIAL DE ELETROTECNICA - AUTOMACAO INDUSTRIAL                                          </t>
  </si>
  <si>
    <t xml:space="preserve">TECNICO INDUSTRIAL EM ELETRONICA                                                                    </t>
  </si>
  <si>
    <t xml:space="preserve">INFORMATICA                                                                </t>
  </si>
  <si>
    <t xml:space="preserve">TECNICO EM INFORMATICA                                                                              </t>
  </si>
  <si>
    <t xml:space="preserve">MEIO AMBIENTE                                                              </t>
  </si>
  <si>
    <t xml:space="preserve">TECNICO EM ECOLOGIA E MEIO AMBIENTE                                                                 </t>
  </si>
  <si>
    <t xml:space="preserve">TECNICO EM MEIO AMBIENTE                                                                            </t>
  </si>
  <si>
    <t xml:space="preserve">MINERACAO                                                                  </t>
  </si>
  <si>
    <t xml:space="preserve">TECNICO EM MINERACAO                                                                                </t>
  </si>
  <si>
    <t xml:space="preserve">QUIMICA                                                                    </t>
  </si>
  <si>
    <t xml:space="preserve">TECNICO EM LEITE E DERIVADOS (LATICINIOS)                                                           </t>
  </si>
  <si>
    <t xml:space="preserve">TECNICO EM QUIMICA                                                                                  </t>
  </si>
  <si>
    <t xml:space="preserve">TECNICO INDUSTRIAL EM QUIMICA                                                                       </t>
  </si>
  <si>
    <t xml:space="preserve">SAUDE                                                                      </t>
  </si>
  <si>
    <t xml:space="preserve">HABILITACAO DE TECNICO EM ENFERMAGEM                                                                </t>
  </si>
  <si>
    <t xml:space="preserve">HABILITACAO PROFISSIONAL DE TECNICO EM ENFERMAGEM                                                   </t>
  </si>
  <si>
    <t xml:space="preserve">TECNICO EM ENFERMAGEM                                                                               </t>
  </si>
  <si>
    <t xml:space="preserve">TECNICO EM NUTRICAO E DIETETICA                                                                     </t>
  </si>
  <si>
    <t xml:space="preserve">TECNICO DE ENFERMAGEM                                                                               </t>
  </si>
  <si>
    <t xml:space="preserve">TECNICO EM ALIMENTACAO                                                                              </t>
  </si>
  <si>
    <t xml:space="preserve">TECNICO EM BIODIAGNOSTICO                                                                           </t>
  </si>
  <si>
    <t xml:space="preserve">TECNICO EM BIODIAGNOSTICO - PATOLOGIA CLINICA                                                       </t>
  </si>
  <si>
    <t xml:space="preserve">TECNICO EM FARMACIA                                                                                 </t>
  </si>
  <si>
    <t xml:space="preserve">TECNICO EM HIGIENE DENTAL                                                                           </t>
  </si>
  <si>
    <t xml:space="preserve">TECNICO EM INSTRUMENTACAO CIRURGICA                                                                 </t>
  </si>
  <si>
    <t xml:space="preserve">TECNICO EM PATOLOGIA CLINICA                                                                        </t>
  </si>
  <si>
    <t xml:space="preserve">TECNICO EM PROTESE DENTARIA                                                                         </t>
  </si>
  <si>
    <t xml:space="preserve">TECNICO EM RADIOLOGIA E DIAGNOSTICO POR IMAGEM EM SAUDE                                             </t>
  </si>
  <si>
    <t xml:space="preserve">TECNICO EM RADIOLOGIA MEDICA - RADIODIAGNOSTICO                                                     </t>
  </si>
  <si>
    <t xml:space="preserve">TECNICO EM SAUDE BUCAL                                                                              </t>
  </si>
  <si>
    <t xml:space="preserve">TECNICO EM SEGURANCA DO TRABALHO                                                                    </t>
  </si>
  <si>
    <t xml:space="preserve">ENFERMAGEM MEDICO-CIRURGICA                                                                         </t>
  </si>
  <si>
    <t xml:space="preserve">TRANSPORTES                                                                </t>
  </si>
  <si>
    <t xml:space="preserve">TECNICO EM ESTRADAS - SISTEMA VIARIO                                                                </t>
  </si>
  <si>
    <t xml:space="preserve">TECNICO EM TRANSPORTES E TRANSITO                                                                   </t>
  </si>
  <si>
    <t xml:space="preserve">TURISMO E HOSPITALIDADE                                                    </t>
  </si>
  <si>
    <t xml:space="preserve">TECNICO EM TURISMO                                                                                  </t>
  </si>
  <si>
    <t xml:space="preserve">TECNICO EM TURISMO E HOSPITALIDADE                                                                  </t>
  </si>
  <si>
    <t xml:space="preserve">TECNICO EM TURISMO E HOTELARIA                                                                      </t>
  </si>
  <si>
    <t xml:space="preserve">TECNICO/QUALIFICACAO                                                       </t>
  </si>
  <si>
    <t xml:space="preserve">AUXILIAR TECNICO EM AVICULTURA                                                                      </t>
  </si>
  <si>
    <t xml:space="preserve">AUXILIAR TECNICO EM BOVINOCULTURA                                                                   </t>
  </si>
  <si>
    <t xml:space="preserve">AUXILIAR TECNICO EM CAFEICULTURA                                                                    </t>
  </si>
  <si>
    <t xml:space="preserve">AUXILIAR TECNICO EM CRIACOES ALTERNATIVAS                                                           </t>
  </si>
  <si>
    <t xml:space="preserve">AUXILIAR TECNICO EM CULTURAS ANUAIS                                                                 </t>
  </si>
  <si>
    <t xml:space="preserve">AUXILIAR TECNICO EM CULTURAS PERENES                                                                </t>
  </si>
  <si>
    <t xml:space="preserve">AUXILIAR TECNICO EM CULTURAS TEMPORARIAS                                                            </t>
  </si>
  <si>
    <t xml:space="preserve">AUXILIAR TECNICO EM FRUTICULTURA                                                                    </t>
  </si>
  <si>
    <t xml:space="preserve">AUXILIAR TECNICO EM INDUSTRIAS RURAIS                                                               </t>
  </si>
  <si>
    <t xml:space="preserve">AUXILIAR TECNICO EM IRRIGACAO E DRENAGEM                                                            </t>
  </si>
  <si>
    <t xml:space="preserve">AUXILIAR TECNICO EM LATICINIOS                                                                      </t>
  </si>
  <si>
    <t xml:space="preserve">AUXILIAR TECNICO EM OLERICULTURA                                                                    </t>
  </si>
  <si>
    <t xml:space="preserve">AUXILIAR TECNICO EM PROCESSAMENTO DE CACHACA DE ALAMBIQUE                                           </t>
  </si>
  <si>
    <t xml:space="preserve">AUXILIAR TECNICO EM PROCESSAMENTO DE CARNES E PESCADOS                                              </t>
  </si>
  <si>
    <t xml:space="preserve">AUXILIAR TECNICO EM PROCESSAMENTO DE FRUTAS E HORTALICAS                                            </t>
  </si>
  <si>
    <t xml:space="preserve">AUXILIAR TECNICO EM PROCESSAMENTO DE GLICIDIOS E OLEAGINOSOS                                        </t>
  </si>
  <si>
    <t xml:space="preserve">AUXILIAR TECNICO EM PROCESSAMENTO DE LEITE                                                          </t>
  </si>
  <si>
    <t xml:space="preserve">AUXILIAR TECNICO EM PROCESSAMENTO DE PRODUTOS AGROPECUARIOS                                         </t>
  </si>
  <si>
    <t xml:space="preserve">AUXILIAR TECNICO EM PROCESSAMENTO DE PRODUTOS NAO ALIMENTARES                                       </t>
  </si>
  <si>
    <t xml:space="preserve">AUXILIAR TECNICO EM PROCESSAMENTO DE RACAO                                                          </t>
  </si>
  <si>
    <t xml:space="preserve">AUXILIAR TECNICO EM SUINOCULTURA                                                                    </t>
  </si>
  <si>
    <t xml:space="preserve">AUXILIAR TECNICO NA PRODUCAO DE ANIMAIS DE GRANDE PORTE                                             </t>
  </si>
  <si>
    <t xml:space="preserve">AUXILIAR TECNICO NA PRODUCAO DE ANIMAIS DE MEDIO PORTE                                              </t>
  </si>
  <si>
    <t xml:space="preserve">AUXILIAR TECNICO NA PRODUCAO DE ANIMAIS DE PEQUENO PORTE                                            </t>
  </si>
  <si>
    <t xml:space="preserve">GESTAO E EMPREENDIMENTOS COM ANIMAIS DE GRANDE PORTE                                                </t>
  </si>
  <si>
    <t xml:space="preserve">GESTAO E EMPREENDIMENTOS COM ANIMAIS DE MEDIO PORTE                                                 </t>
  </si>
  <si>
    <t xml:space="preserve">GESTAO E EMPREENDIMENTOS COM ANIMAIS DE PEQUENO PORTE                                               </t>
  </si>
  <si>
    <t xml:space="preserve">GESTAO E EMPREENDIMENTOS COM CULTURAS ANUAIS REGIONAIS                                              </t>
  </si>
  <si>
    <t xml:space="preserve">GESTAO E EMPREENDIMENTOS COM FRUTICULTURA                                                           </t>
  </si>
  <si>
    <t xml:space="preserve">GESTAO E EMPREENDIMENTOS COM OLERICULTURA                                                           </t>
  </si>
  <si>
    <t xml:space="preserve">GESTAO E EMPREENDIMENTOS EM PROCESSAMENTO DE PRODUTOS DE ORIGEM ANIMAL                              </t>
  </si>
  <si>
    <t xml:space="preserve">GESTAO E EMPREENDIMENTOS EM PROCESSAMENTO DE PRODUTOS DE ORIGEM VEGETAL                             </t>
  </si>
  <si>
    <t xml:space="preserve">OLERICULTURA                                                                                        </t>
  </si>
  <si>
    <t xml:space="preserve">PLANEJAMENTO, PROJETO E GESTAO DE EMPRESA RURAL                                                     </t>
  </si>
  <si>
    <t xml:space="preserve">PROCESSAMENTO DE CARNE                                                                              </t>
  </si>
  <si>
    <t xml:space="preserve">PROCESSAMENTO DE LEITE E DERIVADOS                                                                  </t>
  </si>
  <si>
    <t xml:space="preserve">PROCESSAMENTO DE PRODUTOS DE ORIGEM VEGETAL                                                         </t>
  </si>
  <si>
    <t xml:space="preserve">PROCESSAMENTO DE PRODUTOS HORTICULAS                                                                </t>
  </si>
  <si>
    <t xml:space="preserve">REAPROVEITAMENTO DE PRODUTOS NAO ALIMENTICIOS                                                       </t>
  </si>
  <si>
    <t xml:space="preserve">SUINOCULTURA                                                                                        </t>
  </si>
  <si>
    <t xml:space="preserve">TECNOLOGIA DO LEITE                                                                                 </t>
  </si>
  <si>
    <t xml:space="preserve">TECNICA EM CULTURAS BIENAIS E PERENES                                                               </t>
  </si>
  <si>
    <t xml:space="preserve">TECNICA EM PARQUES E JARDINS                                                                        </t>
  </si>
  <si>
    <t xml:space="preserve">TECNICAS DE PRODUCAO DE ANIMAIS DE PEQUENO PORTE                                                    </t>
  </si>
  <si>
    <t xml:space="preserve">TECNICAS DE PRODUCAO DE BOVINOS                                                                     </t>
  </si>
  <si>
    <t xml:space="preserve">TECNICAS DE PRODUCAO DE CULTURAS DE CICLO ANUAL                                                     </t>
  </si>
  <si>
    <t xml:space="preserve">TECNICAS DE PRODUCAO DE CULTURAS DE CICLO PERENE                                                    </t>
  </si>
  <si>
    <t xml:space="preserve">TECNICAS DE PRODUCAO DE OLERICULAS                                                                  </t>
  </si>
  <si>
    <t xml:space="preserve">TECNICAS DE PRODUCAO DE SUINOS E PRODUCAO AQUICOLA                                                  </t>
  </si>
  <si>
    <t xml:space="preserve">TECNICAS EM AVICULTURA E PISCICULTURA                                                               </t>
  </si>
  <si>
    <t xml:space="preserve">TECNICAS EM CULTURAS ANUAIS                                                                         </t>
  </si>
  <si>
    <t xml:space="preserve">TECNICAS EM CULTURAS PERENES                                                                        </t>
  </si>
  <si>
    <t xml:space="preserve">TECNICAS EM HORTICULTURA                                                                            </t>
  </si>
  <si>
    <t xml:space="preserve">TECNICAS EM SUINOCULTURA E CAPRINOCULTURA                                                           </t>
  </si>
  <si>
    <t xml:space="preserve">AGENTE DE PROCESSAMENTO DE PRODUTOS AGROPECUARIOS                                                   </t>
  </si>
  <si>
    <t xml:space="preserve">AGENTE DE PRODUCAO AGROPECUARIA                                                                     </t>
  </si>
  <si>
    <t xml:space="preserve">AGENTE DE PRODUCAO ANIMAL                                                                           </t>
  </si>
  <si>
    <t xml:space="preserve">AGENTE DE PRODUCAO AQUICOLA                                                                         </t>
  </si>
  <si>
    <t xml:space="preserve">AGENTE DE PRODUCAO DE ANIMAIS DE PEQUENO PORTE                                                      </t>
  </si>
  <si>
    <t xml:space="preserve">AGENTE DE PRODUCAO VEGETAL                                                                          </t>
  </si>
  <si>
    <t xml:space="preserve">AGENTE EM PROCESSAMENTO DE PRODUTOS AGROPECUARIOS                                                   </t>
  </si>
  <si>
    <t xml:space="preserve">AGENTE EM PROCESSAMENTO DE PRODUTOS DE ORIGEM ANIMAL                                                </t>
  </si>
  <si>
    <t xml:space="preserve">ASSISTENTE DE CAMPO NA PRODUCAO AGRICOLA DA CANA-DE-ACUCAR                                          </t>
  </si>
  <si>
    <t xml:space="preserve">ASSISTENTE DE PRODUCAO AGROINDUSTRIAL DA CANA-DE-ACUCAR                                             </t>
  </si>
  <si>
    <t xml:space="preserve">ASSISTENTE DE PRODUCAO AGROPECUARIA                                                                 </t>
  </si>
  <si>
    <t xml:space="preserve">AUXILIAR DE CURTIMENTO                                                                              </t>
  </si>
  <si>
    <t xml:space="preserve">AUXILIAR DE LABORATORIO DE CURTIMENTO                                                               </t>
  </si>
  <si>
    <t xml:space="preserve">AUXILIAR DE PRODUCAO AGROPECUARIA                                                                   </t>
  </si>
  <si>
    <t xml:space="preserve">AUXILIAR EM ORGANIZACAO RURAL                                                                       </t>
  </si>
  <si>
    <t xml:space="preserve">AUXILIAR EM PROCESSAMENTO DE PRODUTOS AGROPECUARIOS                                                 </t>
  </si>
  <si>
    <t xml:space="preserve">AUXILIAR EM PRODUCAO OLERICOLA                                                                      </t>
  </si>
  <si>
    <t xml:space="preserve">OPERADOR DE PROCESSAMENTO DE CARNES                                                                 </t>
  </si>
  <si>
    <t xml:space="preserve">SUPERVISOR DE PRODUCAO AGROPECUARIA                                                                 </t>
  </si>
  <si>
    <t xml:space="preserve">TECNICO EM APICULTURA, MINHOCULTURA E PISCICULTURA                                                  </t>
  </si>
  <si>
    <t xml:space="preserve">TECNICO EM AVICULTURA                                                                               </t>
  </si>
  <si>
    <t xml:space="preserve">TECNICO EM AVICULTURA E CUNICULTURA                                                                 </t>
  </si>
  <si>
    <t xml:space="preserve">TECNICO EM BOVINOCULTURA                                                                            </t>
  </si>
  <si>
    <t xml:space="preserve">TECNICO EM CAPRINOCULTURA                                                                           </t>
  </si>
  <si>
    <t xml:space="preserve">TECNICO EM CRIACAO DE ANIMAIS DE GRANDE PORTE                                                       </t>
  </si>
  <si>
    <t xml:space="preserve">TECNICO EM CRIACAO DE ANIMAIS DE MEDIO PORTE                                                        </t>
  </si>
  <si>
    <t xml:space="preserve">TECNICO EM CRIACAO DE ANIMAIS DE PEQUENO PORTE                                                      </t>
  </si>
  <si>
    <t xml:space="preserve">TECNICO EM CULTURAS ANUAIS                                                                          </t>
  </si>
  <si>
    <t xml:space="preserve">TECNICO EM CULTURAS DE PLANTAS DE VASOS                                                             </t>
  </si>
  <si>
    <t xml:space="preserve">TECNICO EM CULTURAS DE ROSAS                                                                        </t>
  </si>
  <si>
    <t xml:space="preserve">TECNICO EM ENFERMAGEM CIRURGICA                                                                     </t>
  </si>
  <si>
    <t xml:space="preserve">TECNICO EM ENFERMAGEM MATERNO-INFANTIL                                                              </t>
  </si>
  <si>
    <t xml:space="preserve">TECNICO EM ENFERMAGEM MEDICA                                                                        </t>
  </si>
  <si>
    <t xml:space="preserve">TECNICO EM ENFERMAGEM NEURO-PSIQUIATRICA                                                            </t>
  </si>
  <si>
    <t xml:space="preserve">TECNICO EM EQUIDEOCULTURA                                                                           </t>
  </si>
  <si>
    <t xml:space="preserve">TECNICO EM ESPECIES VEGETAIS DE VALOR ORNAMENTAL                                                    </t>
  </si>
  <si>
    <t xml:space="preserve">TECNICO EM FABRICACAO DE PRODUTOS LACTEOS CONVENCIONAIS                                             </t>
  </si>
  <si>
    <t xml:space="preserve">TECNICO EM FLORES TROPICAIS                                                                         </t>
  </si>
  <si>
    <t xml:space="preserve">TECNICO EM FRUTICULTURA                                                                             </t>
  </si>
  <si>
    <t xml:space="preserve">TECNICO EM HORTICULTURA                                                                             </t>
  </si>
  <si>
    <t xml:space="preserve">TECNICO EM LACTEOS ESPECIAIS                                                                        </t>
  </si>
  <si>
    <t xml:space="preserve">TECNICO EM OLERICULTURA                                                                             </t>
  </si>
  <si>
    <t xml:space="preserve">TECNICO EM POLPAS, DOCES, GELEIAS, LICORES E CACHACA                                                </t>
  </si>
  <si>
    <t xml:space="preserve">TECNICO EM PROCESSAMENTO DE CARNE SUINA                                                             </t>
  </si>
  <si>
    <t xml:space="preserve">TECNICO EM PROCESSAMENTO DE CARNES BRANCAS, BOVINA E CAPRINA                                        </t>
  </si>
  <si>
    <t xml:space="preserve">TECNICO EM PROCESSAMENTO DE CARNES E DERIVADOS                                                      </t>
  </si>
  <si>
    <t xml:space="preserve">TECNICO EM PROCESSAMENTO DE CEREAIS E OLEAGINOSAS                                                   </t>
  </si>
  <si>
    <t xml:space="preserve">TECNICO EM PROCESSAMENTO DE FRUTAS E HORTALICAS                                                     </t>
  </si>
  <si>
    <t xml:space="preserve">TECNICO EM PROCESSAMENTO DE PRODUTOS DE ORIGEM ANIMAL                                               </t>
  </si>
  <si>
    <t xml:space="preserve">TECNICO EM PROCESSAMENTO DE PRODUTOS DE ORIGEM VEGETAL                                              </t>
  </si>
  <si>
    <t xml:space="preserve">TECNICO EM PROCESSAMENTO DE PRODUTOS LACTEOS                                                        </t>
  </si>
  <si>
    <t xml:space="preserve">TECNICO EM PRODUCAO DE ALIMENTOS                                                                    </t>
  </si>
  <si>
    <t xml:space="preserve">TECNICO EM PRODUCAO DE CULTURAS ANUAIS                                                              </t>
  </si>
  <si>
    <t xml:space="preserve">TECNICO EM PRODUCAO DE CULTURAS OLERICOLAS                                                          </t>
  </si>
  <si>
    <t xml:space="preserve">TECNICO EM PRODUCAO DE CULTURAS PERENES                                                             </t>
  </si>
  <si>
    <t xml:space="preserve">TECNICO EM PRODUCAO DE FLORES DE CORTE                                                              </t>
  </si>
  <si>
    <t xml:space="preserve">TECNICO EM QUEIJOS MATURADOS                                                                        </t>
  </si>
  <si>
    <t xml:space="preserve">TECNICO EM SUINOCULTURA                                                                             </t>
  </si>
  <si>
    <t xml:space="preserve">TECNICO EM TEMPEROS, MOLHOS, CONSERVAS, CRISTALIZADOS E DESIDRATADOS                                </t>
  </si>
  <si>
    <t xml:space="preserve">TECNOLOGIA DO LEITE E DERIVADOS                                                                     </t>
  </si>
  <si>
    <t xml:space="preserve">ADMINISTRADOR DE OBRAS CIVIS                                                                        </t>
  </si>
  <si>
    <t xml:space="preserve">ADMINISTRACAO DE CANTEIRO DE OBRAS                                                                  </t>
  </si>
  <si>
    <t xml:space="preserve">DESENHISTA PROJETOS CIVIS                                                                           </t>
  </si>
  <si>
    <t xml:space="preserve">DESENVOLVIMENTO DE PROJETOS CIVIS                                                                   </t>
  </si>
  <si>
    <t xml:space="preserve">EXECUCAO E MANUTENCAO DE OBRAS                                                                      </t>
  </si>
  <si>
    <t xml:space="preserve">GERENCIAMENTO E ADMINISTRACAO DE OBRAS CIVIS                                                        </t>
  </si>
  <si>
    <t xml:space="preserve">PLANEJAMENTO DE OBRAS                                                                               </t>
  </si>
  <si>
    <t xml:space="preserve">ASSISTENTE DE EDIFICACOES                                                                           </t>
  </si>
  <si>
    <t xml:space="preserve">ASSISTENTE DE OBRAS                                                                                 </t>
  </si>
  <si>
    <t xml:space="preserve">ASSISTENTE EM EDIFICACOES                                                                           </t>
  </si>
  <si>
    <t xml:space="preserve">ASSISTENTE TECNICO EM EXECUCAO DE OBRAS                                                             </t>
  </si>
  <si>
    <t xml:space="preserve">ASSISTENTE TECNICO EM INSTALACOES PREDIAIS                                                          </t>
  </si>
  <si>
    <t xml:space="preserve">AUXILIAR DE CONSTRUCAO CIVIL                                                                        </t>
  </si>
  <si>
    <t xml:space="preserve">AUXILIAR DE ESTETICISTA                                                                             </t>
  </si>
  <si>
    <t xml:space="preserve">AUXILIAR EM EXECUCAO DE OBRAS CIVIS                                                                 </t>
  </si>
  <si>
    <t xml:space="preserve">AUXILIAR EM MANUTENCAO E REFORMAS DE OBRAS CIVIS                                                    </t>
  </si>
  <si>
    <t xml:space="preserve">AUXILIAR EM ORCAMENTOS E INSTALACOES PREDIAIS                                                       </t>
  </si>
  <si>
    <t xml:space="preserve">AUXILIAR TECNICO EM DESENHO DE PROJETO MECANICO                                                     </t>
  </si>
  <si>
    <t xml:space="preserve">AUXILIAR TECNICO EM DESENHO TECNICO EM CONSTRUCAO CIVIL                                             </t>
  </si>
  <si>
    <t xml:space="preserve">AUXILIAR TECNICO EM EXECUCAO DE OBRAS                                                               </t>
  </si>
  <si>
    <t xml:space="preserve">AUXILIAR TECNICO EM INSTALACOES PREDIAIS                                                            </t>
  </si>
  <si>
    <t xml:space="preserve">DESENHISTA DA CONSTRUCAO CIVIL                                                                      </t>
  </si>
  <si>
    <t xml:space="preserve">ASSISTENTE DE DESIGN DE INTERIORES                                                                  </t>
  </si>
  <si>
    <t xml:space="preserve">ASSISTENTE DE DESIGN GRAFICO                                                                        </t>
  </si>
  <si>
    <t xml:space="preserve">ASSISTENTE DE PRODUCAO EM DESIGN DE MOVEIS                                                          </t>
  </si>
  <si>
    <t xml:space="preserve">AUXILIAR DE DESIGN                                                                                  </t>
  </si>
  <si>
    <t xml:space="preserve">AUXILIAR DE DESIGN GRAFICO                                                                          </t>
  </si>
  <si>
    <t xml:space="preserve">AUXILIAR DE PROCESSOS GRAFICOS                                                                      </t>
  </si>
  <si>
    <t xml:space="preserve">AUXILIAR DE PRODUCAO GRAFICA                                                                        </t>
  </si>
  <si>
    <t xml:space="preserve">AUXILIAR EM PROJETOS DE ARQUITETURA                                                                 </t>
  </si>
  <si>
    <t xml:space="preserve">DECORADOR RESIDENCIAL                                                                               </t>
  </si>
  <si>
    <t xml:space="preserve">DESENHISTA                                                                                          </t>
  </si>
  <si>
    <t xml:space="preserve">DESENHISTA COPISTA                                                                                  </t>
  </si>
  <si>
    <t xml:space="preserve">DESENHISTA DE AMBIENTES RESIDENCIAIS                                                                </t>
  </si>
  <si>
    <t xml:space="preserve">DESENHISTA DE AMBIENTES RESIDENCIAIS - MODULO I                                                     </t>
  </si>
  <si>
    <t xml:space="preserve">DESENHISTA DE MODA                                                                                  </t>
  </si>
  <si>
    <t xml:space="preserve">DESENHISTA DE MOVEIS                                                                                </t>
  </si>
  <si>
    <t xml:space="preserve">DESENHISTA DE PROJETOS GRAFICOS                                                                     </t>
  </si>
  <si>
    <t xml:space="preserve">DESENHISTA PROJETISTA                                                                               </t>
  </si>
  <si>
    <t xml:space="preserve">DESIGNER GRAFICO E EDITORACAO                                                                       </t>
  </si>
  <si>
    <t xml:space="preserve">GERENCIAMENTO DE EMPREENDIMENTOS PAISAGISTICOS                                                      </t>
  </si>
  <si>
    <t xml:space="preserve">HABILITACAO PROFISSIONAL DE TECNICO EM DESIGN DE INTERIORES                                         </t>
  </si>
  <si>
    <t xml:space="preserve">LAYOUT DE INTERIORES RESIDENCIAIS                                                                   </t>
  </si>
  <si>
    <t xml:space="preserve">ORNAMENTISTA                                                                                        </t>
  </si>
  <si>
    <t xml:space="preserve">PROCESSOS GRAFICOS                                                                                  </t>
  </si>
  <si>
    <t xml:space="preserve">PROJETISTA DE AMBIENTES RESIDENCIAIS                                                                </t>
  </si>
  <si>
    <t xml:space="preserve">PROJETO DE JARDINS                                                                                  </t>
  </si>
  <si>
    <t xml:space="preserve">TECNICO EM DESENHO ARQUITETONICO                                                                    </t>
  </si>
  <si>
    <t xml:space="preserve">TECNICO EM JARDINAGEM                                                                               </t>
  </si>
  <si>
    <t xml:space="preserve">TECNICO EM MACROPAISAGISMO                                                                          </t>
  </si>
  <si>
    <t xml:space="preserve">TECNICO EM MICROPAISAGISMO                                                                          </t>
  </si>
  <si>
    <t xml:space="preserve">TECNICO DA INDUSTRIA GRAFICA                                                                        </t>
  </si>
  <si>
    <t xml:space="preserve">AUXILIAR DE CAMPO                                                                                   </t>
  </si>
  <si>
    <t xml:space="preserve">AUXILIAR TECNICO DE AGRIMENSURA                                                                     </t>
  </si>
  <si>
    <t xml:space="preserve">NIVELADOR                                                                                           </t>
  </si>
  <si>
    <t xml:space="preserve">ASSISTENTE TECNICO EM GEOMATICA                                                                     </t>
  </si>
  <si>
    <t xml:space="preserve">AUXILIAR TECNICO EM AGRIMENSURA                                                                     </t>
  </si>
  <si>
    <t xml:space="preserve">AUXILIAR TECNICO EM TOPOGRAFIA                                                                      </t>
  </si>
  <si>
    <t xml:space="preserve">CONTROLE E AVALIACAO DOS CICLOS DE GESTAO                                                           </t>
  </si>
  <si>
    <t xml:space="preserve">OPERACAO DOS CICLOS DE GESTAO                                                                       </t>
  </si>
  <si>
    <t xml:space="preserve">PLANEJAMENTO DOS PROCESSOS E DOS RECURSOS                                                           </t>
  </si>
  <si>
    <t xml:space="preserve">PLANEJAMENTO ORGANIZACIONAL                                                                         </t>
  </si>
  <si>
    <t xml:space="preserve">ADMINISTRACAO EMPRESARIAL                                                                           </t>
  </si>
  <si>
    <t xml:space="preserve">AGENTE DE RECURSOS HUMANOS                                                                          </t>
  </si>
  <si>
    <t xml:space="preserve">AGENTE FINANCEIRO E CONTABIL                                                                        </t>
  </si>
  <si>
    <t xml:space="preserve">AGENTE PATRIMONIAL                                                                                  </t>
  </si>
  <si>
    <t xml:space="preserve">ANALISE DE PROCESSOS                                                                                </t>
  </si>
  <si>
    <t xml:space="preserve">ANALISTA CONTABIL                                                                                   </t>
  </si>
  <si>
    <t xml:space="preserve">ANALISTA DE SEGUROS                                                                                 </t>
  </si>
  <si>
    <t xml:space="preserve">ANALISTA DE SINISTROS                                                                               </t>
  </si>
  <si>
    <t xml:space="preserve">ANALISTA EM ECONOMIA DE EMPRESAS                                                                    </t>
  </si>
  <si>
    <t xml:space="preserve">ARQUIVISTA                                                                                          </t>
  </si>
  <si>
    <t xml:space="preserve">ASSISTENCIA TECNICO GERENCIAL                                                                       </t>
  </si>
  <si>
    <t xml:space="preserve">ASSISTENTE ADMINISTRATIVO                                                                           </t>
  </si>
  <si>
    <t xml:space="preserve">ASSISTENTE ADMINISTRATIVO E CONTABIL                                                                </t>
  </si>
  <si>
    <t xml:space="preserve">ASSISTENTE ADMINISTRATIVO E DE PESSOAL                                                              </t>
  </si>
  <si>
    <t xml:space="preserve">ASSISTENTE ADMINISTRATIVO EM GESTAO EMPRESARIAL DE PANIFICACAO                                      </t>
  </si>
  <si>
    <t xml:space="preserve">ASSISTENTE ADMINISTRATIVO EM MERCADOLOGIA                                                           </t>
  </si>
  <si>
    <t xml:space="preserve">ASSISTENTE ADMINISTRATIVO JUNIOR                                                                    </t>
  </si>
  <si>
    <t xml:space="preserve">ASSISTENTE ADMINISTRATIVO/FINANCEIRO                                                                </t>
  </si>
  <si>
    <t xml:space="preserve">ASSISTENTE COMERCIAL                                                                                </t>
  </si>
  <si>
    <t xml:space="preserve">ASSISTENTE COMERCIAL DE VAREJO                                                                      </t>
  </si>
  <si>
    <t xml:space="preserve">ASSISTENTE CONTABIL                                                                                 </t>
  </si>
  <si>
    <t xml:space="preserve">ASSISTENTE CONTABIL-FINANCEIRO                                                                      </t>
  </si>
  <si>
    <t xml:space="preserve">ASSISTENTE DA QUALIDADE                                                                             </t>
  </si>
  <si>
    <t xml:space="preserve">ASSISTENTE DA QUALIDADE E PRODUTIVIDADE                                                             </t>
  </si>
  <si>
    <t xml:space="preserve">ASSISTENTE DE ADMINISTRACAO                                                                         </t>
  </si>
  <si>
    <t xml:space="preserve">ASSISTENTE DE CONTABILIDADE                                                                         </t>
  </si>
  <si>
    <t xml:space="preserve">ASSISTENTE DE CONTROLADORIA                                                                         </t>
  </si>
  <si>
    <t xml:space="preserve">ASSISTENTE DE CORRETOR DE IMOVEIS                                                                   </t>
  </si>
  <si>
    <t xml:space="preserve">ASSISTENTE DE DEPARTAMENTO FINANCEIRO                                                               </t>
  </si>
  <si>
    <t xml:space="preserve">ASSISTENTE DE DEPARTAMENTO PESSOAL                                                                  </t>
  </si>
  <si>
    <t xml:space="preserve">ASSISTENTE DE FINANCAS                                                                              </t>
  </si>
  <si>
    <t xml:space="preserve">ASSISTENTE DE FINANCAS E CONTABILIDADE                                                              </t>
  </si>
  <si>
    <t xml:space="preserve">ASSISTENTE DE FINANCAS E CREDITO                                                                    </t>
  </si>
  <si>
    <t xml:space="preserve">ASSISTENTE DE FOLHA DE PAGAMENTO                                                                    </t>
  </si>
  <si>
    <t xml:space="preserve">ASSISTENTE DE GESTAO BANCARIA                                                                       </t>
  </si>
  <si>
    <t xml:space="preserve">ASSISTENTE DE GESTAO EMPRESARIAL                                                                    </t>
  </si>
  <si>
    <t xml:space="preserve">ASSISTENTE DE MICRO E PEQUENAS EMPRESAS                                                             </t>
  </si>
  <si>
    <t xml:space="preserve">ASSISTENTE DE NEGOCIOS                                                                              </t>
  </si>
  <si>
    <t xml:space="preserve">ASSISTENTE DE PLANEJAMENTO E DE ORGANIZACAO DE AGENCIAS E DE EVENTOS                                </t>
  </si>
  <si>
    <t xml:space="preserve">ASSISTENTE DE PLANEJAMENTO E DE ORGANIZACAO HOTELEIRA DE RESTAURANTES E DE BARES                    </t>
  </si>
  <si>
    <t xml:space="preserve">ASSISTENTE DE PLANEJAMENTO EM ATIVIDADE COMERCIAL                                                   </t>
  </si>
  <si>
    <t xml:space="preserve">ASSISTENTE DE PROCESSOS                                                                             </t>
  </si>
  <si>
    <t xml:space="preserve">ASSISTENTE DE PROCESSOS ADMINISTRATIVOS                                                             </t>
  </si>
  <si>
    <t xml:space="preserve">ASSISTENTE DE RECRUTAMENTO E SELECAO DE PESSOAL                                                     </t>
  </si>
  <si>
    <t xml:space="preserve">ASSISTENTE DE RECURSOS HUMANOS                                                                      </t>
  </si>
  <si>
    <t xml:space="preserve">ASSISTENTE DE SECRETARIA                                                                            </t>
  </si>
  <si>
    <t xml:space="preserve">ASSISTENTE DE TRANSACOES IMOBILIARIAS                                                               </t>
  </si>
  <si>
    <t xml:space="preserve">ASSISTENTE DE VENDAS                                                                                </t>
  </si>
  <si>
    <t xml:space="preserve">ASSISTENTE EM ADMINISTRACAO                                                                         </t>
  </si>
  <si>
    <t xml:space="preserve">ASSISTENTE EM ADMINISTRACAO DA QUALIDADE                                                            </t>
  </si>
  <si>
    <t xml:space="preserve">ASSISTENTE EM ADMINISTRACAO-GESTAO                                                                  </t>
  </si>
  <si>
    <t xml:space="preserve">ASSISTENTE EM CONTABILIDADE                                                                         </t>
  </si>
  <si>
    <t xml:space="preserve">ASSISTENTE EM ESTRATEGIA DA QUALIDADE                                                               </t>
  </si>
  <si>
    <t xml:space="preserve">ASSISTENTE EM ESTRATEGIA LOGISTICA                                                                  </t>
  </si>
  <si>
    <t xml:space="preserve">ASSISTENTE EM GESTAO DE PESSOAS                                                                     </t>
  </si>
  <si>
    <t xml:space="preserve">ASSISTENTE EM GESTAO DE SERVICOS PUBLICOS                                                           </t>
  </si>
  <si>
    <t xml:space="preserve">ASSISTENTE EM GESTAO EMPRESARIAL                                                                    </t>
  </si>
  <si>
    <t xml:space="preserve">ASSISTENTE EM GESTAO EMPRESARIAL E PUBLICA                                                          </t>
  </si>
  <si>
    <t xml:space="preserve">ASSISTENTE EM GESTAO FINANCEIRA                                                                     </t>
  </si>
  <si>
    <t xml:space="preserve">ASSISTENTE EM GESTAO LOGISTICA                                                                      </t>
  </si>
  <si>
    <t xml:space="preserve">ASSISTENTE EM LOGISTICA                                                                             </t>
  </si>
  <si>
    <t xml:space="preserve">ASSISTENTE EM LOGISTICA EMPRESARIAL                                                                 </t>
  </si>
  <si>
    <t xml:space="preserve">ASSISTENTE EM SECRETARIADO                                                                          </t>
  </si>
  <si>
    <t xml:space="preserve">ASSISTENTE FINANCEIRO                                                                               </t>
  </si>
  <si>
    <t xml:space="preserve">ASSISTENTE FINANCEIRO E DE OPERACOES                                                                </t>
  </si>
  <si>
    <t xml:space="preserve">ASSISTENTE GERENCIAL                                                                                </t>
  </si>
  <si>
    <t xml:space="preserve">ASSISTENTE TECNICO AGRIMENSOR                                                                       </t>
  </si>
  <si>
    <t xml:space="preserve">ASSISTENTE TECNICO EM CONTABILIDADE                                                                 </t>
  </si>
  <si>
    <t xml:space="preserve">ASSISTENTE TECNICO EM GESTAO EMPRESARIAL                                                            </t>
  </si>
  <si>
    <t xml:space="preserve">ATENDENTE DE VAREJO                                                                                 </t>
  </si>
  <si>
    <t xml:space="preserve">AUXILIAR ADMINISTRATIVO                                                                             </t>
  </si>
  <si>
    <t xml:space="preserve">AUXILIAR ADMINISTRATIVO DE SEGURANCA DO TRABALHO                                                    </t>
  </si>
  <si>
    <t xml:space="preserve">AUXILIAR ADMINISTRATIVO DE VENDAS                                                                   </t>
  </si>
  <si>
    <t xml:space="preserve">AUXILIAR ADMINISTRATIVO E FINANCEIRO                                                                </t>
  </si>
  <si>
    <t xml:space="preserve">AUXILIAR ADMINISTRATIVO EM GESTAO EMPRESARIAL DE PANIFICACAO                                        </t>
  </si>
  <si>
    <t xml:space="preserve">AUXILIAR CONTABIL                                                                                   </t>
  </si>
  <si>
    <t xml:space="preserve">AUXILIAR CONTABIL COMERCIAL                                                                         </t>
  </si>
  <si>
    <t xml:space="preserve">AUXILIAR CONTABIL E ESCRITA FISCAL                                                                  </t>
  </si>
  <si>
    <t xml:space="preserve">AUXILIAR CORRETOR EM MERCADOS DE CAPITAIS                                                           </t>
  </si>
  <si>
    <t xml:space="preserve">AUXILIAR DE ADMINISTRACAO                                                                           </t>
  </si>
  <si>
    <t xml:space="preserve">AUXILIAR DE ADMINISTRACAO DE MATERIAIS                                                              </t>
  </si>
  <si>
    <t xml:space="preserve">AUXILIAR DE ADMINISTRACAO IMOBILIARIA                                                               </t>
  </si>
  <si>
    <t xml:space="preserve">AUXILIAR DE ANALISE E CONTROLE DE QUALIDADE                                                         </t>
  </si>
  <si>
    <t xml:space="preserve">AUXILIAR DE ANALISES DE MATERIAIS                                                                   </t>
  </si>
  <si>
    <t xml:space="preserve">AUXILIAR DE CONTABILIDADE                                                                           </t>
  </si>
  <si>
    <t xml:space="preserve">AUXILIAR DE CONTROLE DE PROCESSOS                                                                   </t>
  </si>
  <si>
    <t xml:space="preserve">AUXILIAR DE CORRETOR DE MERCADO DE CAPITAIS                                                         </t>
  </si>
  <si>
    <t xml:space="preserve">AUXILIAR DE ESCRITA FISCAL                                                                          </t>
  </si>
  <si>
    <t xml:space="preserve">AUXILIAR DE ESCRITORIO                                                                              </t>
  </si>
  <si>
    <t xml:space="preserve">AUXILIAR DE ESCRITORIO DE CONTABILIDADE                                                             </t>
  </si>
  <si>
    <t xml:space="preserve">AUXILIAR DE ESCRITORIO DE TECNICO EM EDIFICACOES                                                    </t>
  </si>
  <si>
    <t xml:space="preserve">AUXILIAR DE ESCRITURACAO                                                                            </t>
  </si>
  <si>
    <t xml:space="preserve">AUXILIAR DE GERENCIAMENTO                                                                           </t>
  </si>
  <si>
    <t xml:space="preserve">AUXILIAR DE GESTAO DE PESSOAL                                                                       </t>
  </si>
  <si>
    <t xml:space="preserve">AUXILIAR DE GESTAO EM HIGIENE E DO TRABALHO                                                         </t>
  </si>
  <si>
    <t xml:space="preserve">AUXILIAR DE IMPORTACAO E EXPORTACAO                                                                 </t>
  </si>
  <si>
    <t xml:space="preserve">AUXILIAR DE OPERACOES LOGISTICAS                                                                    </t>
  </si>
  <si>
    <t xml:space="preserve">AUXILIAR DE PRATICAS COMERCIAIS                                                                     </t>
  </si>
  <si>
    <t xml:space="preserve">AUXILIAR DE RECURSOS HUMANOS                                                                        </t>
  </si>
  <si>
    <t xml:space="preserve">AUXILIAR DE SECRETARIADO                                                                            </t>
  </si>
  <si>
    <t xml:space="preserve">AUXILIAR DE SERVICOS DE SECRETARIADO                                                                </t>
  </si>
  <si>
    <t xml:space="preserve">AUXILIAR DE TECNICO EM ADMINISTRACAO                                                                </t>
  </si>
  <si>
    <t xml:space="preserve">AUXILIAR DE TECNICO EM CONTABILIDADE                                                                </t>
  </si>
  <si>
    <t xml:space="preserve">AUXILIAR DE TECNICO EM TRANSACOES IMOBILIARIAS                                                      </t>
  </si>
  <si>
    <t xml:space="preserve">AUXILIAR DE VENDAS                                                                                  </t>
  </si>
  <si>
    <t xml:space="preserve">AUXILIAR EM ADMINISTRACAO                                                                           </t>
  </si>
  <si>
    <t xml:space="preserve">AUXILIAR EM ADMINISTRACAO DE COMERCIO EXTERIOR                                                      </t>
  </si>
  <si>
    <t xml:space="preserve">AUXILIAR EM DESENVOLVIMENTO DE PROJETOS EMPRESARIAIS                                                </t>
  </si>
  <si>
    <t xml:space="preserve">AUXILIAR EM GESTAO CONTABIL FINANCEIRA                                                              </t>
  </si>
  <si>
    <t xml:space="preserve">AUXILIAR EM GESTAO DA PRODUCAO E MATERIAIS                                                          </t>
  </si>
  <si>
    <t xml:space="preserve">AUXILIAR EM GESTAO DE EMPRESAS                                                                      </t>
  </si>
  <si>
    <t xml:space="preserve">AUXILIAR EM GESTAO DE NEGOCIOS                                                                      </t>
  </si>
  <si>
    <t xml:space="preserve">AUXILIAR EM GESTAO DE PLANEJAMENTO                                                                  </t>
  </si>
  <si>
    <t xml:space="preserve">AUXILIAR EM GESTAO DE RECURSOS HUMANOS                                                              </t>
  </si>
  <si>
    <t xml:space="preserve">AUXILIAR EM GESTAO EMPRESARIAL E PUBLICA                                                            </t>
  </si>
  <si>
    <t xml:space="preserve">AUXILIAR EM GESTAO MERCADOLOGICA                                                                    </t>
  </si>
  <si>
    <t xml:space="preserve">AUXILIAR EM OPERACAO E AGENCIAMENTO                                                                 </t>
  </si>
  <si>
    <t xml:space="preserve">AUXILIAR EM PLANEJAMENTO E CONTROLE DE PRODUCAO                                                     </t>
  </si>
  <si>
    <t xml:space="preserve">AUXILIAR EM PREVENCAO E COMBATE A SINISTROS                                                         </t>
  </si>
  <si>
    <t xml:space="preserve">AUXILIAR FINANCEIRO                                                                                 </t>
  </si>
  <si>
    <t xml:space="preserve">AUXILIAR FISCAL                                                                                     </t>
  </si>
  <si>
    <t xml:space="preserve">AUXILIAR TECNICO EM ANALISE DE PROCESSOS                                                            </t>
  </si>
  <si>
    <t xml:space="preserve">AUXILIAR TECNICO EM GESTAO                                                                          </t>
  </si>
  <si>
    <t xml:space="preserve">AUXILIAR TECNICO EM PLANEJAMENTO                                                                    </t>
  </si>
  <si>
    <t xml:space="preserve">AUXILIAR TECNICO EM PLANEJAMENTO E PROJETO                                                          </t>
  </si>
  <si>
    <t xml:space="preserve">AUXILIAR TECNICO EM RECURSOS HIDRICOS                                                               </t>
  </si>
  <si>
    <t xml:space="preserve">BASES DE GESTAO                                                                                     </t>
  </si>
  <si>
    <t xml:space="preserve">CAPTADOR DE IMOVEIS                                                                                 </t>
  </si>
  <si>
    <t xml:space="preserve">CHEFE DE CERIMONIAL                                                                                 </t>
  </si>
  <si>
    <t xml:space="preserve">CORRETOR DE MERCADO DE CAPITAIS                                                                     </t>
  </si>
  <si>
    <t xml:space="preserve">ESCRITURARIO                                                                                        </t>
  </si>
  <si>
    <t xml:space="preserve">ESPECIALISTA EM ESCRITA FISCAL                                                                      </t>
  </si>
  <si>
    <t xml:space="preserve">EXCELENCIA NO ATENDIMENTO                                                                           </t>
  </si>
  <si>
    <t xml:space="preserve">EXPOSICOES DE ESPACOS COMERCIAIS                                                                    </t>
  </si>
  <si>
    <t xml:space="preserve">GERENTE ADMINISTRATIVO                                                                              </t>
  </si>
  <si>
    <t xml:space="preserve">GESTOR DE NEGOCIOS                                                                                  </t>
  </si>
  <si>
    <t xml:space="preserve">GESTOR DE RECURSOS HUMANOS                                                                          </t>
  </si>
  <si>
    <t xml:space="preserve">INSPETOR DE SEGUROS                                                                                 </t>
  </si>
  <si>
    <t xml:space="preserve">INSPETOR DE SINISTROS                                                                               </t>
  </si>
  <si>
    <t xml:space="preserve">ORGANIZACAO DE EVENTOS                                                                              </t>
  </si>
  <si>
    <t xml:space="preserve">PLANEJAMENTO E CRIACAO                                                                              </t>
  </si>
  <si>
    <t xml:space="preserve">PROCESSOS ADMINISTRATIVOS                                                                           </t>
  </si>
  <si>
    <t xml:space="preserve">PROFISSIONAL DE GESTAO EMPRESARIAL                                                                  </t>
  </si>
  <si>
    <t xml:space="preserve">PROMOTOR DE VENDAS                                                                                  </t>
  </si>
  <si>
    <t xml:space="preserve">RECEPCIONISTA PARA AREA DA SAUDE                                                                    </t>
  </si>
  <si>
    <t xml:space="preserve">ROTINA ADMINISTRATIVA                                                                               </t>
  </si>
  <si>
    <t xml:space="preserve">SECRETARIA JUNIOR E RECEPCIONISTA                                                                   </t>
  </si>
  <si>
    <t xml:space="preserve">SERVICOS DE APOIO E ORGANIZACAO DE EVENTOS                                                          </t>
  </si>
  <si>
    <t xml:space="preserve">SERVICOS DE PROMOCAO E COMERCIALIZACAO DE EVENTOS                                                   </t>
  </si>
  <si>
    <t xml:space="preserve">SERVICOS DE RECEPCAO E ATENDIMENTO EM EVENTOS                                                       </t>
  </si>
  <si>
    <t xml:space="preserve">TECNICO EM GESTAO DE RECURSOS HUMANOS                                                               </t>
  </si>
  <si>
    <t xml:space="preserve">TECNICO EM GESTAO FINANCEIRA                                                                        </t>
  </si>
  <si>
    <t xml:space="preserve">TECNICO EM ORGANIZACAO DE EVENTOS                                                                   </t>
  </si>
  <si>
    <t xml:space="preserve">VISUAL MERCHANDISING                                                                                </t>
  </si>
  <si>
    <t xml:space="preserve">ESTILISMO E MODELAGEM DEVESTUARIO                                                                   </t>
  </si>
  <si>
    <t xml:space="preserve">GESTAO DE VESTUARIO                                                                                 </t>
  </si>
  <si>
    <t xml:space="preserve">PRODUCAO DE VESTUARIO                                                                               </t>
  </si>
  <si>
    <t xml:space="preserve">ASSISTENTE EM CRIACAO DE MODA                                                                       </t>
  </si>
  <si>
    <t xml:space="preserve">ASSISTENTE EM DESENVOLVIMENTO DE CRIACAO DE MODA                                                    </t>
  </si>
  <si>
    <t xml:space="preserve">ASSISTENTE EM GESTAO DE PRODUTO DE MODA                                                             </t>
  </si>
  <si>
    <t xml:space="preserve">AUXILIAR DE DEPARTAMENTO PESSOAL                                                                    </t>
  </si>
  <si>
    <t xml:space="preserve">CONSULTOR DE ESTILO PESSOAL                                                                         </t>
  </si>
  <si>
    <t xml:space="preserve">CONSULTOR DE PRODUTOS DE MODA                                                                       </t>
  </si>
  <si>
    <t xml:space="preserve">ESTILISTA DE MODA                                                                                   </t>
  </si>
  <si>
    <t xml:space="preserve">MODELAGEM DE VESTUARIO FEMININO COM ELASTANO                                                        </t>
  </si>
  <si>
    <t xml:space="preserve">MODELAGEM DE VESTUARIO FEMININO EM MALHA                                                            </t>
  </si>
  <si>
    <t xml:space="preserve">MODELAGEM DE VESTUARIO FEMININO EM TECIDO PLANO                                                     </t>
  </si>
  <si>
    <t xml:space="preserve">QUALIFICACAO ESTETICISTA FACIAL                                                                     </t>
  </si>
  <si>
    <t xml:space="preserve">TECNICO EM ESTETICA CORPORAL                                                                        </t>
  </si>
  <si>
    <t xml:space="preserve">TECNICO EM ESTETICA FACIAL                                                                          </t>
  </si>
  <si>
    <t xml:space="preserve">ADMINISTRACAO E GERENCIAMENTO DA INDUSTRIA DO CALCADO                                               </t>
  </si>
  <si>
    <t xml:space="preserve">ASSISTENTE DE INSTALACOES ELETROMECANICAS                                                           </t>
  </si>
  <si>
    <t xml:space="preserve">ASSISTENTE EM USINAGEM                                                                              </t>
  </si>
  <si>
    <t xml:space="preserve">AUXILIAR MANUTENCAO MECANICA                                                                        </t>
  </si>
  <si>
    <t xml:space="preserve">AUXILIAR PRODUCAO MECANICA                                                                          </t>
  </si>
  <si>
    <t xml:space="preserve">AUXILIAR TECNICO DE ELETROTECNICA                                                                   </t>
  </si>
  <si>
    <t xml:space="preserve">AUXILIAR TECNICO EM ELETROTECNICA                                                                   </t>
  </si>
  <si>
    <t xml:space="preserve">AUXILIAR TECNICO EM INFORMATICA INDUSTRIAL                                                          </t>
  </si>
  <si>
    <t xml:space="preserve">AUXILIAR TECNICO EM SISTEMAS DE AUTOMACAO INDUSTRIAL                                                </t>
  </si>
  <si>
    <t xml:space="preserve">AUXILIAR TECNICO EM SISTEMAS ELETRONICOS                                                            </t>
  </si>
  <si>
    <t xml:space="preserve">CONTROLE DE PROCESSOS                                                                               </t>
  </si>
  <si>
    <t xml:space="preserve">ESTILISMO E MODELAGEM DE CALCADOS                                                                   </t>
  </si>
  <si>
    <t xml:space="preserve">GERENTE DE PRODUCAO DE CALCADOS                                                                     </t>
  </si>
  <si>
    <t xml:space="preserve">INSTALADOR ELETRICO PREDIAL                                                                         </t>
  </si>
  <si>
    <t xml:space="preserve">INSTALACOES DE SISTEMAS ELETRONICOS INDUSTRIAIS                                                     </t>
  </si>
  <si>
    <t xml:space="preserve">INSTRUMENTACAO ELETRONICA                                                                           </t>
  </si>
  <si>
    <t xml:space="preserve">METALURGIA DE TRANSFORMACAO                                                                         </t>
  </si>
  <si>
    <t xml:space="preserve">METALURGIA EXTRATIVA                                                                                </t>
  </si>
  <si>
    <t xml:space="preserve">OPERADOR E INSTALADOR DE COMPUTADORES                                                               </t>
  </si>
  <si>
    <t xml:space="preserve">OPERACOES DE SISTEMAS DE CONTROLE DE PROCESSOS INDUSTRIAIS                                          </t>
  </si>
  <si>
    <t xml:space="preserve">OPERACOES DE SISTEMAS ELETRO-ELETRONICOS INDUSTRIAIS                                                </t>
  </si>
  <si>
    <t xml:space="preserve">QUALIFICACAO EM INSTALACOES E MANUTENCAO                                                            </t>
  </si>
  <si>
    <t xml:space="preserve">QUALIFICACAO EM PRODUCAO ELETROMECANICA                                                             </t>
  </si>
  <si>
    <t xml:space="preserve">ANALISTA DE SISTEMAS ELETRONICOS                                                                    </t>
  </si>
  <si>
    <t xml:space="preserve">ASSISTENTE DE ANALISE DE PROCESSOS DE PRODUCAO                                                      </t>
  </si>
  <si>
    <t xml:space="preserve">ASSISTENTE DE ANALISES QUIMICAS INDUSTRIAIS                                                         </t>
  </si>
  <si>
    <t xml:space="preserve">ASSISTENTE DE DESENHISTA MECANICO                                                                   </t>
  </si>
  <si>
    <t xml:space="preserve">ASSISTENTE DE DESENVOLVIMENTO DE PRODUTOS TEXTEIS                                                   </t>
  </si>
  <si>
    <t xml:space="preserve">ASSISTENTE DE ELETRICISTA DE MANUTENCAO                                                             </t>
  </si>
  <si>
    <t xml:space="preserve">ASSISTENTE DE INSTRUMENTACAO                                                                        </t>
  </si>
  <si>
    <t xml:space="preserve">ASSISTENTE DE MANUTENCAO ELETRONICA                                                                 </t>
  </si>
  <si>
    <t xml:space="preserve">ASSISTENTE DE MANUTENCAO MECANICA                                                                   </t>
  </si>
  <si>
    <t xml:space="preserve">ASSISTENTE DE OPERACAO DE PROCESSOS DE PRODUCAO                                                     </t>
  </si>
  <si>
    <t xml:space="preserve">ASSISTENTE DE PROCESSOS DE USINAGEM                                                                 </t>
  </si>
  <si>
    <t xml:space="preserve">ASSISTENTE DE PRODUCAO                                                                              </t>
  </si>
  <si>
    <t xml:space="preserve">ASSISTENTE DE PRODUCAO DE CERAMICA                                                                  </t>
  </si>
  <si>
    <t xml:space="preserve">ASSISTENTE DE TECNICO EM ELETRONICA                                                                 </t>
  </si>
  <si>
    <t xml:space="preserve">ASSISTENTE DE TECNICO EM MECANICA                                                                   </t>
  </si>
  <si>
    <t xml:space="preserve">ASSISTENTE DE TECNICO EM OPERADOR E REPARADOR DE CIRCUITOS ELETRONICOS                              </t>
  </si>
  <si>
    <t xml:space="preserve">ASSISTENTE DE TELECOMUNICACOES                                                                      </t>
  </si>
  <si>
    <t xml:space="preserve">ASSISTENTE DE USINAGEM                                                                              </t>
  </si>
  <si>
    <t xml:space="preserve">ASSISTENTE DOS PROCESSOS DE PRODUCAO                                                                </t>
  </si>
  <si>
    <t xml:space="preserve">ASSISTENTE ELETRICISTA                                                                              </t>
  </si>
  <si>
    <t xml:space="preserve">ASSISTENTE ELETRO-MECANICO                                                                          </t>
  </si>
  <si>
    <t xml:space="preserve">ASSISTENTE EM ELETRONICA E COMUNICACAO DE DADOS                                                     </t>
  </si>
  <si>
    <t xml:space="preserve">ASSISTENTE INDUSTRIAL                                                                               </t>
  </si>
  <si>
    <t xml:space="preserve">ASSISTENTE TECNICO EM AUTOMACAO DE MAQUINAS E EQUIPAMENTOS                                          </t>
  </si>
  <si>
    <t xml:space="preserve">ASSISTENTE TECNICO EM AUTOMOBILISTICA                                                               </t>
  </si>
  <si>
    <t xml:space="preserve">ASSISTENTE TECNICO EM CONSTRUCAO DE FERRAMENTAS                                                     </t>
  </si>
  <si>
    <t xml:space="preserve">ASSISTENTE TECNICO EM DESENVOLVIMENTO E PROJETO ELETRONICO                                          </t>
  </si>
  <si>
    <t xml:space="preserve">ASSISTENTE TECNICO EM FUNDICAO                                                                      </t>
  </si>
  <si>
    <t xml:space="preserve">ASSISTENTE TECNICO EM INSTALACOES ELETRICAS                                                         </t>
  </si>
  <si>
    <t xml:space="preserve">ASSISTENTE TECNICO EM MECANICA                                                                      </t>
  </si>
  <si>
    <t xml:space="preserve">ASSISTENTE TECNICO EM MECANICA DE MANUTENCAO                                                        </t>
  </si>
  <si>
    <t xml:space="preserve">ASSISTENTE TECNICO EM PLANEJAMENTO E CONTROLE DA PRODUCAO                                           </t>
  </si>
  <si>
    <t xml:space="preserve">ASSISTENTE TECNICO EM PLANEJAMENTO E CRIACAO                                                        </t>
  </si>
  <si>
    <t xml:space="preserve">ASSISTENTE TECNICO EM PLANEJAMENTO E PROJETO                                                        </t>
  </si>
  <si>
    <t xml:space="preserve">ASSISTENTE TECNICO EM PROCESSOS MECANICOS E METALURGICOS                                            </t>
  </si>
  <si>
    <t xml:space="preserve">AUXILIAR ADMINISTRATIVO DE METALURGIA                                                               </t>
  </si>
  <si>
    <t xml:space="preserve">AUXILIAR DE INSTALACOES ELETRICAS                                                                   </t>
  </si>
  <si>
    <t xml:space="preserve">AUXILIAR DE LABORATORIO E PRODUCAO                                                                  </t>
  </si>
  <si>
    <t xml:space="preserve">AUXILIAR DE LABORATORIO METALURGICO                                                                 </t>
  </si>
  <si>
    <t xml:space="preserve">AUXILIAR DE LABORATORISTA INDUSTRIAL                                                                </t>
  </si>
  <si>
    <t xml:space="preserve">AUXILIAR DE MANUTENCAO VEICULAR                                                                     </t>
  </si>
  <si>
    <t xml:space="preserve">AUXILIAR DE MECANICA INDUSTRIAL                                                                     </t>
  </si>
  <si>
    <t xml:space="preserve">AUXILIAR DE MONTAGEM E MANUTENCAO ELETRICA                                                          </t>
  </si>
  <si>
    <t xml:space="preserve">AUXILIAR DE MONTAGENS ELETRICAS INDUSTRIAIS                                                         </t>
  </si>
  <si>
    <t xml:space="preserve">AUXILIAR DE OPERACAO DE PROCESSO                                                                    </t>
  </si>
  <si>
    <t xml:space="preserve">AUXILIAR DE PLANEJAMENTO E CONTROLE DE MANUTENCAO                                                   </t>
  </si>
  <si>
    <t xml:space="preserve">AUXILIAR DE PLANEJAMENTO E CONTROLE DE PRODUCAO                                                     </t>
  </si>
  <si>
    <t xml:space="preserve">AUXILIAR DE PRE-FABRICACAO                                                                          </t>
  </si>
  <si>
    <t xml:space="preserve">AUXILIAR DE PROCESSOS E PRODUCAO                                                                    </t>
  </si>
  <si>
    <t xml:space="preserve">AUXILIAR DE PRODUCAO                                                                                </t>
  </si>
  <si>
    <t xml:space="preserve">AUXILIAR DE PROJETISTA                                                                              </t>
  </si>
  <si>
    <t xml:space="preserve">AUXILIAR DE PROJETOS ELETRICOS                                                                      </t>
  </si>
  <si>
    <t xml:space="preserve">AUXILIAR DE REFRIGERACAO                                                                            </t>
  </si>
  <si>
    <t xml:space="preserve">AUXILIAR DE TECNICO EM ELETROMECANICA                                                               </t>
  </si>
  <si>
    <t xml:space="preserve">AUXILIAR DE TECNICO EM ELETRONICA                                                                   </t>
  </si>
  <si>
    <t xml:space="preserve">AUXILIAR DE TECNICO EM TEXTIL                                                                       </t>
  </si>
  <si>
    <t xml:space="preserve">AUXILIAR DE TELECOMUNICACOES                                                                        </t>
  </si>
  <si>
    <t xml:space="preserve">AUXILIAR EM CERAMICA                                                                                </t>
  </si>
  <si>
    <t xml:space="preserve">AUXILIAR EM ELETRONICA                                                                              </t>
  </si>
  <si>
    <t xml:space="preserve">AUXILIAR EM MANUTENCAO ELETROMECANICA                                                               </t>
  </si>
  <si>
    <t xml:space="preserve">AUXILIAR TECNICO ELETROELETRONICO                                                                   </t>
  </si>
  <si>
    <t xml:space="preserve">AUXILIAR TECNICO ELETRONICO                                                                         </t>
  </si>
  <si>
    <t xml:space="preserve">AUXILIAR TECNICO ELETRONICO I                                                                       </t>
  </si>
  <si>
    <t xml:space="preserve">AUXILIAR TECNICO ELETRONICO II                                                                      </t>
  </si>
  <si>
    <t xml:space="preserve">AUXILIAR TECNICO ELETRONICO III                                                                     </t>
  </si>
  <si>
    <t xml:space="preserve">AUXILIAR TECNICO EM AUTOMACAO DE MAQUINAS E EQUIPAMENTOS                                            </t>
  </si>
  <si>
    <t xml:space="preserve">AUXILIAR TECNICO EM AUTOMACAO INDUSTRIAL                                                            </t>
  </si>
  <si>
    <t xml:space="preserve">AUXILIAR TECNICO EM CONTROLE DE PROCESSOS INDUSTRIAIS E INSTRUMENTACAO                              </t>
  </si>
  <si>
    <t xml:space="preserve">AUXILIAR TECNICO EM ELETRICIDADE                                                                    </t>
  </si>
  <si>
    <t xml:space="preserve">AUXILIAR TECNICO EM ELETRO MECANICA DE MANUTENCAO                                                   </t>
  </si>
  <si>
    <t xml:space="preserve">AUXILIAR TECNICO EM ELETROELETRONICA E TELECOMUNICACOES                                             </t>
  </si>
  <si>
    <t xml:space="preserve">AUXILIAR TECNICO EM ELETRONICA                                                                      </t>
  </si>
  <si>
    <t xml:space="preserve">AUXILIAR TECNICO EM ELETRONICA COM ENFASE EM TELECOMUNICACAO                                        </t>
  </si>
  <si>
    <t xml:space="preserve">AUXILIAR TECNICO EM EQUIPAMENTOS ELETROELETRONICOS                                                  </t>
  </si>
  <si>
    <t xml:space="preserve">AUXILIAR TECNICO EM INSTRUMENTACAO, AUTOMACAO E MECATRONICA                                         </t>
  </si>
  <si>
    <t xml:space="preserve">AUXILIAR TECNICO EM MECANICA                                                                        </t>
  </si>
  <si>
    <t xml:space="preserve">AUXILIAR TECNICO EM MECANICA INDUSTRIAL                                                             </t>
  </si>
  <si>
    <t xml:space="preserve">AUXILIAR TECNICO EM MECATRONICA                                                                     </t>
  </si>
  <si>
    <t xml:space="preserve">AUXILIAR TECNICO EM METALURGIA                                                                      </t>
  </si>
  <si>
    <t xml:space="preserve">AUXILIAR TECNICO EM REFRIGERACAO                                                                    </t>
  </si>
  <si>
    <t xml:space="preserve">AUXILIAR TECNICO EM TELECOMUNICACOES                                                                </t>
  </si>
  <si>
    <t xml:space="preserve">AUXILIAR TECNICO MECANICO - AUTOMACAO                                                               </t>
  </si>
  <si>
    <t xml:space="preserve">CONFECCIONISTA DE CALCADOS                                                                          </t>
  </si>
  <si>
    <t xml:space="preserve">CONTROLADOR DE PROCESSOS INDUSTRIAIS EM PLASTICOS                                                   </t>
  </si>
  <si>
    <t xml:space="preserve">CONTROLADOR DE PRODUCAO                                                                             </t>
  </si>
  <si>
    <t xml:space="preserve">CONTROLADOR DO PROCESSO DE FABRICACAO DE PAPEL                                                      </t>
  </si>
  <si>
    <t xml:space="preserve">CONTROLADOR DO PROCESSO DE OBTENCAO DE POLPA                                                        </t>
  </si>
  <si>
    <t xml:space="preserve">CONTROLADOR INDUSTRIAL DE INSUMOS E PRODUTOS                                                        </t>
  </si>
  <si>
    <t xml:space="preserve">CORTADOR DE CONFECCAO INDUSTRIAL                                                                    </t>
  </si>
  <si>
    <t xml:space="preserve">ELETRICISTA                                                                                         </t>
  </si>
  <si>
    <t xml:space="preserve">ELETRICISTA DE MANUTENCAO DE SISTEMAS DE TRANSPORTE SOBRE TRILHOS                                   </t>
  </si>
  <si>
    <t xml:space="preserve">ELETRICISTA DE MANUTENCAO INDUSTRIAL                                                                </t>
  </si>
  <si>
    <t xml:space="preserve">ENCARREGADO DE PRODUCAO                                                                             </t>
  </si>
  <si>
    <t xml:space="preserve">IMPLANTACAO DE SISTEMAS DE TELECOMUNICACOES                                                         </t>
  </si>
  <si>
    <t xml:space="preserve">INATALADOR/MONTADOR ELETROELETRONICO                                                                </t>
  </si>
  <si>
    <t xml:space="preserve">INSTALACOES ELETRICAS                                                                               </t>
  </si>
  <si>
    <t xml:space="preserve">INSTALADOR / MONTADOR EM ELETROELETRONICA                                                           </t>
  </si>
  <si>
    <t xml:space="preserve">INSTALADOR DE CIRCUITOS ELETRONICOS                                                                 </t>
  </si>
  <si>
    <t xml:space="preserve">INSTALADOR DE SISTEMAS ELETRONICOS                                                                  </t>
  </si>
  <si>
    <t xml:space="preserve">INSTALADOR DE SISTEMAS INDUSTRIAIS ELETROELETRONICOS, HIDRAULICOS E PNEUMATICOS                     </t>
  </si>
  <si>
    <t xml:space="preserve">INSTALADOR DE SISTEMAS INDUSTRIAIS ELETRONICOS, PNEUMATICOS E HIDRAULICOS                           </t>
  </si>
  <si>
    <t xml:space="preserve">INSTALADOR E MANTENEDOR EM CLIMATIZACAO                                                             </t>
  </si>
  <si>
    <t xml:space="preserve">INSTALADOR E MANTENEDOR EM REFRIGERACAO COMERCIAL E INDUSTRIAL                                      </t>
  </si>
  <si>
    <t xml:space="preserve">INSTALADOR E MANTENEDOR EM REFRIGERACAO E CONDICIONAMENTO DE AR RESIDENCIAL                         </t>
  </si>
  <si>
    <t xml:space="preserve">INSTALADOR E REPARADOR DE LINHAS E APARELHOS TELEFONICOS E AUXILIAR DE PROJETOS                     </t>
  </si>
  <si>
    <t xml:space="preserve">INSTALADOR E REPARADOR DE LINHAS E EQUIPAMENTOS DE TELECOMUNICACOES                                 </t>
  </si>
  <si>
    <t xml:space="preserve">INSTALADOR E REPARADOR ELETRONICO                                                                   </t>
  </si>
  <si>
    <t xml:space="preserve">INSTALADOR E REPARADOR ELETROTECNICO                                                                </t>
  </si>
  <si>
    <t xml:space="preserve">INSTALADOR MONTADOR ELETROELETRONICO                                                                </t>
  </si>
  <si>
    <t xml:space="preserve">INSTALADOR/REPARADOR DE LINHA TELEFONICA                                                            </t>
  </si>
  <si>
    <t xml:space="preserve">INSTALADOR/REPARADOR DE SISTEMAS DE TELECOMUNICACOES                                                </t>
  </si>
  <si>
    <t xml:space="preserve">MANTENEDOR DE SISTEMAS DE AUTOMACAO DA MANUFATURA                                                   </t>
  </si>
  <si>
    <t xml:space="preserve">MANTENEDOR DE SISTEMAS DE AUTOMACAO INDUSTRIAL                                                      </t>
  </si>
  <si>
    <t xml:space="preserve">MANTENEDOR DE SISTEMAS ELETRICOS                                                                    </t>
  </si>
  <si>
    <t xml:space="preserve">MANTENEDOR DE SISTEMAS ELETROELETRONICOS                                                            </t>
  </si>
  <si>
    <t xml:space="preserve">MANTENEDOR DE SISTEMAS ELETROMECANICOS                                                              </t>
  </si>
  <si>
    <t xml:space="preserve">MANTENEDOR DE SISTEMAS INDUSTRIAIS ELETROELETRONICOS, HIDRAULICOS E PNEUMATICOS                     </t>
  </si>
  <si>
    <t xml:space="preserve">MANTENEDOR DE SISTEMAS INDUSTRIAIS ELETRONICOS, PNEUMATICOS E HIDRAULICOS                           </t>
  </si>
  <si>
    <t xml:space="preserve">MANTENEDOR E INSTALADOR DE EQUIPAMENTOS ODONTO-MEDICO-HOSPITALARES                                  </t>
  </si>
  <si>
    <t xml:space="preserve">MANTENEDOR E INSTALADOR DE SISTEMAS ELETRICOS                                                       </t>
  </si>
  <si>
    <t xml:space="preserve">MANTENEDOR E INSTALADOR DE SISTEMAS ELETROELETRONICOS                                               </t>
  </si>
  <si>
    <t xml:space="preserve">MANTENEDOR E PROGRAMADOR DE SISTEMAS DE AUTOMACAO                                                   </t>
  </si>
  <si>
    <t xml:space="preserve">MANTENEDOR E REPARADOR DE SISTEMAS ELETRICOS                                                        </t>
  </si>
  <si>
    <t xml:space="preserve">MANTENEDOR E REPARADOR DE SISTEMAS ELETROELETRONICOS                                                </t>
  </si>
  <si>
    <t xml:space="preserve">MANTENEDOR ELETROELETRONICO                                                                         </t>
  </si>
  <si>
    <t xml:space="preserve">MANTENEDOR, INSTALADOR E REPARADOR DE SISTEMAS ELETROELETRONICOS                                    </t>
  </si>
  <si>
    <t xml:space="preserve">MANTENEDOR, INSTALADOR E REPARADOR DE SISTEMAS ELETRO-ELETRONICOS                                   </t>
  </si>
  <si>
    <t xml:space="preserve">MANUTENCAO DE EQUIPAMENTOS                                                                          </t>
  </si>
  <si>
    <t xml:space="preserve">MANUTENCAO ELETRONICA                                                                               </t>
  </si>
  <si>
    <t xml:space="preserve">MECANICO DE AVIONICOS                                                                               </t>
  </si>
  <si>
    <t xml:space="preserve">MECANICO DE CELULA                                                                                  </t>
  </si>
  <si>
    <t xml:space="preserve">MECANICO DE MANUTENCAO                                                                              </t>
  </si>
  <si>
    <t xml:space="preserve">MECANICO DE MANUTENCAO DE SISTEMAS DE TRANSPORTE SOBRE TRILHOS                                      </t>
  </si>
  <si>
    <t xml:space="preserve">MECANICO EM AVIONICA                                                                                </t>
  </si>
  <si>
    <t xml:space="preserve">MECANICO GRUPO MOTO PROPULSOR                                                                       </t>
  </si>
  <si>
    <t xml:space="preserve">MECATRONICA                                                                                         </t>
  </si>
  <si>
    <t xml:space="preserve">MODELISTA DE CALCADOS                                                                               </t>
  </si>
  <si>
    <t xml:space="preserve">MODELISTA E ESTILISTA DE CALCADOS                                                                   </t>
  </si>
  <si>
    <t xml:space="preserve">MODELISTA INDUSTRIAL POLIVALENTE                                                                    </t>
  </si>
  <si>
    <t xml:space="preserve">MONTADOR E INSTALADOR DE SISTEMAS ELETROELETRONICOS                                                 </t>
  </si>
  <si>
    <t xml:space="preserve">MONTADOR E INSTALADOR DE SISTEMAS ELETRONICOS                                                       </t>
  </si>
  <si>
    <t xml:space="preserve">MONTADOR E MANTENEDOR DE MAQUINAS E EQUIPAMENTOS                                                    </t>
  </si>
  <si>
    <t xml:space="preserve">OPERACAO DE SISTEMAS DE AUDIO E VIDEO DIGITAL                                                       </t>
  </si>
  <si>
    <t xml:space="preserve">OPERACAO DE SISTEMAS DE TELECOMUNICACOES                                                            </t>
  </si>
  <si>
    <t xml:space="preserve">OPERADOR / REPARADOR EM ELETROELETRONICA                                                            </t>
  </si>
  <si>
    <t xml:space="preserve">OPERADOR DE EQUIPAMENTOS DE SISTEMAS ELETRICOS                                                      </t>
  </si>
  <si>
    <t xml:space="preserve">OPERADOR DE MANUTENCAO DE EQUIPAMENTOS                                                              </t>
  </si>
  <si>
    <t xml:space="preserve">OPERADOR DE PROCESSOS                                                                               </t>
  </si>
  <si>
    <t xml:space="preserve">OPERADOR DE PROCESSOS DE CALDEIRARIA E SOLDAGEM                                                     </t>
  </si>
  <si>
    <t xml:space="preserve">OPERADOR DE PROCESSOS DE FUNDICAO                                                                   </t>
  </si>
  <si>
    <t xml:space="preserve">OPERADOR DE PROCESSOS DE USINAGEM                                                                   </t>
  </si>
  <si>
    <t xml:space="preserve">OPERADOR DE PROCESSOS INDUSTRIAIS                                                                   </t>
  </si>
  <si>
    <t xml:space="preserve">OPERADOR DE PROCESSOS QUIMICOS INDUSTRIAIS                                                          </t>
  </si>
  <si>
    <t xml:space="preserve">OPERADOR E REPARADOR DE CIRCUITOS AUTOMATIZADOS                                                     </t>
  </si>
  <si>
    <t xml:space="preserve">OPERADOR E REPARADOR DE CIRCUITOS ELETRICOS                                                         </t>
  </si>
  <si>
    <t xml:space="preserve">OPERADOR E REPARADOR DE CIRCUITOS ELETRONICOS                                                       </t>
  </si>
  <si>
    <t xml:space="preserve">OPERADOR REPARADOR ELETROELETRONICO                                                                 </t>
  </si>
  <si>
    <t xml:space="preserve">OPERADOR TECNICO EM METALURGIA                                                                      </t>
  </si>
  <si>
    <t xml:space="preserve">OPERADOR/REPARADOR ELETROELETRONICO                                                                 </t>
  </si>
  <si>
    <t xml:space="preserve">PLANEJADOR, EXECUTOR E OPERADOR DE SISTEMAS DE TRANSMISSAO                                          </t>
  </si>
  <si>
    <t xml:space="preserve">PLANEJAMENTO DE SISTEMAS DE TELECOMUNICACOES                                                        </t>
  </si>
  <si>
    <t xml:space="preserve">PRODUCAO DE EMBALAGENS E MATERIAIS PROMOCIONAIS                                                     </t>
  </si>
  <si>
    <t xml:space="preserve">PROGRAMADOR DE MANUTENCAO MECANICA                                                                  </t>
  </si>
  <si>
    <t xml:space="preserve">PROGRAMADOR DE PRODUCAO MECANICA                                                                    </t>
  </si>
  <si>
    <t xml:space="preserve">PROJETISTA DE EXECUCAO DE INSTALACOES ELETRICAS PREDIAIS E INDUSTRIAIS                              </t>
  </si>
  <si>
    <t xml:space="preserve">PROJETISTA DE INSTALACOES E MANUTENCAO DE EQUIPAMENTOS ELETRONICOS                                  </t>
  </si>
  <si>
    <t xml:space="preserve">PROJETISTA DE MOLDES PARA PLASTICOS                                                                 </t>
  </si>
  <si>
    <t xml:space="preserve">PROJETISTA DE PRODUTOS MECANICOS                                                                    </t>
  </si>
  <si>
    <t xml:space="preserve">PROJETISTA DE SISTEMA MICROCONTROLADO                                                               </t>
  </si>
  <si>
    <t xml:space="preserve">PROJETISTA DE SISTEMAS DE INFORMACAO                                                                </t>
  </si>
  <si>
    <t xml:space="preserve">PROJETISTA E EXECUTOR DE INSTALACOES DE ENERGIA ELETRICA EM PREDIOS E INDUSTRIAS                    </t>
  </si>
  <si>
    <t xml:space="preserve">PROJETISTA E EXECUTOR DE REDES E LINHAS DE DISTRIBUICAO DE ENERGIA ELETRICA                         </t>
  </si>
  <si>
    <t xml:space="preserve">PROJETISTA EM ELETRONICA                                                                            </t>
  </si>
  <si>
    <t xml:space="preserve">PROJETISTA INDUSTRIAL DE MOVEIS                                                                     </t>
  </si>
  <si>
    <t xml:space="preserve">PROJETOS DE TELECOMUNICACOES                                                                        </t>
  </si>
  <si>
    <t xml:space="preserve">PROJETOS E INSTALACOES EM ELETROELETRONICA                                                          </t>
  </si>
  <si>
    <t xml:space="preserve">REDE INTERNA DE TELEFONIA                                                                           </t>
  </si>
  <si>
    <t xml:space="preserve">REDES E TELECOMUNICACOES                                                                            </t>
  </si>
  <si>
    <t xml:space="preserve">REPARADOR DE CIRCUITOS ELETRICOS                                                                    </t>
  </si>
  <si>
    <t xml:space="preserve">REPARADOR DE SISTEMAS DE TELECOMUNICACOES                                                           </t>
  </si>
  <si>
    <t xml:space="preserve">REPARADOR ELETROELETRONICO                                                                          </t>
  </si>
  <si>
    <t xml:space="preserve">SISTEMA DE AUTOMACAO E CONTROLE                                                                     </t>
  </si>
  <si>
    <t xml:space="preserve">SISTEMA DE TELEFONIA                                                                                </t>
  </si>
  <si>
    <t xml:space="preserve">SISTEMAS DE AUTOMOCAO E CONTROLE                                                                    </t>
  </si>
  <si>
    <t xml:space="preserve">SISTEMAS DE COMUNICACAO                                                                             </t>
  </si>
  <si>
    <t xml:space="preserve">SISTEMAS DE COMUNICACAO DIGITAL                                                                     </t>
  </si>
  <si>
    <t xml:space="preserve">SISTEMAS DE COMUNICACAO: CELULAR, RADIO E TV                                                        </t>
  </si>
  <si>
    <t xml:space="preserve">SUPERVISOR DE PRODUCAO DE CERAMICA                                                                  </t>
  </si>
  <si>
    <t xml:space="preserve">TECNICO EM AUTOMACAO DE ESCRITORIO                                                                  </t>
  </si>
  <si>
    <t xml:space="preserve">TECNICO EM CONTROLE DE QUALIDADE                                                                    </t>
  </si>
  <si>
    <t xml:space="preserve">TECNICO EM GESTAO DA PRODUCAO                                                                       </t>
  </si>
  <si>
    <t xml:space="preserve">TELEPROCESSAMENTO E REDES DE SERVICOS INTEGRADOS                                                    </t>
  </si>
  <si>
    <t xml:space="preserve">ANALISTA JUNIOR                                                                                     </t>
  </si>
  <si>
    <t xml:space="preserve">ANALISE E PROGRAMACAO                                                                               </t>
  </si>
  <si>
    <t xml:space="preserve">AUXILIAR TECNICO EM MONTAGEM DE COMPUTADORES E CONFIGURACAO DE REDES                                </t>
  </si>
  <si>
    <t xml:space="preserve">AUXILIAR TECNICO EM PROGRAMACAO DE COMPUTADORES                                                     </t>
  </si>
  <si>
    <t xml:space="preserve">AUXILIAR TECNICO EM REDES DE COMPUTADORES                                                           </t>
  </si>
  <si>
    <t xml:space="preserve">COMUNICACAO DE DADOS                                                                                </t>
  </si>
  <si>
    <t xml:space="preserve">DESENVOLVIMENTO DE SOFTWARE                                                                         </t>
  </si>
  <si>
    <t xml:space="preserve">GESTAO E DESENVOLVIMENTO TECNOLOGICO                                                                </t>
  </si>
  <si>
    <t xml:space="preserve">INTERNET E REDES                                                                                    </t>
  </si>
  <si>
    <t xml:space="preserve">MONTAGEM DE COMPUTADORES E CONFIGURACAO DE REDES                                                    </t>
  </si>
  <si>
    <t xml:space="preserve">OPERADOR DE COMPUTADORES                                                                            </t>
  </si>
  <si>
    <t xml:space="preserve">OPERADOR DE MICROCOMPUTADORES                                                                       </t>
  </si>
  <si>
    <t xml:space="preserve">OPERACAO E MANUTENCAO DE COMPUTADORES                                                               </t>
  </si>
  <si>
    <t xml:space="preserve">PROGRAMADOR JUNIOR                                                                                  </t>
  </si>
  <si>
    <t xml:space="preserve">PROGRAMADOR WEB E GERENCIAMENTO DE REDE                                                             </t>
  </si>
  <si>
    <t xml:space="preserve">PROGRAMACAO E ANALISE DE SISTEMAS                                                                   </t>
  </si>
  <si>
    <t xml:space="preserve">PROGRAMACAO E DESENVOLVIMENTO                                                                       </t>
  </si>
  <si>
    <t xml:space="preserve">PROGRAMDOR DE SOFTWARES                                                                             </t>
  </si>
  <si>
    <t xml:space="preserve">SUPORTE AO USUARIO                                                                                  </t>
  </si>
  <si>
    <t xml:space="preserve">SUPORTE E MANUTENCAO DE SOFTWARE E HARDWARE                                                         </t>
  </si>
  <si>
    <t xml:space="preserve">ADMINISTRACAO DE REDES EM WEB                                                                       </t>
  </si>
  <si>
    <t xml:space="preserve">ADMINISTRADOR DE BANCO DE DADOS                                                                     </t>
  </si>
  <si>
    <t xml:space="preserve">ADMINISTRADOR DE REDE INTERNET                                                                      </t>
  </si>
  <si>
    <t xml:space="preserve">ADMINISTRADOR DE REDE LOCAL                                                                         </t>
  </si>
  <si>
    <t xml:space="preserve">ADMINISTRADOR DE REDES                                                                              </t>
  </si>
  <si>
    <t xml:space="preserve">ANALISTA DE REDE DE MICROCOMPUTADORES                                                               </t>
  </si>
  <si>
    <t xml:space="preserve">ANALISTA DE SISTEMAS                                                                                </t>
  </si>
  <si>
    <t xml:space="preserve">ANALISTA DESENVOLVEDOR PARA INTERNET                                                                </t>
  </si>
  <si>
    <t xml:space="preserve">ANALISTA PROGRAMADOR                                                                                </t>
  </si>
  <si>
    <t xml:space="preserve">ASSISTENTE DE COMPUTACAO GRAFICA                                                                    </t>
  </si>
  <si>
    <t xml:space="preserve">ASSISTENTE DE HARDWARE E REDES                                                                      </t>
  </si>
  <si>
    <t xml:space="preserve">ASSISTENTE DE HARDWARE, REDES, WEB E PROCESSAMENTO DE DADOS                                         </t>
  </si>
  <si>
    <t xml:space="preserve">ASSISTENTE DE HOSPEDAGEM                                                                            </t>
  </si>
  <si>
    <t xml:space="preserve">ASSISTENTE EM ANALISE E DESENVOLVIMENTO DE SISTEMAS                                                 </t>
  </si>
  <si>
    <t xml:space="preserve">ASSISTENTE EM DESENVOLVIMENTO DE SISTEMAS                                                           </t>
  </si>
  <si>
    <t xml:space="preserve">ASSISTENTE EM DESENVOLVIMENTO DE SISTEMAS E GERENCIAMENTO DE REDES                                  </t>
  </si>
  <si>
    <t xml:space="preserve">ASSISTENTE EM INFORMATICA                                                                           </t>
  </si>
  <si>
    <t xml:space="preserve">ASSISTENTE EM INTERNET                                                                              </t>
  </si>
  <si>
    <t xml:space="preserve">ASSISTENTE EM MONTAGEM DE SISTEMAS                                                                  </t>
  </si>
  <si>
    <t xml:space="preserve">ASSISTENTE EM REDES DE COMPUTADORES                                                                 </t>
  </si>
  <si>
    <t xml:space="preserve">AUXILIAR DE ANALISE DE SISTEMAS                                                                     </t>
  </si>
  <si>
    <t xml:space="preserve">AUXILIAR DE DESENVOLVIMENTO DE SISTEMAS DE SOFTWARES                                                </t>
  </si>
  <si>
    <t xml:space="preserve">AUXILIAR DE INFORMATICA                                                                             </t>
  </si>
  <si>
    <t xml:space="preserve">AUXILIAR DE INFORMATICA APLICADA A CONTABILIDADE                                                    </t>
  </si>
  <si>
    <t xml:space="preserve">AUXILIAR DE PROGRAMACAO DE C.P.D.                                                                   </t>
  </si>
  <si>
    <t xml:space="preserve">AUXILIAR DE PROGRAMACAO DE COMPUTADORES                                                             </t>
  </si>
  <si>
    <t xml:space="preserve">AUXILIAR EM INFORMATICA                                                                             </t>
  </si>
  <si>
    <t xml:space="preserve">AUXILIAR EM MANUTENCAO DE HARDWARE                                                                  </t>
  </si>
  <si>
    <t xml:space="preserve">AUXILIAR EM PROGRAMACAO COM ENFASE EM INTERNET                                                      </t>
  </si>
  <si>
    <t xml:space="preserve">AUXILIAR SUPORTE DE INFORMATICA                                                                     </t>
  </si>
  <si>
    <t xml:space="preserve">AUXILIAR TECNICO EM CODIFICADOR DE PROGRAMAS E OPERADOR DE COMPUTADOR                               </t>
  </si>
  <si>
    <t xml:space="preserve">AUXILIAR TECNICO EM MICROINFORMATICA                                                                </t>
  </si>
  <si>
    <t xml:space="preserve">AUXILIAR TECNICO EM OPERACAO DE COMPUTADORES                                                        </t>
  </si>
  <si>
    <t xml:space="preserve">AUXILIAR TECNICO EM OPERADOR DE MICROCOMPUTADOR                                                     </t>
  </si>
  <si>
    <t xml:space="preserve">AUXILIAR TECNICO EM WEB DESIGN                                                                      </t>
  </si>
  <si>
    <t xml:space="preserve">COMPUTACAO GRAFICA                                                                                  </t>
  </si>
  <si>
    <t xml:space="preserve">COMPUTACAO GRAFICA - NIVEL BASICO                                                                   </t>
  </si>
  <si>
    <t xml:space="preserve">CRIACAO DE SITES                                                                                    </t>
  </si>
  <si>
    <t xml:space="preserve">CRIACAO DE WEB SITES                                                                                </t>
  </si>
  <si>
    <t xml:space="preserve">CRIADOR DE WEBSITES                                                                                 </t>
  </si>
  <si>
    <t xml:space="preserve">DESENHO ASSISTIDO NO COMPUTADOR E PROGRAMADOR NIVEL II - OOP                                        </t>
  </si>
  <si>
    <t xml:space="preserve">DESENVOLVEDOR DE PROGRAMAS                                                                          </t>
  </si>
  <si>
    <t xml:space="preserve">DESENVOLVEDOR DE PROGRAMAS PARA WEB                                                                 </t>
  </si>
  <si>
    <t xml:space="preserve">DESENVOLVEDOR DE SISTEMAS                                                                           </t>
  </si>
  <si>
    <t xml:space="preserve">DESENVOLVEDOR DE SISTEMAS PARA WEB                                                                  </t>
  </si>
  <si>
    <t xml:space="preserve">DESENVOLVEDOR DE SOFTWARE APLICATIVO                                                                </t>
  </si>
  <si>
    <t xml:space="preserve">DESENVOLVEDOR DE WEB SITES                                                                          </t>
  </si>
  <si>
    <t xml:space="preserve">DESENVOLVEDOR PARA A WEB                                                                            </t>
  </si>
  <si>
    <t xml:space="preserve">DESENVOLVIMENTO DE SOFTWARES E PAGINAS DINAMICAS                                                    </t>
  </si>
  <si>
    <t xml:space="preserve">DESENVOLVIMENTO DE WEB SITES                                                                        </t>
  </si>
  <si>
    <t xml:space="preserve">DESENVOLVIMENTO E-COMMERCE                                                                          </t>
  </si>
  <si>
    <t xml:space="preserve">DIGITADOR/INSTALADOR DE COMPUTADORES                                                                </t>
  </si>
  <si>
    <t xml:space="preserve">EDICAO VISUAL PARA MIDIAS DIGITAIS                                                                  </t>
  </si>
  <si>
    <t xml:space="preserve">EDITOR DE GRAFICOS E TABELAS                                                                        </t>
  </si>
  <si>
    <t xml:space="preserve">EDITOR DE IMAGENS                                                                                   </t>
  </si>
  <si>
    <t xml:space="preserve">EDITOR DE TEXTOS                                                                                    </t>
  </si>
  <si>
    <t xml:space="preserve">EDITORACAO ELETRONICA E WEB DESIGN                                                                  </t>
  </si>
  <si>
    <t xml:space="preserve">EDITORADOR GRAFICO                                                                                  </t>
  </si>
  <si>
    <t xml:space="preserve">ESPECIALISTA EM EDITORACAO ELETRONICA DIGITAL                                                       </t>
  </si>
  <si>
    <t xml:space="preserve">ESPECIALISTA EM SUPORTE OPERACIONAL EM MICROINFORMATICA                                             </t>
  </si>
  <si>
    <t xml:space="preserve">ESPECIALISTA EM SUPORTE TECNICO                                                                     </t>
  </si>
  <si>
    <t xml:space="preserve">ESPECIALISTA EM WEB                                                                                 </t>
  </si>
  <si>
    <t xml:space="preserve">GERENCIAMENTO DA INFORMACAO                                                                         </t>
  </si>
  <si>
    <t xml:space="preserve">GERENCIAMENTO DE BANCO DE DADOS,ANALISE DE SISTEMAS E WEB DESIGN                                    </t>
  </si>
  <si>
    <t xml:space="preserve">GESTOR DE SISTEMAS DE INFORMACAO                                                                    </t>
  </si>
  <si>
    <t xml:space="preserve">HARDWARE E REDES                                                                                    </t>
  </si>
  <si>
    <t xml:space="preserve">HARDWARE, ADMINISTRACAO DE REDES E SITES                                                            </t>
  </si>
  <si>
    <t xml:space="preserve">IMPLANTACAO DE SERVIDORES E INTEGRACAO DE SISTEMAS                                                  </t>
  </si>
  <si>
    <t xml:space="preserve">IMPRESSOR OFFSET MONOCOLOR                                                                          </t>
  </si>
  <si>
    <t xml:space="preserve">INFORMATICA PARA ESCRITORIO                                                                         </t>
  </si>
  <si>
    <t xml:space="preserve">INSTALACAO E MANUTENCAO DE SISTEMAS DE COMPUTACAO, REDES E AUTOMACAO COMERCIAL                      </t>
  </si>
  <si>
    <t xml:space="preserve">INSTALADOR E MONTADOR DE TELEFONIA E MICROCOMPUTADORES                                              </t>
  </si>
  <si>
    <t xml:space="preserve">INSTALADOR E OPERADOR DE REDES LOCAIS                                                               </t>
  </si>
  <si>
    <t xml:space="preserve">INSTALADOR E OPERADOR DE SISTEMAS E REDES                                                           </t>
  </si>
  <si>
    <t xml:space="preserve">INSTALADOR E REPARADOR DE CIRCUITOS ELETRONICOS E MICROCOMPUTADORES                                 </t>
  </si>
  <si>
    <t xml:space="preserve">MANTENEDOR DE MICROCOMPUTADOR                                                                       </t>
  </si>
  <si>
    <t xml:space="preserve">MANTENEDOR DE SISTEMAS                                                                              </t>
  </si>
  <si>
    <t xml:space="preserve">MANTENEDOR DE SISTEMAS DE MICROCOMPUTADOR                                                           </t>
  </si>
  <si>
    <t xml:space="preserve">MANUTENCAO DE MICROCOMPUTADORES                                                                     </t>
  </si>
  <si>
    <t xml:space="preserve">MANUTENCAO E SUPORTE DE COMPUTADORES                                                                </t>
  </si>
  <si>
    <t xml:space="preserve">MONTADOR DE COMPUTADORES E MANUTENCAO                                                               </t>
  </si>
  <si>
    <t xml:space="preserve">MONTAGEM E MANUTENCAO DE HARDWARE E SOFTWARE                                                        </t>
  </si>
  <si>
    <t xml:space="preserve">OPERADOR DE COMPUTACAO GRAFICA                                                                      </t>
  </si>
  <si>
    <t xml:space="preserve">OPERADOR DE COMPUTADORES E REDES                                                                    </t>
  </si>
  <si>
    <t xml:space="preserve">OPERADOR DE COMPUTADORES E SISTEMAS OPERACIONAIS                                                    </t>
  </si>
  <si>
    <t xml:space="preserve">OPERADOR DE COMPUTADORES, SISTEMAS OPERACIONAIS E APLICATIVOS                                       </t>
  </si>
  <si>
    <t xml:space="preserve">OPERADOR DE MICROCOMPUTADOR E ADMINISTRADOR DE BD                                                   </t>
  </si>
  <si>
    <t xml:space="preserve">OPERADOR DE MICROINFORMATICA                                                                        </t>
  </si>
  <si>
    <t xml:space="preserve">OPERADOR DE REDE DE MICROCOMPUTADORES                                                               </t>
  </si>
  <si>
    <t xml:space="preserve">OPERADOR DE REDES                                                                                   </t>
  </si>
  <si>
    <t xml:space="preserve">OPERADOR DE REDES E CAD                                                                             </t>
  </si>
  <si>
    <t xml:space="preserve">OPERADOR DE SERVICOS E SUPORTE A REDE                                                               </t>
  </si>
  <si>
    <t xml:space="preserve">OPERADOR DE SOFTWARE PARA REDES                                                                     </t>
  </si>
  <si>
    <t xml:space="preserve">OPERADOR/PROGRAMADOR DE MICROCOMPUTADOR                                                             </t>
  </si>
  <si>
    <t xml:space="preserve">OPERADOR-DIGITADOR                                                                                  </t>
  </si>
  <si>
    <t xml:space="preserve">PRODUCAO DE ANIMACOES E GAMES PARA WEB                                                              </t>
  </si>
  <si>
    <t xml:space="preserve">PRODUCAO DE INTERFACES WEB E MULTIMIDIA                                                             </t>
  </si>
  <si>
    <t xml:space="preserve">PRODUCAO PUBLICITARIA-WEB DESIGNER                                                                  </t>
  </si>
  <si>
    <t xml:space="preserve">PRODUTOR DE COMPUTACAO GRAFICA                                                                      </t>
  </si>
  <si>
    <t xml:space="preserve">PRODUTOR DE SOFTWARE                                                                                </t>
  </si>
  <si>
    <t xml:space="preserve">PRODUTOR JUNIOR                                                                                     </t>
  </si>
  <si>
    <t xml:space="preserve">PROFISSIONAL DE AUXILIAR DE PROGRAMADOR                                                             </t>
  </si>
  <si>
    <t xml:space="preserve">PROFISSIONAL DE AUXILIAR EM SUPORTE TECNICO                                                         </t>
  </si>
  <si>
    <t xml:space="preserve">PROGRAMACAO DE COMPUTADORES                                                                         </t>
  </si>
  <si>
    <t xml:space="preserve">PROGRAMACAO E DESENVOLVIMENTO DE SISTEMAS                                                           </t>
  </si>
  <si>
    <t xml:space="preserve">PROGRAMACAO E REDES                                                                                 </t>
  </si>
  <si>
    <t xml:space="preserve">PROGRAMACAO INTERNET                                                                                </t>
  </si>
  <si>
    <t xml:space="preserve">PROGRAMACAO PARA INTERNET                                                                           </t>
  </si>
  <si>
    <t xml:space="preserve">PROGRAMADOR                                                                                         </t>
  </si>
  <si>
    <t xml:space="preserve">PROGRAMADOR COM ENFASE EM MECATRONICA                                                               </t>
  </si>
  <si>
    <t xml:space="preserve">PROGRAMADOR DE COMPUTADOR                                                                           </t>
  </si>
  <si>
    <t xml:space="preserve">PROGRAMADOR DE COMPUTADOR COM ENFASE EM DESENVOLVIMENTO DE SISTEMAS                                 </t>
  </si>
  <si>
    <t xml:space="preserve">PROGRAMADOR DE COMPUTADOR E ANALISTA DE SUPORTE                                                     </t>
  </si>
  <si>
    <t xml:space="preserve">PROGRAMADOR DE INTERNET WEB EDITOR,WEB DESIGNER E WEB DEVELOPER                                     </t>
  </si>
  <si>
    <t xml:space="preserve">PROGRAMADOR DE LINGUAGEM                                                                            </t>
  </si>
  <si>
    <t xml:space="preserve">PROGRAMADOR DE LINGUAGENS E SISTEMAS                                                                </t>
  </si>
  <si>
    <t xml:space="preserve">PROGRAMADOR DE LINGUAGENS VIRTUAIS                                                                  </t>
  </si>
  <si>
    <t xml:space="preserve">PROGRAMADOR DE MANUFATURA ASSISTIDA POR COMPUTADOR                                                  </t>
  </si>
  <si>
    <t xml:space="preserve">PROGRAMADOR DE MICROCOMPUTADORES                                                                    </t>
  </si>
  <si>
    <t xml:space="preserve">PROGRAMADOR DE MULTIMIDIA E DESIGNER WEB                                                            </t>
  </si>
  <si>
    <t xml:space="preserve">PROGRAMADOR DE SISTEMAS                                                                             </t>
  </si>
  <si>
    <t xml:space="preserve">PROGRAMADOR DE SISTEMAS COMPUTACIONAIS                                                              </t>
  </si>
  <si>
    <t xml:space="preserve">PROGRAMADOR DE SISTEMAS DISTRIBUIDOS                                                                </t>
  </si>
  <si>
    <t xml:space="preserve">PROGRAMADOR DE SISTEMAS JUNIOR                                                                      </t>
  </si>
  <si>
    <t xml:space="preserve">PROGRAMADOR DE SISTEMAS SENIOR                                                                      </t>
  </si>
  <si>
    <t xml:space="preserve">PROGRAMADOR DE SOFTWARES                                                                            </t>
  </si>
  <si>
    <t xml:space="preserve">PROGRAMADOR DE WEB SITES                                                                            </t>
  </si>
  <si>
    <t xml:space="preserve">PROGRAMADOR DE WEBDESIGNER E EDITORACAO ELETRONICA                                                  </t>
  </si>
  <si>
    <t xml:space="preserve">PROGRAMADOR NIVEL I E NIVEL II                                                                      </t>
  </si>
  <si>
    <t xml:space="preserve">PROGRAMADOR SENIOR                                                                                  </t>
  </si>
  <si>
    <t xml:space="preserve">PROGRAMADOR VISUAL                                                                                  </t>
  </si>
  <si>
    <t xml:space="preserve">PROGRAMADOR WEB                                                                                     </t>
  </si>
  <si>
    <t xml:space="preserve">REDE DE COMPUTADORES                                                                                </t>
  </si>
  <si>
    <t xml:space="preserve">REDES DE COMPUTADORES E PROGRAMACAO MULTIPLATAFORMA                                                 </t>
  </si>
  <si>
    <t xml:space="preserve">REDES DE COMPUTADORES E PROGRAMACAO PARA MULTIPLAS PLATAFORMAS                                      </t>
  </si>
  <si>
    <t xml:space="preserve">SERVICOS DE HOSPEDAGEM                                                                              </t>
  </si>
  <si>
    <t xml:space="preserve">SERVICOS DE MEIOS E HOSPEDAGEM                                                                      </t>
  </si>
  <si>
    <t xml:space="preserve">SISTEMAS DE REDE PARA COMPUTADORES                                                                  </t>
  </si>
  <si>
    <t xml:space="preserve">SISTEMAS DIGITAIS                                                                                   </t>
  </si>
  <si>
    <t xml:space="preserve">SISTEMAS OPERACIONAIS E APLICATIVOS                                                                 </t>
  </si>
  <si>
    <t xml:space="preserve">SOFTWARE DE AUDIO E VIDEO                                                                           </t>
  </si>
  <si>
    <t xml:space="preserve">SUPORTE A REDE DE COMPUTADORES                                                                      </t>
  </si>
  <si>
    <t xml:space="preserve">SUPORTE DE MICROINFORMATICA                                                                         </t>
  </si>
  <si>
    <t xml:space="preserve">SUPORTE E ADMINISTRACAO DE REDES                                                                    </t>
  </si>
  <si>
    <t xml:space="preserve">SUPORTE TECNICO A USUARIOS E INTERNET WEB DESIGNER                                                  </t>
  </si>
  <si>
    <t xml:space="preserve">SUPORTE TECNICO EM REDES                                                                            </t>
  </si>
  <si>
    <t xml:space="preserve">SUPORTE TECNICO EM SISTEMAS                                                                         </t>
  </si>
  <si>
    <t xml:space="preserve">TECNICO EM DESENVOLVIMENTO DE SISTEMAS                                                              </t>
  </si>
  <si>
    <t xml:space="preserve">TECNICO EM DESENVOLVIMENTO DE SOFTWARE ESTRUTURADO                                                  </t>
  </si>
  <si>
    <t xml:space="preserve">TECNICO EM DESENVOLVIMENTO DE SOFTWARE ORIENTADO A OBJETO                                           </t>
  </si>
  <si>
    <t xml:space="preserve">TECNICO EM INSTALACAO E CONFIGURACAO DE SOFTWARE E HARDWARE                                         </t>
  </si>
  <si>
    <t xml:space="preserve">TECNICO EM MANUTENCAO DE SOFTWARE E HARDWARE                                                        </t>
  </si>
  <si>
    <t xml:space="preserve">TECNICO EM MONTAGEM E MANUTENCAO DE COMPUTADORES                                                    </t>
  </si>
  <si>
    <t xml:space="preserve">TECNICO EM MONTAGEM,CONFIGURACAO E MANUTENCAO DE COMPUTADORES E PROGRAMADOR DE INTERNET             </t>
  </si>
  <si>
    <t xml:space="preserve">TECNICO EM OPERACAO DE COMPUTADORES                                                                 </t>
  </si>
  <si>
    <t xml:space="preserve">TECNICO EM REDES DE COMPUTADORES                                                                    </t>
  </si>
  <si>
    <t xml:space="preserve">TECNICO EM WEB DESIGNER                                                                             </t>
  </si>
  <si>
    <t xml:space="preserve">TECNOLOGIAS DE REDES DE COMUNICACAO DE DADOS E INTERNET                                             </t>
  </si>
  <si>
    <t xml:space="preserve">WEB DESIGN E PROGRAMACAO DE SISTEMAS                                                                </t>
  </si>
  <si>
    <t xml:space="preserve">WEB DESIGN E WEB DEVELOPER                                                                          </t>
  </si>
  <si>
    <t xml:space="preserve">WEB DESIGNER                                                                                        </t>
  </si>
  <si>
    <t xml:space="preserve">WEB DEVELOPER                                                                                       </t>
  </si>
  <si>
    <t xml:space="preserve">WEBMASTER                                                                                           </t>
  </si>
  <si>
    <t xml:space="preserve">EDUCACAO, TECNOLOGIAS E GESTAO AMBIENTAL                                                            </t>
  </si>
  <si>
    <t xml:space="preserve">ESTUDO DOS PROCESSOS DE CONSERVACAO E DEGRADACAO NATURAL                                            </t>
  </si>
  <si>
    <t xml:space="preserve">EXPLORACAO DE PROCESSOS NATURAIS E PRODUTIVOS                                                       </t>
  </si>
  <si>
    <t xml:space="preserve">QUALIFICACAO PROFISSIONAL DE NIVEL TECNICO EM AGENTE DO MEIO AMBIENTE NATURAL                       </t>
  </si>
  <si>
    <t xml:space="preserve">QUALIFICACAO PROFISSIONAL DE NIVEL TECNICO EM AGENTE EM GESTAO AMBIENTAL                            </t>
  </si>
  <si>
    <t xml:space="preserve">QUALIFICACAO PROFISSIONAL DE NIVEL TECNICO EM AGENTE EM PROJETOS AMBIENTAIS                         </t>
  </si>
  <si>
    <t xml:space="preserve">QUALIFICACAO PROFISSIONAL DE NIVEL TECNICO EM GESTAO AMBIENTAL                                      </t>
  </si>
  <si>
    <t xml:space="preserve">QUALIFICACAO PROFISSIONAL DE NIVEL TECNICO EM MONITORAMENTO                                         </t>
  </si>
  <si>
    <t xml:space="preserve">QUALIFICACAO PROFISSIONAL DE NIVEL TECNICO EM SUPERVISAO AMBIENTAL                                  </t>
  </si>
  <si>
    <t xml:space="preserve">AGENTE AMBIENTAL                                                                                    </t>
  </si>
  <si>
    <t xml:space="preserve">AGENTE DE EDUCACAO E SANEAMENTO AMBIENTAL                                                           </t>
  </si>
  <si>
    <t xml:space="preserve">AGENTE DE PRATICA AMBIENTAL                                                                         </t>
  </si>
  <si>
    <t xml:space="preserve">AGENTE DE PROJETOS AMBIENTAIS                                                                       </t>
  </si>
  <si>
    <t xml:space="preserve">AGENTE EM GESTAO AMBIENTAL                                                                          </t>
  </si>
  <si>
    <t xml:space="preserve">AGENTE EM PLANEJAMENTO E ADMINISTRACAO DE PROJETOS FLORESTAIS                                       </t>
  </si>
  <si>
    <t xml:space="preserve">ANALISE AMBIENTAL                                                                                   </t>
  </si>
  <si>
    <t xml:space="preserve">ANALISTA DA QUALIDADE DO PAPEL                                                                      </t>
  </si>
  <si>
    <t xml:space="preserve">ANALISTA LABORATORIAL EM SISTEMAS DE SANEAMENTO                                                     </t>
  </si>
  <si>
    <t xml:space="preserve">AUXILIAR DE MANEJO DE RECURSOS FLORESTAIS                                                           </t>
  </si>
  <si>
    <t xml:space="preserve">AUXILIAR DE PLANEJAMENTO E GESTAO AMBIENTAL                                                         </t>
  </si>
  <si>
    <t xml:space="preserve">AUXILIAR DE PROJETO PAISAGISTICO                                                                    </t>
  </si>
  <si>
    <t xml:space="preserve">AUXILIAR DE RECURSOS HIDRICOS                                                                       </t>
  </si>
  <si>
    <t xml:space="preserve">AUXILIAR DE TECNICO EM MEIO AMBIENTE                                                                </t>
  </si>
  <si>
    <t xml:space="preserve">AUXILIAR DE TECNICO EM SANEAMENTO                                                                   </t>
  </si>
  <si>
    <t xml:space="preserve">AUXILIAR EM PRODUCAO DE MUDAS FLORESTAIS                                                            </t>
  </si>
  <si>
    <t xml:space="preserve">AUXILIAR EM PROJETOS DE GESTAO AMBIENTAL                                                            </t>
  </si>
  <si>
    <t xml:space="preserve">AUXILIAR TECNICO EM GESTAO AMBIENTAL                                                                </t>
  </si>
  <si>
    <t xml:space="preserve">AUXILIAR TECNICO EM MEIO AMBIENTE                                                                   </t>
  </si>
  <si>
    <t xml:space="preserve">INSPETOR AMBIENTAL                                                                                  </t>
  </si>
  <si>
    <t xml:space="preserve">MONITOR AMBIENTAL                                                                                   </t>
  </si>
  <si>
    <t xml:space="preserve">TECNICO EM AGENTE DO MEIO AMBIENTE NATURAL                                                          </t>
  </si>
  <si>
    <t xml:space="preserve">TECNICO EM AGENTE EM GESTAO AMBIENTAL                                                               </t>
  </si>
  <si>
    <t xml:space="preserve">TECNICO EM AGENTE EM PROJETOS AMBIENTAIS                                                            </t>
  </si>
  <si>
    <t xml:space="preserve">TECNICO EM ARBORIZACAO URBANA E RODOVIARIA                                                          </t>
  </si>
  <si>
    <t xml:space="preserve">TECNICO EM CONSERVACAO DA BIODIVERSIDADE                                                            </t>
  </si>
  <si>
    <t xml:space="preserve">TECNICO EM EDUCACAO AMBIENTAL                                                                       </t>
  </si>
  <si>
    <t xml:space="preserve">TECNICO EM GESTAO AMBIENTAL                                                                         </t>
  </si>
  <si>
    <t xml:space="preserve">TECNICO EM MONITORAMENTO                                                                            </t>
  </si>
  <si>
    <t xml:space="preserve">TECNICO EM PLANEJAMENTO AMBIENTAL                                                                   </t>
  </si>
  <si>
    <t xml:space="preserve">TECNICO EM PLANEJAMENTO DE PARQUES E JARDINS                                                        </t>
  </si>
  <si>
    <t xml:space="preserve">TECNICO EM POLUICAO E PREVENCAO - AGUA                                                              </t>
  </si>
  <si>
    <t xml:space="preserve">TECNICO EM POLUICAO E PREVENCAO/ AR                                                                 </t>
  </si>
  <si>
    <t xml:space="preserve">TECNICO EM POLUICAO E PREVENCAO/ RESIDUOS SOLIDOS                                                   </t>
  </si>
  <si>
    <t xml:space="preserve">TECNICO EM POLUICAO E PREVENCAO/SOLO                                                                </t>
  </si>
  <si>
    <t xml:space="preserve">TECNICO EM SUPERVISAO AMBIENTAL                                                                     </t>
  </si>
  <si>
    <t xml:space="preserve">LAVRA                                                                                               </t>
  </si>
  <si>
    <t xml:space="preserve">PESQUISA MINERAL                                                                                    </t>
  </si>
  <si>
    <t xml:space="preserve">AUXILIAR ADMINISTRATIVO DE MINERACAO                                                                </t>
  </si>
  <si>
    <t xml:space="preserve">AUXILIAR EM LAVRA DE MINAS                                                                          </t>
  </si>
  <si>
    <t xml:space="preserve">AUXILIAR EM PESQUISA MINERAL                                                                        </t>
  </si>
  <si>
    <t xml:space="preserve">OPERADOR TECNICO EM MINERACAO                                                                       </t>
  </si>
  <si>
    <t xml:space="preserve">ASSISTENTE DE NUTRICAO E DIETETICA                                                                  </t>
  </si>
  <si>
    <t xml:space="preserve">AUXILIAR DE PROTESE DENTARIA                                                                        </t>
  </si>
  <si>
    <t xml:space="preserve">ENFERMAGEM CIRURGICA                                                                                </t>
  </si>
  <si>
    <t xml:space="preserve">ENFERMAGEM MATERNO-INFANTIL, PUERICULTURA, SAUDE COLETIVA E GESTAO                                  </t>
  </si>
  <si>
    <t xml:space="preserve">ENFERMAGEM MEDICA E MENTAL                                                                          </t>
  </si>
  <si>
    <t xml:space="preserve">GESTOR DE AMBIENTE DE TRABALHO E AUDITORIA                                                          </t>
  </si>
  <si>
    <t xml:space="preserve">GESTOR DE POLITICAS DE SEGURANCA DO TRABALHO                                                        </t>
  </si>
  <si>
    <t xml:space="preserve">GESTOR DE RISCOS                                                                                    </t>
  </si>
  <si>
    <t xml:space="preserve">QUALIFICACAO PROFISSIONAL DE NIVEL TECNICO EM ADMINISTRACAO PARA UNIDADES DE ALIMENTACAO E NUTRICAO </t>
  </si>
  <si>
    <t xml:space="preserve">QUALIFICACAO PROFISSIONAL DE NIVEL TECNICO EM CONSERVACAO E PREPARO DE ALIMENTOS                    </t>
  </si>
  <si>
    <t xml:space="preserve">QUALIFICACAO PROFISSIONAL DE NIVEL TECNICO EM CONTROLE HIGIENICO-SANITARIO DOS ALIMENTOS            </t>
  </si>
  <si>
    <t xml:space="preserve">QUALIFICACAO PROFISSIONAL DE NIVEL TECNICO EM PLANEJAMENTO E ORGANIZACAO DE SERVICOS DE ALIMENTACAO </t>
  </si>
  <si>
    <t xml:space="preserve">QUALIFICACAO PROFISSIONAL DE NIVEL TECNICO EM PRODUCAO DE ALIMENTOS                                 </t>
  </si>
  <si>
    <t xml:space="preserve">QUALIFICACAO TECNICA EM FUNDAMENTOS DA ENFERMAGEM                                                   </t>
  </si>
  <si>
    <t xml:space="preserve">TECNICO EM DIETOTERAPIA E PATOLOGIA DA NUTRICAO                                                     </t>
  </si>
  <si>
    <t xml:space="preserve">TECNICO EM DIETETICA E COMPOSICAO DOS ALIMENTOS                                                     </t>
  </si>
  <si>
    <t xml:space="preserve">TECNICO EM HIGIENE OCUPACIONAL                                                                      </t>
  </si>
  <si>
    <t xml:space="preserve">TECNICO EM NUTRICAO BASICA                                                                          </t>
  </si>
  <si>
    <t xml:space="preserve">TECNICO EM NUTRICAO HUMANA                                                                          </t>
  </si>
  <si>
    <t xml:space="preserve">TECNICO EM NUTRICAO MATERNO-INFANTIL                                                                </t>
  </si>
  <si>
    <t xml:space="preserve">TECNICO EM NUTRICAO NA PRATICA                                                                      </t>
  </si>
  <si>
    <t xml:space="preserve">TECNICO EM PLANEJAMENTO DE REFEICOES                                                                </t>
  </si>
  <si>
    <t xml:space="preserve">TECNICO EM PREVENCAO E CONTROLE DE PERDAS                                                           </t>
  </si>
  <si>
    <t xml:space="preserve">TECNICO EM PRIMEIROS SOCORROS                                                                       </t>
  </si>
  <si>
    <t xml:space="preserve">TECNICO EM SAUDE DO TRABALHADOR                                                                     </t>
  </si>
  <si>
    <t xml:space="preserve">TECNICO EM SEGURANCA DO TRABALHO BASICA                                                             </t>
  </si>
  <si>
    <t xml:space="preserve">TECNICO EM TECNOLOGIA NO PROCESSAMENTO DE ALIMENTOS                                                 </t>
  </si>
  <si>
    <t xml:space="preserve">AGENTE COMUNITARIO DE SAUDE                                                                         </t>
  </si>
  <si>
    <t xml:space="preserve">AGENTE DE SAUDE                                                                                     </t>
  </si>
  <si>
    <t xml:space="preserve">AGENTE SANITARIO DE ALIMENTOS                                                                       </t>
  </si>
  <si>
    <t xml:space="preserve">ANALISTA DE ALIMENTOS                                                                               </t>
  </si>
  <si>
    <t xml:space="preserve">APARELHOS ORTODONTICOS E ARMACOES                                                                   </t>
  </si>
  <si>
    <t xml:space="preserve">ASSISTENTE DE ALIMENTOS E BEBIDAS                                                                   </t>
  </si>
  <si>
    <t xml:space="preserve">ASSISTENTE DE CONFECCAO DE ORTESES E PROTESES                                                       </t>
  </si>
  <si>
    <t xml:space="preserve">ASSISTENTE DE LABORATORIO DE PROTESE DENTARIA                                                       </t>
  </si>
  <si>
    <t xml:space="preserve">ASSISTENTE DE PREPARACAO E DISTRIBUICAO DE ALIMENTOS                                                </t>
  </si>
  <si>
    <t xml:space="preserve">ASSISTENTE DE SEGURANCA DE ALIMENTOS                                                                </t>
  </si>
  <si>
    <t xml:space="preserve">ASSISTENTE EM PREPARACAO E DISTRIBUICAO DE ALIMENTOS                                                </t>
  </si>
  <si>
    <t xml:space="preserve">ASSISTENTE TECNICO EM SEGURANCA DO TRABALHO                                                         </t>
  </si>
  <si>
    <t xml:space="preserve">ATENDENTE DE CIRURGIAO DENTISTA                                                                     </t>
  </si>
  <si>
    <t xml:space="preserve">ATENDENTE DE CONSULTORIO DENTARIO                                                                   </t>
  </si>
  <si>
    <t xml:space="preserve">ATENDENTE DE SERVICOS DE SAUDE                                                                      </t>
  </si>
  <si>
    <t xml:space="preserve">ATENDENTE EM OTICA E CONTATOLOGIA                                                                   </t>
  </si>
  <si>
    <t xml:space="preserve">ATENDENTE PARA O SETOR DE ALIMENTOS E BEBIDAS                                                       </t>
  </si>
  <si>
    <t xml:space="preserve">AUXILAR ADMINISTRATIVO DE SEGURANCA DO TRABALHO                                                     </t>
  </si>
  <si>
    <t xml:space="preserve">AUXILAR DE ENFERMAGEM                                                                               </t>
  </si>
  <si>
    <t xml:space="preserve">AUXILIAR DE CONSULTORIO DENTARIO                                                                    </t>
  </si>
  <si>
    <t xml:space="preserve">AUXILIAR DE COZINHA                                                                                 </t>
  </si>
  <si>
    <t xml:space="preserve">AUXILIAR DE ENFERMAGEM DO TRABALHO                                                                  </t>
  </si>
  <si>
    <t xml:space="preserve">AUXILIAR DE FARMACIA                                                                                </t>
  </si>
  <si>
    <t xml:space="preserve">AUXILIAR DE INSPECAO DE ALIMENTOS                                                                   </t>
  </si>
  <si>
    <t xml:space="preserve">AUXILIAR DE LABORATORIO                                                                             </t>
  </si>
  <si>
    <t xml:space="preserve">AUXILIAR DE LABORATORIO DE ANALISES CLINICAS                                                        </t>
  </si>
  <si>
    <t xml:space="preserve">AUXILIAR DE LABORATORIO DE PATOLOGIA E ANALISES CLINICAS                                            </t>
  </si>
  <si>
    <t xml:space="preserve">AUXILIAR DE LABORATORIO DE REVELACAO RADIOLOGICA                                                    </t>
  </si>
  <si>
    <t xml:space="preserve">AUXILIAR DE PROCESSAMENTO DE ALIMENTOS                                                              </t>
  </si>
  <si>
    <t xml:space="preserve">AUXILIAR DE PRODUCAO E LABORATORIO                                                                  </t>
  </si>
  <si>
    <t xml:space="preserve">AUXILIAR DE SANEAMENTO                                                                              </t>
  </si>
  <si>
    <t xml:space="preserve">AUXILIAR DE SANEAMENTO AMBIENTAL                                                                    </t>
  </si>
  <si>
    <t xml:space="preserve">AUXILIAR DE SANEAMENTO BASICO                                                                       </t>
  </si>
  <si>
    <t xml:space="preserve">AUXILIAR DE SAUDE BUCAL                                                                             </t>
  </si>
  <si>
    <t xml:space="preserve">AUXILIAR DE SEGURANCA DO TRABALHO                                                                   </t>
  </si>
  <si>
    <t xml:space="preserve">AUXILIAR DE TECNICAS DE ANALISE DE ACIDENTES DE TRABALHO                                            </t>
  </si>
  <si>
    <t xml:space="preserve">AUXILIAR DE TECNICAS RADIOLOGICAS E DOSIMETRIA DAS RADIACOES                                        </t>
  </si>
  <si>
    <t xml:space="preserve">AUXILIAR DE TECNICO EM PATOLOGIA CLINICA                                                            </t>
  </si>
  <si>
    <t xml:space="preserve">AUXILIAR DE TECNICO EM PROTESE DENTARIA                                                             </t>
  </si>
  <si>
    <t xml:space="preserve">AUXILIAR EM ENFERMAGEM                                                                              </t>
  </si>
  <si>
    <t xml:space="preserve">AUXILIAR EM FARMACIA                                                                                </t>
  </si>
  <si>
    <t xml:space="preserve">AUXILIAR EM IMOBILIZACOES ORTOPEDICAS                                                               </t>
  </si>
  <si>
    <t xml:space="preserve">AUXILIAR EM LAB.DE PROTESE ODONTOLOGICA                                                             </t>
  </si>
  <si>
    <t xml:space="preserve">AUXILIAR EM LABORATORIO DE PATOLOGIA E ANALISES CLINICAS                                            </t>
  </si>
  <si>
    <t xml:space="preserve">AUXILIAR EM MASSOTERAPIA                                                                            </t>
  </si>
  <si>
    <t xml:space="preserve">AUXILIAR EM NATUROPATIA                                                                             </t>
  </si>
  <si>
    <t xml:space="preserve">AUXILIAR EM PREPARACAO DE ALIMENTOS                                                                 </t>
  </si>
  <si>
    <t xml:space="preserve">AUXILIAR EM PREPARACAO E DISTRIBUICAO DE ALIMENTOS                                                  </t>
  </si>
  <si>
    <t xml:space="preserve">AUXILIAR EM RADIOLOGIA                                                                              </t>
  </si>
  <si>
    <t xml:space="preserve">AUXILIAR EM SEGURANCA DO TRABALHO                                                                   </t>
  </si>
  <si>
    <t xml:space="preserve">AUXILIAR LABORATORISTA DE PROTESE DENTARIA                                                          </t>
  </si>
  <si>
    <t xml:space="preserve">AUXILIAR TECNICO EM ENFERMAGEM                                                                      </t>
  </si>
  <si>
    <t xml:space="preserve">AUXILIAR TECNICO EM FARMACIA                                                                        </t>
  </si>
  <si>
    <t xml:space="preserve">AUXILIAR TECNICO EM LABORATORIO                                                                     </t>
  </si>
  <si>
    <t xml:space="preserve">AUXILIAR TECNICO EM MONTAGEM DE LENTES OFTALMICAS                                                   </t>
  </si>
  <si>
    <t xml:space="preserve">AUXILIAR TECNICO EM PATOLOGIA CLINICA                                                               </t>
  </si>
  <si>
    <t xml:space="preserve">AUXILIAR TECNICO EM SAUDE                                                                           </t>
  </si>
  <si>
    <t xml:space="preserve">AUXILIAR TECNICO EM SEGURANCA DO TRABALHO                                                           </t>
  </si>
  <si>
    <t xml:space="preserve">AUXILIAR TECNICO EM SURFACAGEM OPTICA                                                               </t>
  </si>
  <si>
    <t xml:space="preserve">COMPL. DA QUALIFICACAO PROF. DE AUX. DE ENFERMAGEM PARA TEC. DE ENFERMAGEM                          </t>
  </si>
  <si>
    <t xml:space="preserve">COMPLEMENTACAO DA AUXILIAR DE ENFERMAGEM PARA TECNICO EM NIVEL MEDIO EM ENFERMAGEM                  </t>
  </si>
  <si>
    <t xml:space="preserve">DRENAGEM LINFATICA                                                                                  </t>
  </si>
  <si>
    <t xml:space="preserve">EDUCACAO PROFISSIONAL TECNICA DE NIVEL MEDIO - SAUDE - AUXILIAR TECNICO EM ENFERMAGEM               </t>
  </si>
  <si>
    <t xml:space="preserve">ENFERMAGEM DO TRABALHO                                                                              </t>
  </si>
  <si>
    <t xml:space="preserve">ESTETICA CORPORAL                                                                                   </t>
  </si>
  <si>
    <t xml:space="preserve">ESTETICA CORPORAL - MODULO II                                                                       </t>
  </si>
  <si>
    <t xml:space="preserve">ESTETICA FACIAL                                                                                     </t>
  </si>
  <si>
    <t xml:space="preserve">ESTETICA FACIAL - MODULO I                                                                          </t>
  </si>
  <si>
    <t xml:space="preserve">ESTETICISTA CORPORAL                                                                                </t>
  </si>
  <si>
    <t xml:space="preserve">INSPETOR DE ALIMENTOS                                                                               </t>
  </si>
  <si>
    <t xml:space="preserve">INTERMEDIARIA DE AUXILIAR DE ENFERMAGEM                                                             </t>
  </si>
  <si>
    <t xml:space="preserve">MASSAGEM ORIENTAL                                                                                   </t>
  </si>
  <si>
    <t xml:space="preserve">MASSAGEM ORIENTAL ANMA                                                                              </t>
  </si>
  <si>
    <t xml:space="preserve">MASSAGEM ORIENTAL SHIATSU                                                                           </t>
  </si>
  <si>
    <t xml:space="preserve">MATERIAIS ESTETICOS                                                                                 </t>
  </si>
  <si>
    <t xml:space="preserve">MONTADOR DE LENTES OFTALMICAS                                                                       </t>
  </si>
  <si>
    <t xml:space="preserve">PROJETO ESPECIAL DE AUXILIAR DE ENFERMAGEM                                                          </t>
  </si>
  <si>
    <t xml:space="preserve">PROTESE FIXA                                                                                        </t>
  </si>
  <si>
    <t xml:space="preserve">PROTESE ORTODONTICA                                                                                 </t>
  </si>
  <si>
    <t xml:space="preserve">PROTESE PARCIAL                                                                                     </t>
  </si>
  <si>
    <t xml:space="preserve">PROTESE PARCIAL REMOVIVEL                                                                           </t>
  </si>
  <si>
    <t xml:space="preserve">PROTESE SOBRE IMPLANTE                                                                              </t>
  </si>
  <si>
    <t xml:space="preserve">PROTESE TOTAL                                                                                       </t>
  </si>
  <si>
    <t xml:space="preserve">SURFACAGISTA OPTICO                                                                                 </t>
  </si>
  <si>
    <t xml:space="preserve">TECNICAS DE AURICULOTERAPIA, MOXABUSTAO E VENTOSA                                                   </t>
  </si>
  <si>
    <t xml:space="preserve">TECNICO EM ADMINISTRACAO PARA UNIDADES DE ALIMENTACAO E NUTRICAO                                    </t>
  </si>
  <si>
    <t xml:space="preserve">TECNICO EM AUXILIAR DE ENFERMAGEM                                                                   </t>
  </si>
  <si>
    <t xml:space="preserve">TECNICO EM CONSERVACAO E PREPARO DE ALIMENTOS                                                       </t>
  </si>
  <si>
    <t xml:space="preserve">TECNICO EM CONTROLE HIGIENICO-SANITARIO DOS ALIMENTOS                                               </t>
  </si>
  <si>
    <t xml:space="preserve">TECNICO EM FUNDAMENTOS DA ENFERMAGEM                                                                </t>
  </si>
  <si>
    <t xml:space="preserve">TECNICO EM PLANEJAMENTO E ORGANIZACAO DE SERVICOS DE ALIMENTACAO                                    </t>
  </si>
  <si>
    <t xml:space="preserve">TECNICO EM SAUDE COLETIVA                                                                           </t>
  </si>
  <si>
    <t xml:space="preserve">CIENTIFICO CULTURAL                                                                                 </t>
  </si>
  <si>
    <t xml:space="preserve">HOTELARIA E RECEPCAO EM EVENTOS                                                                     </t>
  </si>
  <si>
    <t xml:space="preserve">ORGANIZACAO TURISTICA                                                                               </t>
  </si>
  <si>
    <t xml:space="preserve">PLANEJAMENTO TURISTICO                                                                              </t>
  </si>
  <si>
    <t xml:space="preserve">PROMOCAO DO TURISMO E ACOMPANHAMENTO                                                                </t>
  </si>
  <si>
    <t xml:space="preserve">AGENTE DE VIAGEM                                                                                    </t>
  </si>
  <si>
    <t xml:space="preserve">AGENTE DE VIAGENS                                                                                   </t>
  </si>
  <si>
    <t xml:space="preserve">ALIMENTOS E BEBIDAS E EVENTOS                                                                       </t>
  </si>
  <si>
    <t xml:space="preserve">ANIMACAO SOCIOCULTURAL                                                                              </t>
  </si>
  <si>
    <t xml:space="preserve">ASSISTENTE DE EVENTOS EM SERVICOS TURISTICOS                                                        </t>
  </si>
  <si>
    <t xml:space="preserve">ASSISTENTE DE PROJETOS TURISTICOS                                                                   </t>
  </si>
  <si>
    <t xml:space="preserve">ASSISTENTE DE SERVICOS TURISTICOS                                                                   </t>
  </si>
  <si>
    <t xml:space="preserve">ATENDENTE DE SERVICOS TURISTICOS                                                                    </t>
  </si>
  <si>
    <t xml:space="preserve">ATENDENTE E PROMOTOR DE EVENTOS EM SERVICOS TURISTICOS                                              </t>
  </si>
  <si>
    <t xml:space="preserve">AUXILIAR DE ADMINISTRACAO DO SISTEMA DE HOTELARIA                                                   </t>
  </si>
  <si>
    <t xml:space="preserve">AUXILIAR DE EVENTOS                                                                                 </t>
  </si>
  <si>
    <t xml:space="preserve">AUXILIAR EM TURISMO E HOSPITALIDADE                                                                 </t>
  </si>
  <si>
    <t xml:space="preserve">COORDENACAO DE LAZER E RECREACAO                                                                    </t>
  </si>
  <si>
    <t xml:space="preserve">ENCARREGADO DE SERVICOS DE HOSPEDAGEM                                                               </t>
  </si>
  <si>
    <t xml:space="preserve">GUIA DE EXCURSAO INTERNACIONAL                                                                      </t>
  </si>
  <si>
    <t xml:space="preserve">GUIA DE EXCURSAO NACIONAL                                                                           </t>
  </si>
  <si>
    <t xml:space="preserve">GUIA DE EXCURSAO NACIONAL E AMERICA DO SUL                                                          </t>
  </si>
  <si>
    <t xml:space="preserve">GUIA DE TURISMO                                                                                     </t>
  </si>
  <si>
    <t xml:space="preserve">GUIA DE TURISMO DE EXCURSAO NACIONAL E AMERICA DO SUL                                               </t>
  </si>
  <si>
    <t xml:space="preserve">GUIA DE TURISMO ESPECIALIZADO EM ATRATIVO CULTURAL                                                  </t>
  </si>
  <si>
    <t xml:space="preserve">GUIA DE TURISMO ESPECIALIZADO EM ATRATIVO NATURAL                                                   </t>
  </si>
  <si>
    <t xml:space="preserve">GUIA DE TURISMO ESPECIALIZADO EM ATRATIVO TURISTICO NATURAL                                         </t>
  </si>
  <si>
    <t xml:space="preserve">GUIA DE TURISMO EXCURSAO INTERNACIONAL                                                              </t>
  </si>
  <si>
    <t xml:space="preserve">GUIA DE TURISMO EXCURSAO NACIONAL                                                                   </t>
  </si>
  <si>
    <t xml:space="preserve">GUIA DE TURISMO EXCURSAO NACIONAL E ESPECIALIZADO EM ATRATIVO TURISTICO NATURAL                     </t>
  </si>
  <si>
    <t xml:space="preserve">GUIA DE TURISMO EXCURSAO NACIONAL E REGIONAL                                                        </t>
  </si>
  <si>
    <t xml:space="preserve">GUIA DE TURISMO NACIONAL                                                                            </t>
  </si>
  <si>
    <t xml:space="preserve">GUIA DE TURISMO NACIONAL E INTERNACIONAL                                                            </t>
  </si>
  <si>
    <t xml:space="preserve">GUIA DE TURISMO REGIONAL                                                                            </t>
  </si>
  <si>
    <t xml:space="preserve">GUIA DE TURISMO REGIONAL E NACIONAL                                                                 </t>
  </si>
  <si>
    <t xml:space="preserve">GUIA REGIONAL                                                                                       </t>
  </si>
  <si>
    <t xml:space="preserve">GUIA REGIONAL DE EXCURSAO NACIONAL                                                                  </t>
  </si>
  <si>
    <t xml:space="preserve">GUIA REGIONAL ESPECIALIZADO EM ATRATIVO NATURAL                                                     </t>
  </si>
  <si>
    <t xml:space="preserve">GUIA TURISTICO                                                                                      </t>
  </si>
  <si>
    <t xml:space="preserve">MONITOR DE LAZER E RECREACAO                                                                        </t>
  </si>
  <si>
    <t xml:space="preserve">MONITOR DE MUSEU                                                                                    </t>
  </si>
  <si>
    <t xml:space="preserve">MONITORIA DE LAZER E RECREACAO                                                                      </t>
  </si>
  <si>
    <t xml:space="preserve">ORGANIZADOR DE LAZER E RECREACAO                                                                    </t>
  </si>
  <si>
    <t xml:space="preserve">PROMOTOR DE EVENTOS EM SERVICOS TURISTICOS                                                          </t>
  </si>
  <si>
    <t xml:space="preserve">SERVICOS DE ALIMENTOS E BEBIDAS EM EVENTOS                                                          </t>
  </si>
  <si>
    <t xml:space="preserve">TECNICO EM ECOTURISMO                                                                               </t>
  </si>
  <si>
    <t xml:space="preserve">TECNICO EM RECREACIONISTA                                                                           </t>
  </si>
  <si>
    <t xml:space="preserve">TECNICO EM SERVICOS DE HOTELARIA                                                                    </t>
  </si>
  <si>
    <t xml:space="preserve">TECNICO EM TURISMO RURAL                                                                            </t>
  </si>
  <si>
    <t xml:space="preserve">AGENTE OPERACIONAL DE TRANSPORTE E TRANSITO URBANO                                                  </t>
  </si>
  <si>
    <t xml:space="preserve">AGENTE OPERACIONAL DE TRANSPORTE SOBRE TRILHOS                                                      </t>
  </si>
  <si>
    <t xml:space="preserve">AGENTE OPERACIONAL DE TRANSPORTES                                                                   </t>
  </si>
  <si>
    <t xml:space="preserve">AUXILIAR TECNICO EM TRANSPORTE METROPOLITANO SOBRE TRILHOS                                          </t>
  </si>
  <si>
    <t xml:space="preserve">AUXILIAR TECNICO EM TRANSPORTES SOBRE PNEUS E TRANSITO URBANO                                       </t>
  </si>
  <si>
    <t xml:space="preserve">OPERADOR EM TRAFEGO AEROPORTUARIO                                                                   </t>
  </si>
  <si>
    <t xml:space="preserve">OPERADOR EM TRAFEGO RODOVIARIO                                                                      </t>
  </si>
  <si>
    <t xml:space="preserve">TECNICO EM AGENCIAMENTO E TRANSPORTE                                                                </t>
  </si>
  <si>
    <t xml:space="preserve">ANALISE QUIMICA                                                                                     </t>
  </si>
  <si>
    <t xml:space="preserve">ANALISTA QUIMICO                                                                                    </t>
  </si>
  <si>
    <t xml:space="preserve">AUXILIAR DE ALIMENTOS EM PANIFICACAO E CONFEITARIA                                                  </t>
  </si>
  <si>
    <t xml:space="preserve">AUXILIAR DE ANALISE DE ALIMENTOS                                                                    </t>
  </si>
  <si>
    <t xml:space="preserve">AUXILIAR DE ANALISES MICROBIOLOGICAS                                                                </t>
  </si>
  <si>
    <t xml:space="preserve">AUXILIAR DE ANALISES QUIMICAS                                                                       </t>
  </si>
  <si>
    <t xml:space="preserve">AUXILIAR DE LABORATORIO DE ANALISE FISICO-QUIMICA                                                   </t>
  </si>
  <si>
    <t xml:space="preserve">AUXILIAR DE LABORATORIO DE ANALISE QUIMICA                                                          </t>
  </si>
  <si>
    <t xml:space="preserve">AUXILIAR DE LABORATORIO DE ANALISES FISICO-QUIMICA                                                  </t>
  </si>
  <si>
    <t xml:space="preserve">AUXILIAR DE LABORATORIO DE ANALISES FISICO-QUIMICAS                                                 </t>
  </si>
  <si>
    <t xml:space="preserve">AUXILIAR DE LABORATORIO DE ANALISES QUIMICAS                                                        </t>
  </si>
  <si>
    <t xml:space="preserve">AUXILIAR DE LABORATORIO E DE ANALISES QUIMICAS                                                      </t>
  </si>
  <si>
    <t xml:space="preserve">AUXILIAR DE LABORATORIO QUIMICO                                                                     </t>
  </si>
  <si>
    <t xml:space="preserve">AUXILIAR DE OPERACAO DE PROCESSOS QUIMICOS                                                          </t>
  </si>
  <si>
    <t xml:space="preserve">AUXILIAR DE PANIFICACAO E CONFEITARIA                                                               </t>
  </si>
  <si>
    <t xml:space="preserve">AUXILIAR DE PROCESSOS QUIMICOS                                                                      </t>
  </si>
  <si>
    <t xml:space="preserve">AUXILIAR EM PROCESSAMENTO DE LATICINIOS                                                             </t>
  </si>
  <si>
    <t xml:space="preserve">AUXILIAR TECNICO EM ANALISE QUIMICA                                                                 </t>
  </si>
  <si>
    <t xml:space="preserve">AUXILIAR TECNICO EM QUIMICA                                                                         </t>
  </si>
  <si>
    <t xml:space="preserve">AUXILIAR TECNICO EM REABILITACAO DE DEPENDENTES QUIMICOS                                            </t>
  </si>
  <si>
    <t xml:space="preserve">AUXILIAR TECNICO QUIMICO                                                                            </t>
  </si>
  <si>
    <t xml:space="preserve">LABORATORISTA DE ALIMENTOS                                                                          </t>
  </si>
  <si>
    <t xml:space="preserve">LABORATORISTA DE ANALISES QUIMICAS                                                                  </t>
  </si>
  <si>
    <t xml:space="preserve">LABORATORISTA DE ENSAIOS DE MATERIAIS DA CONSTRUCAO CIVIL                                           </t>
  </si>
  <si>
    <t xml:space="preserve">LABORATORISTA DE ENSAIOS TEXTEIS                                                                    </t>
  </si>
  <si>
    <t xml:space="preserve">LABORATORISTA INDUSTRIAL                                                                            </t>
  </si>
  <si>
    <t xml:space="preserve">LABORATORISTA INDUSTRIAL COM ENFASE EM ALCOOL E ACUCAR                                              </t>
  </si>
  <si>
    <t xml:space="preserve">LABORATORISTA PARA O PROCESSO DE CELULOSE E PAPEL                                                   </t>
  </si>
  <si>
    <t xml:space="preserve">OPERADOR DE INSTALACOES DE PROCESSAMENTO QUIMICO                                                    </t>
  </si>
  <si>
    <t xml:space="preserve">PROCESSOS QUIMICOS INDUSTRIAIS                                                                      </t>
  </si>
  <si>
    <t xml:space="preserve">ASSISTENTE DE CAMERA E DE PRODUCOES                                                                 </t>
  </si>
  <si>
    <t xml:space="preserve">ASSISTENTE DE DEPARTAMENTO DE PUBLICIDADE                                                           </t>
  </si>
  <si>
    <t xml:space="preserve">ASSISTENTE DE GESTAO DE PROPAGANDA E MARKETING                                                      </t>
  </si>
  <si>
    <t xml:space="preserve">ASSISTENTE DE MARKETING                                                                             </t>
  </si>
  <si>
    <t xml:space="preserve">ASSISTENTE EM GESTAO DE MARKETING E VENDAS                                                          </t>
  </si>
  <si>
    <t xml:space="preserve">ATENDENTE GERAL DE SERVICOS PUBLICITARIOS                                                           </t>
  </si>
  <si>
    <t xml:space="preserve">ATENDIMENTO E PLANEJAMENTO PUBLICITARIO                                                             </t>
  </si>
  <si>
    <t xml:space="preserve">ATENDIMENTO TURISTICO                                                                               </t>
  </si>
  <si>
    <t xml:space="preserve">AUXILIAR DE COMUNICACAO                                                                             </t>
  </si>
  <si>
    <t xml:space="preserve">AUXILIAR DE MARKETING                                                                               </t>
  </si>
  <si>
    <t xml:space="preserve">AUXILIAR DE PROPAGANDA E MARKETING                                                                  </t>
  </si>
  <si>
    <t xml:space="preserve">AUXILIAR DE RECREACAO                                                                               </t>
  </si>
  <si>
    <t xml:space="preserve">CRIACAO E PRODUCAO PUBLICITARIA                                                                     </t>
  </si>
  <si>
    <t xml:space="preserve">CRIACAO PUBLICITARIA                                                                                </t>
  </si>
  <si>
    <t xml:space="preserve">GESTAO E MARKETING DE EVENTOS                                                                       </t>
  </si>
  <si>
    <t xml:space="preserve">MARKETING DIGITAL                                                                                   </t>
  </si>
  <si>
    <t xml:space="preserve">MARKETING E COMUNICACAO PUBLICITARIA                                                                </t>
  </si>
  <si>
    <t xml:space="preserve">MARKETING E VENDAS                                                                                  </t>
  </si>
  <si>
    <t xml:space="preserve">PLANEJAMENTO PUBLICITARIO E MIDIA                                                                   </t>
  </si>
  <si>
    <t xml:space="preserve">PUBLICIDADE NA INFORMATICA                                                                          </t>
  </si>
  <si>
    <t xml:space="preserve">RADIALISTA LOCUTOR                                                                                  </t>
  </si>
  <si>
    <t xml:space="preserve">RADIALISTA APRESENTACAO DE PROGRAMAS DE TELEVISAO                                                   </t>
  </si>
  <si>
    <t xml:space="preserve">RADIALISTA CENOGRAFIA                                                                               </t>
  </si>
  <si>
    <t xml:space="preserve">RADIALISTA DIRECAO DE IMAGENS - TV                                                                  </t>
  </si>
  <si>
    <t xml:space="preserve">RADIALISTA EDICAO DE VIDEOTEIPE (VT)                                                                </t>
  </si>
  <si>
    <t xml:space="preserve">RADIALISTA ILUMINACAO                                                                               </t>
  </si>
  <si>
    <t xml:space="preserve">RADIALISTA LOCUCAO NOTICIARISTA DE TELEVISAO                                                        </t>
  </si>
  <si>
    <t xml:space="preserve">RADIALISTA OPERACAO DE CAMERA                                                                       </t>
  </si>
  <si>
    <t xml:space="preserve">RADIALISTA OPERACAO DE SISTEMAS DE AUDIO E VIDEO DIGITAL                                            </t>
  </si>
  <si>
    <t xml:space="preserve">RADIALISTA PROGRAMACAO MUSICAL                                                                      </t>
  </si>
  <si>
    <t xml:space="preserve">RADIALISTA SETOR LOCUCAO                                                                            </t>
  </si>
  <si>
    <t xml:space="preserve">RADIALISTA SETOR LOCUCAO NOTICIARISTA DE TV                                                         </t>
  </si>
  <si>
    <t xml:space="preserve">RADIALISTA SONOPLASTIA                                                                              </t>
  </si>
  <si>
    <t xml:space="preserve">TECNICO EM COMERCIALIZACAO E MARKETING                                                              </t>
  </si>
  <si>
    <t xml:space="preserve">VITRINISMO                                                                                          </t>
  </si>
  <si>
    <t xml:space="preserve">EDUCACAO                                                                   </t>
  </si>
  <si>
    <t xml:space="preserve">AUXILIAR DE DOCENTE DE EDUCACAO BASICA                                                              </t>
  </si>
  <si>
    <t xml:space="preserve">AUXILIAR DE EDUCACAO BASICA                                                                         </t>
  </si>
  <si>
    <t xml:space="preserve">AUXILIAR DE PLANEJAMENTO DA EDUCACAO BASICA                                                         </t>
  </si>
  <si>
    <t xml:space="preserve">TECNICO EM MAGISTERIO                                                                               </t>
  </si>
  <si>
    <t xml:space="preserve">BAILARINO CLASSICO                                                                                  </t>
  </si>
  <si>
    <t xml:space="preserve">BAILARINO FLAMENCO                                                                                  </t>
  </si>
  <si>
    <t xml:space="preserve">BAILARINO MODER- JAZZ                                                                               </t>
  </si>
  <si>
    <t xml:space="preserve">BAILARINOCONTEMPORANEO                                                                              </t>
  </si>
  <si>
    <t xml:space="preserve">BASICA-MUSICA                                                                                       </t>
  </si>
  <si>
    <t xml:space="preserve">COLABORADOR EM PESQUISA E MONTAGEM CENICA - TEATRO                                                  </t>
  </si>
  <si>
    <t xml:space="preserve">CRIACAO E DIRECAO DE ARTE                                                                           </t>
  </si>
  <si>
    <t xml:space="preserve">DANCARINO                                                                                           </t>
  </si>
  <si>
    <t xml:space="preserve">EDUCACAO PROFISSIONAL TECNICA-AREA DE ARTES-SUBAREA DE DANCA-ENSAIADOR DE DANCA                     </t>
  </si>
  <si>
    <t xml:space="preserve">ESTUDIO FOTOGRAFICO                                                                                 </t>
  </si>
  <si>
    <t xml:space="preserve">FORMACAO EM DANCA                                                                                   </t>
  </si>
  <si>
    <t xml:space="preserve">FOTOGRAFIA SOCIAL                                                                                   </t>
  </si>
  <si>
    <t xml:space="preserve">GERENCIA DE EXECUCAO DE OBRAS                                                                       </t>
  </si>
  <si>
    <t xml:space="preserve">INSTRUMENTISTA OU CANTOR                                                                            </t>
  </si>
  <si>
    <t xml:space="preserve">INSTRUTOR DE CAPOEIRA                                                                               </t>
  </si>
  <si>
    <t xml:space="preserve">MUSICA - INSTRUMENTO - PIANO                                                                        </t>
  </si>
  <si>
    <t xml:space="preserve">TECNICA EM MUSICA                                                                                   </t>
  </si>
  <si>
    <t xml:space="preserve">TECNICO EM INSTRUMENTO OU CANTO                                                                     </t>
  </si>
  <si>
    <t xml:space="preserve">TECNICO/ESPECIALIZACAO                                                     </t>
  </si>
  <si>
    <t xml:space="preserve">TECNICO/ESPECIALIZACAO        </t>
  </si>
  <si>
    <t xml:space="preserve">MARKETING E GESTAO TURISTICA                                                                        </t>
  </si>
  <si>
    <t xml:space="preserve">CURSOS EM GERAL                                                            </t>
  </si>
  <si>
    <t xml:space="preserve">WINDOWS                                                                                             </t>
  </si>
  <si>
    <t xml:space="preserve">                              </t>
  </si>
  <si>
    <t xml:space="preserve">WORD                                                                                                </t>
  </si>
  <si>
    <t xml:space="preserve">EXCEL                                                                                               </t>
  </si>
  <si>
    <t xml:space="preserve">WINDOWS WORD E EXCEL                                                                                </t>
  </si>
  <si>
    <t xml:space="preserve">WORD AVANCADO                                                                                       </t>
  </si>
  <si>
    <t xml:space="preserve">EXCEL AVANCADO                                                                                      </t>
  </si>
  <si>
    <t xml:space="preserve">MS/DOS                                                                                              </t>
  </si>
  <si>
    <t xml:space="preserve">ACCESS                                                                                              </t>
  </si>
  <si>
    <t xml:space="preserve">ACCESS AVANCADO                                                                                     </t>
  </si>
  <si>
    <t xml:space="preserve">MS PROJECT                                                                                          </t>
  </si>
  <si>
    <t xml:space="preserve">POWERPOINT                                                                                          </t>
  </si>
  <si>
    <t xml:space="preserve">AUTOCAD                                                                                             </t>
  </si>
  <si>
    <t xml:space="preserve">COREL DRAW                                                                                          </t>
  </si>
  <si>
    <t xml:space="preserve">FLASH 5                                                                                             </t>
  </si>
  <si>
    <t xml:space="preserve">FRONTPAGE                                                                                           </t>
  </si>
  <si>
    <t xml:space="preserve">PHOTOSHOP                                                                                           </t>
  </si>
  <si>
    <t xml:space="preserve">HTML - CRIACAO DE HOME PAGE                                                                         </t>
  </si>
  <si>
    <t xml:space="preserve">LINGUAGEM DE PROGRAMACAO                                                                            </t>
  </si>
  <si>
    <t xml:space="preserve">SQL                                                                                                 </t>
  </si>
  <si>
    <t xml:space="preserve">INTERNET                                                                                            </t>
  </si>
  <si>
    <t xml:space="preserve">LOTUS                                                                                               </t>
  </si>
  <si>
    <t xml:space="preserve">DELPHI                                                                                              </t>
  </si>
  <si>
    <t xml:space="preserve">ORACLE                                                                                              </t>
  </si>
  <si>
    <t xml:space="preserve">RECURSOS HUMANOS                                                           </t>
  </si>
  <si>
    <t xml:space="preserve">RECRUTAMENTO E SELECAO                                                                              </t>
  </si>
  <si>
    <t xml:space="preserve">AVALIACAO DE DESEMPENHO INDIVIDUAL                                                                  </t>
  </si>
  <si>
    <t xml:space="preserve">AVALIACAO ESPECIAL DE DESEMPENHO                                                                    </t>
  </si>
  <si>
    <t xml:space="preserve">DESPERTAR FUNCIONAL                                                                                 </t>
  </si>
  <si>
    <t xml:space="preserve">TECNICAS DE ENTREVISTA                                                                              </t>
  </si>
  <si>
    <t xml:space="preserve">TECNICAS DE NEGOCIACAO                                                                              </t>
  </si>
  <si>
    <t xml:space="preserve">CLIMA/CULTURA ORGANIZACIONAL                                                                        </t>
  </si>
  <si>
    <t xml:space="preserve">5S                                                                                                  </t>
  </si>
  <si>
    <t xml:space="preserve">TECNICAS DE PERSUASAO                                                                               </t>
  </si>
  <si>
    <t xml:space="preserve">TREINAMENTO E DESENV DE RECURSOS HUMANOS                                                            </t>
  </si>
  <si>
    <t xml:space="preserve">GESTAO DO CONHECIMENTO                                                                              </t>
  </si>
  <si>
    <t xml:space="preserve">BANCO DE TALENTOS                                                                                   </t>
  </si>
  <si>
    <t xml:space="preserve">ACOMPANHAMENTO SOCIO-FUNCIONAL                                                                      </t>
  </si>
  <si>
    <t xml:space="preserve">ESTAGIO PARA ESTUDANTES                                                                             </t>
  </si>
  <si>
    <t xml:space="preserve">PESSOAL                                                                    </t>
  </si>
  <si>
    <t xml:space="preserve">ACUMULACAO DE CARGOS E FUNCOES                                                                      </t>
  </si>
  <si>
    <t xml:space="preserve">APOSTILAMENTO                                                                                       </t>
  </si>
  <si>
    <t xml:space="preserve">APURACAO DE PONTO ELETRONICO                                                                        </t>
  </si>
  <si>
    <t xml:space="preserve">ATOS ADMINISTRATIVOS                                                                                </t>
  </si>
  <si>
    <t xml:space="preserve">CONTAGEM E AVERBACAO DE TEMPO DE SERVICO                                                            </t>
  </si>
  <si>
    <t xml:space="preserve">CONCESSAO DE BENEFICIOS                                                                             </t>
  </si>
  <si>
    <t xml:space="preserve">LEGISLACAO DE PESSOAL                                                                               </t>
  </si>
  <si>
    <t xml:space="preserve">NOMEACAO E EXONERACAO DE PESSOAL                                                                    </t>
  </si>
  <si>
    <t xml:space="preserve">REVISAO DE PROVENTOS                                                                                </t>
  </si>
  <si>
    <t xml:space="preserve">JURIDICO                                                                   </t>
  </si>
  <si>
    <t xml:space="preserve">LICITACAO CONTRATOS E CONVENIOS                                                                     </t>
  </si>
  <si>
    <t xml:space="preserve">LEGISLACAO TRIBUTARIA                                                                               </t>
  </si>
  <si>
    <t xml:space="preserve">LEGISLACAO PREVIDENCIARIA                                                                           </t>
  </si>
  <si>
    <t xml:space="preserve">RESPONSABILIDADE FISCAL                                                                             </t>
  </si>
  <si>
    <t xml:space="preserve">AUDITORIA INTERNA                                                                                   </t>
  </si>
  <si>
    <t xml:space="preserve">CORREICAO ADMINISTRATIVA                                                                            </t>
  </si>
  <si>
    <t xml:space="preserve">PROCESSO ADMINISTRATIVO                                                                             </t>
  </si>
  <si>
    <t xml:space="preserve">SINDICANCIA ADMINISTRATIVA                                                                          </t>
  </si>
  <si>
    <t xml:space="preserve">ANALISE DE PROCESSOS E EMISSAO DE PARECERES                                                         </t>
  </si>
  <si>
    <t xml:space="preserve">ADMINISTRATIVO                                                             </t>
  </si>
  <si>
    <t xml:space="preserve">ORCAMENTO PUBLICO                                                                                   </t>
  </si>
  <si>
    <t xml:space="preserve">GESTAO CONTABIL E FINANCEIRA                                                                        </t>
  </si>
  <si>
    <t xml:space="preserve">MELHORIA DE PROCESSOS                                                                               </t>
  </si>
  <si>
    <t xml:space="preserve">ARQUIVOLOGIA E GESTAO DE DOCUMENTOS                                                                 </t>
  </si>
  <si>
    <t xml:space="preserve">ATENDIMENTO AO PUBLICO                                                                              </t>
  </si>
  <si>
    <t xml:space="preserve">SISAP                                                                                               </t>
  </si>
  <si>
    <t xml:space="preserve">SIAFI                                                                                               </t>
  </si>
  <si>
    <t xml:space="preserve">SIAD                                                                                                </t>
  </si>
  <si>
    <t xml:space="preserve">SIPRO                                                                                               </t>
  </si>
  <si>
    <t xml:space="preserve">FFAK                                                                                                </t>
  </si>
  <si>
    <t xml:space="preserve">ROTINAS BASICAS DE APOIO ADMINISTRATIVO                                                             </t>
  </si>
  <si>
    <t xml:space="preserve">PORTUGUES INSTRUMENTAL E REDACAO OFICIAL                                                            </t>
  </si>
  <si>
    <t xml:space="preserve">MATERIAIS E PATRIMONIO                                                     </t>
  </si>
  <si>
    <t xml:space="preserve">ALMOXARIFADO                                                                                        </t>
  </si>
  <si>
    <t xml:space="preserve">CADASTRO DE FORNECEDORES                                                                            </t>
  </si>
  <si>
    <t xml:space="preserve">CESSAO DE BENS IMOVEIS                                                                              </t>
  </si>
  <si>
    <t xml:space="preserve">CESSAO DE VEICULO AUTOMOTIVO                                                                        </t>
  </si>
  <si>
    <t xml:space="preserve">COMPRA/AQUISICAO DE VEICULOS                                                                        </t>
  </si>
  <si>
    <t xml:space="preserve">BENS MOVEIS                                                                                         </t>
  </si>
  <si>
    <t xml:space="preserve">LEGISLACAO DE COMPRAS E SERVICOS                                                                    </t>
  </si>
  <si>
    <t xml:space="preserve">LEILAO DE BENS PUBLICOS                                                                             </t>
  </si>
  <si>
    <t xml:space="preserve">FORMACAO DE PREGOEIROS                                                                              </t>
  </si>
  <si>
    <t xml:space="preserve">ADMINISTRACAO DE MATERIAIS E PATRIMONIO                                                             </t>
  </si>
  <si>
    <t xml:space="preserve">ELABORACAO DE PROJETOS                                                                              </t>
  </si>
  <si>
    <t xml:space="preserve">CAPTACAO DE RECURSOS                                                                                </t>
  </si>
  <si>
    <t xml:space="preserve">GERENCIAMENTO DE PROJETOS                                                                           </t>
  </si>
  <si>
    <t xml:space="preserve">PLANEJAMENTO GESTAO E FINANCAS                                                                      </t>
  </si>
  <si>
    <t>SITUAÇÃO DE INGRESSO</t>
  </si>
  <si>
    <t>Referente a</t>
  </si>
  <si>
    <t>SECRETARIA DE ESTADO DA FAZENDA DE MINAS GERAIS</t>
  </si>
  <si>
    <t>C</t>
  </si>
  <si>
    <t>ANOTAÇÕES INTERNAS
PAGAMENTO DE PESSOAL</t>
  </si>
  <si>
    <t>NOME DO SERVIDOR:</t>
  </si>
  <si>
    <t>P A G A M E N T O   D E   D I F E R E N Ç A S</t>
  </si>
  <si>
    <t>MÊS</t>
  </si>
  <si>
    <t>ANO</t>
  </si>
  <si>
    <t>CÓDIGO</t>
  </si>
  <si>
    <t>RUBRICA</t>
  </si>
  <si>
    <t>REFERÊNCIA</t>
  </si>
  <si>
    <t>R E P O S I Ç Õ E S</t>
  </si>
  <si>
    <t>PARC.</t>
  </si>
  <si>
    <t>VALOR PARC.</t>
  </si>
  <si>
    <t>MOD. 01.03.41</t>
  </si>
  <si>
    <t>FLUXO: VIA ÚNICA EMITENTE  .  DIRETORIA DE MICROFILMAGEM / SAD: ARQUIVO</t>
  </si>
  <si>
    <t>P A G A M E N T O S   E S P E C I A I S</t>
  </si>
  <si>
    <t>P E N S Õ E S  D I V E R S A S   E   O U T R A S   A N O T A Ç Õ E S</t>
  </si>
  <si>
    <t>MASP     -     D</t>
  </si>
  <si>
    <t>DATA DO PAGTO</t>
  </si>
  <si>
    <t>BENEFICIÁRIO</t>
  </si>
  <si>
    <t>CORRELAÇÃO DE MATÉRIAS</t>
  </si>
  <si>
    <t>Matéria 1</t>
  </si>
  <si>
    <t>Matéria 2</t>
  </si>
  <si>
    <t>Cód.</t>
  </si>
  <si>
    <t>Descrição</t>
  </si>
  <si>
    <t>EDUCAÇÃO FÍSICA</t>
  </si>
  <si>
    <t>LITERATURA BRASILEIRA</t>
  </si>
  <si>
    <t>LÍNGUA PORTUGUESA</t>
  </si>
  <si>
    <t>LITERATURA INFANTO-JUVENIL</t>
  </si>
  <si>
    <t>REDAÇÃO E EXPRESSAO</t>
  </si>
  <si>
    <t>LITERATURA</t>
  </si>
  <si>
    <t>LITERATURA COM ÊNFASE PARA BRA</t>
  </si>
  <si>
    <t>MATEMÁTICA</t>
  </si>
  <si>
    <t>GEOMETRIA</t>
  </si>
  <si>
    <t>LABORATÓRIO DE CIÊNCIAS</t>
  </si>
  <si>
    <t>CIÊNCIAS</t>
  </si>
  <si>
    <t>BIOLOGIA</t>
  </si>
  <si>
    <t>OFICINA/PRÁT/LABORAT. BIOLOGIA</t>
  </si>
  <si>
    <t>CIÊNCIAS FÍSICAS E BIOLOGICAS</t>
  </si>
  <si>
    <t>LABORATÓRIO DE CIENCIAS</t>
  </si>
  <si>
    <t>HISTÓRIA</t>
  </si>
  <si>
    <t>GEOGRAFIA</t>
  </si>
  <si>
    <t>ARTE</t>
  </si>
  <si>
    <t>ARTES</t>
  </si>
  <si>
    <t>EDUCAÇÃO RELIGIOSA</t>
  </si>
  <si>
    <t>LÍNGUA ESTRANGEIRA MODERNA INGLÊS</t>
  </si>
  <si>
    <t>REDAÇÃO E CRIATIVIDADE</t>
  </si>
  <si>
    <t>DESENHO GEOMÉTRICO</t>
  </si>
  <si>
    <t>LEITURA À PRIMEIRA VISTA</t>
  </si>
  <si>
    <t>PIANO</t>
  </si>
  <si>
    <t>VIOLINO</t>
  </si>
  <si>
    <t>VIOLONCELO/ VIOLAOCELO</t>
  </si>
  <si>
    <t>VIOLÃO</t>
  </si>
  <si>
    <t>FLAUTA DOCE</t>
  </si>
  <si>
    <t>SAXOFONE</t>
  </si>
  <si>
    <t>E.E. Fictícia Exemplo 2</t>
  </si>
  <si>
    <t>Exemplo de Município 2</t>
  </si>
  <si>
    <t>Carlos Drumond de Andrade</t>
  </si>
  <si>
    <t>Exemplo 2</t>
  </si>
  <si>
    <t>2222-2222</t>
  </si>
  <si>
    <t>Rua Exemplo 2, 2222</t>
  </si>
  <si>
    <t>ESTADO DE MINAS GERAIS</t>
  </si>
  <si>
    <t>Secretaria de Estado de Educação</t>
  </si>
  <si>
    <t>Superintendência Regional de Ensino de Uberaba</t>
  </si>
  <si>
    <t>CERTIFICAÇÃO</t>
  </si>
  <si>
    <t>Certifica o (a) servidor (a) sobre o valor do débito referente a recebimento indevido.</t>
  </si>
  <si>
    <t>Adm.:</t>
  </si>
  <si>
    <t>Cargo:</t>
  </si>
  <si>
    <t>Município:</t>
  </si>
  <si>
    <t>Valor:</t>
  </si>
  <si>
    <t>Os valores registrados neste documento correspondem ao recebimento indevido de</t>
  </si>
  <si>
    <t xml:space="preserve">no período de </t>
  </si>
  <si>
    <t>a</t>
  </si>
  <si>
    <t>, podendo sofrer acréscimo caso a</t>
  </si>
  <si>
    <t>servidora continue a receber a parcela indevida no curso do processo administrativo.</t>
  </si>
  <si>
    <t>Av. Gabriela Castro Cunha, 430</t>
  </si>
  <si>
    <t>Vila Olímpica</t>
  </si>
  <si>
    <t>3074-0001</t>
  </si>
  <si>
    <t>LÍNGUA ESTRANG. MODERNA ESPANHOL</t>
  </si>
  <si>
    <t>REDAÇÃO</t>
  </si>
  <si>
    <t>MÚSICA</t>
  </si>
  <si>
    <t>LÍNGUA DE SINAIS</t>
  </si>
  <si>
    <t>BRAILE</t>
  </si>
  <si>
    <t>INFORMÁTICA</t>
  </si>
  <si>
    <t>SOCIOLOGIA</t>
  </si>
  <si>
    <t>FILOSOFIA</t>
  </si>
  <si>
    <t>PSICOLOGIA</t>
  </si>
  <si>
    <t>QUÍMICA</t>
  </si>
  <si>
    <t>FÍSICA</t>
  </si>
  <si>
    <t>AUTORIZAÇÃO DE PAGAMENTO (AVULSA)</t>
  </si>
  <si>
    <t>Valor a Pagar:</t>
  </si>
  <si>
    <t>Verbas:</t>
  </si>
  <si>
    <t>Ocorrências</t>
  </si>
  <si>
    <t>Referente a:</t>
  </si>
  <si>
    <t>Santa Juliana</t>
  </si>
  <si>
    <t>Data:</t>
  </si>
  <si>
    <t>ou HOJE.</t>
  </si>
  <si>
    <t>Ou HOJE.</t>
  </si>
  <si>
    <t>Prêmio Referente ao Ano de:</t>
  </si>
  <si>
    <t>E.E. Professora Neide de Oliveira Gomes</t>
  </si>
  <si>
    <t>Valores Indevidos</t>
  </si>
  <si>
    <t>Crédito</t>
  </si>
  <si>
    <t>Débito</t>
  </si>
  <si>
    <t>Histórico</t>
  </si>
  <si>
    <t>Total</t>
  </si>
  <si>
    <t>ou HOJE</t>
  </si>
  <si>
    <t>Supervisor de Taxação</t>
  </si>
  <si>
    <t>Coordenador de Taxação</t>
  </si>
  <si>
    <t>Ilmº(ª) Sr(ª)</t>
  </si>
  <si>
    <t>TERMO DE CIÊNCIA</t>
  </si>
  <si>
    <t>comunicamos a V. Sª. para que tenha ciência do débito no valor de</t>
  </si>
  <si>
    <t>Ciente em</t>
  </si>
  <si>
    <t>Assinatura</t>
  </si>
  <si>
    <t>AUTORIZAÇÃO</t>
  </si>
  <si>
    <t>Eu,</t>
  </si>
  <si>
    <t>, autorizo o débito gerado</t>
  </si>
  <si>
    <t>com o Estado em minha folha de pagamento em</t>
  </si>
  <si>
    <t>parcela(s) de</t>
  </si>
  <si>
    <t>Servidor:</t>
  </si>
  <si>
    <t>PEBD1A</t>
  </si>
  <si>
    <t>PEBS1A</t>
  </si>
  <si>
    <t>ASBD1A</t>
  </si>
  <si>
    <t>EEBD1A</t>
  </si>
  <si>
    <t>ATBD1A</t>
  </si>
  <si>
    <t>ANEID1A</t>
  </si>
  <si>
    <t>Valores Mínimos p/ Assinatura na Autorização de Pagamento:</t>
  </si>
  <si>
    <t>Secretária:</t>
  </si>
  <si>
    <t>Diretor(a) DIPE:</t>
  </si>
  <si>
    <t>Diretor(a) S.R.E.:</t>
  </si>
  <si>
    <t>Subsecretário:</t>
  </si>
  <si>
    <t>R.B.:</t>
  </si>
  <si>
    <t>aulas semanais</t>
  </si>
  <si>
    <t>Valor H/A:</t>
  </si>
  <si>
    <t>CH/Mês</t>
  </si>
  <si>
    <t>Digitar apenas 2 dígitos para dia, mês e ano. Sem barras.</t>
  </si>
  <si>
    <t>REGENTE DE</t>
  </si>
  <si>
    <t>A.E.C. com Contribuição:</t>
  </si>
  <si>
    <t>A.E.J. com Contribuição:</t>
  </si>
  <si>
    <t>Extensão em</t>
  </si>
  <si>
    <t>Dias
a Pagar:</t>
  </si>
  <si>
    <t>Data Início p/ Pagamento:</t>
  </si>
  <si>
    <t>Subsídio:</t>
  </si>
  <si>
    <t>VTAP:</t>
  </si>
  <si>
    <t>VP:</t>
  </si>
  <si>
    <t>Outros Cargos:</t>
  </si>
  <si>
    <t>nº 09/2007 de 14/02/2007, enviado pela SPS e orientação DCNOP/2007, onde dispensa</t>
  </si>
  <si>
    <t>Instauração de Processo Administrativo para Servidor  cujo cálculo gerar débito</t>
  </si>
  <si>
    <t>em até 20% da remuneração bruta e/ou valor que não supere um salário mínimo,</t>
  </si>
  <si>
    <t xml:space="preserve">     De acordo com a Resolução 037/2005 e Instruções constantes no Ofício Circular</t>
  </si>
  <si>
    <t>prazo de 15 dias a contar da data acima, assinado e com firma reconhecida. Estamos à</t>
  </si>
  <si>
    <t>disposição para maiores esclarecimentos.</t>
  </si>
  <si>
    <t xml:space="preserve">      Na oportunidade, solicitamos que este formulário seja devolvido no Setor SISAP no</t>
  </si>
  <si>
    <t>Cód. Escola:</t>
  </si>
  <si>
    <t>(Reconhecer Firma)</t>
  </si>
  <si>
    <t>Escola Estadual:</t>
  </si>
  <si>
    <t>Valor do Débito:</t>
  </si>
  <si>
    <t>N.º de Parcelas:
N.º:
Valor:</t>
  </si>
  <si>
    <t>Valor da Parcela:</t>
  </si>
  <si>
    <r>
      <t xml:space="preserve">TERMO DE CIÊNCIA
</t>
    </r>
    <r>
      <rPr>
        <sz val="11"/>
        <color theme="1"/>
        <rFont val="Times New Roman"/>
        <family val="1"/>
      </rPr>
      <t>(dispensa instauração de Processo Administrativo para Servidor cujo cálculo gerar
débito de até 20% da remuneração bruta e/ou valor que não supere um Salário Mínimo)</t>
    </r>
  </si>
  <si>
    <t>e razões pelas quais a motivou:</t>
  </si>
  <si>
    <t>Razões que motivaram o débito:</t>
  </si>
  <si>
    <t xml:space="preserve">    ESTADO DE MINAS GERAIS</t>
  </si>
  <si>
    <t xml:space="preserve">    Secretaria de Estado de Educação</t>
  </si>
  <si>
    <t xml:space="preserve">    Superintendência Regional de Ensino de Uberaba</t>
  </si>
  <si>
    <t xml:space="preserve">    Diretoria de Pessoal</t>
  </si>
  <si>
    <t>CESEC (Profa Maria Emília da Rocha)</t>
  </si>
  <si>
    <t>Nota da Escola:</t>
  </si>
  <si>
    <t>90 dias ?</t>
  </si>
  <si>
    <t>Prêmio por Produtividade</t>
  </si>
  <si>
    <t>F.P.</t>
  </si>
  <si>
    <t>L.S.:</t>
  </si>
  <si>
    <t>Faltas:</t>
  </si>
  <si>
    <t>L. Gestante:</t>
  </si>
  <si>
    <t>Paternidade:</t>
  </si>
  <si>
    <t>Outro:</t>
  </si>
  <si>
    <t>Luto:</t>
  </si>
  <si>
    <t>Casamento:</t>
  </si>
  <si>
    <t xml:space="preserve"> </t>
  </si>
  <si>
    <t>CÁLCULO PAGAMENTO DO PRÊMIO POR RESULTADO</t>
  </si>
  <si>
    <t>Escola:</t>
  </si>
  <si>
    <t>, sendo:</t>
  </si>
  <si>
    <t>CERTIFICO OS VALORES ACIMA INFORMADOS</t>
  </si>
  <si>
    <t>NOME DA S.R.E.:</t>
  </si>
  <si>
    <t>CÓDIGO UNIDADE EXERCÍCIO</t>
  </si>
  <si>
    <t>NOME DA UNIDADE EXERCÍCIO</t>
  </si>
  <si>
    <t>MUNICÍPIO UNIDADE EXERCÍCIO</t>
  </si>
  <si>
    <t>MASP</t>
  </si>
  <si>
    <t>ADMISSÃO</t>
  </si>
  <si>
    <t>TIPO (NOME) DE BENEFÍCIO</t>
  </si>
  <si>
    <t>ETIQUETA DE REGISTRO DO SIGED</t>
  </si>
  <si>
    <t>DESCRIÇÃO</t>
  </si>
  <si>
    <t>%</t>
  </si>
  <si>
    <t>VENCIMENTO BÁSICO DO CARGO EFETIVO</t>
  </si>
  <si>
    <t>-</t>
  </si>
  <si>
    <t>BIÊNIO LEI 15788/05</t>
  </si>
  <si>
    <t>GRATIFICAÇÃO DE ENSINO ESPECIAL</t>
  </si>
  <si>
    <t>GRATIFICAÇÃO DE PÓS GRADUAÇÃO</t>
  </si>
  <si>
    <t>GRATIFICAÇÃO DE COORDENAÇÃO DE ESCOLA</t>
  </si>
  <si>
    <t>PRC</t>
  </si>
  <si>
    <t>VTI</t>
  </si>
  <si>
    <t>PCRM</t>
  </si>
  <si>
    <t>ABONO SALARIAL</t>
  </si>
  <si>
    <t>EXTENSÃO DE CARGA HORÁRIA</t>
  </si>
  <si>
    <t>OUTRAS VANTAGENS</t>
  </si>
  <si>
    <t>TOTAL</t>
  </si>
  <si>
    <t>RESPONSÁVEL PELAS INFORMAÇÕES:</t>
  </si>
  <si>
    <t>SISAP - Sistema de Administração de Pessoal</t>
  </si>
  <si>
    <t>FÉRIAS PRÊMIO EM ESPÉCIE</t>
  </si>
  <si>
    <t>Meses:</t>
  </si>
  <si>
    <t>Dias:</t>
  </si>
  <si>
    <t>Verba:</t>
  </si>
  <si>
    <t>Quando não existir saldo em meses ou em dias, digitar "zero".</t>
  </si>
  <si>
    <t>Saldo de Férias Prêmio</t>
  </si>
  <si>
    <t>Valor Mínimo para Envio do Processo para Conferência de Cálculo SPS /SEE:</t>
  </si>
  <si>
    <t xml:space="preserve">Pagamento de </t>
  </si>
  <si>
    <t>Superintendência Regional de Ensino de</t>
  </si>
  <si>
    <t>Base de Cálculo - FÉRIAS PRÊMIO EM ESPÉCIE</t>
  </si>
  <si>
    <t>Orgão Emitente:</t>
  </si>
  <si>
    <t>SRE</t>
  </si>
  <si>
    <t>Cargo Efetivo na Véspera do Afastamento:</t>
  </si>
  <si>
    <t>OU</t>
  </si>
  <si>
    <t>VERBA</t>
  </si>
  <si>
    <t>H/A</t>
  </si>
  <si>
    <t>CARGA HORÁRIA DO PROFESSOR (de 2013 em diante)</t>
  </si>
  <si>
    <t>CARGA HORÁRIA DO PROFESSOR (até 2012)</t>
  </si>
  <si>
    <t>XXX</t>
  </si>
  <si>
    <t>Quant.</t>
  </si>
  <si>
    <t>Desde 2013</t>
  </si>
  <si>
    <t>Até 2012</t>
  </si>
  <si>
    <t>Pó de Giz</t>
  </si>
  <si>
    <t>Verba 445</t>
  </si>
  <si>
    <t>Obrigatória:</t>
  </si>
  <si>
    <t>QUINQUÊNIO(S) MAGISTÉRIO (ANTERIOR E.C. N.º 19/98 )</t>
  </si>
  <si>
    <t>Carga Horária Semanal:</t>
  </si>
  <si>
    <t xml:space="preserve"> / Exig. Curricular:</t>
  </si>
  <si>
    <t xml:space="preserve"> / Exig. Extensão:</t>
  </si>
  <si>
    <t xml:space="preserve"> /   Extensão:</t>
  </si>
  <si>
    <t>EXIGÊNCIA DA EXTENSÃO</t>
  </si>
  <si>
    <t>ADICIONAL P/ TEMPO DE SERVIÇO (ANT. E.C. N.º 19/98 )</t>
  </si>
  <si>
    <t>QUINQUÊNIO ADM. E.C. N.º 19/98</t>
  </si>
  <si>
    <t>QUINQUÊNIO(S) ADM. (ANTERIOR E.C. N.º 19/98)</t>
  </si>
  <si>
    <t>BIÊNIO (ANTERIOR E.C. N.º 19/98)</t>
  </si>
  <si>
    <t>QUINQUÊNIO MAG. E.C. N.º 19/98</t>
  </si>
  <si>
    <t>ADICIONAL POR TEMPO DE SERVIÇO - E.C. N.º 19/98</t>
  </si>
  <si>
    <t>BIÊNIO E.C. N.º 19/98</t>
  </si>
  <si>
    <t>QUINQUÊNIO ADM. E.C.E. 57/03</t>
  </si>
  <si>
    <t>QUINQUÊNIO MAG. E.C.E. 57/03</t>
  </si>
  <si>
    <t>ADICIONAL POR TEMPO DE SERVIÇO - E.C.E. N.º 57/03</t>
  </si>
  <si>
    <t>Ens. Especial</t>
  </si>
  <si>
    <t>Soma S36:U41</t>
  </si>
  <si>
    <t>Coord. Escola</t>
  </si>
  <si>
    <t>Afastamento</t>
  </si>
  <si>
    <t>GRATIFICAÇÃO DE FUNÇÃO</t>
  </si>
  <si>
    <t>GRATIFICAÇÃO DE FUNÇÃO ESPECIALISTA</t>
  </si>
  <si>
    <t>Especialista</t>
  </si>
  <si>
    <t>Vice-Direção</t>
  </si>
  <si>
    <t>(Efetivo + 30% C. Comissão)</t>
  </si>
  <si>
    <t>(Efetivo + 50% C. Comissão)</t>
  </si>
  <si>
    <r>
      <t>GRATIFICAÇÃO FUNÇÃO</t>
    </r>
    <r>
      <rPr>
        <sz val="10"/>
        <color theme="1"/>
        <rFont val="Times New Roman"/>
        <family val="1"/>
      </rPr>
      <t xml:space="preserve"> - VICE DIREÇÃO</t>
    </r>
  </si>
  <si>
    <t>Vice Direção</t>
  </si>
  <si>
    <t>VANTAGEM PESSOAL - APOSTILAMENTO</t>
  </si>
  <si>
    <t>VANTAGEM PESSOAL</t>
  </si>
  <si>
    <t>VANTAGEM TEMP. ANTEC. POSICIONAMENTO - VTAP</t>
  </si>
  <si>
    <t>VB</t>
  </si>
  <si>
    <t>VTAP</t>
  </si>
  <si>
    <t>VP 112</t>
  </si>
  <si>
    <t>VP 113</t>
  </si>
  <si>
    <t>FGD 515</t>
  </si>
  <si>
    <r>
      <t>GRATIFICAÇÃO DE INCENTIVO À DOCÊNCIA</t>
    </r>
    <r>
      <rPr>
        <sz val="10"/>
        <color theme="1"/>
        <rFont val="Times New Roman"/>
        <family val="1"/>
      </rPr>
      <t xml:space="preserve"> (Pó de Giz)</t>
    </r>
  </si>
  <si>
    <t>meses</t>
  </si>
  <si>
    <t>NOME:</t>
  </si>
  <si>
    <t>ASSINATURA E CARIMBO:</t>
  </si>
  <si>
    <t>Vigência da Aposentadoria:</t>
  </si>
  <si>
    <t>Cargo Efetivo:</t>
  </si>
  <si>
    <t>ou</t>
  </si>
  <si>
    <t>HOJE</t>
  </si>
  <si>
    <t>Cálculo da Última Remuneração</t>
  </si>
  <si>
    <t>3313-2658</t>
  </si>
  <si>
    <t xml:space="preserve"> - Subsídio; - Afastamento em L.S.; - Ajust. Funcional; - Vice Direção; - Situação de Exercício 22 ou 71?</t>
  </si>
  <si>
    <t>3314-0104</t>
  </si>
  <si>
    <t>3661-1494</t>
  </si>
  <si>
    <t>ACERTO DAS VERBAS 379 P/ 382, CONF. RELATÓRIO SEPLAG/BH</t>
  </si>
  <si>
    <t>ILKA ASCHINELLI F. DA SILVA</t>
  </si>
  <si>
    <t>PEB2J</t>
  </si>
  <si>
    <t>3454-1094</t>
  </si>
  <si>
    <t>Retornou à Carreira Antiga?</t>
  </si>
  <si>
    <t>Se EEB,</t>
  </si>
  <si>
    <t>Soma S26:U31</t>
  </si>
  <si>
    <r>
      <t xml:space="preserve">Cálculo da Última Remuneração
</t>
    </r>
    <r>
      <rPr>
        <sz val="10.5"/>
        <color theme="1"/>
        <rFont val="Times New Roman"/>
        <family val="1"/>
      </rPr>
      <t>(somente para as aposentadorias fundamentadas nos artigos 40 da CF/88, redação E.C. 41/03 e Art. 2º C 41/03)</t>
    </r>
  </si>
  <si>
    <r>
      <t>CONSTA NO I.A. FUNÇÃO</t>
    </r>
    <r>
      <rPr>
        <sz val="10"/>
        <color theme="1"/>
        <rFont val="Times New Roman"/>
        <family val="1"/>
      </rPr>
      <t xml:space="preserve"> VICE DIREÇÃO?</t>
    </r>
  </si>
  <si>
    <t>GRATIFICAÇÃO DE FUNÇÃO - VICE DIREÇÃO</t>
  </si>
  <si>
    <t>Nilza Soares Faria de Carvalho</t>
  </si>
  <si>
    <t>Processo de Férias Prêmio Conversão em Espécie</t>
  </si>
  <si>
    <t>ASB1F</t>
  </si>
  <si>
    <t>acerto de:</t>
  </si>
  <si>
    <t>José Augusto da Silva Queiroz</t>
  </si>
  <si>
    <t>Renata Regina Resende Borges</t>
  </si>
  <si>
    <t>CÁLCULO DE RATEIO E 1/3 FÉRIAS A PAGAR EM</t>
  </si>
  <si>
    <t>JANEIRO DE</t>
  </si>
  <si>
    <t>DE</t>
  </si>
  <si>
    <t>Dias</t>
  </si>
  <si>
    <t>Francislene F. dos Reis Nascimento</t>
  </si>
  <si>
    <t>3312-1708</t>
  </si>
  <si>
    <t>3318-3829</t>
  </si>
  <si>
    <t>Cálculo para Acertos de Retificações de Afastamento Preliminar (Média Quinquenal)</t>
  </si>
  <si>
    <t>Servidor(a):</t>
  </si>
  <si>
    <t>Admissão:</t>
  </si>
  <si>
    <t>Lotação:</t>
  </si>
  <si>
    <t>de</t>
  </si>
  <si>
    <t>Afastamento:</t>
  </si>
  <si>
    <t>RB:</t>
  </si>
  <si>
    <t>aulas</t>
  </si>
  <si>
    <t>Cargo na data:</t>
  </si>
  <si>
    <t>h/a:</t>
  </si>
  <si>
    <t>Desde 01/02/2013</t>
  </si>
  <si>
    <t>Até 31/01/2013</t>
  </si>
  <si>
    <t>Acerto Até:</t>
  </si>
  <si>
    <t>mensais</t>
  </si>
  <si>
    <t>Horas/Aulas a Acertar:</t>
  </si>
  <si>
    <t>Q.</t>
  </si>
  <si>
    <t>Valor</t>
  </si>
  <si>
    <t>Mensal</t>
  </si>
  <si>
    <t>Anual</t>
  </si>
  <si>
    <t>Acerto de:</t>
  </si>
  <si>
    <t>TOTAIS</t>
  </si>
  <si>
    <t>Antonio David de Sousa Junior</t>
  </si>
  <si>
    <t>Doralice Cintra</t>
  </si>
  <si>
    <t>Escola Estadual Sinhana Borges</t>
  </si>
  <si>
    <t>PEB4B</t>
  </si>
  <si>
    <t>EC</t>
  </si>
  <si>
    <t>PEB4D</t>
  </si>
  <si>
    <t>8858-0353</t>
  </si>
  <si>
    <t>Vila Reis</t>
  </si>
  <si>
    <t>Gleidson Mundim dos Santos</t>
  </si>
  <si>
    <t>CÁLCULO DA ÚLTIMA REMUNERAÇÃO</t>
  </si>
  <si>
    <t>Ens.Esp.(140)</t>
  </si>
  <si>
    <t>Coord.Esc.(142)</t>
  </si>
  <si>
    <t>EEB (146)</t>
  </si>
  <si>
    <t>Efet.+30%(560)</t>
  </si>
  <si>
    <t>Efet.+50%(859)</t>
  </si>
  <si>
    <t>VTAP (385)</t>
  </si>
  <si>
    <t>VP (379)</t>
  </si>
  <si>
    <t>GRATIFICAÇÃO DEDICAÇÃO EXCLUSIVA</t>
  </si>
  <si>
    <t>Ded. Exclusiva</t>
  </si>
  <si>
    <t>Ded.Excl.(145)</t>
  </si>
  <si>
    <t>Exclusivo p/ Diretor. Buscar no Pgto do mês do Afastamento</t>
  </si>
  <si>
    <t>Se Diretor, VB Atual de Professor no Afastamento:</t>
  </si>
  <si>
    <t>3637-1323</t>
  </si>
  <si>
    <t>(Excluídos os Afastamentos pelo INSS).</t>
  </si>
  <si>
    <t>Faltas</t>
  </si>
  <si>
    <r>
      <t>Períodos de Designação (</t>
    </r>
    <r>
      <rPr>
        <b/>
        <i/>
        <u/>
        <sz val="11"/>
        <color theme="1"/>
        <rFont val="Arial Narrow"/>
        <family val="2"/>
      </rPr>
      <t>mês a mês</t>
    </r>
    <r>
      <rPr>
        <b/>
        <sz val="11"/>
        <color theme="1"/>
        <rFont val="Arial Narrow"/>
        <family val="2"/>
      </rPr>
      <t>) no Ano de</t>
    </r>
  </si>
  <si>
    <t>37-3426-1889</t>
  </si>
  <si>
    <t>Marilda Ribeiro Resende</t>
  </si>
  <si>
    <t xml:space="preserve">                                                                 </t>
  </si>
  <si>
    <t xml:space="preserve">APOGEU                                                           </t>
  </si>
  <si>
    <t xml:space="preserve">APRODEVAJ                                                        </t>
  </si>
  <si>
    <t xml:space="preserve">ASSOC BRASILEIRA DE FISICA MEDICA                                </t>
  </si>
  <si>
    <t xml:space="preserve">ASSOCIACAO EDUCATIVA DO BRASIL                                   </t>
  </si>
  <si>
    <t xml:space="preserve">ASSOCIACAO EVANGELICA EDUCACIONAL E BENEFICENTE BRASIL CENTRAL   </t>
  </si>
  <si>
    <t xml:space="preserve">AUTARQUIA DE ENSINO SUPERIOR DE ARCOVERDE                        </t>
  </si>
  <si>
    <t xml:space="preserve">AVM FACULDADE INTEGRADA                                          </t>
  </si>
  <si>
    <t xml:space="preserve">AVM INSTITUTO A VEZ DO MESTRE                                    </t>
  </si>
  <si>
    <t xml:space="preserve">CENTRO AVANCADO DE ENSINO EDUCACAO E CULTURA                     </t>
  </si>
  <si>
    <t xml:space="preserve">CENTRO DE DESENV DA TECNOLOGIA NUCLEAR                           </t>
  </si>
  <si>
    <t xml:space="preserve">CENTRO DE EDUCACAO PROFISSIONAL DE ITAJUBA                       </t>
  </si>
  <si>
    <t xml:space="preserve">CENTRO DE EDUCACAO PROFISSIONAL DO SUL DE MINAS                  </t>
  </si>
  <si>
    <t xml:space="preserve">CENTRO DE ENSINO SUPERIOR DE PRIMAVERA FACULDADE DE PRIMAVERA    </t>
  </si>
  <si>
    <t xml:space="preserve">CENTRO DE ESTUDOS HOSPITAL DA LAGOA                              </t>
  </si>
  <si>
    <t xml:space="preserve">CENTRO DE ESTUDOS SUPERIORES DE LONDRINA                         </t>
  </si>
  <si>
    <t xml:space="preserve">CENTRO DE ESTUDOS SUPERIORES DO CARMO                            </t>
  </si>
  <si>
    <t xml:space="preserve">CENTRO DE PSICOLOGIA HUMANISTA                                   </t>
  </si>
  <si>
    <t xml:space="preserve">CENTRO DE TEOLOGIA APLICADA INTEGRADA DA FACULDADE JOAO CALVINO  </t>
  </si>
  <si>
    <t xml:space="preserve">CENTRO EDUCACIONAL CEJA BRASIL                                   </t>
  </si>
  <si>
    <t xml:space="preserve">CENTRO EDUCACIONAL DE MANHUACU                                   </t>
  </si>
  <si>
    <t xml:space="preserve">CENTRO ESTADUAL DE EDUCACAO TECNOLOGICA PAULA SOUZA              </t>
  </si>
  <si>
    <t xml:space="preserve">CENTRO UNIVERITARIO DA BAHIA                                     </t>
  </si>
  <si>
    <t xml:space="preserve">CENTRO UNIVERSITARIO CAMPOS DE ANDRADE                           </t>
  </si>
  <si>
    <t xml:space="preserve">CENTRO UNIVERSITARIO CAPITAL                                     </t>
  </si>
  <si>
    <t xml:space="preserve">CENTRO UNIVERSITARIO DA GRANDE DOURADOS                          </t>
  </si>
  <si>
    <t xml:space="preserve">CENTRO UNIVERSITARIO DE JOAO PESSOA                              </t>
  </si>
  <si>
    <t xml:space="preserve">CENTRO UNIVERSITARIO FUNDACAO SANTO ANDRE                        </t>
  </si>
  <si>
    <t xml:space="preserve">CENTRO UNIVERSITARIO IESB                                        </t>
  </si>
  <si>
    <t xml:space="preserve">CENTRO UNIVERSITARIO INTERNACIONAL                               </t>
  </si>
  <si>
    <t xml:space="preserve">CENTRO UNIVERSITARIO ITALO BRASILEIRO                            </t>
  </si>
  <si>
    <t xml:space="preserve">CENTRO UNIVERSITARIO METROPOLITANO DE SAO PAULO                  </t>
  </si>
  <si>
    <t xml:space="preserve">CENTRO UNIVERSITARIO MODULO                                      </t>
  </si>
  <si>
    <t xml:space="preserve">CENTRO UNIVERSITARIO MONTE SERRAT                                </t>
  </si>
  <si>
    <t xml:space="preserve">CENTRO UNIVERSITARIO SAO JOSE DE ITAPERUNA                       </t>
  </si>
  <si>
    <t xml:space="preserve">CENTRO UNIVERSITARIO UNIFAFIBE                                   </t>
  </si>
  <si>
    <t xml:space="preserve">CENTRO UNIVERSITARIO UNISEB                                      </t>
  </si>
  <si>
    <t xml:space="preserve">CENTRO UNIVERSITARIO UNISEB INTERATIVO                           </t>
  </si>
  <si>
    <t xml:space="preserve">CENTRO UNIVERSITRIO DE GOIAS UNI ANHANGUERA                      </t>
  </si>
  <si>
    <t xml:space="preserve">CENTRO UNIVESITARIO DO NORTE                                     </t>
  </si>
  <si>
    <t xml:space="preserve">CESEC POETA MURILO MENDES DE BELO HORIZONTE                      </t>
  </si>
  <si>
    <t xml:space="preserve">CEUB CENTRO DE ENSINO UNIFICADO BANDEIRANTE                      </t>
  </si>
  <si>
    <t xml:space="preserve">CLINICA INTEGRADA DE ODONTOLOGIA S C LTDA                        </t>
  </si>
  <si>
    <t xml:space="preserve">COLEGIO COMERCIAL BRASILEIRO                                     </t>
  </si>
  <si>
    <t xml:space="preserve">COLEGIO METROPOLE                                                </t>
  </si>
  <si>
    <t xml:space="preserve">COLORADO STATE UNIVERSITY                                        </t>
  </si>
  <si>
    <t xml:space="preserve">CONSELHO FEDERAL DE FONOAUDIOLOGIA                               </t>
  </si>
  <si>
    <t xml:space="preserve">COOPERATIVA DE ENS TEC UNINDO CONHECI E TEC EM PROL DA VIDA      </t>
  </si>
  <si>
    <t xml:space="preserve">ESC APERFEICOAMENTO PROFIS DA ASSOC ODONTO DE RIBEIRAO PRETO     </t>
  </si>
  <si>
    <t xml:space="preserve">ESC DE REABILITACAO DO RIO DE JANEIRO                            </t>
  </si>
  <si>
    <t xml:space="preserve">ESCOLA DE DIREITO RIO DA FGV                                     </t>
  </si>
  <si>
    <t xml:space="preserve">ESCOLA DE EDUCACAO PERMANENTE                                    </t>
  </si>
  <si>
    <t xml:space="preserve">ESCOLA DE ENFERMAGEM HUGO WERNECK                                </t>
  </si>
  <si>
    <t xml:space="preserve">ESCOLA DE ENGENHARIA DE TAUBATE                                  </t>
  </si>
  <si>
    <t xml:space="preserve">ESCOLA DE MEDICINA DA UNIVERSIDADE DE NOVA YORK                  </t>
  </si>
  <si>
    <t xml:space="preserve">ESCOLA DO LEGISLATIVO DA ASSEMBLEIA LEGISLATIVA DO ESTADO DE MG  </t>
  </si>
  <si>
    <t xml:space="preserve">ESCOLA ESTADUAL JOSE JOAQUIM CABRAL                              </t>
  </si>
  <si>
    <t xml:space="preserve">ESCOLA ESTADUAL SOA MIGUEL                                       </t>
  </si>
  <si>
    <t xml:space="preserve">ESCOLA PAULISTA DE MEDICINA                                      </t>
  </si>
  <si>
    <t xml:space="preserve">ESCOLA SATELITE                                                  </t>
  </si>
  <si>
    <t>ESCOLA SUPERIOR DE CIENCIAS DA SANTA CASA DE MISERICORDIA VITORIA</t>
  </si>
  <si>
    <t xml:space="preserve">ESCOLA SUPERIOR DE ENSINO HELENA ANTIPOFF                        </t>
  </si>
  <si>
    <t xml:space="preserve">ESCOLA SUPERIOR DE NEGOCIOS                                      </t>
  </si>
  <si>
    <t xml:space="preserve">ESCOLA SUPERIOR DE TEOLOGIA                                      </t>
  </si>
  <si>
    <t xml:space="preserve">ESCOLA SUPERIOR SAO FRANCISO DE ASSIS                            </t>
  </si>
  <si>
    <t xml:space="preserve">ESCOLA TECNICA ALVARO DA SILVEIRA                                </t>
  </si>
  <si>
    <t xml:space="preserve">ESCOLA TECNICA JUSCELINO KUBITSCHEK                              </t>
  </si>
  <si>
    <t xml:space="preserve">ESCOLA TECNICA VIRGINIA PATRICK                                  </t>
  </si>
  <si>
    <t xml:space="preserve">ETAESG MANOEL DOS REIS ARAUJO                                    </t>
  </si>
  <si>
    <t xml:space="preserve">FAC ANHANGUERA DE BELO HORIZONTE                                 </t>
  </si>
  <si>
    <t xml:space="preserve">FAC AVILA DE CIENCIAS HUMANAS E EXATAS                           </t>
  </si>
  <si>
    <t xml:space="preserve">FAC CATOLICA DE ANAPOLIS                                         </t>
  </si>
  <si>
    <t xml:space="preserve">FAC DE CIENCIAS DA SAUDE ARCHIMEDES TEODORO                      </t>
  </si>
  <si>
    <t xml:space="preserve">FAC DE CIENCIAS DA SAUDE E SOCIAIS                               </t>
  </si>
  <si>
    <t xml:space="preserve">FAC DE EDUC E CIENC HUMAN PROF LAERTE DE CARVALHO                </t>
  </si>
  <si>
    <t xml:space="preserve">FAC DE EDUCACAO DE PORTO VELHO                                   </t>
  </si>
  <si>
    <t xml:space="preserve">FAC DE EDUCACAO MUSICAL DO PARANA                                </t>
  </si>
  <si>
    <t xml:space="preserve">FAC DE FILOSOF CIENC E LETRAS DE JACAREZINHO                     </t>
  </si>
  <si>
    <t xml:space="preserve">FAC DE ODONTOLOGIA DE NOVA FRIBURGO                              </t>
  </si>
  <si>
    <t xml:space="preserve">FAC DO MEIO AMBIENTE E DE TECNOLOGIA DE NEGOCIOS                 </t>
  </si>
  <si>
    <t xml:space="preserve">FAC ESTACIO DE SA DE VITORIA                                     </t>
  </si>
  <si>
    <t xml:space="preserve">FAC INTEGRADAS DE NAVIRAI                                        </t>
  </si>
  <si>
    <t xml:space="preserve">FAC PRES ANTONIO CARLOS DE TEOFILO OTONI                         </t>
  </si>
  <si>
    <t xml:space="preserve">FAC PRESIDENTE ANTONIO CARLOS DE BETIM                           </t>
  </si>
  <si>
    <t xml:space="preserve">FAC PRESIDENTE ANTONIO CARLOS DE CONTAGEM                        </t>
  </si>
  <si>
    <t xml:space="preserve">FAC PRESIDENTE ANTONIO CARLOS DE UBA                             </t>
  </si>
  <si>
    <t xml:space="preserve">FACULDADE ANGEL VIANNA                                           </t>
  </si>
  <si>
    <t xml:space="preserve">FACULDADE ANHANGUERA DE CAMPINAS                                 </t>
  </si>
  <si>
    <t xml:space="preserve">FACULDADE ANISIO TEIXEIRA                                        </t>
  </si>
  <si>
    <t xml:space="preserve">FACULDADE APROVACAO                                              </t>
  </si>
  <si>
    <t xml:space="preserve">FACULDADE ASSOCIADA BRASIL                                       </t>
  </si>
  <si>
    <t xml:space="preserve">FACULDADE ATENEU                                                 </t>
  </si>
  <si>
    <t xml:space="preserve">FACULDADE BAIANA DE DIREITO                                      </t>
  </si>
  <si>
    <t xml:space="preserve">FACULDADE BANDEIRANTES                                           </t>
  </si>
  <si>
    <t xml:space="preserve">FACULDADE BRASILEIRA                                             </t>
  </si>
  <si>
    <t xml:space="preserve">FACULDADE BRASILEIRA DE EDUCACAO E CULTURA                       </t>
  </si>
  <si>
    <t xml:space="preserve">FACULDADE CALAFIORI DE SAO SEBASTIAO DO PARAISO                  </t>
  </si>
  <si>
    <t xml:space="preserve">FACULDADE CAMPOS ELISEOS                                         </t>
  </si>
  <si>
    <t xml:space="preserve">FACULDADE CAPIXABA DA SERRA                                      </t>
  </si>
  <si>
    <t xml:space="preserve">FACULDADE CATOLICA DE POUSO ALEGRE                               </t>
  </si>
  <si>
    <t xml:space="preserve">FACULDADE CENECISTA DE BRASILIA                                  </t>
  </si>
  <si>
    <t xml:space="preserve">FACULDADE CIENCIAS JURIDICAS PROFESSOR ALBERTO DEODATO           </t>
  </si>
  <si>
    <t xml:space="preserve">FACULDADE DE ADMINISTRACAO CIENCIAS EDUCACAO E LETRAS DO PARANA  </t>
  </si>
  <si>
    <t xml:space="preserve">FACULDADE DE ADMINISTRACAO E ARTES DE LIMEIRA                    </t>
  </si>
  <si>
    <t xml:space="preserve">FACULDADE DE ALMENARA                                            </t>
  </si>
  <si>
    <t xml:space="preserve">FACULDADE DE AURIFLAMA                                           </t>
  </si>
  <si>
    <t xml:space="preserve">FACULDADE DE CIENCIAS BIOMEDICAS DO ESPIRITO SANTO               </t>
  </si>
  <si>
    <t xml:space="preserve">FACULDADE DE CIENCIAS DE WENCESLAU BRAZ                          </t>
  </si>
  <si>
    <t xml:space="preserve">FACULDADE DE CIENCIAS GERENCIAIS DE DRACENA                      </t>
  </si>
  <si>
    <t xml:space="preserve">FACULDADE DE CIENCIAS HUMANAS DE AGUAI                           </t>
  </si>
  <si>
    <t xml:space="preserve">FACULDADE DE CIENCIAS HUMANAS DE VITORIA                         </t>
  </si>
  <si>
    <t xml:space="preserve">FACULDADE DE CURIUS MARANGAPE CE                                 </t>
  </si>
  <si>
    <t xml:space="preserve">FACULDADE DE DIREITO DE CACHOEIRO DE ITAPEMIRIM                  </t>
  </si>
  <si>
    <t xml:space="preserve">FACULDADE DE DIREITO DE CARUARU                                  </t>
  </si>
  <si>
    <t xml:space="preserve">FACULDADE DE DIREITO DE VALENCA                                  </t>
  </si>
  <si>
    <t xml:space="preserve">FACULDADE DE ECONOMIA FINANCAS E ADMINISTRACAO DE SAO PAULO      </t>
  </si>
  <si>
    <t xml:space="preserve">FACULDADE DE EDUCACAO DE FATIMA DO SUL                           </t>
  </si>
  <si>
    <t xml:space="preserve">FACULDADE DE EDUCACAO E CULTURA MONTESSORI                       </t>
  </si>
  <si>
    <t>FACULDADE DE EDUCACAO E TECNOLOGIA DA REGIAO MISSIONEIRA FETREMIS</t>
  </si>
  <si>
    <t xml:space="preserve">FACULDADE DE EDUCACAO FE MOSSORO RN                              </t>
  </si>
  <si>
    <t xml:space="preserve">FACULDADE DE EDUCACAO SAO BRAZ                                   </t>
  </si>
  <si>
    <t xml:space="preserve">FACULDADE DE ENSINO DE MINAS GERAIS                              </t>
  </si>
  <si>
    <t xml:space="preserve">FACULDADE DE ENSINO SUPERIOR DE MARECHAL CANDIDO RONDON          </t>
  </si>
  <si>
    <t xml:space="preserve">FACULDADE DE FILOSOFIA CIENCIA E LETRAS SANTANA DE SP            </t>
  </si>
  <si>
    <t xml:space="preserve">FACULDADE DE FILOSOFIA CIENCIAS E LETRAS DE GOVERNADOR VALADARES </t>
  </si>
  <si>
    <t xml:space="preserve">FACULDADE DE FILOSOFIA CIENCIAS E LETRAS SANTA MARCELINA         </t>
  </si>
  <si>
    <t xml:space="preserve">FACULDADE DE FILOSOFIA DE CAMPOS                                 </t>
  </si>
  <si>
    <t xml:space="preserve">FACULDADE DE MEDICINA DE JUAZEIRO DO NORTE                       </t>
  </si>
  <si>
    <t xml:space="preserve">FACULDADE DE NEGOCIOS DE BELO HORIZONTE                          </t>
  </si>
  <si>
    <t xml:space="preserve">FACULDADE DE PATROCINIO                                          </t>
  </si>
  <si>
    <t xml:space="preserve">FACULDADE DE PINHAIS FAPI PARANA                                 </t>
  </si>
  <si>
    <t xml:space="preserve">FACULDADE DE SERVICO SOCIAL DE LINS                              </t>
  </si>
  <si>
    <t xml:space="preserve">FACULDADE DE TECNOLOGIA CENACAP                                  </t>
  </si>
  <si>
    <t xml:space="preserve">FACULDADE DE TECNOLOGIA CIENCIAS E EDUCACAO FATECE PIRASSUNUNGA  </t>
  </si>
  <si>
    <t xml:space="preserve">FACULDADE DE TECNOLOGIA DE PALMAS                                </t>
  </si>
  <si>
    <t xml:space="preserve">FACULDADE DE TECNOLOGIA DE RIO CLARO                             </t>
  </si>
  <si>
    <t xml:space="preserve">FACULDADE DE TECNOLOGIA DE SETE LAGOAS                           </t>
  </si>
  <si>
    <t xml:space="preserve">FACULDADE DE TECNOLOGIA E CIENCIAS DE JEQUIE                     </t>
  </si>
  <si>
    <t xml:space="preserve">FACULDADE DE TECNOLOGIA E CIENCIAS DE VITORIA DA CONQUISTA       </t>
  </si>
  <si>
    <t xml:space="preserve">FACULDADE DE TECNOLOGIA INAP                                     </t>
  </si>
  <si>
    <t xml:space="preserve">FACULDADE DO VALE ELVIRA DAYRELL                                 </t>
  </si>
  <si>
    <t xml:space="preserve">FACULDADE DOCTUM DE MANHUACU                                     </t>
  </si>
  <si>
    <t xml:space="preserve">FACULDADE DOTTORI                                                </t>
  </si>
  <si>
    <t xml:space="preserve">FACULDADE EDUCACIONAL DE CORNELIO PROCOPIO                       </t>
  </si>
  <si>
    <t xml:space="preserve">FACULDADE EFICAZ                                                 </t>
  </si>
  <si>
    <t xml:space="preserve">FACULDADE ERNESTO RISCALI                                        </t>
  </si>
  <si>
    <t xml:space="preserve">FACULDADE ESTADUAL DE EDUCACAO CIENCIAS E LETRAS DE PARANAVAI    </t>
  </si>
  <si>
    <t xml:space="preserve">FACULDADE EUROPEIA DE VITORIA                                    </t>
  </si>
  <si>
    <t xml:space="preserve">FACULDADE GEREMARIO DANTAS                                       </t>
  </si>
  <si>
    <t xml:space="preserve">FACULDADE INTEGRACAO ZONA OESTE                                  </t>
  </si>
  <si>
    <t xml:space="preserve">FACULDADE INTEGRADA DE ARAGUATINS FAIARA                         </t>
  </si>
  <si>
    <t xml:space="preserve">FACULDADE INTEGRADA DO CEARA                                     </t>
  </si>
  <si>
    <t xml:space="preserve">FACULDADE INTEGRADA DO RECIFE                                    </t>
  </si>
  <si>
    <t xml:space="preserve">FACULDADE INTEGRADO DE CAMPO MOURAO                              </t>
  </si>
  <si>
    <t xml:space="preserve">FACULDADE INTERNACIONAL DE TEOLOGIA                              </t>
  </si>
  <si>
    <t xml:space="preserve">FACULDADE INTERNACIONAL SIGNORELLI                               </t>
  </si>
  <si>
    <t xml:space="preserve">FACULDADE ISEIB DE BELO HORIZONTE                                </t>
  </si>
  <si>
    <t xml:space="preserve">FACULDADE JESUITA DE FILOSOFIA E TEOLOGIA                        </t>
  </si>
  <si>
    <t xml:space="preserve">FACULDADE JESUS MARIA JOSE                                       </t>
  </si>
  <si>
    <t xml:space="preserve">FACULDADE JOAO CALVINO                                           </t>
  </si>
  <si>
    <t xml:space="preserve">FACULDADE MARIO SCHENBERG                                        </t>
  </si>
  <si>
    <t xml:space="preserve">FACULDADE MAURICIO DE NASSAU                                     </t>
  </si>
  <si>
    <t xml:space="preserve">FACULDADE METODO DE SAO PAULO                                    </t>
  </si>
  <si>
    <t xml:space="preserve">FACULDADE NOBRE DE FEIRA DE SANTANA                              </t>
  </si>
  <si>
    <t xml:space="preserve">FACULDADE NOVOS HORIZONTES                                       </t>
  </si>
  <si>
    <t xml:space="preserve">FACULDADE PARAISO DO CEARA                                       </t>
  </si>
  <si>
    <t xml:space="preserve">FACULDADE PAULISTA SAO JOSE                                      </t>
  </si>
  <si>
    <t xml:space="preserve">FACULDADE PEDRO II                                               </t>
  </si>
  <si>
    <t xml:space="preserve">FACULDADE PIO DECIMO DE ARACAJU                                  </t>
  </si>
  <si>
    <t xml:space="preserve">FACULDADE PORTO ALEGRE DE ED CIENCIAS E LETRAS NAS INTITUICOES   </t>
  </si>
  <si>
    <t>FACULDADE PORTO ALEGRENSE DE CIENCIAS CONTABEIS E ADMINISTRATIVAS</t>
  </si>
  <si>
    <t xml:space="preserve">FACULDADE PRESIDENTE ANTONIO CARLOS DE BELO HORIZONTE            </t>
  </si>
  <si>
    <t xml:space="preserve">FACULDADE PRESIDENTE ANTONIO CARLOS DE LAMBARI                   </t>
  </si>
  <si>
    <t xml:space="preserve">FACULDADE PRESIDENTE ANTONIO CARLOS DE SAO JOAO DEL REI          </t>
  </si>
  <si>
    <t xml:space="preserve">FACULDADE PRESIDENTE ANTONIO CARLOS DE TUPACIGUARA               </t>
  </si>
  <si>
    <t xml:space="preserve">FACULDADE PRESIDENTE ANTONIO CARLOS DE UBERLANDIA                </t>
  </si>
  <si>
    <t xml:space="preserve">FACULDADE PRISMA                                                 </t>
  </si>
  <si>
    <t xml:space="preserve">FACULDADE PROMOVE DE JANAUBA                                     </t>
  </si>
  <si>
    <t xml:space="preserve">FACULDADE REGIONAL DE FILOSOFIA CIENCIAS E LETRAS DE CANDEIAS    </t>
  </si>
  <si>
    <t xml:space="preserve">FACULDADE SABERES                                                </t>
  </si>
  <si>
    <t xml:space="preserve">FACULDADE SANTA GIULIA                                           </t>
  </si>
  <si>
    <t xml:space="preserve">FACULDADE SAO BRAZ                                               </t>
  </si>
  <si>
    <t xml:space="preserve">FACULDADE SAO GABRIEL DA PALHA                                   </t>
  </si>
  <si>
    <t xml:space="preserve">FACULDADE SAO JUDAS TADEU DE PINHAIS                             </t>
  </si>
  <si>
    <t xml:space="preserve">FACULDADE SAO LUIZ DE SANTA CATARINA SC                          </t>
  </si>
  <si>
    <t xml:space="preserve">FACULDADE SAO PAULO                                              </t>
  </si>
  <si>
    <t xml:space="preserve">FACULDADE SARANDI                                                </t>
  </si>
  <si>
    <t xml:space="preserve">FACULDADE SENAC MINAS GERAIS                                     </t>
  </si>
  <si>
    <t xml:space="preserve">FACULDADE SUL AMERICANA                                          </t>
  </si>
  <si>
    <t xml:space="preserve">FACULDADE SUMARE                                                 </t>
  </si>
  <si>
    <t xml:space="preserve">FACULDADE TEOLOGICA DE MINAS GERAIS                              </t>
  </si>
  <si>
    <t xml:space="preserve">FACULDADE UNIAO CULTURAL DO ESTADO DE SAO PAULO                  </t>
  </si>
  <si>
    <t xml:space="preserve">FACULDADE UNIDA DE CAMPINAS                                      </t>
  </si>
  <si>
    <t xml:space="preserve">FACULDADE UNINGA                                                 </t>
  </si>
  <si>
    <t xml:space="preserve">FACULDADE UNISABER                                               </t>
  </si>
  <si>
    <t xml:space="preserve">FACULDADE UNIVERSITAS                                            </t>
  </si>
  <si>
    <t xml:space="preserve">FACULDADE VALE DO APORE                                          </t>
  </si>
  <si>
    <t xml:space="preserve">FACULDADE VERDE NORTE                                            </t>
  </si>
  <si>
    <t xml:space="preserve">FACULDADE VERTICE                                                </t>
  </si>
  <si>
    <t xml:space="preserve">FACULDADE VICENTINA                                              </t>
  </si>
  <si>
    <t xml:space="preserve">FACULDADE XV DE AGOSTO                                           </t>
  </si>
  <si>
    <t xml:space="preserve">FACULDADES ATIBAIA INSTITUTO SUPERIOR DE EDUCACAO                </t>
  </si>
  <si>
    <t xml:space="preserve">FACULDADES DA FUNDACAO DE ENSINO DE MOCOCA                       </t>
  </si>
  <si>
    <t xml:space="preserve">FACULDADES GAMMON                                                </t>
  </si>
  <si>
    <t xml:space="preserve">FACULDADES INTEGRADAS CAMPOS SALLES                              </t>
  </si>
  <si>
    <t xml:space="preserve">FACULDADES INTEGRADAS DA TERRA DE BRASILIA                       </t>
  </si>
  <si>
    <t xml:space="preserve">FACULDADES INTEGRADAS DE JAU                                     </t>
  </si>
  <si>
    <t xml:space="preserve">FACULDADES INTEGRADAS DE TRES LAGOAS                             </t>
  </si>
  <si>
    <t xml:space="preserve">FACULDADES INTEGRADAS DO SUDOESTE MINEIRO                        </t>
  </si>
  <si>
    <t xml:space="preserve">FACULDADES INTEGRADAS NORTE CAPIXABA                             </t>
  </si>
  <si>
    <t xml:space="preserve">FACULDADES INTEGRADAS PRINCESA ISABEL                            </t>
  </si>
  <si>
    <t xml:space="preserve">FACULDADES INTEGRADAS SAO PEDRO                                  </t>
  </si>
  <si>
    <t xml:space="preserve">FACULDADES INTEGRADAS TORRICELLI                                 </t>
  </si>
  <si>
    <t xml:space="preserve">FACULDAE INDEPENDENTE DO NORDESTE                                </t>
  </si>
  <si>
    <t xml:space="preserve">FAE                                                              </t>
  </si>
  <si>
    <t xml:space="preserve">FAERPI FACULDADE ENTRE RIOS DO PIAUI                             </t>
  </si>
  <si>
    <t xml:space="preserve">FAMATRI CURSOS TECNICOS PROFISSIONALIZANTES                      </t>
  </si>
  <si>
    <t xml:space="preserve">FASC FACULDADE SANTA CECILIA                                     </t>
  </si>
  <si>
    <t xml:space="preserve">FEAD CENTRO DE GESTAO EMPREENDEDORA                              </t>
  </si>
  <si>
    <t>FIMES FUND INTEGRADA MUNIC ENSINO SUPERIOR CENTRO UNIV DE MINEIRO</t>
  </si>
  <si>
    <t xml:space="preserve">FUND CULTURAL DE BH FAC DE FILOSOFIA CIENCIA E LETRA DE BH       </t>
  </si>
  <si>
    <t xml:space="preserve">FUND ESCOLA SUP DO MINIST PUBL DO DISTRITO FEDERAL E TERRITORIOS </t>
  </si>
  <si>
    <t xml:space="preserve">FUNDACAO ALTINO VENTURA                                          </t>
  </si>
  <si>
    <t xml:space="preserve">FUNDACAO CULTURAL DE BELO HORIZONTE                              </t>
  </si>
  <si>
    <t xml:space="preserve">FUNDACAO DE APOIO A ESCOLA TECNICA INSTITUTO SUP STO ANT PADUA   </t>
  </si>
  <si>
    <t xml:space="preserve">FUNDACAO DO ABC FACULDADE DE MEDICINA                            </t>
  </si>
  <si>
    <t xml:space="preserve">FUNDACAO EDUCACIONAL D ANDRADE ARCOBERDE                         </t>
  </si>
  <si>
    <t xml:space="preserve">FUNDACAO EDUCACIONAL DE DIVINOPOLIS MG                           </t>
  </si>
  <si>
    <t xml:space="preserve">FUNDACAO INSTITUTO DE ADMINISTRACAO                              </t>
  </si>
  <si>
    <t xml:space="preserve">FUNDACAO MACHADENSE DE ENSINO SUPERIOR E COMUNICACAO             </t>
  </si>
  <si>
    <t xml:space="preserve">FUNDACAO MARIO PENNA                                             </t>
  </si>
  <si>
    <t xml:space="preserve">FUNDACAO MUNICIPAL DE ENSINO SUPERIOR DE BRAGANCA PAULISTA       </t>
  </si>
  <si>
    <t xml:space="preserve">FUNDACAO OURO BRANCO                                             </t>
  </si>
  <si>
    <t xml:space="preserve">FUNDACAO UNIVERSIDADE DO TOCANTINS                               </t>
  </si>
  <si>
    <t xml:space="preserve">FUNEDI UEMG                                                      </t>
  </si>
  <si>
    <t xml:space="preserve">FUPAC                                                            </t>
  </si>
  <si>
    <t xml:space="preserve">HOSP MUNICIPAL SALGADO FILHO                                     </t>
  </si>
  <si>
    <t xml:space="preserve">HOSPITAL AGAMENON MAGALHAES                                      </t>
  </si>
  <si>
    <t xml:space="preserve">HOSPITAL INFANTIL DARCY VARGAS                                   </t>
  </si>
  <si>
    <t xml:space="preserve">HOSPITAL LUXEMBURGO MARIO PENNA                                  </t>
  </si>
  <si>
    <t xml:space="preserve">HOSPITAL MATERNIDADE CARMELA DUTRA                               </t>
  </si>
  <si>
    <t xml:space="preserve">HOSPITAL MUNICIPAL JOSE LUCAS FILHO                              </t>
  </si>
  <si>
    <t xml:space="preserve">HOSPITAL SAO JOAO DE DEUS FUNDACAO GERALDO CORREA                </t>
  </si>
  <si>
    <t xml:space="preserve">INSITUTO EXCELENCIA LTDA                                         </t>
  </si>
  <si>
    <t xml:space="preserve">INST BATISTA DE EDUC RELIGIOSA                                   </t>
  </si>
  <si>
    <t xml:space="preserve">INST DE ENSINO SUPERIOR DE COTIA                                 </t>
  </si>
  <si>
    <t xml:space="preserve">INSTITUICAO FACULDADE FORTIUM                                    </t>
  </si>
  <si>
    <t xml:space="preserve">INSTITUICAO NACIONAL DE CONTROLE DE QUALIDADE EM SAUDE           </t>
  </si>
  <si>
    <t xml:space="preserve">INSTITUTO BRASILEIRO DE ENSINO                                   </t>
  </si>
  <si>
    <t xml:space="preserve">INSTITUTO DE ASSITENCIA MEDICA AO SERVIDOR PUBLICO ESTADUAL      </t>
  </si>
  <si>
    <t xml:space="preserve">INSTITUTO DE DERMATOLOGIA MEDICINA E CIRURGIA ESTETICA           </t>
  </si>
  <si>
    <t xml:space="preserve">INSTITUTO DE EDUCACAO E ENSINO SUPERIOR DE SAMAMBAIA             </t>
  </si>
  <si>
    <t xml:space="preserve">INSTITUTO DE ENSINO E PESQUISA SANTA CASA BH                     </t>
  </si>
  <si>
    <t xml:space="preserve">INSTITUTO DE ENSINO SUEPRIOR FUCAPI CESF                         </t>
  </si>
  <si>
    <t xml:space="preserve">INSTITUTO DE ESTUDOS DA SAUDE SERGIO FEITOSA                     </t>
  </si>
  <si>
    <t xml:space="preserve">INSTITUTO DE ESTUDOS FARMACEUTICOS                               </t>
  </si>
  <si>
    <t xml:space="preserve">INSTITUTO EDUCACIONAL OMEGA                                      </t>
  </si>
  <si>
    <t xml:space="preserve">INSTITUTO ESTADUAL DE CARDIOLOGIA ALOYSIO DE CASTRO              </t>
  </si>
  <si>
    <t xml:space="preserve">INSTITUTO EVANGELICO COIMBRA DE CAPACITACAO PROFISSIONAL         </t>
  </si>
  <si>
    <t xml:space="preserve">INSTITUTO FED EDUCACAO CIENCIA E TECNOLOGIA DO TRIANGULO MINEIRO </t>
  </si>
  <si>
    <t xml:space="preserve">INSTITUTO FEDERAL DE EDUCACAO CIENCIA E TECNOLOGIA DO SUL DE MG  </t>
  </si>
  <si>
    <t xml:space="preserve">INSTITUTO FELLIPO SMALDONECENTRO EDUCACIONAL AUDIO COMUNICACAO   </t>
  </si>
  <si>
    <t xml:space="preserve">INSTITUTO ITURAMENSE DE ENSINO SUPERIOR                          </t>
  </si>
  <si>
    <t xml:space="preserve">INSTITUTO MACHADENSE DE ENSINO SUPERIOR                          </t>
  </si>
  <si>
    <t xml:space="preserve">INSTITUTO MAIRIPORA DE ENSINO SUPERIOR                           </t>
  </si>
  <si>
    <t xml:space="preserve">INSTITUTO MANTENEDOR E ENSINO SUPERIOR DA BAHIA                  </t>
  </si>
  <si>
    <t xml:space="preserve">INSTITUTO MARIO PENNA                                            </t>
  </si>
  <si>
    <t xml:space="preserve">INSTITUTO MUNICIPAL DA MULHER FERNANDO MAGALHAES                 </t>
  </si>
  <si>
    <t xml:space="preserve">INSTITUTO MUNICIPAL DE ADMINISTRACAO E CIENCIAS CONTABEIS        </t>
  </si>
  <si>
    <t xml:space="preserve">INSTITUTO MUNICIPAL DE ENSINO SUPERIOR DE SAO MANUEL             </t>
  </si>
  <si>
    <t xml:space="preserve">INSTITUTO MUSICAL DE SAO PAULO                                   </t>
  </si>
  <si>
    <t xml:space="preserve">INSTITUTO NACIONAL DE ADMINISTRACION PUBLICA                     </t>
  </si>
  <si>
    <t xml:space="preserve">INSTITUTO SUPERIOR DE CIENCIAS HUMANAS E SOCIAIS ANISIO TEIXEIRA </t>
  </si>
  <si>
    <t xml:space="preserve">INSTITUTO SUPERIOR DE EDUCACAO ANISIO TEIXEIRA ISEAT             </t>
  </si>
  <si>
    <t xml:space="preserve">INSTITUTO SUPERIOR DE ENSINO E PESQUISA DE CAMBUI                </t>
  </si>
  <si>
    <t xml:space="preserve">INSTITUTO SUPERIOR DE MEDICINA E DERMATOLOGIA                    </t>
  </si>
  <si>
    <t xml:space="preserve">INSTITUTO SUPERIOR TUPY                                          </t>
  </si>
  <si>
    <t xml:space="preserve">INSTITUTO UNIFICADO DE ENSINO SUPERIOR OBJETIVO                  </t>
  </si>
  <si>
    <t xml:space="preserve">INSTITUTO UNIVERSAL BRASILEIRO                                   </t>
  </si>
  <si>
    <t xml:space="preserve">INSTITUTOS DE EDUCACAO SUPERIOR UNYAHNA                          </t>
  </si>
  <si>
    <t xml:space="preserve">PONTIFICIA UNIV CATOLICA DE GOIAS                                </t>
  </si>
  <si>
    <t xml:space="preserve">PONTIFICIA UNIVERSITA GREGORIANA                                 </t>
  </si>
  <si>
    <t xml:space="preserve">SEMINARIO TEOLOGICO CRISTO PARA AS NACOES                        </t>
  </si>
  <si>
    <t xml:space="preserve">SOCIEDADE BRASILEIRA DE NEUROFISIOLOGIA CLINICA                  </t>
  </si>
  <si>
    <t xml:space="preserve">SOCIEDADE BRASILEIRA DE REUMATOLOGIA                             </t>
  </si>
  <si>
    <t xml:space="preserve">SOCIEDADE BRASILEIRA DE TERAPIA INTENSIVA                        </t>
  </si>
  <si>
    <t xml:space="preserve">SOCIEDADE CULTURAL DE IBIRACI                                    </t>
  </si>
  <si>
    <t xml:space="preserve">SOCIEDADE EDUCACIONAL DE SANTA CATARINA                          </t>
  </si>
  <si>
    <t xml:space="preserve">SOCIEDADE OBJETIVO DE ENSINO SUPERIOR                            </t>
  </si>
  <si>
    <t xml:space="preserve">SOEBRAS ASSOCIACAO EDUCATIVA DO BRASIL                           </t>
  </si>
  <si>
    <t xml:space="preserve">UBC                                                              </t>
  </si>
  <si>
    <t xml:space="preserve">UNESPA UNIAO DAS ESCOLAS SUPERIORES DO PARA                      </t>
  </si>
  <si>
    <t xml:space="preserve">UNIABEU CENTRO UNIVERSITARIO                                     </t>
  </si>
  <si>
    <t xml:space="preserve">UNICESUMAR                                                       </t>
  </si>
  <si>
    <t xml:space="preserve">UNIDADE DE ENSINO E APRENDIZADO DE VICOSA LTDA                   </t>
  </si>
  <si>
    <t xml:space="preserve">UNIDADE DE ENSINO SUPERIOR CONECTADO LTDA                        </t>
  </si>
  <si>
    <t xml:space="preserve">UNINTER CENTRO UNIVERSITARIO                                     </t>
  </si>
  <si>
    <t xml:space="preserve">UNIV EST DO MARANHAO                                             </t>
  </si>
  <si>
    <t xml:space="preserve">UNIVERISADE BRAZCUBAS                                            </t>
  </si>
  <si>
    <t xml:space="preserve">UNIVERSIDAD MAYOR DE SAN SIMON                                   </t>
  </si>
  <si>
    <t xml:space="preserve">UNIVERSIDADE ANHANGUERA                                          </t>
  </si>
  <si>
    <t xml:space="preserve">UNIVERSIDADE CATOLICA BOLIVIANA SAN PABLO                        </t>
  </si>
  <si>
    <t xml:space="preserve">UNIVERSIDADE DE COIMBRA                                          </t>
  </si>
  <si>
    <t xml:space="preserve">UNIVERSIDADE DE CRUZ ALTA                                        </t>
  </si>
  <si>
    <t xml:space="preserve">UNIVERSIDADE DE EVORA                                            </t>
  </si>
  <si>
    <t xml:space="preserve">UNIVERSIDADE DE RIO VERDE                                        </t>
  </si>
  <si>
    <t xml:space="preserve">UNIVERSIDADE DO ESTADO DO PARA                                   </t>
  </si>
  <si>
    <t xml:space="preserve">UNIVERSIDADE DO EXTREMO SUL CATARINENSE                          </t>
  </si>
  <si>
    <t xml:space="preserve">UNIVERSIDADE DO OESTE DE SANTA CATARINA                          </t>
  </si>
  <si>
    <t xml:space="preserve">UNIVERSIDADE DO PARANA                                           </t>
  </si>
  <si>
    <t xml:space="preserve">UNIVERSIDADE DO VALE DOS SINOS                                   </t>
  </si>
  <si>
    <t xml:space="preserve">UNIVERSIDADE ESTADUAL DA PARAIBA                                 </t>
  </si>
  <si>
    <t xml:space="preserve">UNIVERSIDADE ESTADUAL DE SANTA CRUZ ILHEUS BA                    </t>
  </si>
  <si>
    <t xml:space="preserve">UNIVERSIDADE ESTADUAL DO CEARA                                   </t>
  </si>
  <si>
    <t xml:space="preserve">UNIVERSIDADE EVANGELICA DEL PARAGUAY                             </t>
  </si>
  <si>
    <t xml:space="preserve">UNIVERSIDADE NILTON LINS                                         </t>
  </si>
  <si>
    <t xml:space="preserve">UNIVERSIDADE PRIVADA ABIERTA LATINO AMERICANCA UPAL              </t>
  </si>
  <si>
    <t xml:space="preserve">UNIVERSIDADE REGIONALD E BLUMENAU FURB                           </t>
  </si>
  <si>
    <t xml:space="preserve">UNIVERSIDADE SALVADOR                                            </t>
  </si>
  <si>
    <t xml:space="preserve">UNIVERSIDADE SEVERINO SOMBRA                                     </t>
  </si>
  <si>
    <t xml:space="preserve">UNIVERSITAT DE BARCELONA                                         </t>
  </si>
  <si>
    <t xml:space="preserve">UNIVERSITAT POMPEU FABRA                                         </t>
  </si>
  <si>
    <t xml:space="preserve">UNIVERSITE JOSEPH FOURIER                                        </t>
  </si>
  <si>
    <t xml:space="preserve">UNIVERSITE NICE SOPHIA ANTIPOLIS                                 </t>
  </si>
  <si>
    <t xml:space="preserve">UNIVERSITE PARIS I PANTHEON SORBONNE                             </t>
  </si>
  <si>
    <t xml:space="preserve">VERBO JURIDICO                                                   </t>
  </si>
  <si>
    <t xml:space="preserve">POS-GRAD LATO SENSU RES MED I </t>
  </si>
  <si>
    <t xml:space="preserve">POS-GRAD LATO SENSU           </t>
  </si>
  <si>
    <t xml:space="preserve">GESTAO EM SAUDE, ACREDITACAO E AUDITORIA                                                            </t>
  </si>
  <si>
    <t xml:space="preserve">PERICIA MEDICA                                                                                      </t>
  </si>
  <si>
    <t xml:space="preserve">FISIOTERAPIA EM OBSTETRICIA                                                                         </t>
  </si>
  <si>
    <t xml:space="preserve">UROGINECOLOGIA                                                                                      </t>
  </si>
  <si>
    <t xml:space="preserve">SAUDE PUBLICA E DA FAMILIA                                                                          </t>
  </si>
  <si>
    <t xml:space="preserve">BIOQUIMICA E IMUNOLOGIA                                                                             </t>
  </si>
  <si>
    <t xml:space="preserve">ATIVIDADE FISICA E SUAS BASES NUTRICIONAIS                                                          </t>
  </si>
  <si>
    <t xml:space="preserve">MEDICINA FETAL                                                                                      </t>
  </si>
  <si>
    <t xml:space="preserve">URGENCIAS E EMERGENCIAS PEDIATRICAS                                                                 </t>
  </si>
  <si>
    <t xml:space="preserve">GINECOLOGIA ONCOLOGICA                                                                              </t>
  </si>
  <si>
    <t xml:space="preserve">DISFUNCAO TEMPOROMANDIBULAR E DOR OROFACIAL                                                         </t>
  </si>
  <si>
    <t xml:space="preserve">GESTAO DA CLINICA NA ATENCAO PRIMARIA A SAUDE                                                       </t>
  </si>
  <si>
    <t xml:space="preserve">GEOGRAFIA E EDUCACAO AMBIENTAL                                                                      </t>
  </si>
  <si>
    <t xml:space="preserve">TERAPIA INTENSIVA NEOPEDIATRICA                                                                     </t>
  </si>
  <si>
    <t xml:space="preserve">ASSISTENCIA HOSPITALAR AO NEONATO                                                                   </t>
  </si>
  <si>
    <t xml:space="preserve">APERFEICOAMENTO EM ORTODONTIA PREVENTIVA E INTERCEPTATIVA                                           </t>
  </si>
  <si>
    <t xml:space="preserve">ENDOCRINOLOGIA E METABOLOGIA                                                                        </t>
  </si>
  <si>
    <t xml:space="preserve">MANEJO DA FERTILIDADE DO SOLO NO CERRADO                                                            </t>
  </si>
  <si>
    <t xml:space="preserve">BIOLOGIA - ECOLOGIA                                                                                 </t>
  </si>
  <si>
    <t xml:space="preserve">TRAUMA, EMERGENCIA E TERAPIA INTENSIVA PARA ENFERMEIROS                                             </t>
  </si>
  <si>
    <t xml:space="preserve">ASSISTENCIA DE ENFERMAGEM AO PORTADOR DE LESAO CUTANEA                                              </t>
  </si>
  <si>
    <t xml:space="preserve">HIGIENE E INSPECAO DE PRODUTOS DE ORIGEM ANIMAL E VIGILANCIA SANITARIA DE ALIMENTOS                 </t>
  </si>
  <si>
    <t xml:space="preserve">NUTRICAO, OBESIDADE E TRANSTORNOS ALIMENTARES                                                       </t>
  </si>
  <si>
    <t xml:space="preserve">ACREDITACAO HOSPITALAR                                                                              </t>
  </si>
  <si>
    <t xml:space="preserve">INTERVENCAO EM NEUROPEDIATRIA                                                                       </t>
  </si>
  <si>
    <t xml:space="preserve">NEUROCIENCIAS                                                                                       </t>
  </si>
  <si>
    <t xml:space="preserve">FARMACOLOGIA CLINICA                                                                                </t>
  </si>
  <si>
    <t xml:space="preserve">ANALISES CLINICAS E MOLECULARES                                                                     </t>
  </si>
  <si>
    <t xml:space="preserve">FISIOTERAPIA CARDIO-PULMONAR                                                                        </t>
  </si>
  <si>
    <t xml:space="preserve">FISIOTERAPIA EM PNEUMOLOGIA E TERAPIA INTENSIVA                                                     </t>
  </si>
  <si>
    <t xml:space="preserve">CIENCIAS E TECNOLOGIA DE LATICINIOS                                                                 </t>
  </si>
  <si>
    <t xml:space="preserve">MULTIDISCIPLINAR EM FISICA, QUIMICA E NEUROCIENCIA                                                  </t>
  </si>
  <si>
    <t xml:space="preserve">ENFERMAGEM GERIATRICA                                                                               </t>
  </si>
  <si>
    <t xml:space="preserve">FISIOTERAPIA NEONATAL                                                                               </t>
  </si>
  <si>
    <t xml:space="preserve">FISIOTERAPIA CARDIORRESPIRATORIA HOSPITALAR                                                         </t>
  </si>
  <si>
    <t xml:space="preserve">URGENCIA E EMERGENCIA                                                                               </t>
  </si>
  <si>
    <t xml:space="preserve">FISIOTERAPIA CARDIORRESPIRATORIA                                                                    </t>
  </si>
  <si>
    <t xml:space="preserve">ARQUITETURA DO SISTEMA DE SAUDE                                                                     </t>
  </si>
  <si>
    <t xml:space="preserve">FISIOTERAPIA NA SAUDE DO TRABALHADOR                                                                </t>
  </si>
  <si>
    <t xml:space="preserve">ANALISES CLINICAS E GESTAO DE LABORATORIO                                                           </t>
  </si>
  <si>
    <t xml:space="preserve">CONTROLE E GARANTIA DE QUALIDADE DE PRODUTOS FARMACEUTICOS                                          </t>
  </si>
  <si>
    <t xml:space="preserve">MEDICINA DO ESPORTE                                                                                 </t>
  </si>
  <si>
    <t xml:space="preserve">ATENDIMENTO INTEGRAL AO PORTADOR DE LESAO CUTANEA                                                   </t>
  </si>
  <si>
    <t xml:space="preserve">ENFERMAGEM EM CENTRO CIRURGICO E CENTRAL DE MATERIAIS E ESTERILIZACAO                               </t>
  </si>
  <si>
    <t>AVALIACAO COMPARATIVA DO TRATAMENTO COM DERIVADOS NITROIMIDAZOLICOS E TRIAZOLICOS NA EVOLUCAO DA INF</t>
  </si>
  <si>
    <t xml:space="preserve">NEUROFISIOLOGIA CLINICA                                                                             </t>
  </si>
  <si>
    <t xml:space="preserve">MESTRADO EM INOVACAO BIOFARMACEUTICA                                                                </t>
  </si>
  <si>
    <t xml:space="preserve">ENFERMAGEM EM TERAPIA INTENSIVA DE ADULTOS                                                          </t>
  </si>
  <si>
    <t xml:space="preserve">TRAUMA, EMERGENCIA E TERAPIA INTENSIVA EM PEDIATRIA                                                 </t>
  </si>
  <si>
    <t xml:space="preserve">EMERGENCIA EM UNIDADE DE TERAPIA INTENSIVA NEONATAL E PEDIATRICA                                    </t>
  </si>
  <si>
    <t xml:space="preserve">CIENCIAS DA MOTRICIDADE HUMANA                                                                      </t>
  </si>
  <si>
    <t xml:space="preserve">TERAPIA NUTRICIONAL E NUTRICAO CLINICA                                                              </t>
  </si>
  <si>
    <t xml:space="preserve">ATIVIDADE FISICA PARA PESSOAS COM DEFICIENCIA                                                       </t>
  </si>
  <si>
    <t xml:space="preserve">CIENCIAS FISIOLOGICAS                                                                               </t>
  </si>
  <si>
    <t xml:space="preserve">NEUROPEDAGOGIA E PSICANALISE                                                                        </t>
  </si>
  <si>
    <t xml:space="preserve">FARMACOLOGIA E TOXICOLOGIA                                                                          </t>
  </si>
  <si>
    <t xml:space="preserve">URGENCIA EM ATENDIMENTO PRE HOSPITALAR                                                              </t>
  </si>
  <si>
    <t xml:space="preserve">ENFERMAGEM CARDIOVASCULAR                                                                           </t>
  </si>
  <si>
    <t xml:space="preserve">CUIDADO PRIMARIO EM SAUDE                                                                           </t>
  </si>
  <si>
    <t xml:space="preserve">GESTAO DE SERVICOS DE SAUDE, ACREDITACAO E AUDITORIA                                                </t>
  </si>
  <si>
    <t xml:space="preserve">CIENCIAS APLICADAS A SAUDE DO ADULTO                                                                </t>
  </si>
  <si>
    <t xml:space="preserve">ECOLOGIA DE BIOMAS TROPICAIS                                                                        </t>
  </si>
  <si>
    <t xml:space="preserve">COMPORTAMENTO ANIMAL E SUAS APLICACOES                                                              </t>
  </si>
  <si>
    <t xml:space="preserve">FISIOTERAPIA EM TERAPIA INTENSIVA                                                                   </t>
  </si>
  <si>
    <t xml:space="preserve">TERAPIA INTENSIVA ADULTO - URGENCIA, EMERGENCIA E TRAUMA                                            </t>
  </si>
  <si>
    <t xml:space="preserve">ORTOPEDIA FACIAL                                                                                    </t>
  </si>
  <si>
    <t xml:space="preserve">INTERDISCIPLINARIDADE EM TERAPIA NUTRICIONAL                                                        </t>
  </si>
  <si>
    <t xml:space="preserve">ODONTOLOGIA INTENSIVA                                                                               </t>
  </si>
  <si>
    <t xml:space="preserve">FISIOTERAPIA CLINICA                                                                                </t>
  </si>
  <si>
    <t xml:space="preserve">ODONTOLOGIA DO TRABALHO                                                                             </t>
  </si>
  <si>
    <t xml:space="preserve">ODONTOLOGIA NA UNIDADE DE TERAPIA INTENSIVA                                                         </t>
  </si>
  <si>
    <t xml:space="preserve">TERAPIA OCUPACIONAL EM SAUDE MENTAL                                                                 </t>
  </si>
  <si>
    <t xml:space="preserve">FISIOTERAPIA CARDIOVASCULAR                                                                         </t>
  </si>
  <si>
    <t xml:space="preserve">MEDICINA MOLECULAR                                                                                  </t>
  </si>
  <si>
    <t xml:space="preserve">RESIDENCIA MULTIPROFISSIONAL EM SAUDE CARDIOVASCULAR                                                </t>
  </si>
  <si>
    <t xml:space="preserve">ATENCAO A SAUDE                                                                                     </t>
  </si>
  <si>
    <t xml:space="preserve">FISIOTERAPIA ORTOPEDICA E DESPORTIVA                                                                </t>
  </si>
  <si>
    <t xml:space="preserve">SAUDE MENTAL E ATENCAO PSICOSSOCIAL                                                                 </t>
  </si>
  <si>
    <t xml:space="preserve">URGENCIA E EMERGENCIA: PRE HOSPITALAR E HOSPITALAR                                                  </t>
  </si>
  <si>
    <t xml:space="preserve">ENFERMAGEM EM ESTOMATERAPIA                                                                         </t>
  </si>
  <si>
    <t xml:space="preserve">GERENCIAMENTO DE ENFERMAGEM NA REDE BASICA                                                          </t>
  </si>
  <si>
    <t xml:space="preserve">ATENCAO A SAUDE DA PESSOA IDOSA                                                                     </t>
  </si>
  <si>
    <t xml:space="preserve">FISIOTERAPIA DO TRABALHO                                                                            </t>
  </si>
  <si>
    <t xml:space="preserve">ENFERMAGEM ONCOLOGICA                                                                               </t>
  </si>
  <si>
    <t xml:space="preserve">BIOLOGIA REPRODUTIVA DE ANTRACTUS PANTOSTICTUS                                                      </t>
  </si>
  <si>
    <t xml:space="preserve">PATOLOGIA TROPICAL                                                                                  </t>
  </si>
  <si>
    <t xml:space="preserve">IMUNOLOGIA E PARASITOLOGIA APLICADAS                                                                </t>
  </si>
  <si>
    <t xml:space="preserve">ESPECIALIZAÃ├O EM CONTROLE DE QUALIDADE DE PRODUTOS, AMBIENTES E SERVIÃOS                           </t>
  </si>
  <si>
    <t xml:space="preserve">ENFERMAGEM DERMATOLËGICA                                                                            </t>
  </si>
  <si>
    <t xml:space="preserve">AUDITORIA E MECANISMO DE REGULAÃ├O EM SA┌DE                                                         </t>
  </si>
  <si>
    <t xml:space="preserve">UTI GERAL                                                                                           </t>
  </si>
  <si>
    <t xml:space="preserve">ESPECIALIZAÃ├O M╔DICA EM ENFERMAGEM                                                                 </t>
  </si>
  <si>
    <t xml:space="preserve">ENFERMAGEM CIR┌RGICA                                                                                </t>
  </si>
  <si>
    <t xml:space="preserve">ENFERMAGEM EM CUIDADOS INTENSIVOS ADULTO E NEONATAL                                                 </t>
  </si>
  <si>
    <t xml:space="preserve">EDUCAÃ├O, AÃ├O SOCIAL E RELIGI├O AVANÃADA                                                           </t>
  </si>
  <si>
    <t xml:space="preserve">SEXOLOGIA                                                                                           </t>
  </si>
  <si>
    <t xml:space="preserve">GEST├O DA ASSIST╩NCIA FARMAC╩UTICA                                                                  </t>
  </si>
  <si>
    <t xml:space="preserve">SA┌DE DA FAM═LIA E COMUNIDADE                                                                       </t>
  </si>
  <si>
    <t xml:space="preserve">PSICAN┴LISE APLICADA └ SA┌DE MENTAL                                                                 </t>
  </si>
  <si>
    <t xml:space="preserve">SA┌DE DA CRIANÃA                                                                                    </t>
  </si>
  <si>
    <t xml:space="preserve">ENFERMAGEM ASSIST╩NCIA INTEGRAL A CARDIOLOGIA                                                       </t>
  </si>
  <si>
    <t xml:space="preserve">ESPECIALIZACAO EM SA┌DE COLETIVA                                                                    </t>
  </si>
  <si>
    <t xml:space="preserve">CIENCIAS COM HABILITACAO EM BIOLOGIA                                                                </t>
  </si>
  <si>
    <t xml:space="preserve">ESPECIALIZAÃ├O EM BIOETICA E SAUDE                                                                  </t>
  </si>
  <si>
    <t xml:space="preserve">ESPECIALIZACAO EM NEUROPEDAGOGIA E PSICANALISE/EDUCACAO ESPECIAL                                    </t>
  </si>
  <si>
    <t xml:space="preserve">DENTISTICA                                                                                          </t>
  </si>
  <si>
    <t xml:space="preserve">FISIOTERAPIA REABILITACAO MUSCULO-ESQUELETICA                                                       </t>
  </si>
  <si>
    <t xml:space="preserve">FISIOTERAPIA NEONATAL-ABORTAGEM EM U.T.I, BERCARIO E AMBULATORIO                                    </t>
  </si>
  <si>
    <t xml:space="preserve">ENFERMAGEM EM TERAPIA INTENSIVA ADULTO E NEONATO                                                    </t>
  </si>
  <si>
    <t xml:space="preserve">RESIDENCIA MULTIPROFISSIONAL EM SAUDE NA AREA DE ENFASE DE SAUDE DA MULHER E DO RECEM-NASCIDO       </t>
  </si>
  <si>
    <t xml:space="preserve">ASSISTENCIA DE ENFERMAGEM DE MEDIA E ALTA COMPLEXIDADE                                              </t>
  </si>
  <si>
    <t xml:space="preserve">ENFERMAGEM EM ATENDIMENTO PRE-HOSPITALAR                                                            </t>
  </si>
  <si>
    <t xml:space="preserve">CIRURGIA GERAL PROGRAMA AVANCADO-RESIDENCIA MEDICA                                                  </t>
  </si>
  <si>
    <t xml:space="preserve">CIENCIA DA MUSCULACAO E ACADEMIA                                                                    </t>
  </si>
  <si>
    <t xml:space="preserve">FISIOTERAPIA EM GERIATRIA                                                                           </t>
  </si>
  <si>
    <t xml:space="preserve">RESIDENCIA MULTIPROFISSIONAL EM SAUDE, NA AREA DE ENFASE URGENCIA EMERGENCIA E TERAPIA INTENSIVA    </t>
  </si>
  <si>
    <t xml:space="preserve">FISIOTERAPIA REABILITACAO MUSCULO-ESQUELETICA E DESPORTIVA                                          </t>
  </si>
  <si>
    <t xml:space="preserve">GERONTOLOGIA EM QUALIDADE DE VIDA                                                                   </t>
  </si>
  <si>
    <t xml:space="preserve">FISIOTERAPIA NA UTI NEONATAL E PEDIATRICA                                                           </t>
  </si>
  <si>
    <t xml:space="preserve">VIDEOCIRURGIA                                                                                       </t>
  </si>
  <si>
    <t xml:space="preserve">BIOLOGIA FORENSE                                                                                    </t>
  </si>
  <si>
    <t xml:space="preserve">ESPECIALIZACAO EM ENGENHARIA GENETICA                                                               </t>
  </si>
  <si>
    <t xml:space="preserve">FISIOTERAPIA EM CARDIOLOGIA - ESPECIALIZACAO                                                        </t>
  </si>
  <si>
    <t xml:space="preserve">ESPECIALIZACAO EM PLANEJAMENTO E GESTAO DE SISTEMAS E SERVICOS DE SAUDE                             </t>
  </si>
  <si>
    <t xml:space="preserve">CLINICA MEDICA - PNEUMOLOGIA - ESPECIALIZACAO                                                       </t>
  </si>
  <si>
    <t xml:space="preserve">REDE DE GESTAO DO CUIDADO AO PACIENTE CRITICO                                                       </t>
  </si>
  <si>
    <t xml:space="preserve">PROGRAMA DE RESIDENCIA MEDICA DE OBSTETRICIA E GINECOLOGIA                                          </t>
  </si>
  <si>
    <t xml:space="preserve">MEDICINA INTENSIVA PEDIATRICA - ESPECIALIZACAO                                                      </t>
  </si>
  <si>
    <t xml:space="preserve">HEMODINAMICA - ESPECIALIZACAO                                                                       </t>
  </si>
  <si>
    <t xml:space="preserve">RESIDENCIA MEDICA NA ESPECIALIDADE DE ONCOLOGIA                                                     </t>
  </si>
  <si>
    <t xml:space="preserve">INSTRUMENTALIDADE DO SERVIÃO SOCIAL                                                                 </t>
  </si>
  <si>
    <t xml:space="preserve">MBA EXECUTIVO EM SAUDE E GESTAO HOSPITALAR                                                          </t>
  </si>
  <si>
    <t xml:space="preserve">MESTRADO EM BIOQUIMICA E BIOLOGIA MOLECULAR                                                         </t>
  </si>
  <si>
    <t xml:space="preserve">PSICODRAMA PSICOTERAPEUTICO                                                                         </t>
  </si>
  <si>
    <t xml:space="preserve">ENFERMAGEM EM URGENCIA E EMERGENCIA COM ENFASE EM CARDIOLOGIA                                       </t>
  </si>
  <si>
    <t xml:space="preserve">MEDICINA DO ADOLESCENTE - ESPECIALIZAÃAO                                                            </t>
  </si>
  <si>
    <t>POS-G STRICTU SENSU RES MED II</t>
  </si>
  <si>
    <t xml:space="preserve">CIRURGIA DA CABECA E PESCOCO                                                                        </t>
  </si>
  <si>
    <t xml:space="preserve">PERICIA MEDICA PREVIDENCIARIA                                                                       </t>
  </si>
  <si>
    <t xml:space="preserve">ESTETICA E COMETICA                                                                                 </t>
  </si>
  <si>
    <t xml:space="preserve">TERAPIA INTENSIVA URGENCIA ATENDIMENTO HOSPITALAR PARA ENFERMEIROS                                  </t>
  </si>
  <si>
    <t xml:space="preserve">FISIOTERAPIA CARDIO RESPIRATORIA EM UTI                                                             </t>
  </si>
  <si>
    <t xml:space="preserve">ENFERMAGEM DE URGENCIA EMERGENCIA E ATENDIMENTO   PRE-HOSPITALAR                                    </t>
  </si>
  <si>
    <t xml:space="preserve">ENGENHARIA BIOMEDICA E ENGENHARIA CLINICA                                                           </t>
  </si>
  <si>
    <t xml:space="preserve">ENGENHARIA BIOMEDICA                                                                                </t>
  </si>
  <si>
    <t xml:space="preserve">RESIDENCIA EM PEDIATRIA                                                                             </t>
  </si>
  <si>
    <t xml:space="preserve">RESIDENCIA EM HEMATOLOGIA E HEMOTERAPIA                                                             </t>
  </si>
  <si>
    <t xml:space="preserve">BIOETICA, DIREITO E APLICACOES                                                                      </t>
  </si>
  <si>
    <t xml:space="preserve">ENSINO EM SAUDE                                                                                     </t>
  </si>
  <si>
    <t xml:space="preserve">GESTAO DA ATENCAO A SAUDE                                                                           </t>
  </si>
  <si>
    <t xml:space="preserve">DISFAGIA E FONOAUDIOLOGIA HOSPITALAR                                                                </t>
  </si>
  <si>
    <t xml:space="preserve">PSICOGERIATRIA                                                                                      </t>
  </si>
  <si>
    <t xml:space="preserve">PSICOPEDAGOGIA CLINICA INSTITUCIONAL E PEDAGOGIA NOS ESPACOS NAO ESCOLARES                          </t>
  </si>
  <si>
    <t xml:space="preserve">GESTAO DE EMERGENCIAS NO SUS                                                                        </t>
  </si>
  <si>
    <t xml:space="preserve">GESTAO QUALIDADE E AUDITORIA NAS INSTITUICOES PUBLICAS DE SAUDE                                     </t>
  </si>
  <si>
    <t xml:space="preserve">GESTAO PUBLICA DE ORGANIZACAO E SERVICO DE SAUDE                                                    </t>
  </si>
  <si>
    <t xml:space="preserve">FISIOTERAPIA NEUROLOGICA ADULTO E INFANTIL COM PRATICA AMBULATORIAL                                 </t>
  </si>
  <si>
    <t xml:space="preserve">ASSISTENCIA DE ENFERMAGEM EM TERAPIA INTENSIVA                                                      </t>
  </si>
  <si>
    <t xml:space="preserve">ENFERMAGEM EM GINECOLOGIA E OBSTETRICIA                                                             </t>
  </si>
  <si>
    <t xml:space="preserve">INFECTOLOGIA PEDIATRICA                                                                             </t>
  </si>
  <si>
    <t xml:space="preserve">CLINICA SISTEMICA-PSICANALITICA DE FAMILIA, CASAIS E GRUPOS                                         </t>
  </si>
  <si>
    <t xml:space="preserve">GESTAO DE EMERGENCIA NO SUS                                                                         </t>
  </si>
  <si>
    <t xml:space="preserve">ENFERMAGEM EM UNIDADES BASICAS DE SAUDE COM ENFASE NA SAUDE DA FAMILIA E NO GERENCIAMENTO           </t>
  </si>
  <si>
    <t xml:space="preserve">ASSISTENCIA DE ENFERMAGEM E TERAPIA INTENSIVA                                                       </t>
  </si>
  <si>
    <t xml:space="preserve">ENFERMAGEM DE GINECOLOGIA E OBSTETRICIA                                                             </t>
  </si>
  <si>
    <t xml:space="preserve">FISIOTERAPIA CARDIORRESPIRATORIA E TERAPIA INTENSIVA                                                </t>
  </si>
  <si>
    <t xml:space="preserve">ENFERMAGEM EM ALTA COMPLEXIDADE EM UTI                                                              </t>
  </si>
  <si>
    <t xml:space="preserve">CIRURGIA DO TRAUMA                                                                                  </t>
  </si>
  <si>
    <t xml:space="preserve">GESTAO PARA MEDICOS E PROFISSIONAIS DE SAUDE                                                        </t>
  </si>
  <si>
    <t xml:space="preserve">ENFERMAGEM EM SAUDE DA FAMILIA                                                                      </t>
  </si>
  <si>
    <t xml:space="preserve">ENFERMAGEM DO TRABALHO E SAUDE OCUPACIONAL                                                          </t>
  </si>
  <si>
    <t xml:space="preserve">INVESTIGACAO CIENTIFICA EM ONCOLOGIA                                                                </t>
  </si>
  <si>
    <t xml:space="preserve">FISIOTERAPIA NA SAUDE DA MULHER                                                                     </t>
  </si>
  <si>
    <t xml:space="preserve">FISIOTERAPIA GERIATRICA E REUMATOLOGICA                                                             </t>
  </si>
  <si>
    <t xml:space="preserve">CENTRO CIRURGICO, RECUPERAÃ├O ANESTESICA E GERENCIAMENTO DE RISCO                                   </t>
  </si>
  <si>
    <t xml:space="preserve">ENFERMAGEM EM URGENCIA E EMERGENCIA                                                                 </t>
  </si>
  <si>
    <t xml:space="preserve">ESPECIALIZAÃ├O EM MEIO AMBIENTE E SA┌DE                                                             </t>
  </si>
  <si>
    <t xml:space="preserve">NEUROPEDAGOGIA                                                                                      </t>
  </si>
  <si>
    <t xml:space="preserve">CIENCIAS NATURAIS E SAUDE                                                                           </t>
  </si>
  <si>
    <t xml:space="preserve">CIRURGIA VASCULAR                                                                                   </t>
  </si>
  <si>
    <t xml:space="preserve">TREINAMENTO DESPORTIVO: JOGOS, TESTES E PROVAS                                                      </t>
  </si>
  <si>
    <t xml:space="preserve">GESTAO DA CLINICA DO SUS: EDUCACAO NA SAUDE PARA PRECEPTORES DO SUS-LINHAS DE CUIDADO EM ENFERMAGEM </t>
  </si>
  <si>
    <t xml:space="preserve">NEUROCIENCIA E PSICOPEDAGOGIA: O ENSINO APRENDIZAGEM NO CONTEXTO ATUAL                              </t>
  </si>
  <si>
    <t xml:space="preserve">MESTRADO EM DESENVOLVIMENTO REGIONAL E MEIO AMBIENTE                                                </t>
  </si>
  <si>
    <t xml:space="preserve">ESPECIALIZACAO EM  ENSINO DE CIENCIAS POR INVESTIGACAO                                              </t>
  </si>
  <si>
    <t xml:space="preserve">MESTRADO PROFISSIONAL EM BIOLOGIA URBANA                                                            </t>
  </si>
  <si>
    <t xml:space="preserve">ENFERMAGEM EM CARDIOLOGIA E TERMODINAMICA                                                           </t>
  </si>
  <si>
    <t xml:space="preserve">SAUDE PUBLICA E MEIO AMBIENTE                                                                       </t>
  </si>
  <si>
    <t xml:space="preserve">GESTAO DE EMERGENCIAS E DESASTRE                                                                    </t>
  </si>
  <si>
    <t xml:space="preserve">BIOLOGIA APLICADA A PROTECAO DA NATUREZA                                                            </t>
  </si>
  <si>
    <t xml:space="preserve">ECOLOGIA VEGETAL COM ENFASE EM ESTUDOS DA FLORA                                                     </t>
  </si>
  <si>
    <t xml:space="preserve">ESPECIALIZACAO DE GESTAO DA POLITICA NACIONAL DE ALIMENTACAO E NUTRICAO                             </t>
  </si>
  <si>
    <t xml:space="preserve">GESTAO DA CLINICA NOS HOSPITAIS DO SUS                                                              </t>
  </si>
  <si>
    <t xml:space="preserve">TECNOLOGIA EM GESTAO EM GESTAO AMBIENTAL                                                            </t>
  </si>
  <si>
    <t xml:space="preserve">PROCESSAMENTO E CONTROLE DE QUALIDADE DE CARNE, LEITE E OVOS                                        </t>
  </si>
  <si>
    <t xml:space="preserve">CONTROLE E QUALIDADE EM SEGURANCA ALIMENTAR                                                         </t>
  </si>
  <si>
    <t xml:space="preserve">CIENCIAS AGRARIAS                                                                                   </t>
  </si>
  <si>
    <t xml:space="preserve">GEORREFERENCIAMENTO DE IMOVEIS RURAIS                                                               </t>
  </si>
  <si>
    <t xml:space="preserve">ATUALIZACAO EM TECNOLOGIA E ENGENHARIA DE MANUTENCAO HOSPITALAR NA GESTAO PARA RESULTADOS           </t>
  </si>
  <si>
    <t xml:space="preserve">TECNOLOGIA EM QU═MICA - PRODUCAO INDUSTRIAL DE CALCADOS                                             </t>
  </si>
  <si>
    <t xml:space="preserve">GESTAO EM PETROLEO E GAS                                                                            </t>
  </si>
  <si>
    <t xml:space="preserve">CIENCIAS QUIMICAS                                                                                   </t>
  </si>
  <si>
    <t xml:space="preserve">MUDANCAS CLIMATICAS GLOBAIS                                                                         </t>
  </si>
  <si>
    <t xml:space="preserve">METODOLOGIA DO ENSINO DE MATEM┴TICA E F═SICA                                                        </t>
  </si>
  <si>
    <t xml:space="preserve">CI╩NCIAS COM HABILITAÃ├O EM MATEM┴TICA                                                              </t>
  </si>
  <si>
    <t xml:space="preserve">TECNOLOGIA EM GESTAO DE NEGOCIOS EM TELECOMUNICACOES                                                </t>
  </si>
  <si>
    <t xml:space="preserve">ESPECIALIZACAO EM INFORMATICA NA EDUCACAO                                                           </t>
  </si>
  <si>
    <t xml:space="preserve">PLANEJAMENTO E GESTAO SOCIO-AMBIENTAL                                                               </t>
  </si>
  <si>
    <t xml:space="preserve">MATEMATICA - "PLENIFICACAO"                                                                         </t>
  </si>
  <si>
    <t>ESPECIALIZACAO EM GESTAO EM MEIO AMBIENTE: EDUCACAO</t>
  </si>
  <si>
    <t xml:space="preserve">EDUCAÃ├O MATEMATICA E ESTATISTICA APLICADA NA EDUCAÃ├O                                              </t>
  </si>
  <si>
    <t xml:space="preserve">MESTRADO PROFISSIONAL EM MATEMATICA EM REDE NACIONAL                                                </t>
  </si>
  <si>
    <t xml:space="preserve">GESTAO AMBIENTAL E GEOGRAFIA                                                                        </t>
  </si>
  <si>
    <t xml:space="preserve">GEOMETRIA                                                                                           </t>
  </si>
  <si>
    <t xml:space="preserve">GEOGRAFIA E PLANEJAMENTO AMBIENTAL E URBANO                                                         </t>
  </si>
  <si>
    <t xml:space="preserve">MUSICA BRASILEIRA                                                                                   </t>
  </si>
  <si>
    <t xml:space="preserve">PRINCIPIOS E RECURSOS PEDAGOGICOS EM MUSICA                                                         </t>
  </si>
  <si>
    <t xml:space="preserve">ARTES, CULTURA VISUAL E COMUNICACAO                                                                 </t>
  </si>
  <si>
    <t xml:space="preserve">DANCA                                                                                               </t>
  </si>
  <si>
    <t xml:space="preserve">CONTRABAIXO                                                                                         </t>
  </si>
  <si>
    <t xml:space="preserve">SAXOFONE                                                                                            </t>
  </si>
  <si>
    <t xml:space="preserve">PERCUSSAO - BATERIA                                                                                 </t>
  </si>
  <si>
    <t xml:space="preserve">FLAUTA DOCE                                                                                         </t>
  </si>
  <si>
    <t xml:space="preserve">TEORIA E PRATICA DA INTERPRETACAO MUSICAL: VIOLAO POPULAR                                           </t>
  </si>
  <si>
    <t xml:space="preserve">SOPROS - TROMPETE                                                                                   </t>
  </si>
  <si>
    <t xml:space="preserve">PROJETOS EDITORIAIS, IMPRESSOS E MULTIMIDIA                                                         </t>
  </si>
  <si>
    <t xml:space="preserve">TEORIA E PRATICA DA INTERPRETAÃ├O MUSICAL: PIANO                                                    </t>
  </si>
  <si>
    <t xml:space="preserve">MUSICA: HABILITACAO EM INSTRUMENTO - SAXOFONE                                                       </t>
  </si>
  <si>
    <t xml:space="preserve">SUPERIOR LICENCIATURA CURTA   </t>
  </si>
  <si>
    <t xml:space="preserve">TEATRO, MUSICA E DANCA PARA EDUCADORES                                                              </t>
  </si>
  <si>
    <t xml:space="preserve">ADMINISTRACION Y GERENCIA PUBLICA                                                                   </t>
  </si>
  <si>
    <t xml:space="preserve">SEGURANCA PUBLICA E COMPLEXIDADE                                                                    </t>
  </si>
  <si>
    <t xml:space="preserve">SEGURANCA PUBLICA E DIREITOS HUMANOS                                                                </t>
  </si>
  <si>
    <t xml:space="preserve">DEMOCRACIA PARTICIPATIVA, REPUBLICA E MOVIMENTOS SOCIAIS                                            </t>
  </si>
  <si>
    <t xml:space="preserve">POLICIA COMUNITARIA E SEGURANCA CIDADA                                                              </t>
  </si>
  <si>
    <t xml:space="preserve">ESPECIALIZACAO EM EDUCACAO A DISTANCIA                                                              </t>
  </si>
  <si>
    <t xml:space="preserve">POS GRADUACAO LATU SENSU EM GESTAO DE RH                                                            </t>
  </si>
  <si>
    <t xml:space="preserve">MESTRADO EM DIREITO                                                                                 </t>
  </si>
  <si>
    <t xml:space="preserve">MESTRADO EM DIREITO PROCESSUAL                                                                      </t>
  </si>
  <si>
    <t xml:space="preserve">CIENCIA POLITICA - CIDADANIA E GOVERNACAO                                                           </t>
  </si>
  <si>
    <t xml:space="preserve">HISTORIA GERAL                                                                                      </t>
  </si>
  <si>
    <t xml:space="preserve">CIENCIAS POLITICAS E SOCIAIS                                                                        </t>
  </si>
  <si>
    <t xml:space="preserve">LINGUA E LITERATURA                                                                                 </t>
  </si>
  <si>
    <t xml:space="preserve">METODOLOGIA DO ENSINO DE LINGUA PORTUGUESA E ESTRANGEIRA                                            </t>
  </si>
  <si>
    <t xml:space="preserve">POLITICAS PUBLICAS SOCIAIS E INTERVENCAO JUNTO A FAMILIA                                            </t>
  </si>
  <si>
    <t xml:space="preserve">CIENCIA DA RELIGIAO                                                                                 </t>
  </si>
  <si>
    <t xml:space="preserve">ESTUDOS DIPLOMATICOS                                                                                </t>
  </si>
  <si>
    <t xml:space="preserve">LINGUAGEM                                                                                           </t>
  </si>
  <si>
    <t xml:space="preserve">LITERATURA LUSO-BRASILEIRA: RECORR╩NCIAS E TRANSFORMAÃıES                                           </t>
  </si>
  <si>
    <t xml:space="preserve">REVISAO DE TEXTOS                                                                                   </t>
  </si>
  <si>
    <t xml:space="preserve">LIGUA E LITERATURA DA LINGUA PORTUGUESA                                                             </t>
  </si>
  <si>
    <t xml:space="preserve">HISTORIA CULTURAL                                                                                   </t>
  </si>
  <si>
    <t xml:space="preserve">LINGUISTICA TEORICA E DESCRITIVA                                                                    </t>
  </si>
  <si>
    <t xml:space="preserve">INTERVENCAO PSICOSSOCIAL NO CONTEXTO DAS POLITICAS PUBLICAS                                         </t>
  </si>
  <si>
    <t xml:space="preserve">EDUCACAO E LINGUAGEM                                                                                </t>
  </si>
  <si>
    <t xml:space="preserve">FORMACAO HISTORICA E GEOGRAFICA DO MUNDO MODERNO                                                    </t>
  </si>
  <si>
    <t xml:space="preserve">TURISMO, HOTELARIA E ENTRETENIMENTO                                                                 </t>
  </si>
  <si>
    <t xml:space="preserve">INFORMACAO E COMUNICACAO                                                                            </t>
  </si>
  <si>
    <t xml:space="preserve">TECNOLOGIAS DE INFORMAÃ├O E COMUNICACAO NO ENSINO FUNDAMENTAL                                       </t>
  </si>
  <si>
    <t xml:space="preserve">POLITICAS PARA A JUVENTUDE                                                                          </t>
  </si>
  <si>
    <t xml:space="preserve">HISTORIA DO BRASIL - SOCIEDADE, TRABALHO E CULTURA                                                  </t>
  </si>
  <si>
    <t xml:space="preserve">PORTUGUES E LITERATURAS DE LINGUA PORTUGUESA                                                        </t>
  </si>
  <si>
    <t xml:space="preserve">FILOSOFIA E DESAFIOS DE MODERNIDADE                                                                 </t>
  </si>
  <si>
    <t xml:space="preserve">ELABORACAO GESTAO AVALIACAO DE PROJETOS SOCIAIS EM AREAS URBANAS                                    </t>
  </si>
  <si>
    <t xml:space="preserve">ESPECIAL E EDUCAÃ├O INCLUSIVA                                                                       </t>
  </si>
  <si>
    <t xml:space="preserve">EDUCAÃ├O B┴SICA: FORMAÃ├O INTERCULTURAL DE PROFESSOR                                                </t>
  </si>
  <si>
    <t xml:space="preserve">EDUCAÃ├O: O PROFESSOR E AS PR┴TICAS EDUCATIVAS                                                      </t>
  </si>
  <si>
    <t xml:space="preserve">CONHECIMENTO DAS ARTES CULTURA E LINGU═STICA                                                        </t>
  </si>
  <si>
    <t xml:space="preserve">GEST├O AMBIENTAL, BIODIVERSIDADE E GEOGRAFIA                                                        </t>
  </si>
  <si>
    <t xml:space="preserve">ESPECIALIZACAO EM HISTORIA: HISTORIA, CULTURA E PODER                                               </t>
  </si>
  <si>
    <t xml:space="preserve">DISCURSO GLOBALIZADO E O ENSINO DA LINGUA PORTUGUESA                                                </t>
  </si>
  <si>
    <t xml:space="preserve">LETRAS - INGLES E LITERATURAS DE LINGUA INGLESA                                                     </t>
  </si>
  <si>
    <t xml:space="preserve">LETRAS - PORTUGUES/FRANCES E LITERATURAS                                                            </t>
  </si>
  <si>
    <t xml:space="preserve">ESPECIALIZACAO EM EDUCACAO, HISTORIA E CULTURA AFRO-BRASILEIRA                                      </t>
  </si>
  <si>
    <t xml:space="preserve">ESPECIALIZACAO EM FILOSOFIA PARA CRIANCAS E ADOLESCENTES - FILOSOFIA NA ESCOLA                      </t>
  </si>
  <si>
    <t xml:space="preserve">EDUCACAO DAS RELACOES ETNICO-RACIAIS E HISTORIA E CULTURA AFRO-BRASILEIRA E AFRICANA                </t>
  </si>
  <si>
    <t xml:space="preserve">ESTUDOS LINGUISTICOS                                                                                </t>
  </si>
  <si>
    <t xml:space="preserve">MBA EXECUTIVO                                                                                       </t>
  </si>
  <si>
    <t xml:space="preserve">LETRAS PORTUGUES/INGLES E LITERATURAS                                                               </t>
  </si>
  <si>
    <t xml:space="preserve">ESTUDOS SOCIAIS - HABILITAÃ├O EM HISTORIA                                                           </t>
  </si>
  <si>
    <t xml:space="preserve">ESPECIALIZACAO EM PODER LEGISLATIVO E POLITICAS PUBLICAS                                            </t>
  </si>
  <si>
    <t xml:space="preserve">TECNOLOGIA EM SEGURANCA E ORDEM PUBLICA                                                             </t>
  </si>
  <si>
    <t xml:space="preserve">POLITICAS E GESTAO EM SEGURANCA PUBLICA                                                             </t>
  </si>
  <si>
    <t xml:space="preserve">GESTAO INTEGRADA DO TERRITORIO                                                                      </t>
  </si>
  <si>
    <t xml:space="preserve">CIENCIA POLITICA                                                                                    </t>
  </si>
  <si>
    <t xml:space="preserve">INTELIGENCIA DE ESTADO E INTELIGENCIA DE SEGURANCA PUBLICA                                          </t>
  </si>
  <si>
    <t xml:space="preserve">HUMANIDADES                                                                                         </t>
  </si>
  <si>
    <t xml:space="preserve">EDUCAÃ├O, CULTURA E ORGANIZAÃıES SOCIAIS                                                            </t>
  </si>
  <si>
    <t xml:space="preserve">LETRAS-PORTUGU╩S E LITERATURAS DE LINGUA PORTUGUESA                                                 </t>
  </si>
  <si>
    <t xml:space="preserve">HISTORIA GEAL E POLITICA SOCIAL                                                                     </t>
  </si>
  <si>
    <t xml:space="preserve">ESPECIALIZACAO EM ETICA E FILOSOFIA POLITICA                                                        </t>
  </si>
  <si>
    <t xml:space="preserve">ESPECIALISTA EM CIENCIAS CRIMINAIS                                                                  </t>
  </si>
  <si>
    <t xml:space="preserve">DIREITO - TEORIA DO DIREITO                                                                         </t>
  </si>
  <si>
    <t xml:space="preserve">LEITURA: LINGUA E LITERATURA NA SALA DE AULA                                                        </t>
  </si>
  <si>
    <t xml:space="preserve">HISTORIA E CULTURA AFRO BRASILEIRA E AFRICANA: EDUCACAO PARA AS RELACOES ETNICOS RACIAIS            </t>
  </si>
  <si>
    <t xml:space="preserve">LICENCIATURA EM LINGUA PORTUGUESA E RESPECTIVAS LITERATURAS                                         </t>
  </si>
  <si>
    <t xml:space="preserve">MESTRADO ACADEMICO EM EDUCACAO E LINGUAGEM                                                          </t>
  </si>
  <si>
    <t xml:space="preserve">HISTORIA E CULTURA NO BRASIL                                                                        </t>
  </si>
  <si>
    <t xml:space="preserve">MESTRADO EM EDUCACAO E LINGUAGEM                                                                    </t>
  </si>
  <si>
    <t xml:space="preserve">LINGUAGEM LITERATURA E HISTORIA                                                                     </t>
  </si>
  <si>
    <t xml:space="preserve">LINGUA PORTUGUESA: LITERATURA ESCRITA E GRAMATICA                                                   </t>
  </si>
  <si>
    <t xml:space="preserve">MESTRADO PROFISSIONAL EM GESTAO E AVALIACAO DA EDUCACAO PUBLICA                                     </t>
  </si>
  <si>
    <t xml:space="preserve">GESTAO DE SERVICOS SOCIAIS E POLITICAS PUBLICAS                                                     </t>
  </si>
  <si>
    <t xml:space="preserve">POLITICAS DE ASSISTENCIA SOCIAL E GESTAO DO SISTEMA UNICO DA ASSITENCIA SOCIAL - SUAS               </t>
  </si>
  <si>
    <t xml:space="preserve">PRATICAS SOCIOEDUCATIVAS                                                                            </t>
  </si>
  <si>
    <t xml:space="preserve">GEST├O E PRODUÃ├O NO SETOR SUCROALCOOLEIRO E BIODIESEL                                              </t>
  </si>
  <si>
    <t xml:space="preserve">GEST├O COM ╩NFASE EM PESSOAS                                                                        </t>
  </si>
  <si>
    <t xml:space="preserve">GESTAO DE POLITICA E ASSITENCIA SOCIAL                                                              </t>
  </si>
  <si>
    <t xml:space="preserve">ESPECIALISTA EM TEOLOGIA SISTEMATICA                                                                </t>
  </si>
  <si>
    <t xml:space="preserve">ESPECIALISTA EM CIENCIAS SOCIAIS                                                                    </t>
  </si>
  <si>
    <t xml:space="preserve">POLITICA E SOCIEDADE: ENFASE EM CULTURA AFRO-BRASILEIRA                                             </t>
  </si>
  <si>
    <t xml:space="preserve">GESTAO E AVALIACAO DA EDUCACAO PUBLICA                                                              </t>
  </si>
  <si>
    <t xml:space="preserve">ESPECIALIZACAO EM "GESTAO DO SUAS"                                                                  </t>
  </si>
  <si>
    <t xml:space="preserve">ENSINO DE SOCIOLOGIA                                                                                </t>
  </si>
  <si>
    <t xml:space="preserve">ORDEM JURIDICA E MINISTERIO PUBLICO                                                                 </t>
  </si>
  <si>
    <t xml:space="preserve">GESTAO EM MARKETING FINANCAS E PESSOAS                                                              </t>
  </si>
  <si>
    <t xml:space="preserve">TEOLOGIA E ENSINO                                                                                   </t>
  </si>
  <si>
    <t xml:space="preserve">MBA DIREITO EMPRESARIAL                                                                             </t>
  </si>
  <si>
    <t xml:space="preserve">DIREITO DE FAMILIA E SUCESSOES COM BASE NA METODOLOGIA CIVIL-CONSTITUCIONAL                         </t>
  </si>
  <si>
    <t xml:space="preserve">PERICIA JUDICIAL CIVEL E TRABALHISTA                                                                </t>
  </si>
  <si>
    <t xml:space="preserve">FISCALIZACAO E LEGISLACAO TRIBUTARIA                                                                </t>
  </si>
  <si>
    <t xml:space="preserve">DIREITO MATERIAL E PROCESSUAL DO TRABALHO                                                           </t>
  </si>
  <si>
    <t xml:space="preserve">CONTABILIDADE TRIBUT┴RIA COM ╩NFASE EM SPED                                                         </t>
  </si>
  <si>
    <t xml:space="preserve">ESPECIALIZACAO EM DIREITO - CIENCIAS JURIDICAS -  POLITICAS /MENCAO EM DIREITO ADMINISTRATIVO       </t>
  </si>
  <si>
    <t xml:space="preserve">PLANEJAMENTO ORCAMENTARIO E FINANCEIRO DO SUS MUNICIPAL                                             </t>
  </si>
  <si>
    <t xml:space="preserve">ESPECIALIZACAO EM DIREITO DO TRABALHO, PROCESSO DO TRABALHO E PREVIDENCIA SOCIAL                    </t>
  </si>
  <si>
    <t xml:space="preserve">CURSO SUPERIOR DE TECNOLOGIA EM INVESTIGACAO E PERICIA JUDICIAL                                     </t>
  </si>
  <si>
    <t xml:space="preserve">DIREITO CIVIL E DO CONSUMIDOR                                                                       </t>
  </si>
  <si>
    <t xml:space="preserve">DIREITO DA SAUDE                                                                                    </t>
  </si>
  <si>
    <t xml:space="preserve">DIREITO TRIBUTARIO E PREVIDENCIA                                                                    </t>
  </si>
  <si>
    <t xml:space="preserve">ESPECIALIZACAO EM PLANEJAMENTO TRIBUTARIO                                                           </t>
  </si>
  <si>
    <t xml:space="preserve">ADVOCACIA GERAL                                                                                     </t>
  </si>
  <si>
    <t xml:space="preserve">DIREITO TRIBUT┴RIO, PREVIDENCI┴RIO, RESPONSABILIDADE E CONTABILIDADE FISCAL                         </t>
  </si>
  <si>
    <t xml:space="preserve">METODOLOGIA DO ENSINO E DA PESQUISA EM EDUCACAO A MBIENTAL E SANITARIA                              </t>
  </si>
  <si>
    <t xml:space="preserve">DOCENCIA NOS ANOS INICIAIS DO ENSINO FUNDAMENTAL                                                    </t>
  </si>
  <si>
    <t xml:space="preserve">FORMACAO PEDAGOGICA PARA MATEMATICA                                                                 </t>
  </si>
  <si>
    <t xml:space="preserve">PEDAGOGIA EM ESPACOS NAO-ESCOLARES                                                                  </t>
  </si>
  <si>
    <t xml:space="preserve">CURSO DE PROFESSOR DE EDUCACAO ARTISTICA DE 1¬ A 6¬ SERIES                                          </t>
  </si>
  <si>
    <t xml:space="preserve">O ENSINO DE ALGEBRA DE 1║ E 2║ GRAUS                                                                </t>
  </si>
  <si>
    <t xml:space="preserve">ESTUDOS ADICIONAIS                                                                                  </t>
  </si>
  <si>
    <t xml:space="preserve">SUPERVISAO E GESTAO EDUCACIONAL                                                                     </t>
  </si>
  <si>
    <t xml:space="preserve">ALFABETIZACAO E LETRAMENTO NAS SERIES INICIAIS E NA EDUCACAO DE JOVENS E ADULTOS                    </t>
  </si>
  <si>
    <t xml:space="preserve">MAGISTERIO DAS MATERIAS PEDAGOGICAS E SUPERVISAO ESCOLAR NA EDUCACAO BASICA                         </t>
  </si>
  <si>
    <t xml:space="preserve">SUPERVISAO, ORIENTACAO E INSPECAO ESCOLAR                                                           </t>
  </si>
  <si>
    <t xml:space="preserve">TENCNOLOGIAS DE INFORMAÃ├O E COMUNICAÃ├O NO ENSINO                                                  </t>
  </si>
  <si>
    <t xml:space="preserve">ENSINO DE BIOLOGIA                                                                                  </t>
  </si>
  <si>
    <t xml:space="preserve">GESTAO ESCOLAR SAUDAVEL: SUPERVISAO, ORIENTACAO E INSPECAO                                          </t>
  </si>
  <si>
    <t xml:space="preserve">PSICOPEDAGOGIA EDUCACIONAL, INSTITUCIONAL E DOCENCIA DO ENSINO SUPERIOR                             </t>
  </si>
  <si>
    <t xml:space="preserve">PRATICAS PEDAGOGICAS                                                                                </t>
  </si>
  <si>
    <t xml:space="preserve">FORMACAO INTERCULTURAL DE PROFESSOR, CIENCIAS SOCIAIS E HUMANIDADE                                  </t>
  </si>
  <si>
    <t xml:space="preserve">FORMACAO INTERCULTURAL DE PROFESSOR, LINGUA, ARTE E LITERATURA                                      </t>
  </si>
  <si>
    <t xml:space="preserve">METODOLOGIA DO ENSINO E APRENDIZAGEM DA MATEMATICA E DOCENCIA DO ENSINO SUPERIOR                    </t>
  </si>
  <si>
    <t xml:space="preserve">INTERACAO EM SALA DE AULA                                                                           </t>
  </si>
  <si>
    <t xml:space="preserve">GENERO E DIVERSIDADE NA ESCOLA                                                                      </t>
  </si>
  <si>
    <t xml:space="preserve">GESTAO DA EDUCACAO                                                                                  </t>
  </si>
  <si>
    <t xml:space="preserve">ORIENTACAO, SUPERVISAO, INSPECAO E GESTAO                                                           </t>
  </si>
  <si>
    <t xml:space="preserve">EDUCACAO INFANTIL E DESENVOLVIMENTO                                                                 </t>
  </si>
  <si>
    <t xml:space="preserve">ENSINO E PESQUISA NO CAMPO DA ARTE E DA CULTURA                                                     </t>
  </si>
  <si>
    <t xml:space="preserve">DOCENCIA DO ENSINO SUPERIOR E PLANEJAMENTO EDUCACIONAL                                              </t>
  </si>
  <si>
    <t xml:space="preserve">PRATICAS DE LETRAMENTO E ALFABETIZACAO                                                              </t>
  </si>
  <si>
    <t xml:space="preserve">GESTAO DISCIPLINAR                                                                                  </t>
  </si>
  <si>
    <t xml:space="preserve">NOVAS TECNOLOGIAS EDUCACIONAIS                                                                      </t>
  </si>
  <si>
    <t xml:space="preserve">MAGISTERIO DAS SERIES INICIAIS DO ENSINO FUNDAMENTAL E GESTAO EDUCACIONAL                           </t>
  </si>
  <si>
    <t xml:space="preserve">COORDENACAO PEDAGOGICA - SUPERVISAO E GESTAO EDUCACIONAIS                                           </t>
  </si>
  <si>
    <t xml:space="preserve">GESTAO EDUCACIONAL INTEGRADA: ADMINISTRACAO, SUPERVISAO, ORIENTACAO E INSPECAO                      </t>
  </si>
  <si>
    <t xml:space="preserve">COORDENACAO PEDAGOGICA E PLANEJAMENTO                                                               </t>
  </si>
  <si>
    <t xml:space="preserve">DOCENCIA NO ENSINO MEDIO E SUPERIOR                                                                 </t>
  </si>
  <si>
    <t xml:space="preserve">EDUCACAO INCLUSIVA, ESPECIAL E POLITICAS DE INCLUSAO                                                </t>
  </si>
  <si>
    <t xml:space="preserve">ADMINISTRACAO, PLANEJAMENTO, INSPECAO, SUPERVISAO E ORIENTACAO PARA A EDUCACAO BASICA               </t>
  </si>
  <si>
    <t xml:space="preserve">ENSINO DE HISTORIA                                                                                  </t>
  </si>
  <si>
    <t xml:space="preserve">INPECAO ESCOLAR E PRATICAS DE SUPERVISAO                                                            </t>
  </si>
  <si>
    <t xml:space="preserve">LIBRAS NO CONTEXTO DA EDUCACAO INCLUSIVA                                                            </t>
  </si>
  <si>
    <t xml:space="preserve">PROG.ESPEC. FORM.PEDAG. DE DOC.DISCIPLINAS CURRICULO ENS.FUND.ENS.MED. EDUC.PROFIS. EM NIVEL MEDIO  </t>
  </si>
  <si>
    <t xml:space="preserve">METODOLOGIA DE ENSINO DE FILOSOFIA E SOCIOLOGIA                                                     </t>
  </si>
  <si>
    <t xml:space="preserve">EDUCACAO A DISTANCIA CONCEPCAO E PLANEJAMENTO                                                       </t>
  </si>
  <si>
    <t xml:space="preserve">DOC╩NCIA NO ENSINO M╔DIO, T╔CNICO E SUPERIOR                                                        </t>
  </si>
  <si>
    <t xml:space="preserve">ESPECIALIZAÃ├O EM PR┴TICAS DE LETRAMENTO E ALFABETIZAÃ├O                                            </t>
  </si>
  <si>
    <t xml:space="preserve">LIBRAS NO CONTEXTO DA EDUCAÃ├O INCLUSIVA                                                            </t>
  </si>
  <si>
    <t xml:space="preserve">ESPECIALIZAÃ├O EM METODOLOGIA DE ENSINO DE FILOSOFIA E SOCIOLOGIA                                   </t>
  </si>
  <si>
    <t xml:space="preserve">EDUCAÃ├O A DIST┬NCIA: CONCEPÃ├O E PLANEJAMENTO                                                      </t>
  </si>
  <si>
    <t xml:space="preserve">PROGRAMAS ESPECIAIS DE FORMAÃ├O PEDAGËGICA DE DOCENTES DISC.CURR═CULO ENS.FUND.ENS.MED.ED. PROF. NM </t>
  </si>
  <si>
    <t xml:space="preserve">EDUCAÃ├O F═SICA COM ╩NFASE EM DANÃA E ESPORTES NA ESCOLA                                            </t>
  </si>
  <si>
    <t xml:space="preserve">LEITURA, LINGU═STICA E PRODUÃ├O DE TEXTO                                                            </t>
  </si>
  <si>
    <t xml:space="preserve">PR┴TICAS PEDAGËGICAS INTERDISCIPLINARES EM GEOGRAFIA                                                </t>
  </si>
  <si>
    <t xml:space="preserve">ORIENTAÃ├O ESCOLAR                                                                                  </t>
  </si>
  <si>
    <t xml:space="preserve">ORIENTAÃ├O, SUPERVIS├O, INSPEÃ├O E GEST├O EM ADMINISTRAÃ├O ESCOLAR                                  </t>
  </si>
  <si>
    <t xml:space="preserve">ORIENTAÃ├O EDUCACIONAL, SUPERVIS├O ESCOLAR, INSPEÃ├O ESCOLAR E DOC╩NCIA DO ENSINO SUPERIOR          </t>
  </si>
  <si>
    <t xml:space="preserve">METODOLOGIA DO ENSINO DA BIOLOGIA E DOC╩NCIA DO ENSINO SUPERIOR                                     </t>
  </si>
  <si>
    <t xml:space="preserve">EDUCAÃ├O F═SICA ESCOLAR E DOC╩NCIA DO ENSINO SUPERIOR                                               </t>
  </si>
  <si>
    <t xml:space="preserve">NOVAS TECNOLOGIAS DO ENSINO DA MATEM┴TICA                                                           </t>
  </si>
  <si>
    <t xml:space="preserve">EDUCAÃ├O ESPECIAL INCLUSIVA E EDUCAÃ├O INFANTIL                                                     </t>
  </si>
  <si>
    <t xml:space="preserve">EDUCAÃ├O AMBIENTAL E SUSTENTABILIDADE                                                               </t>
  </si>
  <si>
    <t xml:space="preserve">DOC╩NCIA NA DIVERSIDADE PRA A EDUCAÃ├O B┴SICA                                                       </t>
  </si>
  <si>
    <t xml:space="preserve">INTERDISCIPLINAR EM CI╩NCIA E TECNOLOGIA                                                            </t>
  </si>
  <si>
    <t xml:space="preserve">EDUCACAO ESPECIAL - DEFICIT COGNITIVO E EDUCACAO DE SURDOS                                          </t>
  </si>
  <si>
    <t xml:space="preserve">EDUCACAO ESPECIAL COM ENFASE EM PRATICAS INCLUSIVAS                                                 </t>
  </si>
  <si>
    <t xml:space="preserve">EDUCACAO E INCLUSAO ESCOLAR                                                                         </t>
  </si>
  <si>
    <t xml:space="preserve">EDUCACAO ESPECIAL COM ENFASE EM LIBRAS                                                              </t>
  </si>
  <si>
    <t xml:space="preserve">METODOLOGIA DO ENSINO DE BIOLOGIA E QUIMICA                                                         </t>
  </si>
  <si>
    <t xml:space="preserve">GEST├O ESCOLAR INTEGRADA COM ENFASE EM ADMINISTRACAO, SUPERVISAO, ORIENTACAO E INSPECAO             </t>
  </si>
  <si>
    <t xml:space="preserve">LINGUA INGLESA: ENSINO E LITERATURAS                                                                </t>
  </si>
  <si>
    <t xml:space="preserve">ENSINO DE QUIMICA E DESENVOLVIMENTO HUMANO                                                          </t>
  </si>
  <si>
    <t xml:space="preserve">ALFABETIZACAO LETRAMENTO E EDUCACAO ESPECIAL                                                        </t>
  </si>
  <si>
    <t xml:space="preserve">TEORIAS E PRATICAS NA EDUCACAO                                                                      </t>
  </si>
  <si>
    <t xml:space="preserve">SUPERVISAO ESCOLAR E GESTAO DE PROJETOS                                                             </t>
  </si>
  <si>
    <t xml:space="preserve">RELIGIAO EDUCACAO E SOCIEDADE                                                                       </t>
  </si>
  <si>
    <t xml:space="preserve">MAGISTERIO E SUPERVISAO ESCOLAR DO ENSINO FUNDAMENTAL E MEDIO                                       </t>
  </si>
  <si>
    <t xml:space="preserve">EDUCACAO ARTISTICA: HABILITACAO EM ARTES PLASTICAS                                                  </t>
  </si>
  <si>
    <t xml:space="preserve">ESPECIALIZACAO EM PREVENCAO E INTERVENCAO PSICOLOGICA EM CONTEXTOS EDUCACIONAIS                     </t>
  </si>
  <si>
    <t>ESPECIALIZACAO EM EDUCACAO ESCOLAR NO ENS. FUND.: A PROD.DO CONHEC. E O FAZER PEDAG. NO CONTEX.ATUAL</t>
  </si>
  <si>
    <t xml:space="preserve">ESPECIALIZACAO EM EDUCACAO EMPREENDEDORA                                                            </t>
  </si>
  <si>
    <t xml:space="preserve">ESPECIALIZACAO EM TECNOLOGIA DIGITAL APLICADA A EDUCACAO                                            </t>
  </si>
  <si>
    <t xml:space="preserve">GEOGRAFIA PARA SERIES INICIAIS DO ENSINO FUNDAMENTAL                                                </t>
  </si>
  <si>
    <t xml:space="preserve">DOCENCIA NA DIVERSIDADE PARA A EDUCACAO BASICA                                                      </t>
  </si>
  <si>
    <t xml:space="preserve">GESTAO DE PROJETOS SOCIAIS                                                                          </t>
  </si>
  <si>
    <t xml:space="preserve">PEDAGOGIA EMPRESARIAL E PEDAGOGIA HOSPITALAR                                                        </t>
  </si>
  <si>
    <t>EDUC. PROF. TEC. DE NIVEL MEDIO INTEGRADA AO ENSINO MEDIO DO CURSO TEC.EM G.DE PEQ.EMP.-PROJ.PEB/EJA</t>
  </si>
  <si>
    <t xml:space="preserve">GESTAO E ORIENTACAO EDUCACIONAL                                                                     </t>
  </si>
  <si>
    <t xml:space="preserve">GEST├O ESCOLAR - ADMINISTRAÃ├O SUPERVIS├O E ORIENTAÃ├O                                              </t>
  </si>
  <si>
    <t xml:space="preserve">ESPECIALIZAÃAO EM TECNOLOGIAS EDUCACIONAIS LAB. APRENDIZAGEM.                                       </t>
  </si>
  <si>
    <t xml:space="preserve">PSICOPEDAGOGIA E O PROC. ENSINO-APRENDIZAGEM: UMA FUNDAMENTAÃ├O FIL.-ATROPOLOGICA E TEC. PEDAGOGICA </t>
  </si>
  <si>
    <t xml:space="preserve">GEST├O ESCOLAR NO ENSINO FUNDAMENTAL E M╔DIO                                                        </t>
  </si>
  <si>
    <t xml:space="preserve">ORIENTAÃ├O E MAGISTERIO DAS DISCIPLINAS PEDAGOGICAS DO 2║ GRAU                                      </t>
  </si>
  <si>
    <t xml:space="preserve">METODOLOGIA DO ENSINO DE ARTES                                                                      </t>
  </si>
  <si>
    <t xml:space="preserve">MATEMATICA E ESTATISTICA APLICADA A EDUCAÃ├O                                                        </t>
  </si>
  <si>
    <t xml:space="preserve">ENSINO DE FILOSOFIA                                                                                 </t>
  </si>
  <si>
    <t xml:space="preserve">EDUCAÃ├O COM ENFASE EM ARTES E INCLUS├O                                                             </t>
  </si>
  <si>
    <t>ESPECIALIZACAO EM PEDAGOGIA EMP. E ORG: EDUCACAO CONTINUADA E PL. EST. NA GESTAO DE TALENTOS HUMANOS</t>
  </si>
  <si>
    <t xml:space="preserve">PORTUGUES JURIDICO                                                                                  </t>
  </si>
  <si>
    <t xml:space="preserve">GESTAO ESCOLAR ADMINISTRACAO SUPERVISAO E ORIENTACAO                                                </t>
  </si>
  <si>
    <t xml:space="preserve">ENSINO DE ARTES: TECNICA E PROCEDIMENTOS                                                            </t>
  </si>
  <si>
    <t xml:space="preserve">ORIENTACAO ESCOLAR                                                                                  </t>
  </si>
  <si>
    <t xml:space="preserve">ORIENTACAO, SUPERVISAO, INSPECAO, E GESTAO EM ADMINISTRACAO ESCOLAR                                 </t>
  </si>
  <si>
    <t xml:space="preserve">DIDATICA: DESAFIO A PARTICIPACAO                                                                    </t>
  </si>
  <si>
    <t xml:space="preserve">INSPECAO ESCOLAR E DOCENCIA DO ENSINO                                                               </t>
  </si>
  <si>
    <t xml:space="preserve">TECNOLOGIA EM EDUCACAO                                                                              </t>
  </si>
  <si>
    <t xml:space="preserve">ATENDIMENTO EDUCACIONAL ESPECIALIZADO                                                               </t>
  </si>
  <si>
    <t xml:space="preserve">DESENVOLVIMENTO HUMANO, EDUCACAO E INCLUSAO ESCOLAR                                                 </t>
  </si>
  <si>
    <t xml:space="preserve">TECNOLOGIAS E EDUCACAO A DISTANCIA                                                                  </t>
  </si>
  <si>
    <t xml:space="preserve">PEDAGOGIA SOCIAL E ELABORACAO DE PROJETO                                                            </t>
  </si>
  <si>
    <t xml:space="preserve">ENSINO DE QUIMICA                                                                                   </t>
  </si>
  <si>
    <t xml:space="preserve">LINGUISTICA APLICADA AO ENSINO DE LINGUAS ESTRANGEIRAS E NOVAS TECNOLOGIAS                          </t>
  </si>
  <si>
    <t xml:space="preserve">GESTAO ESCOLAR COM ENFASE EM ADMINISTRACAO ESCOLAR                                                  </t>
  </si>
  <si>
    <t xml:space="preserve">ENSINO DE ARTES                                                                                     </t>
  </si>
  <si>
    <t xml:space="preserve">METODOLOGIA DO ENSINO DE QUIMICA                                                                    </t>
  </si>
  <si>
    <t xml:space="preserve">GESTAO ESCOLAR INTEGRADA - GESTAO/SUPERVISAO/ORIENTACAO                                             </t>
  </si>
  <si>
    <t xml:space="preserve">PSICOPEDAGOGIA COM ENFASE EM EDUCACAO INCLUSIVA                                                     </t>
  </si>
  <si>
    <t xml:space="preserve">LIBRAS                                                                                              </t>
  </si>
  <si>
    <t xml:space="preserve">INFORMATICA E COMUNICACAO NA EDUCACAO                                                               </t>
  </si>
  <si>
    <t xml:space="preserve">HABILITACOES EM DOCENCIA DA EDUCACAO INFANTIL E DOS ANOS INICIAIS DO ENSINO FUNDAMENTAL             </t>
  </si>
  <si>
    <t xml:space="preserve">ALFABETIZACAO LETRAMENTO E EDUCACAO INFANTIL                                                        </t>
  </si>
  <si>
    <t xml:space="preserve">GESTAO EDUCACIONAL E UNIVERSITARIA                                                                  </t>
  </si>
  <si>
    <t xml:space="preserve">PSICOPEDAGOGIA E SUPERVISAO ESCOLAR                                                                 </t>
  </si>
  <si>
    <t xml:space="preserve">TECNOLOGIAS EDUCACIONAIS EM LABORATORIO DE APRENDIZAGEM                                             </t>
  </si>
  <si>
    <t xml:space="preserve">SUPERVISAO PEDAGOGICA E SUPERVISAO ESCOLAR                                                          </t>
  </si>
  <si>
    <t xml:space="preserve">PSICOPEDAGOGIA E INCLUSAO SOCIAL                                                                    </t>
  </si>
  <si>
    <t xml:space="preserve">GESTAO ESCOLAR: SUPERVISAO ORIENTACAO E INSPECAO                                                    </t>
  </si>
  <si>
    <t xml:space="preserve">ENSINO NA EDUCACAO BASICA                                                                           </t>
  </si>
  <si>
    <t xml:space="preserve">EDUCACAO ESPECIAL E INCLUSIVA: DIVERSIDADE NA SALA DE AULA                                          </t>
  </si>
  <si>
    <t xml:space="preserve">QUIMICA FISICA E BIOLOGIA                                                                           </t>
  </si>
  <si>
    <t xml:space="preserve">GESTAO ESCOLAR COM ENFASE EM SUPERVISAO ORIENTACAO ADMINISTRACAO E INSPECAO ESCOLAR                 </t>
  </si>
  <si>
    <t xml:space="preserve">PSICOPEDAGOGIA E GESTAO ESCOLAR                                                                     </t>
  </si>
  <si>
    <t xml:space="preserve">MESTRADO EM GESTAO EDUCACIONAL E UNIVERSITARIA                                                      </t>
  </si>
  <si>
    <t xml:space="preserve">LINGUISTICA APLICADA AO ENSINO DA LINGUA E LITERATURA                                               </t>
  </si>
  <si>
    <t xml:space="preserve">ESPECIALIZACAO EM GESTAO DO TRABALHO PEDAGOGICO                                                     </t>
  </si>
  <si>
    <t xml:space="preserve">ENSINO DE CIENCIAS E MATEMATICA-MESTRADO PROFISSIONAL                                               </t>
  </si>
  <si>
    <t xml:space="preserve">GESTAO ESCOLAR INTEGRADA E PRATICAS PEDAGOGICAS                                                     </t>
  </si>
  <si>
    <t xml:space="preserve">HISTORIA-INTEGRACAO LATIO-AMERICANA: POLITICA, ESTRATEGIA E RELACOES ECONOMICAS                     </t>
  </si>
  <si>
    <t xml:space="preserve">PEDAGOGIA EMPRESARIAL E EDUCACAO CORPORATIVA                                                        </t>
  </si>
  <si>
    <t xml:space="preserve">ESPECIALIZACAO EM METODOLOGIA DA EDUCACAO INFANTIL E SERIES INICIAIS NA AREA DE EDUCACAO            </t>
  </si>
  <si>
    <t xml:space="preserve">EDUCACAO FISICA ADAPTADA E SAUDE                                                                    </t>
  </si>
  <si>
    <t xml:space="preserve">ESPECIALIZACAO EM EDUCACAO ESPECIAL: LIBRAS/BRAILLE NA AREA DE EDUCACAO                             </t>
  </si>
  <si>
    <t>ESPECIALIZACAO EM ED. ESPECIAL INCLUSIVA COM ENFASE EM TEC. ASSIST.E COM.ALTERNATIVA NA AREA DE EDU.</t>
  </si>
  <si>
    <t xml:space="preserve">ESPECIALIZACAO A DISTANCIA EM MIDIAS NA EDUCACAO                                                    </t>
  </si>
  <si>
    <t xml:space="preserve">MESTRE EM CIENCIA DA EDUCACAO                                                                       </t>
  </si>
  <si>
    <t xml:space="preserve">GESTAO DA APRENDIZAGEM ESCOLAR                                                                      </t>
  </si>
  <si>
    <t xml:space="preserve">METODOLOGIA DO ENSINO DE HISTORIA E GEOGRAFIA                                                       </t>
  </si>
  <si>
    <t xml:space="preserve">PSICOLOGIA NA SAUDE                                                                                 </t>
  </si>
  <si>
    <t xml:space="preserve">PSICANALISE: SUBJETIVIDADE E CULTURA                                                                </t>
  </si>
  <si>
    <t xml:space="preserve">TERAPIA COMPORTAMENTAL                                                                              </t>
  </si>
  <si>
    <t xml:space="preserve">ANALISE DO COMPORTAMENTO                                                                            </t>
  </si>
  <si>
    <t xml:space="preserve">LINGUAGEM E PSICANALISE                                                                             </t>
  </si>
  <si>
    <t xml:space="preserve">PSICOTERAPIA                                                                                        </t>
  </si>
  <si>
    <t xml:space="preserve">PSICOLOGIA DO EXERCICIO E DA SAUDE                                                                  </t>
  </si>
  <si>
    <t xml:space="preserve">PSICANALISE DA EDUCACAO                                                                             </t>
  </si>
  <si>
    <t xml:space="preserve">PSICOPEDAGOGIA APLICADA GESTAO ESCOLAR E EDUC INCLUSIVA: COORD SUPERV ORIENTACAO E DIRECAO ESCOLAR  </t>
  </si>
  <si>
    <t xml:space="preserve">HOTELARIA                                                                                           </t>
  </si>
  <si>
    <t xml:space="preserve">ORGANIZACAO E PRODUCAO DE EVENTOS                                                                   </t>
  </si>
  <si>
    <t xml:space="preserve">ADMINISTRACAO HOSPITALAR E DE SERVICOS DE SAUDE                                                     </t>
  </si>
  <si>
    <t xml:space="preserve">CONTROLE EXTERNO DA GESTAO PUBLICA CONTEMPORANEA                                                    </t>
  </si>
  <si>
    <t xml:space="preserve">MARKETING EMPRESARIAL                                                                               </t>
  </si>
  <si>
    <t xml:space="preserve">GESTAO INTEGRADA: MEIO AMBIENTE, SAUDE E SEGURANCA NO TRABALHO                                      </t>
  </si>
  <si>
    <t xml:space="preserve">GESTAO ESTRATEGICA DE RECURSOS HUMANOS E MARKETING                                                  </t>
  </si>
  <si>
    <t xml:space="preserve">COMUNICACAO EMPRESARIAL E MARKETING                                                                 </t>
  </si>
  <si>
    <t xml:space="preserve">GESTAO ESTRATEGICA EM LOGISTICA                                                                     </t>
  </si>
  <si>
    <t xml:space="preserve">GESTAO E CONSULTORIA AMBIENTAL                                                                      </t>
  </si>
  <si>
    <t xml:space="preserve">GESTAO DO DESIGN NAS MICRO E PEQUENAS EMPRESAS                                                      </t>
  </si>
  <si>
    <t xml:space="preserve">ADMINISTRACAO PUBLICA E GERENCIA DE CIDADES                                                         </t>
  </si>
  <si>
    <t xml:space="preserve">ADMINISTRACAO E PLANEJAMENTO DE PROJETOS SOCIAIS                                                    </t>
  </si>
  <si>
    <t xml:space="preserve">GESTAO PUBLICA EM SERVICOS DE SAUDE                                                                 </t>
  </si>
  <si>
    <t xml:space="preserve">GESTAO E AUDITORIA EM SAUDE I                                                                       </t>
  </si>
  <si>
    <t xml:space="preserve">GESTAO DE MEIO AMBIENTE E SANEAMENTO                                                                </t>
  </si>
  <si>
    <t xml:space="preserve">AUDITORIA E GESTAO DA QUALIDADE APLICADA A SERVICO DE SAUDE                                         </t>
  </si>
  <si>
    <t xml:space="preserve">TURISMO - GESTAO DE HOTELARIA                                                                       </t>
  </si>
  <si>
    <t xml:space="preserve">GESTAO PEDAGOGICA DE EMPRESAS                                                                       </t>
  </si>
  <si>
    <t xml:space="preserve">GESTAO EM SERVICOS SOCIAIS E POLITICAS PUBLICAS                                                     </t>
  </si>
  <si>
    <t xml:space="preserve">GESTAO DE RECURSOS HUMANOS EM EDUCACAO                                                              </t>
  </si>
  <si>
    <t xml:space="preserve">GESTAO DO TRABALHO E EDUCACAO NA SAUDE                                                              </t>
  </si>
  <si>
    <t xml:space="preserve">ESPECIALIZACAO, PLANEJAMENTO, MONITORAMENTO DE AVALIACAO EM POLITICAS PUBLICAS MUNICIPAIS DE SAUDE  </t>
  </si>
  <si>
    <t xml:space="preserve">GESTAO COMERCIAL                                                                                    </t>
  </si>
  <si>
    <t xml:space="preserve">GESTAO EM RESPONSABILIDADE SOCIAL                                                                   </t>
  </si>
  <si>
    <t xml:space="preserve">GESTAO AMBIENTAL E DESENVOLVIMENTO SUSTENTAVEL                                                      </t>
  </si>
  <si>
    <t xml:space="preserve">GESTAO DE SEGURANCA PUBLICA                                                                         </t>
  </si>
  <si>
    <t xml:space="preserve">AUDITORIA EM SISTEMAS DE SAUDE                                                                      </t>
  </si>
  <si>
    <t xml:space="preserve">GESTAO MICRORREGIONAL DE SAUDE                                                                      </t>
  </si>
  <si>
    <t xml:space="preserve">GESTAO DA QUALIDADE                                                                                 </t>
  </si>
  <si>
    <t xml:space="preserve">CONTROLE, MONITORAMENTO E AVALIACAO NO SETOR PUBLICO                                                </t>
  </si>
  <si>
    <t xml:space="preserve">GEST├O P┌BLICA E LEGISLAÃ├O URBANA                                                                  </t>
  </si>
  <si>
    <t xml:space="preserve">GESTAO DE POLITICAS PUBLICAS EM GENERO E RACA                                                       </t>
  </si>
  <si>
    <t xml:space="preserve">GESTAO DE RECURSOS HUMANOS E MEIO AMBIENTE                                                          </t>
  </si>
  <si>
    <t xml:space="preserve">GESTAO DE BENS E SERVICOS                                                                           </t>
  </si>
  <si>
    <t xml:space="preserve">GESTAO EM SERVICOS E SISTEMAS DE SAUDE                                                              </t>
  </si>
  <si>
    <t xml:space="preserve">GESTAO E QUALIDADE HOSPITALAR                                                                       </t>
  </si>
  <si>
    <t xml:space="preserve">GESTAO DA ORGANIZACAO PUBLICA DA SAUDE                                                              </t>
  </si>
  <si>
    <t xml:space="preserve">CERIMONIAL E ETIQUETA                                                                               </t>
  </si>
  <si>
    <t xml:space="preserve">GESTAO PUBLICA MUNICIPAL                                                                            </t>
  </si>
  <si>
    <t xml:space="preserve">ADMINISTRACAO E MARKETING                                                                           </t>
  </si>
  <si>
    <t xml:space="preserve">ADMINISTRACAO - ORGANIZACAO E ESTRATEGIA                                                            </t>
  </si>
  <si>
    <t xml:space="preserve">PLANEJAMENTO E GESTAO TRIBUTARIA                                                                    </t>
  </si>
  <si>
    <t xml:space="preserve">GESTAO DE SEGUROS, PREVIDENCIA PRIVADA E CAPITALIZACAO                                              </t>
  </si>
  <si>
    <t xml:space="preserve">GESTAO DA PRODUCAO INDUSTRIAL                                                                       </t>
  </si>
  <si>
    <t xml:space="preserve">GESTAO E NORMATIZACAO DE TRANSITO E TRANSPORTES                                                     </t>
  </si>
  <si>
    <t xml:space="preserve">SECRETARIADO EXECUTIVO                                                                              </t>
  </si>
  <si>
    <t xml:space="preserve">FORMACAO GERAL E DESENV DE EXECUTIVOS E DIRIGENTES DE ORGANIZACOES DO SISTEMA DE AGRONEGOCIOS       </t>
  </si>
  <si>
    <t xml:space="preserve">SISTEMA DE INFORMAÃ├O E APLICAÃıES WEB                                                              </t>
  </si>
  <si>
    <t xml:space="preserve">PROFISSIONAL EM MATEM┴TICA EM REDE NACIONAL                                                         </t>
  </si>
  <si>
    <t xml:space="preserve">GEST├O DE POL═TICAS P┌BLICAS COM ENFASE EM GENERO E RELAÃıES ╔TNICAS RACIAIS                        </t>
  </si>
  <si>
    <t xml:space="preserve">CBA - GEST├O DE NEGËCIOS                                                                            </t>
  </si>
  <si>
    <t xml:space="preserve">GEST├O ESTRAT╔GICA DO ORÃAMENTO P┌BLICO                                                             </t>
  </si>
  <si>
    <t xml:space="preserve">CIENCIAS GERENCIAIS, GESTAO DE EMPRESAS E NEGOCIOS                                                  </t>
  </si>
  <si>
    <t xml:space="preserve">MBA PROFISSIONAL EM MEIO AMBIENTE E ORGANIZACOES EMPRESARIAIS E SOCIAIS                             </t>
  </si>
  <si>
    <t xml:space="preserve">TECNOLOGIA EM GESTAO PUBLICA E RESPONSABILIDADE FISCAL                                              </t>
  </si>
  <si>
    <t xml:space="preserve">GESTAO DE PESSOAS E PROJETOS SOCIAIS                                                                </t>
  </si>
  <si>
    <t xml:space="preserve">ESPECIALIZACAO EM GESTAO DA QUALIDADE E AUDITORIA EM PROCESSOS INDUSTRIAIS                          </t>
  </si>
  <si>
    <t xml:space="preserve">ADMINISTRACAO - GESTAO ESTRATEGICA DAS ORGANIZACOES                                                 </t>
  </si>
  <si>
    <t xml:space="preserve">SUSTENTABILIDADE SOCIOECONOMICA AMBIENTAL                                                           </t>
  </si>
  <si>
    <t xml:space="preserve">MBA EM GESTAO ESTRATEGICA DA COMUNICACAO ORGANIZACIONAL                                             </t>
  </si>
  <si>
    <t xml:space="preserve">MBA EM PLANEJAMENTO TRIBUTARIO                                                                      </t>
  </si>
  <si>
    <t xml:space="preserve">MBA EXECUTIVO EM ADMINISTRACAO DE EMPRESAS COM ENFASE EM MEIO AMBIENTE                              </t>
  </si>
  <si>
    <t xml:space="preserve">MESTRADO EM GESTAO ESTRATEGICA DAS ORGANIZACOES                                                     </t>
  </si>
  <si>
    <t xml:space="preserve">MBA EM ADMINISTRACAO E NEGOCIOS INTERNACIONAIS                                                      </t>
  </si>
  <si>
    <t xml:space="preserve">GESTAO DA SAUDE E ADMINISTRACAO HOSPITALAR                                                          </t>
  </si>
  <si>
    <t xml:space="preserve">GESTAO EM SAUDE E CONTROLE DE INFECCAO                                                              </t>
  </si>
  <si>
    <t xml:space="preserve">GESTAO TRIBUTARIA                                                                                   </t>
  </si>
  <si>
    <t xml:space="preserve">PLANEJAMENTO ORCAMENTARIO E FINANCIAMENTO DO SUS  MUNICIPAL                                         </t>
  </si>
  <si>
    <t xml:space="preserve">GESTAO PUBLICA E LEGISLACAO URBANA                                                                  </t>
  </si>
  <si>
    <t xml:space="preserve">MONITORAMENTO DE DESEMPENHO EM ORGANIZACOES E PROGRAMAS GOVERNAMENTAIS                              </t>
  </si>
  <si>
    <t xml:space="preserve">GESTAO DE EQUIPES E VIABILIDADE DE PROJETOS                                                         </t>
  </si>
  <si>
    <t xml:space="preserve">GESTAO PUBLICA DE ORGANIZACOES DE SAUDE                                                             </t>
  </si>
  <si>
    <t xml:space="preserve">MBA EM SEGURANCA DO TRABALHO E GESTAO AMBIENTAL                                                     </t>
  </si>
  <si>
    <t xml:space="preserve">GESTAO DE NEGOCIOS EM SERVICOS TERCEIRIZAVEIS                                                       </t>
  </si>
  <si>
    <t xml:space="preserve">EDUCACAO CORPORATIVA                                                                                </t>
  </si>
  <si>
    <t xml:space="preserve">DESENVOLVIMENTO DE APLICACOES WEB                                                                   </t>
  </si>
  <si>
    <t xml:space="preserve">GEST├O INTEGRADA: ORIENTAÃ├O, SUPERVIS├O, INSPEÃ├O E GEST├O ESCOLAR                                 </t>
  </si>
  <si>
    <t xml:space="preserve">GEST├O DE PESSOAS E MARKETING                                                                       </t>
  </si>
  <si>
    <t xml:space="preserve">GESTAO EM LOGISTICA                                                                                 </t>
  </si>
  <si>
    <t xml:space="preserve">I PROGRAMA DE ESPECIALIZAÃ├O EM ADMINISTRAÃ├O PUBLICA                                               </t>
  </si>
  <si>
    <t xml:space="preserve">MESTRADO EM EDUCACAO, CULTURA E ORGANIZACOES SOCIAIS                                                </t>
  </si>
  <si>
    <t xml:space="preserve">GESTAO DE ESCOLAS : ABORDAGEM ADMINISTRATIVA E PEDAGOGICA                                           </t>
  </si>
  <si>
    <t xml:space="preserve">MERCADO FINANCEIRO COM ENFASE EM BANKING                                                            </t>
  </si>
  <si>
    <t xml:space="preserve">ESPECIALIZACAO EM GESTAO DA CLINICA DO SUS: EDUCACAO NA SAUDE PARA RECEPTORES DO SUS                </t>
  </si>
  <si>
    <t xml:space="preserve">SUPERVISOR DE SEGURANCA DO TRABALHO                                                                 </t>
  </si>
  <si>
    <t xml:space="preserve">PROCESSAMENTO NA INDUSTRIA SUCROALCOOLEIRA                                                          </t>
  </si>
  <si>
    <t xml:space="preserve">LIDERANCA E GESTAO DE PESSOAS                                                                       </t>
  </si>
  <si>
    <t xml:space="preserve">GESTAO DO PATRIMONIO HISTORIO E CULTURAL                                                            </t>
  </si>
  <si>
    <t xml:space="preserve">ESPECIALIZACAO EM GESTAO PUBLICA MUNICIPAL INTEGRADA                                                </t>
  </si>
  <si>
    <t xml:space="preserve">CONTROLADORIA DE GESTAO                                                                             </t>
  </si>
  <si>
    <t xml:space="preserve">TECNOLOGIA EM GESTAO DE FINANCAS PUBLICAS E AUDITORIA GOVERNAMENTAL                                 </t>
  </si>
  <si>
    <t xml:space="preserve">AUDITORIA E CONTROLADORIA                                                                           </t>
  </si>
  <si>
    <t xml:space="preserve">CONTABILIDADE E GESTAO TRIBUTARIA                                                                   </t>
  </si>
  <si>
    <t xml:space="preserve">GESTAO CONTABIL E CONTROLADORIA EMPRESARIAL                                                         </t>
  </si>
  <si>
    <t xml:space="preserve">COTABILIDADE TRIBUTARIA COM ENFASE EM SPED                                                          </t>
  </si>
  <si>
    <t xml:space="preserve">CONTROLADORIA E ANALISE DE BALANCOS                                                                 </t>
  </si>
  <si>
    <t xml:space="preserve">AUDITORIA GOVERNAMENTAL                                                                             </t>
  </si>
  <si>
    <t xml:space="preserve">CONTABILIDADE PUBLICA E LEI DE RESPONSABILIDADE FISCAL                                              </t>
  </si>
  <si>
    <t xml:space="preserve">CONTROLADORIA, AUDITORIA E PERICIA CONTABIL                                                         </t>
  </si>
  <si>
    <t xml:space="preserve">MBA EM GESTAO FINANCEIRA EMPRESARIAL                                                                </t>
  </si>
  <si>
    <t xml:space="preserve">CONTABILIDADE DIGITAL                                                                               </t>
  </si>
  <si>
    <t xml:space="preserve">CONTROLADORIA, GESTAO DE CUSTOS E FINANCAS                                                          </t>
  </si>
  <si>
    <t xml:space="preserve">CBA FINCANCAS E CONTROLADORIA                                                                       </t>
  </si>
  <si>
    <t xml:space="preserve">GESTAO FISCAL                                                                                       </t>
  </si>
  <si>
    <t xml:space="preserve">AUDITORIA E PERICIA                                                                                 </t>
  </si>
  <si>
    <t xml:space="preserve">GESTAO CONTABIL E FINANCEIRA: COM ENFASE EM GESTAO DA INFORMACAO                                    </t>
  </si>
  <si>
    <t xml:space="preserve">GESTAO DE CONTAS PUBLICAS                                                                           </t>
  </si>
  <si>
    <t xml:space="preserve">MBA EM FINANCAS AUDITORIA E CONTROLADORIA                                                           </t>
  </si>
  <si>
    <t xml:space="preserve">PRODUCAO EM MIDIAS DIGITAIS                                                                         </t>
  </si>
  <si>
    <t xml:space="preserve">MIDIA E COMUNICACAO MERCADOLOGICA                                                                   </t>
  </si>
  <si>
    <t xml:space="preserve">COMUNICACAO ESTRATEGICA                                                                             </t>
  </si>
  <si>
    <t xml:space="preserve">PORTUGU╩S E INGL╩S                                                                                  </t>
  </si>
  <si>
    <t xml:space="preserve">PRODUCAO DE MATERIAL DIDATICO PARA DIVERSIDADE                                                      </t>
  </si>
  <si>
    <t xml:space="preserve">EXPRESSAO LUDOCRIATIVA                                                                              </t>
  </si>
  <si>
    <t xml:space="preserve">ECONOMIA POLITICA                                                                                   </t>
  </si>
  <si>
    <t xml:space="preserve">METRE EM ADMINISTRACAO-AREA DE CONCENTRACAO: GESTAO DA INOVACAO E COMPETITIVIDADE                   </t>
  </si>
  <si>
    <t xml:space="preserve">GESTAO DA INOVACAO E COMPETITIVIDADE                                                                </t>
  </si>
  <si>
    <t xml:space="preserve">CIENCIA E TECNOLOGIA DE COSMETICOS                                                                  </t>
  </si>
  <si>
    <t xml:space="preserve">INFORMATICA PUBLICA                                                                                 </t>
  </si>
  <si>
    <t xml:space="preserve">INFORMATICA EMPRESARIAL                                                                             </t>
  </si>
  <si>
    <t xml:space="preserve">TECNOLOGIA EM TURISMO E HOTELARIA                                                                   </t>
  </si>
  <si>
    <t xml:space="preserve">TECNOLOGIA EM DESIGN GRAFICO                                                                        </t>
  </si>
  <si>
    <t xml:space="preserve">TECNOLOGIA EM MECATRONICA INDUSTRIAL                                                                </t>
  </si>
  <si>
    <t xml:space="preserve">TECNOLOGIA EM BIOTECNOLOGIA                                                                         </t>
  </si>
  <si>
    <t xml:space="preserve">TECNOLOGIA, GERENCIA E SEGURANCA DE REDES DE COMPUTADORES                                           </t>
  </si>
  <si>
    <t xml:space="preserve">LICENCIATURA EM COMPUTACAO                                                                          </t>
  </si>
  <si>
    <t xml:space="preserve">SISTEMA DE TELECOMUNICACOES                                                                         </t>
  </si>
  <si>
    <t xml:space="preserve">DESENVOLVIMENTO DE SISTEMAS DE INFORMACAO                                                           </t>
  </si>
  <si>
    <t xml:space="preserve">TECNOLOGIAS DE INFORMACAO E COMUNICACAO NO ENSINO FUNDAMENTAL                                       </t>
  </si>
  <si>
    <t xml:space="preserve">GERENCIAMENTO DE REDES DE COMPUTADORES                                                              </t>
  </si>
  <si>
    <t xml:space="preserve">ENGENHARIA, ARQUITETURA E URBANISMO                                                                 </t>
  </si>
  <si>
    <t xml:space="preserve">LOGISTICA ESTRATEGICA E SISTEMAS DE TRANSPORTE                                                      </t>
  </si>
  <si>
    <t xml:space="preserve">ENGENHARIA DE ESTRADAS - ENFASE EM DRENAGEM DE RODOVIAS                                             </t>
  </si>
  <si>
    <t xml:space="preserve">ENGENHARIA AMBIENTAL E MEIO AMBIENTE                                                                </t>
  </si>
  <si>
    <t xml:space="preserve">ARQUITETURA E PAISAGISMO                                                                            </t>
  </si>
  <si>
    <t xml:space="preserve">PLANEJAMENTO URBANO E REGIONAL                                                                      </t>
  </si>
  <si>
    <t xml:space="preserve">ENGENHARIA CIVIL COM ENFASE EM TRANSPORTE E LOGISTICA                                               </t>
  </si>
  <si>
    <t xml:space="preserve">ENGENHARIA DE BIOPROCESSOS                                                                          </t>
  </si>
  <si>
    <t xml:space="preserve">TECNOLOGIA EM TRANSPORTE TERRESTRE                                                                  </t>
  </si>
  <si>
    <t xml:space="preserve">CONDICIONAMENTO DE AMBIENTES E REFRIGERACAO                                                         </t>
  </si>
  <si>
    <t xml:space="preserve">CIENCIA DOS MATERIAIS, AREA DE FISICA DA MATERIA CONDENSADA                                         </t>
  </si>
  <si>
    <t xml:space="preserve">ALIMENTOS                                                                                           </t>
  </si>
  <si>
    <t xml:space="preserve">CURSO TECNICO SEGURANCA DO TRABALHO                                                                 </t>
  </si>
  <si>
    <t xml:space="preserve">SECRETARIO D ESCOLAS DE 1║ E 2║ GRAUS                                                               </t>
  </si>
  <si>
    <t xml:space="preserve">T╔CNICO EM ALIMENTOS INTEGRADO COM ENSINO M╔DIO                                                     </t>
  </si>
  <si>
    <t xml:space="preserve">CURSO T╔CNICO EM SECRETARIA ESCOLAR                                                                 </t>
  </si>
  <si>
    <t xml:space="preserve">EDUCACAO PROF. TEC. NIVEL MEDIO INTEGRADA AOENS.  MEDIO CURSO TEC.GEST. PEQ. EMPRES. PROJETOPEB/EJA </t>
  </si>
  <si>
    <t xml:space="preserve">COMERCIO                                                                                            </t>
  </si>
  <si>
    <t xml:space="preserve">TECNICO EM GESTAO PUBLICA                                                                           </t>
  </si>
  <si>
    <t xml:space="preserve">TECNOLOGIA EM RECURSOS HUMANOS                                                                      </t>
  </si>
  <si>
    <t xml:space="preserve">TECNICO EM ADMINISTRACAO E GEST├O                                                                   </t>
  </si>
  <si>
    <t xml:space="preserve">TECNICO EM GESTAO DE PEQUENAS EMPRESAS                                                              </t>
  </si>
  <si>
    <t xml:space="preserve">TECNICO EM SECRETARIADO E ASSESSORIA                                                                </t>
  </si>
  <si>
    <t xml:space="preserve">TECNICO EM TELECOMUNICACOES                                                                         </t>
  </si>
  <si>
    <t xml:space="preserve">PROJETOS EDITORIAS, IMPRESSOS E MULTIMIDIA                                                          </t>
  </si>
  <si>
    <t xml:space="preserve">TECNOLOGO EM PRODUCAO MULTIMIDIA                                                                    </t>
  </si>
  <si>
    <t xml:space="preserve">PROGRAMACAO PARA WEB I                                                                              </t>
  </si>
  <si>
    <t xml:space="preserve">MANUTENCAO DE COMPUTADORES                                                                          </t>
  </si>
  <si>
    <t xml:space="preserve">TECNOLOGIA EM PILOTAGEM PROFISSIONAL DE AERONAVE                                                    </t>
  </si>
  <si>
    <t xml:space="preserve">SECRETARIA ESCOLAR - PROFUNCIONARIO                                                                 </t>
  </si>
  <si>
    <t>PROGRAMAS E PROJETOS SOCIAIS</t>
  </si>
  <si>
    <t>CIENCIAS HUMANAS</t>
  </si>
  <si>
    <t>LINGUISTICA, LETRAS E ARTES</t>
  </si>
  <si>
    <t>LINGUA E LITERATURAS ESPANHOLA E HISPANO-AMERICANA</t>
  </si>
  <si>
    <t>ATESTADO</t>
  </si>
  <si>
    <t xml:space="preserve">          Atestamos que os cálculos para pagamento de</t>
  </si>
  <si>
    <t>referente a(o) servidor(a)</t>
  </si>
  <si>
    <t>Publicação no "MG" de</t>
  </si>
  <si>
    <t>foram revistos e estão corretos.</t>
  </si>
  <si>
    <t xml:space="preserve">conforme Ato publicado no "Minas Gerais" de </t>
  </si>
  <si>
    <t>,  MaSP nº</t>
  </si>
  <si>
    <t>Nome do(a) Taxador(a)</t>
  </si>
  <si>
    <t>Coordenador(a) Setor de Pagamento</t>
  </si>
  <si>
    <t>Diretor(a) da Diretoria de Pessoal</t>
  </si>
  <si>
    <t>Diretor(a) da S.R.E.</t>
  </si>
  <si>
    <t>Subsecretário G. Recursos Humanos</t>
  </si>
  <si>
    <t>Secretário(a) de Estado de Educação</t>
  </si>
  <si>
    <t>Decreto n.º 43.441 de 17 de Julho de 2003, alterado pelo Decreto n.º 44.516 de 16 de maio de 2007.</t>
  </si>
  <si>
    <t>MaSP n.º:</t>
  </si>
  <si>
    <t>Coordenador(a) do Setor de Pagamento:</t>
  </si>
  <si>
    <t>Coordenador(a) de Pagamento</t>
  </si>
  <si>
    <t>ENCAMINHAMENTO DE PROCESSOS PARA PAGAMENTO DE VALORES ACIMA DE R$ 10.000,00</t>
  </si>
  <si>
    <t>Masp n.º:</t>
  </si>
  <si>
    <t>Assunto:</t>
  </si>
  <si>
    <t>Nome do(a) Servidor(a):</t>
  </si>
  <si>
    <t>NÚMERO DO SIPRO:</t>
  </si>
  <si>
    <t>ETIQUETA SIGED</t>
  </si>
  <si>
    <t>3351-4485</t>
  </si>
  <si>
    <t>Luis Fernando Oliveira</t>
  </si>
  <si>
    <t>Antonia Aparecida Ribeiro</t>
  </si>
  <si>
    <t>Sebastiana Maria Martins Leite</t>
  </si>
  <si>
    <t>Rosângela Pereira Melo de Lucca</t>
  </si>
  <si>
    <t>Antonio Carlos Pimenta</t>
  </si>
  <si>
    <t>Maria Angélica Jeronimo de Paulo</t>
  </si>
  <si>
    <t>Eligiane de Almeida</t>
  </si>
  <si>
    <t>Valdirene Rodrigues dos S. C. Borges</t>
  </si>
  <si>
    <t>Juliana Conceição Ap. de Deus e Ávila</t>
  </si>
  <si>
    <t>Joelma Souto de Oliveira</t>
  </si>
  <si>
    <t>Adma Puglia Fernandes</t>
  </si>
  <si>
    <t>Adriana Martins Domingos</t>
  </si>
  <si>
    <t>Mário Sérgio de Oliveira Bueno</t>
  </si>
  <si>
    <t>Jeane Rodrigues dos Santos</t>
  </si>
  <si>
    <t>Marco Antonio Gaioso de Queiroz</t>
  </si>
  <si>
    <t>Adriana Menezes Ferreira Vieira</t>
  </si>
  <si>
    <t>Maria de Fátima Azambuja e Oliveira</t>
  </si>
  <si>
    <t>Rosimar Oliveira de Queiroz</t>
  </si>
  <si>
    <t>Gisele Cristina Ferreira da Costa</t>
  </si>
  <si>
    <t>Rosa Maria Barbosa Almeida</t>
  </si>
  <si>
    <t>Francisco Magela de Carvalho Aguiar</t>
  </si>
  <si>
    <t>Heliana Ferreira Martins</t>
  </si>
  <si>
    <t>Sandra Aparecida da Rocha</t>
  </si>
  <si>
    <t>Paulo César de Paula Cançado</t>
  </si>
  <si>
    <t>Naara Cristina Moreira Mota</t>
  </si>
  <si>
    <t>Jardim das Acácias</t>
  </si>
  <si>
    <t>Shirley Ap. Ribeiro Tavares Magnabosco</t>
  </si>
  <si>
    <t>Edna Alves Afonso</t>
  </si>
  <si>
    <t>Lucymary da Cruz Reis Lacerda</t>
  </si>
  <si>
    <t>Maria Luisa Fernandes Cardoso</t>
  </si>
  <si>
    <t>Márcia Maria Pinheiro dos Santos</t>
  </si>
  <si>
    <t>João Gilberto da Silva</t>
  </si>
  <si>
    <t>Adriano Fernandes Muller</t>
  </si>
  <si>
    <t>Carolina de Freitas Dias de C. Mierro</t>
  </si>
  <si>
    <t>Lindomar Pires Ferreira</t>
  </si>
  <si>
    <t>Bruno de Jesus Vaz</t>
  </si>
  <si>
    <t>Edilaine Mendes Dias de Andrade</t>
  </si>
  <si>
    <t>Germano Fernandes</t>
  </si>
  <si>
    <t>Mariângela Rodrigues da Silva</t>
  </si>
  <si>
    <t>Rosana Cirino Barquet Moreira</t>
  </si>
  <si>
    <t>Fabiano Rodrigues</t>
  </si>
  <si>
    <t>Marlene Marques Queiroz V. Azambuja</t>
  </si>
  <si>
    <t>Aparecida de Paula Costa</t>
  </si>
  <si>
    <t>Leandra da Silva Neto</t>
  </si>
  <si>
    <t>Claudemir Nery de Lima</t>
  </si>
  <si>
    <t>Adriana Cristina F. Vaz Lemos Armada</t>
  </si>
  <si>
    <t>Kátia Lisidora de Sousa</t>
  </si>
  <si>
    <t>Stela Maris França</t>
  </si>
  <si>
    <t>Joana Darc Silva</t>
  </si>
  <si>
    <t>Paulo Sergio da Silva</t>
  </si>
  <si>
    <t>Ana Maria Carvalho da Silva</t>
  </si>
  <si>
    <t>Rua Vinte e Oito, 140</t>
  </si>
  <si>
    <t>Praça Fausto Barbosa, 790</t>
  </si>
  <si>
    <t>Rua Carlos Barbosa, 36</t>
  </si>
  <si>
    <t>Avenida Getúlio Vargas, 75</t>
  </si>
  <si>
    <t>Rua Abdanur Elias, 100</t>
  </si>
  <si>
    <t>Av. Vereador João Senna, 473</t>
  </si>
  <si>
    <t>Rua Francisco Verçosa, 140</t>
  </si>
  <si>
    <t>Rua Onésimo Simoões Borges, 55</t>
  </si>
  <si>
    <t>Rua Ananias Teixeira, 10</t>
  </si>
  <si>
    <t>Rua Santo Antonio, 727</t>
  </si>
  <si>
    <t>Rua Dezenove de Dezembro, 97</t>
  </si>
  <si>
    <t>Av. Joaquim Porfírio Botelho, 240</t>
  </si>
  <si>
    <t>Rua Santo Antonio, 150</t>
  </si>
  <si>
    <t>Rua Astolfo Lemos, 200</t>
  </si>
  <si>
    <t>Rua Doutor Edmar Cunha, 10</t>
  </si>
  <si>
    <t>Praça São José, 23</t>
  </si>
  <si>
    <t>Rua Pratinha, 283</t>
  </si>
  <si>
    <t>Rua João Soares de Souza, 920</t>
  </si>
  <si>
    <t xml:space="preserve">Rua Padre Rui Nunes Vale,  s/nº </t>
  </si>
  <si>
    <t>Rua Antônio das Graças Oliveira, 1050</t>
  </si>
  <si>
    <t>Rua São Longuinho, 380</t>
  </si>
  <si>
    <t>Avenida São Luís, 195</t>
  </si>
  <si>
    <t>Av. João Heitor de Assunção, 184</t>
  </si>
  <si>
    <t>Rua Pedro Lima Chagas, 450</t>
  </si>
  <si>
    <t>Rua Mantura Japur, 66</t>
  </si>
  <si>
    <t>Avenida Antônio Carlos, 48</t>
  </si>
  <si>
    <t>Rua Francisco Agnaldo Camilo, 71</t>
  </si>
  <si>
    <t>Avenida Emiliano Correa, 121</t>
  </si>
  <si>
    <t>Avenida dos Esportes, 145</t>
  </si>
  <si>
    <t>Praça Venâncio Pereira Santos, s/nº</t>
  </si>
  <si>
    <t>Rua Castro Alves, 860</t>
  </si>
  <si>
    <t>Rua João Pinheiro, 977</t>
  </si>
  <si>
    <t>Rua Uberlândia, 1273</t>
  </si>
  <si>
    <t>Rua Quatro de Outubro, 1020</t>
  </si>
  <si>
    <t>Rua Benedito de Deus, 190</t>
  </si>
  <si>
    <t>Rua Dez, 1111</t>
  </si>
  <si>
    <t>Rua Seis, 907</t>
  </si>
  <si>
    <t>Rua Ribeirão São Domingos, 1159</t>
  </si>
  <si>
    <t>Rua Santa Marta, 30</t>
  </si>
  <si>
    <t>Rua Rio Bonito, 632</t>
  </si>
  <si>
    <t>Rua D, 516</t>
  </si>
  <si>
    <t>Av. Cônego Osório, 1850</t>
  </si>
  <si>
    <t>Avenida Bahia, 475</t>
  </si>
  <si>
    <t>Praça Coronel Pedro Rodrigues, 174</t>
  </si>
  <si>
    <t>Praça Maria Jorge Miziara, 365</t>
  </si>
  <si>
    <t>Rua Fronteira, 227</t>
  </si>
  <si>
    <t>Praça da Matriz, 253</t>
  </si>
  <si>
    <t>Rua Santo Afonso, s/nº</t>
  </si>
  <si>
    <t>Rua Major Lima, 459</t>
  </si>
  <si>
    <t>Av. Capitão Borges, 250</t>
  </si>
  <si>
    <t>Rua Langerton Feliciano Deus, 849</t>
  </si>
  <si>
    <t>Rua José Pedro Borges, 266</t>
  </si>
  <si>
    <t>Avenida Seis, 468</t>
  </si>
  <si>
    <t>Rua Francisco Rosa Pires, 93</t>
  </si>
  <si>
    <t>Rua Sergipe, 561</t>
  </si>
  <si>
    <t>Rua Gastão Vieira de Souza, 108</t>
  </si>
  <si>
    <t>Rua Ceará, 665</t>
  </si>
  <si>
    <t>Rua Nelson Freire, s/nº</t>
  </si>
  <si>
    <t>Rua da Constituição, 1405</t>
  </si>
  <si>
    <t>Rua Frei Paulino, 140</t>
  </si>
  <si>
    <t>Rua Miguel de Stefani, s/nº</t>
  </si>
  <si>
    <t>Praça José Tiveron, 50</t>
  </si>
  <si>
    <t>Rua José Bonifácio, 620</t>
  </si>
  <si>
    <t>Praça Comendados Quintino, s/nº</t>
  </si>
  <si>
    <t>Rua Dona Marat Pontes, 780</t>
  </si>
  <si>
    <t>Avenida da Saudade, 71</t>
  </si>
  <si>
    <t>Rua Antônio Alves Fontes, 519</t>
  </si>
  <si>
    <t>Rua Miguel Veríssimo, 1006</t>
  </si>
  <si>
    <t>Rua Santa Vitória, 380</t>
  </si>
  <si>
    <t>Rua Centenário, 570</t>
  </si>
  <si>
    <t>Avenida Tutunas, 901</t>
  </si>
  <si>
    <t>Rua Vigário Carlos, 1300</t>
  </si>
  <si>
    <t>Rua João Caetano Primo, 31</t>
  </si>
  <si>
    <t xml:space="preserve">Av. Nossa Senhora de Lourdes,  s/nº </t>
  </si>
  <si>
    <t>Rua José Carlos Rodrigues da Cunha Jr, 160</t>
  </si>
  <si>
    <t>Rua João Rodrigues Vilaça, 164</t>
  </si>
  <si>
    <t>Rua Arquelau Alves Ribeiro, 343</t>
  </si>
  <si>
    <t>Rua Padre Leandro,  121</t>
  </si>
  <si>
    <t>R. Profa Antônia Maria de Freitas, 59</t>
  </si>
  <si>
    <t>Praça Frei Eugênio, 473</t>
  </si>
  <si>
    <t>Rua Doutor Ludovice, 815</t>
  </si>
  <si>
    <t>Rua Itália, 1010</t>
  </si>
  <si>
    <t>Rua Menelick de Carvalho, 383</t>
  </si>
  <si>
    <t>Avenida da Saudade, 289</t>
  </si>
  <si>
    <t>Av. Dr Hélio Luiz da Costa, 685</t>
  </si>
  <si>
    <t>Av. Fernando Costa, 714</t>
  </si>
  <si>
    <t>Praça Antônio Delfino, 53</t>
  </si>
  <si>
    <t>Rua Dr Décio Moreira, 400</t>
  </si>
  <si>
    <t>Rua Osvaldo Cruz, 300</t>
  </si>
  <si>
    <t>Alameda Granada, 585</t>
  </si>
  <si>
    <t>Rua do Café, 120</t>
  </si>
  <si>
    <t>Rua Varginha,  60</t>
  </si>
  <si>
    <t>Praça Governador Magalhães Pinto, 464</t>
  </si>
  <si>
    <t xml:space="preserve">Av. Américo Pessato, 100 </t>
  </si>
  <si>
    <t>Av. Dra Maria Terezinha Rocha , 600</t>
  </si>
  <si>
    <t>Rua Sinhá Teodoro, 226</t>
  </si>
  <si>
    <t>Avenida Nove,  966</t>
  </si>
  <si>
    <t>Praça João Rosa,  s/nº</t>
  </si>
  <si>
    <t>Abono</t>
  </si>
  <si>
    <t>3633-1187</t>
  </si>
  <si>
    <t>Referente ao acerto de</t>
  </si>
  <si>
    <t>Período da Designação Ultrapassa o mês de Início?</t>
  </si>
  <si>
    <t>Calcular Auxílio Transporte de</t>
  </si>
  <si>
    <t>?</t>
  </si>
  <si>
    <t>Calcular Auxílio Transporte:</t>
  </si>
  <si>
    <t>Salário Mínimo:</t>
  </si>
  <si>
    <t>Aux. Transp./Dia Útil:</t>
  </si>
  <si>
    <t>Mín.Garantido/dia:</t>
  </si>
  <si>
    <t>DADOS PARA CÁLCULO DE AUXÍLIO TRANSPORTE</t>
  </si>
  <si>
    <t>3 Salários Mínimos:</t>
  </si>
  <si>
    <t>dias úteis no período:</t>
  </si>
  <si>
    <t>Total da Autorização de Pagamento</t>
  </si>
  <si>
    <t>Abono2</t>
  </si>
  <si>
    <t>SUBTOTAL</t>
  </si>
  <si>
    <r>
      <rPr>
        <u/>
        <sz val="11"/>
        <color theme="1"/>
        <rFont val="Arial Narrow"/>
        <family val="2"/>
      </rPr>
      <t>Código de Verbas</t>
    </r>
    <r>
      <rPr>
        <sz val="11"/>
        <color theme="1"/>
        <rFont val="Arial Narrow"/>
        <family val="2"/>
      </rPr>
      <t>:</t>
    </r>
  </si>
  <si>
    <t>Encaminha Processo para Conferência  de  Cálculos  de:</t>
  </si>
  <si>
    <t>3314-4829</t>
  </si>
  <si>
    <t>Aposentado(a):</t>
  </si>
  <si>
    <t>CÁLCULO - VALORES ACIMA DE R$ 10.000,00</t>
  </si>
  <si>
    <t>Base de Cálculo para Acertos de Valores Acima de R$ 10.000,00</t>
  </si>
  <si>
    <t>Diferença ou Valor (Mensal)</t>
  </si>
  <si>
    <t>até</t>
  </si>
  <si>
    <t>Rua Professora Edina Borges Mendes, 388</t>
  </si>
  <si>
    <t>99813-0922</t>
  </si>
  <si>
    <t>PARCELA INCORP. ART.8º LEI 21710/15 (ABONO 1)</t>
  </si>
  <si>
    <t>PARCELA INCORP. ART 8º LEI 21710/15 (ABONO 2)</t>
  </si>
  <si>
    <t>E.E. Escritora Carolina Maria de Jesus</t>
  </si>
  <si>
    <t>VENCIMENTO COMPLEMENTAR - ART.4º LEI 21710/2015</t>
  </si>
  <si>
    <t>VANTAGEM PESSOAL - PROGRESSÃO EDUCAÇÃO</t>
  </si>
  <si>
    <t>E.E. Professora Maria do Carmo Pires Rosa</t>
  </si>
  <si>
    <t>Ana Carolina Domingues</t>
  </si>
  <si>
    <t>Recebimento indevido de Abono de Professor, sendo: Abono 01 de Junho a Dezembro de 2016 e Abono 02 de Agosto a Dezembro de 2016. ATBD1A, Adm.01.</t>
  </si>
  <si>
    <t>Arlete de Fátima Soares</t>
  </si>
  <si>
    <t>Publicação atrasada de Afastamento Preliminar Aposentadoria ex-Lei 100.</t>
  </si>
  <si>
    <t>13º</t>
  </si>
  <si>
    <t>1</t>
  </si>
  <si>
    <t>Adriano Frutuoso da Silva</t>
  </si>
  <si>
    <t>Estamos devolvendo o Q.I. de dispensa a pedido do servidor em 17/07/2017, tendo em vista que foi enviado outro Q.I. alterando a dispensa por exceder 10% de faltas (conforme informação da Escola, o mesmo teve 6 h/a de faltas em Julho de 2017).</t>
  </si>
  <si>
    <t>VANTAGEM PESSOAL - LEI 18975/2010</t>
  </si>
  <si>
    <t>VC (989)</t>
  </si>
  <si>
    <t>VP (852)</t>
  </si>
  <si>
    <t>Aparecida Conceição de Souza Caetano</t>
  </si>
  <si>
    <t>Restituição IPSEMG Saúde</t>
  </si>
  <si>
    <t>Restituição Contribuição Previdenciária INSS</t>
  </si>
  <si>
    <t>Restituição Custeio Aux. Transporte</t>
  </si>
  <si>
    <t>3</t>
  </si>
  <si>
    <t>Débito 05 dias mês 07/2017 (INSS a</t>
  </si>
  <si>
    <t>contar 26/07/2017 e recebeu 30 dias)</t>
  </si>
  <si>
    <t>Débito de 15 d. úteis Aux.de Transporte</t>
  </si>
  <si>
    <t>Maria Helena Leandro Luiz</t>
  </si>
  <si>
    <t>PEB2F</t>
  </si>
  <si>
    <t>E.E. Dr. Lindolfo Bernardes</t>
  </si>
  <si>
    <t>Wieland Silberschneider</t>
  </si>
  <si>
    <t>Ctrl + C no campo seguinte para copiar ocorrência:</t>
  </si>
  <si>
    <t>KELLY CARDOSO DE OLIVEIRA</t>
  </si>
  <si>
    <t>Acerto vice-direção mês 02/2018</t>
  </si>
  <si>
    <t>Admissão</t>
  </si>
  <si>
    <t>Cargo</t>
  </si>
  <si>
    <t>Lotação</t>
  </si>
  <si>
    <t>Exercício</t>
  </si>
  <si>
    <t>Data da Aposentadoria</t>
  </si>
  <si>
    <t>Data da Publicação</t>
  </si>
  <si>
    <t>Unidade Administrativa</t>
  </si>
  <si>
    <t>Cód. Uni. Adm</t>
  </si>
  <si>
    <t>Servidor</t>
  </si>
  <si>
    <t>Masp - DV</t>
  </si>
  <si>
    <t>Situação de Exercicio</t>
  </si>
  <si>
    <t xml:space="preserve">Cód. </t>
  </si>
  <si>
    <t>Período</t>
  </si>
  <si>
    <t>Data Inicial</t>
  </si>
  <si>
    <t>Data Final</t>
  </si>
  <si>
    <t>Substituído</t>
  </si>
  <si>
    <t>Masp - Dv</t>
  </si>
  <si>
    <t>Grupo</t>
  </si>
  <si>
    <t>Carga Horária</t>
  </si>
  <si>
    <t>Cód. Grupo</t>
  </si>
  <si>
    <t>Cód. Natureza</t>
  </si>
  <si>
    <t>Tipo</t>
  </si>
  <si>
    <t>Modalidade</t>
  </si>
  <si>
    <t>Matéria</t>
  </si>
  <si>
    <t>Qtd. Aulas</t>
  </si>
  <si>
    <t>Turno</t>
  </si>
  <si>
    <t>2011</t>
  </si>
  <si>
    <t>2012</t>
  </si>
  <si>
    <t>2013</t>
  </si>
  <si>
    <t>2014</t>
  </si>
  <si>
    <t>2015</t>
  </si>
  <si>
    <t>Zona Rural</t>
  </si>
  <si>
    <t>N</t>
  </si>
  <si>
    <t>S</t>
  </si>
  <si>
    <t>Cod_Materia</t>
  </si>
  <si>
    <t>Nome_Materia</t>
  </si>
  <si>
    <t>Op</t>
  </si>
  <si>
    <t>Dt.inicio</t>
  </si>
  <si>
    <t>Dt.fim</t>
  </si>
  <si>
    <t>Qtd/Especif</t>
  </si>
  <si>
    <t>Rf</t>
  </si>
  <si>
    <t>Dt</t>
  </si>
  <si>
    <t>Or</t>
  </si>
  <si>
    <t>Vigência</t>
  </si>
  <si>
    <t>Situação</t>
  </si>
  <si>
    <t>Sit. Funcional</t>
  </si>
  <si>
    <t>Data Aposent.</t>
  </si>
  <si>
    <t>Cod</t>
  </si>
  <si>
    <t>MAG</t>
  </si>
  <si>
    <t>ADM</t>
  </si>
  <si>
    <t>Cod_Programa</t>
  </si>
  <si>
    <t>Cod_Tela</t>
  </si>
  <si>
    <t>Titulo_Tela</t>
  </si>
  <si>
    <t>Proxima_Tela</t>
  </si>
  <si>
    <t>Anterior_Tela</t>
  </si>
  <si>
    <t>VISHC000</t>
  </si>
  <si>
    <t>NISHC000</t>
  </si>
  <si>
    <t>Indice</t>
  </si>
  <si>
    <t>VISHCMSA</t>
  </si>
  <si>
    <t>NISHCMSC</t>
  </si>
  <si>
    <t>PESQUISAR SERVIDOR</t>
  </si>
  <si>
    <t>VISHC001</t>
  </si>
  <si>
    <t>NISHC151</t>
  </si>
  <si>
    <t>IDENTIFICAR CARGO</t>
  </si>
  <si>
    <t>VISHC724</t>
  </si>
  <si>
    <t>PESQUISAR SERVIDOR PUBLICO</t>
  </si>
  <si>
    <t>VISHC151</t>
  </si>
  <si>
    <t>PESQUISAR EXERCICIO SERVIDOR</t>
  </si>
  <si>
    <t>VISHC15A</t>
  </si>
  <si>
    <t>NISHC15A</t>
  </si>
  <si>
    <t>PESQUISAR LOTACAO SERVIDOR</t>
  </si>
  <si>
    <t>VISHC15B</t>
  </si>
  <si>
    <t>NISHC15B</t>
  </si>
  <si>
    <t>PESQUISAR HISTORICO DE CARGOS SERVIDOR</t>
  </si>
  <si>
    <t>VISHC15D</t>
  </si>
  <si>
    <t>NISHC15D</t>
  </si>
  <si>
    <t>PESQUISAR DETALHES CARGA HORARIA</t>
  </si>
  <si>
    <t>VISHC15X</t>
  </si>
  <si>
    <t>NISHC15Q</t>
  </si>
  <si>
    <t>DESIGNACAO</t>
  </si>
  <si>
    <t>NISHCMSE</t>
  </si>
  <si>
    <t>INCLUIR DESIGNACAO</t>
  </si>
  <si>
    <t>VISHC146</t>
  </si>
  <si>
    <t>NISHC145</t>
  </si>
  <si>
    <t>VISHC147</t>
  </si>
  <si>
    <t>NISHC007</t>
  </si>
  <si>
    <t>INCLUIR LOCAL DE RECEBIMENTO</t>
  </si>
  <si>
    <t>VISHC103</t>
  </si>
  <si>
    <t>NISHC103</t>
  </si>
  <si>
    <t>INFORMAR CARGA HORARIA</t>
  </si>
  <si>
    <t>VISHCC61</t>
  </si>
  <si>
    <t>NISHCC61</t>
  </si>
  <si>
    <t>INCLUIR DESLIGAMENTO DESIGNADO</t>
  </si>
  <si>
    <t>VISHCINC</t>
  </si>
  <si>
    <t>NISHC001</t>
  </si>
  <si>
    <t>VISHC714</t>
  </si>
  <si>
    <t>NISHC714</t>
  </si>
  <si>
    <t>VISHC14K</t>
  </si>
  <si>
    <t>NISHC14K</t>
  </si>
  <si>
    <t>EXCLUIR DESIGNACAO</t>
  </si>
  <si>
    <t>VISHC14C</t>
  </si>
  <si>
    <t>NISHC14C</t>
  </si>
  <si>
    <t>VISHC105</t>
  </si>
  <si>
    <t>NISHC147</t>
  </si>
  <si>
    <t>PESQUISAR AFASTAMENTOS DO SERVIDOR</t>
  </si>
  <si>
    <t>VISHC314</t>
  </si>
  <si>
    <t>NISHC314</t>
  </si>
  <si>
    <t>PESQUISAR FALTAS CONSOLIDADAS</t>
  </si>
  <si>
    <t>NISHC309</t>
  </si>
  <si>
    <t>VISHC309</t>
  </si>
  <si>
    <t>PESQUISAR CODIGO RECEBIMENTO</t>
  </si>
  <si>
    <t>NISHC814</t>
  </si>
  <si>
    <t>VISHC159</t>
  </si>
  <si>
    <t>PESQUISAR SITUACAO EXERCICIO SERVIDOR</t>
  </si>
  <si>
    <t>NISHC15C</t>
  </si>
  <si>
    <t>VISHC15C</t>
  </si>
  <si>
    <t>PESQUISAR HISTORICO INSTITUICOES</t>
  </si>
  <si>
    <t>NISHC816</t>
  </si>
  <si>
    <t>VISHC816</t>
  </si>
  <si>
    <t>PESQUISAR DADOS PESSOAIS</t>
  </si>
  <si>
    <t>NISHCPES</t>
  </si>
  <si>
    <t>VISHCTAB</t>
  </si>
  <si>
    <t>NISHC108</t>
  </si>
  <si>
    <t>VISHC108</t>
  </si>
  <si>
    <t>PESQUISAR POR BANCO/AGENCIA</t>
  </si>
  <si>
    <t>NISHC12G</t>
  </si>
  <si>
    <t>VISHC12B</t>
  </si>
  <si>
    <t>PESQUISAR ENDERECO</t>
  </si>
  <si>
    <t>NISHC109</t>
  </si>
  <si>
    <t>VISHC109</t>
  </si>
  <si>
    <t>PESQUISAR CARGA HORARIA</t>
  </si>
  <si>
    <t>NISHCC90</t>
  </si>
  <si>
    <t>VISHCC90</t>
  </si>
  <si>
    <t>CARGA HORARIA - SEE</t>
  </si>
  <si>
    <t>NISHCC01</t>
  </si>
  <si>
    <t>VISHCC01</t>
  </si>
  <si>
    <t>Linha</t>
  </si>
  <si>
    <t>Coluna</t>
  </si>
  <si>
    <t>Comando</t>
  </si>
  <si>
    <t>SELECIONAR NUMERO DE ADMISSAO</t>
  </si>
  <si>
    <t>NISHC30B</t>
  </si>
  <si>
    <t>VISHC30B</t>
  </si>
  <si>
    <t>PESQUISA DADOS FINANCEIROS</t>
  </si>
  <si>
    <t>NISHCD78</t>
  </si>
  <si>
    <t>PESQUISA HISTORICO DE PAGAMENTO</t>
  </si>
  <si>
    <t>NISHCD7J</t>
  </si>
  <si>
    <t>VISHCD7J</t>
  </si>
  <si>
    <t>MANUTENCAO DE DADOS FINANCEIROS</t>
  </si>
  <si>
    <t>NISHCDAF</t>
  </si>
  <si>
    <t>VISHCDAE</t>
  </si>
  <si>
    <t>MANUTENCAO DADO FINANCEIRO</t>
  </si>
  <si>
    <t>SISHCD7B</t>
  </si>
  <si>
    <t>VISHCD7B</t>
  </si>
  <si>
    <t>SISHCD7L</t>
  </si>
  <si>
    <t>MANUTENCAO ASSISTENCIA MEDICA IPSEMG</t>
  </si>
  <si>
    <t>NISHCDEA</t>
  </si>
  <si>
    <t>VISHCDEB</t>
  </si>
  <si>
    <t>PESQUISA DESATIVACAO ASSISTENCIA MEDICA - IPSEMG</t>
  </si>
  <si>
    <t>NISHCD9F</t>
  </si>
  <si>
    <t>VISHCD9F</t>
  </si>
  <si>
    <t>PESQUISAR FERIAS PREMIO</t>
  </si>
  <si>
    <t>NISHC562</t>
  </si>
  <si>
    <t>VISHC562</t>
  </si>
  <si>
    <t>NISHCC62</t>
  </si>
  <si>
    <t>VISHCC32</t>
  </si>
  <si>
    <t>SISHCD7C</t>
  </si>
  <si>
    <t>PESQUISAR SERVIDOR - DADOS BANCARIOS</t>
  </si>
  <si>
    <t>NISHCABP</t>
  </si>
  <si>
    <t>VISHCABP</t>
  </si>
  <si>
    <t>NISHCD4P</t>
  </si>
  <si>
    <t>Cat.  Prof.</t>
  </si>
  <si>
    <t>DESIGNAÇÃO</t>
  </si>
  <si>
    <r>
      <rPr>
        <u/>
        <sz val="11"/>
        <color theme="1"/>
        <rFont val="Times New Roman"/>
        <family val="1"/>
      </rPr>
      <t>CÓDIGO DE VERBAS</t>
    </r>
    <r>
      <rPr>
        <sz val="11"/>
        <color theme="1"/>
        <rFont val="Times New Roman"/>
        <family val="1"/>
      </rPr>
      <t>:</t>
    </r>
  </si>
  <si>
    <t>PESQUISAR HISTORICO MOVIMENTACOES</t>
  </si>
  <si>
    <t>NISHCMHM</t>
  </si>
  <si>
    <t>PESQUISAR ATUALIZACOES SERVIDOR</t>
  </si>
  <si>
    <t>NISHCT04</t>
  </si>
  <si>
    <t>VISHCT04</t>
  </si>
  <si>
    <t>PESQUISAR ATUALIZACOES SERVIDOR POR OPERADOR</t>
  </si>
  <si>
    <t>NISHCT12</t>
  </si>
  <si>
    <t>VISHCT12</t>
  </si>
  <si>
    <t>PESQUISA DADOS FINANCEIROS CARGO ESPECIFICO</t>
  </si>
  <si>
    <t>NISHCD73</t>
  </si>
  <si>
    <t>VISHCD73</t>
  </si>
  <si>
    <t>SISHCD7Q</t>
  </si>
  <si>
    <t>DADOS DO SERVIDOR</t>
  </si>
  <si>
    <t>ACERTO - VANTAGENS</t>
  </si>
  <si>
    <t xml:space="preserve">   </t>
  </si>
  <si>
    <t xml:space="preserve">    </t>
  </si>
  <si>
    <t>ACERTO - DESCONTOS</t>
  </si>
  <si>
    <t>DADOS FINANCEIROS MESES ANTERIORES</t>
  </si>
  <si>
    <t>PESQUISA DADOS FINANCEIROS MESES ANTERIORES</t>
  </si>
  <si>
    <t>PESQUISA OCORRENCIA</t>
  </si>
  <si>
    <t>NISHCD1D</t>
  </si>
  <si>
    <t>VISHCD1W</t>
  </si>
  <si>
    <t>PESQUISA AO LÍQUIDO BANCÁRIO</t>
  </si>
  <si>
    <t>NISHCDZH</t>
  </si>
  <si>
    <t>VISHCDZH</t>
  </si>
  <si>
    <t>PESQUISAR SUSPENSAO DE PAGAMENTO POR MASP/MATR</t>
  </si>
  <si>
    <t>NISHCDEM</t>
  </si>
  <si>
    <t>VISHCDEM</t>
  </si>
  <si>
    <t>PESQUISAR DOCUMENTOS</t>
  </si>
  <si>
    <t>NISHC110</t>
  </si>
  <si>
    <t>VISHC110</t>
  </si>
  <si>
    <t>PESQUISAR VINCULADOS</t>
  </si>
  <si>
    <t>NISHCMSZ</t>
  </si>
  <si>
    <t>PESQUISAR VINCULADOS DO SERVIDOR</t>
  </si>
  <si>
    <t>NISHC117</t>
  </si>
  <si>
    <t>VISHC117</t>
  </si>
  <si>
    <t>PESQUISAR FORMACAO ESCOLAR</t>
  </si>
  <si>
    <t>NISHC16U</t>
  </si>
  <si>
    <t>VISHC16I</t>
  </si>
  <si>
    <t>NISHC3PE</t>
  </si>
  <si>
    <t>VISHC3PE</t>
  </si>
  <si>
    <t>PESQUISAR INSPECAO MEDICA</t>
  </si>
  <si>
    <t>NISHCA14</t>
  </si>
  <si>
    <t>VISHCA15</t>
  </si>
  <si>
    <t>PESQUISAR PUBLICACAO DE PORTARIA</t>
  </si>
  <si>
    <t>NISHCA8F</t>
  </si>
  <si>
    <t>VISHCA8F</t>
  </si>
  <si>
    <t>NISHCA52</t>
  </si>
  <si>
    <t>VISHCA52</t>
  </si>
  <si>
    <t>PESQUISA PUBLICACAO</t>
  </si>
  <si>
    <t>NISHCA8H</t>
  </si>
  <si>
    <t>VISHCA8W</t>
  </si>
  <si>
    <t>VISHCA8Y</t>
  </si>
  <si>
    <t>NISHCC92</t>
  </si>
  <si>
    <t>VISHCPPP</t>
  </si>
  <si>
    <t>PESQUISAR C. H. DE SERVIDOR POR UNIDADE VIGENTE EM</t>
  </si>
  <si>
    <t>PESQUISAR CARGA HORARIA DE SERVIDOR POR UNIDADE -</t>
  </si>
  <si>
    <t>PESQUISA HISTORICO DE PAGAMENTO -  01 / 2007  A</t>
  </si>
  <si>
    <t>NISHC172</t>
  </si>
  <si>
    <t>VISHC172</t>
  </si>
  <si>
    <t>PESQUISAR FALTAS CONSOLIDADAS (QUADRO MAGISTE</t>
  </si>
  <si>
    <t>NISHC310</t>
  </si>
  <si>
    <t>VISHC310</t>
  </si>
  <si>
    <t>PESQUISAR FERIAS REGULAMENTARES</t>
  </si>
  <si>
    <t>VISHC324</t>
  </si>
  <si>
    <t>PESQUISA DESATIVACAO ASSISTENCIA MEDICA - IP</t>
  </si>
  <si>
    <t>PESQUISAR TABELAS</t>
  </si>
  <si>
    <t>NISHCTAB</t>
  </si>
  <si>
    <t>PESQUISAR TABELAS CARREIRAS</t>
  </si>
  <si>
    <t>NISHCTBC</t>
  </si>
  <si>
    <t>VISHCTB2</t>
  </si>
  <si>
    <t>PESQUISA SIMBOLO DE VENCIMENTO</t>
  </si>
  <si>
    <t>NISHCJ1J</t>
  </si>
  <si>
    <t>VISHCJ1J</t>
  </si>
  <si>
    <t>CONSULTA EXERCICIO</t>
  </si>
  <si>
    <t>NISHCCPP</t>
  </si>
  <si>
    <t>CONSULTA DE SERVIDOR POR UNIDADE - DADOS FUNCI</t>
  </si>
  <si>
    <t>NISHCCP6</t>
  </si>
  <si>
    <t>VISHCCP6</t>
  </si>
  <si>
    <t>PESQUISA DADOS FINANCEIROS MESES ANTERIORE</t>
  </si>
  <si>
    <t>MUDANCA SITUACAO DE EXERCICIO</t>
  </si>
  <si>
    <t>NISHCME0</t>
  </si>
  <si>
    <t>VISHCME0</t>
  </si>
  <si>
    <t>PESQUISAR MUDANCA SITUACAO EXERCICIO</t>
  </si>
  <si>
    <t>NISHCFMM</t>
  </si>
  <si>
    <t>VISHCFMM</t>
  </si>
  <si>
    <t>NISHCME6</t>
  </si>
  <si>
    <t>VISHC300</t>
  </si>
  <si>
    <t>NISHCMEX</t>
  </si>
  <si>
    <t>VISHCMEX</t>
  </si>
  <si>
    <t>AJUSTAMENTO FUNCIONAL</t>
  </si>
  <si>
    <t>NISHCAJ0</t>
  </si>
  <si>
    <t>VISHCFM0</t>
  </si>
  <si>
    <t>PESQUISAR AJUSTAMENTO FUNCIONAL</t>
  </si>
  <si>
    <t>NISHCAJ5</t>
  </si>
  <si>
    <t>NISHCAJP</t>
  </si>
  <si>
    <t>VISHCAJP</t>
  </si>
  <si>
    <t>FUNCAO EDUCACAO</t>
  </si>
  <si>
    <t>NISHCFM0</t>
  </si>
  <si>
    <t>PESQUISAR FUNCAO EDUCACAO</t>
  </si>
  <si>
    <t>NISHCFMQ</t>
  </si>
  <si>
    <t>VISHCFMQ</t>
  </si>
  <si>
    <t>NISHCFM7</t>
  </si>
  <si>
    <t>YQPF</t>
  </si>
  <si>
    <t>MaspDV</t>
  </si>
  <si>
    <t>Adm</t>
  </si>
  <si>
    <t>Tipo de Falta</t>
  </si>
  <si>
    <t>Natureza</t>
  </si>
  <si>
    <t>Mes/Ano Apuração</t>
  </si>
  <si>
    <t>Faltas / Horas</t>
  </si>
  <si>
    <t>FALTAS CONSOLIDADAS / PAGAMENTO</t>
  </si>
  <si>
    <t>NISHCFAL</t>
  </si>
  <si>
    <t>VISHCFAL</t>
  </si>
  <si>
    <t>INCLUIR FALTAS CONSOLIDADAS</t>
  </si>
  <si>
    <t>NISHC391</t>
  </si>
  <si>
    <t>VISHC390</t>
  </si>
  <si>
    <t>NISHC305</t>
  </si>
  <si>
    <t>VISHC305</t>
  </si>
  <si>
    <t>NISHC301</t>
  </si>
  <si>
    <t>VISHC301</t>
  </si>
  <si>
    <t>Horas Aula / Dias</t>
  </si>
  <si>
    <t>Quantidade</t>
  </si>
  <si>
    <t xml:space="preserve">Natureza </t>
  </si>
  <si>
    <t>Complementar</t>
  </si>
  <si>
    <t>Falta</t>
  </si>
  <si>
    <t>Codigo</t>
  </si>
  <si>
    <t>Descricao</t>
  </si>
  <si>
    <t>EXERCICIO</t>
  </si>
  <si>
    <t>GREVE</t>
  </si>
  <si>
    <t>ABONO GREVE</t>
  </si>
  <si>
    <t>REPOSICAO FALTA/GREVE</t>
  </si>
  <si>
    <t>AFASTAMENTO LEGAL</t>
  </si>
  <si>
    <t>INCLUSAO INDEVIDA</t>
  </si>
  <si>
    <t>HISTORICO</t>
  </si>
  <si>
    <t>FOLGA COMPENSATIVA</t>
  </si>
  <si>
    <t>REPOSICAO PROPRIA</t>
  </si>
  <si>
    <t>REPOSIC.SUBSTITUICAO</t>
  </si>
  <si>
    <t>REPOSICAO CALENDARIO</t>
  </si>
  <si>
    <t>INTERC/RECESSO ESCOLAR</t>
  </si>
  <si>
    <t>FALTAS REPOSTAS</t>
  </si>
  <si>
    <t>ANISTIADAS LEI 21710/15</t>
  </si>
  <si>
    <t>ACORDO SINDICATO 100% PAGAMEN</t>
  </si>
  <si>
    <t>REPOSICAO GREVE ACORDO SINDIC</t>
  </si>
  <si>
    <t>RECESSO/REVEZAMENTO</t>
  </si>
  <si>
    <t>FALTAS/DIAS - QUADRO ADMINISTRATIVO/PROFESSOR INDIRE</t>
  </si>
  <si>
    <t>FALTAS/AULAS OBRIGATORIAS</t>
  </si>
  <si>
    <t>FALTAS/AULAS - EXTENSAO CARGA HORARIA</t>
  </si>
  <si>
    <t>FALTAS/AULAS - EXIGENCIA CURRICULAR</t>
  </si>
  <si>
    <t>FALTAS/EXTENSAO CARGA HORARIA/TITULO DECLARATORIO</t>
  </si>
  <si>
    <t>FALTAS/DIAS GREVE-QUADRO ADMINISTRATIVO/PROFESSOR IN</t>
  </si>
  <si>
    <t>FALTAS/AULAS GREVE - OBRIGATORIAS</t>
  </si>
  <si>
    <t>FALTAS/AULAS GREVE - EXTENSAO CARGA HORARIA</t>
  </si>
  <si>
    <t>FALTAS/AULAS GREVE - EXIGENCIA CURRICULAR</t>
  </si>
  <si>
    <t>FALTAS/EXTENSAO GREVE-CARGA HORARIA/TITULO DECLARATO</t>
  </si>
  <si>
    <t>FALTAS AULAS DE EXIGENCIA CURRICULAR - AEC.</t>
  </si>
  <si>
    <t>FALTAS AULAS DE EXTENSAO DE JORNADA - AEJ.</t>
  </si>
  <si>
    <t>FALTAS GREVE AULAS DE EXIGENCIA CURRICULAR - AEC.</t>
  </si>
  <si>
    <t>FALTAS GREVE AULAS DE EXTENSAO DE JORNADA - AEJ.</t>
  </si>
  <si>
    <t>HORAS DESCONTADAS/QUADRO ADMINISTRATIVO/PROFESSOR</t>
  </si>
  <si>
    <t>HORAS GREVE.</t>
  </si>
  <si>
    <t>Tipos de Faltas</t>
  </si>
  <si>
    <t>Natureza de Faltas</t>
  </si>
  <si>
    <t>M</t>
  </si>
  <si>
    <t>A</t>
  </si>
  <si>
    <t>HISTORICOS DO SERVIDOR</t>
  </si>
  <si>
    <t>NISHC68H</t>
  </si>
  <si>
    <t>HISTORICO DE FALTAS</t>
  </si>
  <si>
    <t>NISHCHST</t>
  </si>
  <si>
    <t>INCLUIR HISTORICO DE FALTAS CONSOLIDADAS</t>
  </si>
  <si>
    <t>INCLUSÃO DE FALTAS CONSOLIDADAS - HISTÓRICO</t>
  </si>
  <si>
    <t>Mês/Ano Reposição</t>
  </si>
  <si>
    <t>Reposição</t>
  </si>
  <si>
    <t>INCLUSÃO DE FALTAS CONSOLIDADAS - MÊS ATUAL</t>
  </si>
  <si>
    <t/>
  </si>
  <si>
    <t>Alterar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</si>
</sst>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2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 &quot;#,##0.00_);\(&quot;R$ &quot;#,##0.00\)"/>
    <numFmt numFmtId="165" formatCode="&quot;R$ &quot;#,##0.00_);[Red]\(&quot;R$ &quot;#,##0.00\)"/>
    <numFmt numFmtId="166" formatCode="[$-F800]dddd\,\ mmmm\ dd\,\ yyyy"/>
    <numFmt numFmtId="167" formatCode="[$-416]d\ \ mmmm\,\ yyyy;@"/>
    <numFmt numFmtId="168" formatCode="00"/>
    <numFmt numFmtId="169" formatCode="&quot;R$ &quot;#,##0.00"/>
    <numFmt numFmtId="170" formatCode="dd"/>
    <numFmt numFmtId="171" formatCode="[$-416]d\-mmm\-yy;@"/>
    <numFmt numFmtId="172" formatCode="dd\ mmmm\,\ yyyy"/>
    <numFmt numFmtId="173" formatCode="dd&quot; de &quot;mmmm&quot; de &quot;yyyy\."/>
    <numFmt numFmtId="174" formatCode="0.000"/>
    <numFmt numFmtId="175" formatCode="00&quot;/&quot;00&quot;/&quot;00"/>
    <numFmt numFmtId="176" formatCode="0&quot;.&quot;000&quot;.&quot;000&quot;-&quot;0"/>
    <numFmt numFmtId="177" formatCode="0000"/>
    <numFmt numFmtId="178" formatCode="000000"/>
    <numFmt numFmtId="179" formatCode="00000"/>
    <numFmt numFmtId="180" formatCode="&quot;R$&quot;\ #,##0.00"/>
    <numFmt numFmtId="181" formatCode="0.0"/>
    <numFmt numFmtId="182" formatCode="000"/>
    <numFmt numFmtId="183" formatCode="000&quot;.&quot;000"/>
    <numFmt numFmtId="184" formatCode="00000000&quot; &quot;0000&quot; &quot;0000"/>
    <numFmt numFmtId="185" formatCode="#,##0.000000000"/>
    <numFmt numFmtId="186" formatCode="00\ \ \-"/>
    <numFmt numFmtId="187" formatCode="mm/yyyy"/>
    <numFmt numFmtId="188" formatCode="0.0%"/>
    <numFmt numFmtId="189" formatCode="\-\ 0000"/>
    <numFmt numFmtId="190" formatCode="&quot;: &quot;&quot;R$ &quot;#,##0.00"/>
    <numFmt numFmtId="191" formatCode="dd/m/yyyy"/>
    <numFmt numFmtId="192" formatCode="0000000\-0"/>
    <numFmt numFmtId="193" formatCode="mmmm\,\ yyyy;@"/>
  </numFmts>
  <fonts count="196" x14ac:knownFonts="1">
    <font>
      <sz val="11"/>
      <color theme="1"/>
      <name val="Calibri"/>
      <family val="2"/>
      <scheme val="minor"/>
    </font>
    <font>
      <sz val="12"/>
      <color theme="1"/>
      <name val="Arial Black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1.5"/>
      <color theme="1"/>
      <name val="Arial Narrow"/>
      <family val="2"/>
    </font>
    <font>
      <b/>
      <sz val="11"/>
      <color theme="1"/>
      <name val="Arial Narrow"/>
      <family val="2"/>
    </font>
    <font>
      <sz val="11.5"/>
      <color theme="1"/>
      <name val="Arial Narrow"/>
      <family val="2"/>
    </font>
    <font>
      <b/>
      <sz val="12"/>
      <color theme="1"/>
      <name val="Arial Black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i/>
      <sz val="11.5"/>
      <color theme="1"/>
      <name val="Arial Narrow"/>
      <family val="2"/>
    </font>
    <font>
      <b/>
      <i/>
      <sz val="12"/>
      <color theme="1"/>
      <name val="Times New Roman"/>
      <family val="1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.5"/>
      <color rgb="FFFF0000"/>
      <name val="Arial Narrow"/>
      <family val="2"/>
    </font>
    <font>
      <b/>
      <sz val="10.5"/>
      <color theme="1"/>
      <name val="Arial Narrow"/>
      <family val="2"/>
    </font>
    <font>
      <b/>
      <i/>
      <sz val="11.5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name val="Arial Narrow"/>
      <family val="2"/>
    </font>
    <font>
      <b/>
      <sz val="11.5"/>
      <color theme="1"/>
      <name val="Times New Roman"/>
      <family val="1"/>
    </font>
    <font>
      <u/>
      <sz val="12"/>
      <color theme="1"/>
      <name val="Times New Roman"/>
      <family val="1"/>
    </font>
    <font>
      <sz val="11.5"/>
      <color theme="1"/>
      <name val="Times New Roman"/>
      <family val="1"/>
    </font>
    <font>
      <sz val="10.5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5"/>
      <color theme="1"/>
      <name val="Arial Narrow"/>
      <family val="2"/>
    </font>
    <font>
      <b/>
      <i/>
      <sz val="11"/>
      <color theme="1"/>
      <name val="Calibri"/>
      <family val="2"/>
      <scheme val="minor"/>
    </font>
    <font>
      <b/>
      <u/>
      <sz val="18"/>
      <color theme="1"/>
      <name val="Arial Narrow"/>
      <family val="2"/>
    </font>
    <font>
      <i/>
      <sz val="12"/>
      <color theme="1"/>
      <name val="Times New Roman"/>
      <family val="1"/>
    </font>
    <font>
      <b/>
      <sz val="12"/>
      <name val="Times New Roman"/>
      <family val="1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 tint="-0.14999847407452621"/>
      <name val="Arial Narrow"/>
      <family val="2"/>
    </font>
    <font>
      <b/>
      <sz val="10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1"/>
      <name val="Courier New"/>
      <family val="2"/>
    </font>
    <font>
      <sz val="8"/>
      <color theme="1"/>
      <name val="Courier New"/>
      <family val="2"/>
    </font>
    <font>
      <b/>
      <sz val="8"/>
      <color theme="1"/>
      <name val="Courier New"/>
      <family val="3"/>
    </font>
    <font>
      <sz val="12"/>
      <color theme="0"/>
      <name val="Arial Narrow"/>
      <family val="2"/>
    </font>
    <font>
      <sz val="12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theme="0"/>
      <name val="Arial Narrow"/>
      <family val="2"/>
    </font>
    <font>
      <sz val="11"/>
      <color theme="0"/>
      <name val="Arial Narrow"/>
      <family val="2"/>
    </font>
    <font>
      <b/>
      <sz val="12"/>
      <color theme="0" tint="-0.249977111117893"/>
      <name val="Arial Narrow"/>
      <family val="2"/>
    </font>
    <font>
      <sz val="8"/>
      <color theme="1"/>
      <name val="Arial"/>
      <family val="2"/>
    </font>
    <font>
      <sz val="12.5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6.5"/>
      <color theme="1"/>
      <name val="Arial"/>
      <family val="2"/>
    </font>
    <font>
      <sz val="8.5"/>
      <name val="Arial"/>
      <family val="2"/>
    </font>
    <font>
      <sz val="8.5"/>
      <color theme="1"/>
      <name val="Arial Narrow"/>
      <family val="2"/>
    </font>
    <font>
      <sz val="10.5"/>
      <color theme="1"/>
      <name val="Arial Narrow"/>
      <family val="2"/>
    </font>
    <font>
      <sz val="11.5"/>
      <name val="Arial Narrow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sz val="13.5"/>
      <color theme="1"/>
      <name val="Times New Roman"/>
      <family val="1"/>
    </font>
    <font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sz val="12.5"/>
      <color theme="1"/>
      <name val="Times New Roman"/>
      <family val="1"/>
    </font>
    <font>
      <sz val="12"/>
      <name val="Arial Narrow"/>
      <family val="2"/>
    </font>
    <font>
      <b/>
      <sz val="14"/>
      <name val="Arial Narrow"/>
      <family val="2"/>
    </font>
    <font>
      <sz val="15"/>
      <name val="Arial Narrow"/>
      <family val="2"/>
    </font>
    <font>
      <b/>
      <sz val="12.5"/>
      <name val="Arial Narrow"/>
      <family val="2"/>
    </font>
    <font>
      <b/>
      <sz val="13"/>
      <name val="Arial Narrow"/>
      <family val="2"/>
    </font>
    <font>
      <b/>
      <sz val="7.5"/>
      <name val="Arial Narrow"/>
      <family val="2"/>
    </font>
    <font>
      <b/>
      <sz val="15"/>
      <name val="Arial Narrow"/>
      <family val="2"/>
    </font>
    <font>
      <b/>
      <sz val="13"/>
      <color theme="1"/>
      <name val="Times New Roman"/>
      <family val="1"/>
    </font>
    <font>
      <b/>
      <sz val="12.5"/>
      <color theme="1"/>
      <name val="Times New Roman"/>
      <family val="1"/>
    </font>
    <font>
      <b/>
      <sz val="8"/>
      <color theme="0"/>
      <name val="Times New Roman"/>
      <family val="1"/>
    </font>
    <font>
      <b/>
      <u/>
      <sz val="14"/>
      <color theme="1"/>
      <name val="Times New Roman"/>
      <family val="1"/>
    </font>
    <font>
      <sz val="10"/>
      <color theme="1"/>
      <name val="Times New Roman"/>
      <family val="1"/>
    </font>
    <font>
      <sz val="12.5"/>
      <color theme="1"/>
      <name val="Times New Roman"/>
      <family val="1"/>
    </font>
    <font>
      <sz val="14"/>
      <color theme="0"/>
      <name val="Times New Roman"/>
      <family val="1"/>
    </font>
    <font>
      <sz val="12"/>
      <color theme="0"/>
      <name val="Times New Roman"/>
      <family val="1"/>
    </font>
    <font>
      <b/>
      <sz val="9.5"/>
      <color theme="1"/>
      <name val="Arial Narrow"/>
      <family val="2"/>
    </font>
    <font>
      <b/>
      <sz val="8"/>
      <color theme="1"/>
      <name val="Arial Narrow"/>
      <family val="2"/>
    </font>
    <font>
      <b/>
      <sz val="13"/>
      <color theme="1"/>
      <name val="Arial Narrow"/>
      <family val="2"/>
    </font>
    <font>
      <b/>
      <sz val="12.5"/>
      <color theme="1"/>
      <name val="Arial Narrow"/>
      <family val="2"/>
    </font>
    <font>
      <b/>
      <sz val="10"/>
      <name val="Arial Narrow"/>
      <family val="2"/>
    </font>
    <font>
      <sz val="8"/>
      <color rgb="FF000000"/>
      <name val="Tahoma"/>
      <family val="2"/>
    </font>
    <font>
      <b/>
      <i/>
      <u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4.5"/>
      <color theme="1"/>
      <name val="Arial Narrow"/>
      <family val="2"/>
    </font>
    <font>
      <b/>
      <sz val="10.5"/>
      <color theme="1"/>
      <name val="Times New Roman"/>
      <family val="1"/>
    </font>
    <font>
      <b/>
      <sz val="13.5"/>
      <name val="Arial Narrow"/>
      <family val="2"/>
    </font>
    <font>
      <b/>
      <sz val="13"/>
      <color rgb="FFFF0000"/>
      <name val="Arial Narrow"/>
      <family val="2"/>
    </font>
    <font>
      <b/>
      <u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9.5"/>
      <color theme="1"/>
      <name val="Times New Roman"/>
      <family val="1"/>
    </font>
    <font>
      <sz val="11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Arial Narrow"/>
      <family val="2"/>
    </font>
    <font>
      <b/>
      <sz val="15"/>
      <color theme="1"/>
      <name val="Calibri"/>
      <family val="2"/>
      <scheme val="minor"/>
    </font>
    <font>
      <b/>
      <i/>
      <sz val="14"/>
      <color theme="1"/>
      <name val="Arial Narrow"/>
      <family val="2"/>
    </font>
    <font>
      <b/>
      <i/>
      <sz val="12"/>
      <color theme="1"/>
      <name val="Arial Narrow"/>
      <family val="2"/>
    </font>
    <font>
      <sz val="14"/>
      <color theme="1"/>
      <name val="Arial Narrow"/>
      <family val="2"/>
    </font>
    <font>
      <b/>
      <i/>
      <sz val="11"/>
      <color theme="1"/>
      <name val="Arial Narrow"/>
      <family val="2"/>
    </font>
    <font>
      <i/>
      <sz val="12"/>
      <color theme="1"/>
      <name val="Arial Narrow"/>
      <family val="2"/>
    </font>
    <font>
      <sz val="4"/>
      <color theme="0"/>
      <name val="Arial Narrow"/>
      <family val="2"/>
    </font>
    <font>
      <b/>
      <i/>
      <sz val="12"/>
      <color theme="0"/>
      <name val="Arial Narrow"/>
      <family val="2"/>
    </font>
    <font>
      <b/>
      <i/>
      <sz val="11"/>
      <color theme="0"/>
      <name val="Arial Narrow"/>
      <family val="2"/>
    </font>
    <font>
      <i/>
      <sz val="12"/>
      <color theme="0"/>
      <name val="Arial Narrow"/>
      <family val="2"/>
    </font>
    <font>
      <sz val="9"/>
      <color theme="1"/>
      <name val="Arial Narrow"/>
      <family val="2"/>
    </font>
    <font>
      <b/>
      <sz val="8"/>
      <color theme="1"/>
      <name val="Times New Roman"/>
      <family val="1"/>
    </font>
    <font>
      <b/>
      <u/>
      <sz val="9.5"/>
      <color theme="1"/>
      <name val="Arial Narrow"/>
      <family val="2"/>
    </font>
    <font>
      <sz val="9"/>
      <name val="Arial Narrow"/>
      <family val="2"/>
    </font>
    <font>
      <b/>
      <i/>
      <u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5.5"/>
      <color theme="1"/>
      <name val="Times New Roman"/>
      <family val="1"/>
    </font>
    <font>
      <sz val="12"/>
      <name val="Times New Roman"/>
      <family val="1"/>
    </font>
    <font>
      <sz val="12.5"/>
      <color theme="1"/>
      <name val="Arial Narrow"/>
      <family val="2"/>
    </font>
    <font>
      <b/>
      <sz val="11.5"/>
      <color rgb="FFFFFF00"/>
      <name val="Arial Narrow"/>
      <family val="2"/>
    </font>
    <font>
      <sz val="12.5"/>
      <color theme="0"/>
      <name val="Arial Narrow"/>
      <family val="2"/>
    </font>
    <font>
      <b/>
      <sz val="11.5"/>
      <color theme="0"/>
      <name val="Arial Narrow"/>
      <family val="2"/>
    </font>
    <font>
      <u/>
      <sz val="11"/>
      <color theme="1"/>
      <name val="Arial Narrow"/>
      <family val="2"/>
    </font>
    <font>
      <sz val="5"/>
      <color theme="0"/>
      <name val="Arial Narrow"/>
      <family val="2"/>
    </font>
    <font>
      <sz val="6"/>
      <color theme="0"/>
      <name val="Arial Narrow"/>
      <family val="2"/>
    </font>
    <font>
      <b/>
      <sz val="13.5"/>
      <color theme="1"/>
      <name val="Arial Narrow"/>
      <family val="2"/>
    </font>
    <font>
      <sz val="8"/>
      <color rgb="FF000000"/>
      <name val="Segoe UI"/>
      <family val="2"/>
    </font>
    <font>
      <b/>
      <sz val="15"/>
      <color theme="1"/>
      <name val="Arial Narrow"/>
      <family val="2"/>
    </font>
    <font>
      <sz val="15"/>
      <color theme="1"/>
      <name val="Arial"/>
      <family val="2"/>
    </font>
    <font>
      <sz val="15"/>
      <color theme="1"/>
      <name val="Arial Narrow"/>
      <family val="2"/>
    </font>
    <font>
      <b/>
      <sz val="15"/>
      <color rgb="FFFF0000"/>
      <name val="Arial Narrow"/>
      <family val="2"/>
    </font>
    <font>
      <b/>
      <sz val="16"/>
      <color rgb="FFFF0000"/>
      <name val="Arial Narrow"/>
      <family val="2"/>
    </font>
    <font>
      <b/>
      <sz val="16"/>
      <name val="Arial Narrow"/>
      <family val="2"/>
    </font>
    <font>
      <b/>
      <sz val="9"/>
      <name val="Arial Narrow"/>
      <family val="2"/>
    </font>
    <font>
      <sz val="10"/>
      <color rgb="FFFF0000"/>
      <name val="Arial Narrow"/>
      <family val="2"/>
    </font>
    <font>
      <b/>
      <sz val="14"/>
      <name val="Arial"/>
      <family val="2"/>
    </font>
    <font>
      <b/>
      <sz val="15"/>
      <color theme="1"/>
      <name val="Arial"/>
      <family val="2"/>
    </font>
    <font>
      <sz val="14"/>
      <color theme="0"/>
      <name val="Arial Narrow"/>
      <family val="2"/>
    </font>
    <font>
      <sz val="13"/>
      <color theme="1"/>
      <name val="Arial Narrow"/>
      <family val="2"/>
    </font>
    <font>
      <sz val="14"/>
      <name val="Arial Narrow"/>
      <family val="2"/>
    </font>
    <font>
      <sz val="9.5"/>
      <color theme="1"/>
      <name val="Arial Narrow"/>
      <family val="2"/>
    </font>
    <font>
      <sz val="8"/>
      <color theme="1"/>
      <name val="Calibri"/>
      <family val="2"/>
      <scheme val="minor"/>
    </font>
    <font>
      <sz val="12"/>
      <color theme="0"/>
      <name val="Arial Black"/>
      <family val="2"/>
    </font>
    <font>
      <sz val="12"/>
      <name val="Arial Black"/>
      <family val="2"/>
    </font>
    <font>
      <b/>
      <sz val="12"/>
      <name val="Arial Black"/>
      <family val="2"/>
    </font>
    <font>
      <sz val="8"/>
      <color theme="1"/>
      <name val="Arial Black"/>
      <family val="2"/>
    </font>
    <font>
      <b/>
      <sz val="8"/>
      <color theme="1"/>
      <name val="Arial"/>
      <family val="2"/>
    </font>
    <font>
      <sz val="12"/>
      <color theme="1"/>
      <name val="Arial"/>
      <family val="2"/>
    </font>
    <font>
      <b/>
      <sz val="11.5"/>
      <name val="Arial Narrow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Times New Roman"/>
      <family val="1"/>
    </font>
    <font>
      <sz val="10"/>
      <color theme="0" tint="-0.14999847407452621"/>
      <name val="Arial Narrow"/>
      <family val="2"/>
    </font>
    <font>
      <sz val="8"/>
      <name val="Arial Narrow"/>
      <family val="2"/>
    </font>
    <font>
      <b/>
      <sz val="20"/>
      <color theme="1"/>
      <name val="Arial Narrow"/>
      <family val="2"/>
    </font>
    <font>
      <b/>
      <sz val="20"/>
      <color theme="0"/>
      <name val="Arial Narrow"/>
      <family val="2"/>
    </font>
    <font>
      <sz val="20"/>
      <color theme="1"/>
      <name val="Arial Narrow"/>
      <family val="2"/>
    </font>
    <font>
      <sz val="11"/>
      <name val="Arial Black"/>
      <family val="2"/>
    </font>
    <font>
      <b/>
      <sz val="11"/>
      <name val="Arial Black"/>
      <family val="2"/>
    </font>
    <font>
      <b/>
      <sz val="11"/>
      <name val="Arial Narrow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sz val="10"/>
      <color rgb="FFFF0000"/>
      <name val="Arial Narrow"/>
      <family val="2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b/>
      <sz val="11"/>
      <color theme="0" tint="-0.249977111117893"/>
      <name val="Arial Narrow"/>
      <family val="2"/>
    </font>
    <font>
      <sz val="11"/>
      <color theme="1"/>
      <name val="Cambria"/>
      <family val="1"/>
      <scheme val="major"/>
    </font>
    <font>
      <sz val="11"/>
      <color theme="1"/>
      <name val="Arial"/>
      <family val="2"/>
    </font>
    <font>
      <b/>
      <sz val="11"/>
      <color theme="1"/>
      <name val="Cambria"/>
      <family val="1"/>
      <scheme val="major"/>
    </font>
    <font>
      <b/>
      <sz val="11"/>
      <color theme="0"/>
      <name val="Arial Narrow"/>
      <family val="2"/>
    </font>
    <font>
      <b/>
      <sz val="11"/>
      <color rgb="FFFFFF00"/>
      <name val="Arial Narrow"/>
      <family val="2"/>
    </font>
    <font>
      <b/>
      <sz val="11"/>
      <color theme="1"/>
      <name val="Arial Black"/>
      <family val="2"/>
    </font>
    <font>
      <b/>
      <i/>
      <sz val="11"/>
      <color theme="1"/>
      <name val="Times New Roman"/>
      <family val="1"/>
    </font>
    <font>
      <sz val="11"/>
      <name val="Times New Roman"/>
      <family val="1"/>
    </font>
    <font>
      <b/>
      <sz val="10"/>
      <color theme="0" tint="-0.14999847407452621"/>
      <name val="Arial Narrow"/>
      <family val="2"/>
    </font>
    <font>
      <b/>
      <sz val="11"/>
      <color theme="0"/>
      <name val="Calibri"/>
      <family val="2"/>
      <scheme val="minor"/>
    </font>
    <font>
      <b/>
      <sz val="16"/>
      <color theme="1"/>
      <name val="Arial Narrow"/>
      <family val="2"/>
    </font>
    <font>
      <sz val="11"/>
      <color rgb="FF000000"/>
      <name val="Calibri"/>
      <family val="2"/>
    </font>
    <font>
      <b/>
      <sz val="12"/>
      <color rgb="FF000000"/>
      <name val="Arial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B050"/>
        </stop>
        <stop position="0.5">
          <color rgb="FF00FF00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0.5">
          <color theme="0" tint="-0.1490218817712943"/>
        </stop>
        <stop position="1">
          <color theme="0" tint="-0.34900967436750391"/>
        </stop>
      </gradientFill>
    </fill>
    <fill>
      <gradientFill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 tint="-0.25098422193060094"/>
        </stop>
        <stop position="1">
          <color theme="0" tint="-5.0965910824915313E-2"/>
        </stop>
      </gradientFill>
    </fill>
    <fill>
      <gradientFill degree="90">
        <stop position="0">
          <color rgb="FFFFC000"/>
        </stop>
        <stop position="0.5">
          <color rgb="FFFFFF00"/>
        </stop>
        <stop position="1">
          <color rgb="FFFFC000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auto="1"/>
      </patternFill>
    </fill>
    <fill>
      <gradientFill degree="90">
        <stop position="0">
          <color rgb="FF00B050"/>
        </stop>
        <stop position="0.5">
          <color rgb="FF66FF33"/>
        </stop>
        <stop position="1">
          <color rgb="FF00B050"/>
        </stop>
      </gradientFill>
    </fill>
    <fill>
      <gradientFill degree="90">
        <stop position="0">
          <color theme="0" tint="-0.25098422193060094"/>
        </stop>
        <stop position="0.5">
          <color theme="0" tint="-0.1490218817712943"/>
        </stop>
        <stop position="1">
          <color theme="0" tint="-0.25098422193060094"/>
        </stop>
      </gradient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rgb="FFFF6600"/>
        </stop>
        <stop position="0.5">
          <color rgb="FFFFFF00"/>
        </stop>
        <stop position="1">
          <color rgb="FFFF6600"/>
        </stop>
      </gradientFill>
    </fill>
    <fill>
      <gradientFill degree="90">
        <stop position="0">
          <color theme="0" tint="-0.34900967436750391"/>
        </stop>
        <stop position="0.5">
          <color theme="0" tint="-5.0965910824915313E-2"/>
        </stop>
        <stop position="1">
          <color theme="0" tint="-0.34900967436750391"/>
        </stop>
      </gradientFill>
    </fill>
    <fill>
      <gradientFill degree="90">
        <stop position="0">
          <color theme="0" tint="-0.49803155613879818"/>
        </stop>
        <stop position="0.5">
          <color theme="0" tint="-0.1490218817712943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rgb="FFFFFF00"/>
        </stop>
        <stop position="0.5">
          <color rgb="FFFFC000"/>
        </stop>
        <stop position="1">
          <color rgb="FFFFFF00"/>
        </stop>
      </gradientFill>
    </fill>
    <fill>
      <gradientFill degree="90">
        <stop position="0">
          <color rgb="FF00B050"/>
        </stop>
        <stop position="0.5">
          <color rgb="FF99FF66"/>
        </stop>
        <stop position="1">
          <color rgb="FF00B05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rgb="FF00B050"/>
        </stop>
        <stop position="0.5">
          <color rgb="FF92D050"/>
        </stop>
        <stop position="1">
          <color rgb="FF00B050"/>
        </stop>
      </gradientFill>
    </fill>
    <fill>
      <patternFill patternType="solid">
        <fgColor theme="0" tint="-0.14996795556505021"/>
        <bgColor auto="1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 tint="-0.34900967436750391"/>
        </stop>
        <stop position="0.5">
          <color theme="0" tint="-0.25098422193060094"/>
        </stop>
        <stop position="1">
          <color theme="0" tint="-0.34900967436750391"/>
        </stop>
      </gradient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1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D9D9D9"/>
        <bgColor indexed="64"/>
      </patternFill>
    </fill>
  </fills>
  <borders count="513">
    <border>
      <left/>
      <right/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 style="medium">
        <color indexed="64"/>
      </right>
      <top/>
      <bottom/>
      <diagonal/>
    </border>
    <border>
      <left style="thick">
        <color theme="0" tint="-0.34998626667073579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34998626667073579"/>
      </right>
      <top/>
      <bottom/>
      <diagonal/>
    </border>
    <border>
      <left style="medium">
        <color indexed="64"/>
      </left>
      <right style="thick">
        <color theme="0" tint="-0.34998626667073579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ck">
        <color theme="0" tint="-0.34998626667073579"/>
      </top>
      <bottom style="thick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0" tint="-0.24994659260841701"/>
      </left>
      <right style="thin">
        <color theme="0"/>
      </right>
      <top style="thick">
        <color theme="0" tint="-0.2499465926084170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24994659260841701"/>
      </top>
      <bottom/>
      <diagonal/>
    </border>
    <border>
      <left style="thin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 tint="-0.24994659260841701"/>
      </left>
      <right/>
      <top/>
      <bottom style="thin">
        <color theme="0"/>
      </bottom>
      <diagonal/>
    </border>
    <border>
      <left/>
      <right style="thick">
        <color theme="0" tint="-0.24994659260841701"/>
      </right>
      <top/>
      <bottom style="thin">
        <color theme="0"/>
      </bottom>
      <diagonal/>
    </border>
    <border>
      <left style="thick">
        <color theme="0" tint="-0.24994659260841701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24994659260841701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4659260841701"/>
      </left>
      <right style="thin">
        <color theme="0"/>
      </right>
      <top style="thin">
        <color theme="0"/>
      </top>
      <bottom style="thick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0" tint="-0.24994659260841701"/>
      </bottom>
      <diagonal/>
    </border>
    <border>
      <left style="thin">
        <color theme="0"/>
      </left>
      <right style="thick">
        <color theme="0" tint="-0.24994659260841701"/>
      </right>
      <top style="thin">
        <color theme="0"/>
      </top>
      <bottom style="thick">
        <color theme="0" tint="-0.24994659260841701"/>
      </bottom>
      <diagonal/>
    </border>
    <border>
      <left/>
      <right/>
      <top style="medium">
        <color theme="1"/>
      </top>
      <bottom style="thin">
        <color theme="0"/>
      </bottom>
      <diagonal/>
    </border>
    <border>
      <left/>
      <right style="medium">
        <color theme="1"/>
      </right>
      <top style="medium">
        <color theme="1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/>
      <right style="medium">
        <color theme="1"/>
      </right>
      <top style="thin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medium">
        <color theme="1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 tint="-0.34998626667073579"/>
      </top>
      <bottom/>
      <diagonal/>
    </border>
    <border>
      <left style="thin">
        <color theme="0"/>
      </left>
      <right style="thick">
        <color theme="0" tint="-0.34998626667073579"/>
      </right>
      <top style="thick">
        <color theme="0" tint="-0.34998626667073579"/>
      </top>
      <bottom style="thin">
        <color theme="0"/>
      </bottom>
      <diagonal/>
    </border>
    <border>
      <left style="thick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ck">
        <color theme="0" tint="-0.34998626667073579"/>
      </bottom>
      <diagonal/>
    </border>
    <border>
      <left style="thin">
        <color theme="0"/>
      </left>
      <right style="thick">
        <color theme="0" tint="-0.34998626667073579"/>
      </right>
      <top style="thin">
        <color theme="0"/>
      </top>
      <bottom style="thick">
        <color theme="0" tint="-0.34998626667073579"/>
      </bottom>
      <diagonal/>
    </border>
    <border>
      <left style="thick">
        <color theme="0" tint="-0.34998626667073579"/>
      </left>
      <right style="thin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 style="thin">
        <color theme="0"/>
      </right>
      <top/>
      <bottom style="thick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34998626667073579"/>
      </left>
      <right/>
      <top style="thin">
        <color theme="0"/>
      </top>
      <bottom/>
      <diagonal/>
    </border>
    <border>
      <left/>
      <right style="thick">
        <color theme="0" tint="-0.34998626667073579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theme="0" tint="-0.499984740745262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ck">
        <color theme="0" tint="-0.499984740745262"/>
      </right>
      <top style="thin">
        <color theme="0"/>
      </top>
      <bottom/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ck">
        <color theme="0" tint="-0.499984740745262"/>
      </bottom>
      <diagonal/>
    </border>
    <border>
      <left/>
      <right/>
      <top style="medium">
        <color indexed="64"/>
      </top>
      <bottom style="thick">
        <color theme="0" tint="-0.499984740745262"/>
      </bottom>
      <diagonal/>
    </border>
    <border>
      <left/>
      <right style="thin">
        <color theme="0"/>
      </right>
      <top style="medium">
        <color indexed="64"/>
      </top>
      <bottom style="thick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auto="1"/>
      </bottom>
      <diagonal/>
    </border>
    <border>
      <left style="thick">
        <color theme="0" tint="-0.34998626667073579"/>
      </left>
      <right/>
      <top style="thick">
        <color auto="1"/>
      </top>
      <bottom style="dashed">
        <color theme="0" tint="-0.24994659260841701"/>
      </bottom>
      <diagonal/>
    </border>
    <border>
      <left/>
      <right/>
      <top style="thick">
        <color auto="1"/>
      </top>
      <bottom style="dashed">
        <color theme="0" tint="-0.24994659260841701"/>
      </bottom>
      <diagonal/>
    </border>
    <border>
      <left/>
      <right style="thick">
        <color theme="0" tint="-0.34998626667073579"/>
      </right>
      <top style="thick">
        <color auto="1"/>
      </top>
      <bottom style="dashed">
        <color theme="0" tint="-0.24994659260841701"/>
      </bottom>
      <diagonal/>
    </border>
    <border>
      <left style="thick">
        <color theme="0" tint="-0.34998626667073579"/>
      </left>
      <right/>
      <top style="dashed">
        <color theme="0" tint="-0.24994659260841701"/>
      </top>
      <bottom style="thick">
        <color auto="1"/>
      </bottom>
      <diagonal/>
    </border>
    <border>
      <left/>
      <right/>
      <top style="dashed">
        <color theme="0" tint="-0.24994659260841701"/>
      </top>
      <bottom style="thick">
        <color auto="1"/>
      </bottom>
      <diagonal/>
    </border>
    <border>
      <left/>
      <right style="thick">
        <color theme="0" tint="-0.34998626667073579"/>
      </right>
      <top style="dashed">
        <color theme="0" tint="-0.2499465926084170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theme="0" tint="-0.34998626667073579"/>
      </bottom>
      <diagonal/>
    </border>
    <border>
      <left/>
      <right/>
      <top style="medium">
        <color auto="1"/>
      </top>
      <bottom style="thick">
        <color theme="0" tint="-0.34998626667073579"/>
      </bottom>
      <diagonal/>
    </border>
    <border>
      <left/>
      <right style="medium">
        <color auto="1"/>
      </right>
      <top style="medium">
        <color auto="1"/>
      </top>
      <bottom style="thick">
        <color theme="0" tint="-0.34998626667073579"/>
      </bottom>
      <diagonal/>
    </border>
    <border>
      <left/>
      <right/>
      <top style="thick">
        <color theme="0" tint="-0.24994659260841701"/>
      </top>
      <bottom/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/>
      <top style="dashed">
        <color indexed="64"/>
      </top>
      <bottom style="hair">
        <color indexed="64"/>
      </bottom>
      <diagonal/>
    </border>
    <border>
      <left style="dotted">
        <color indexed="64"/>
      </left>
      <right/>
      <top style="dashed">
        <color indexed="64"/>
      </top>
      <bottom style="hair">
        <color indexed="64"/>
      </bottom>
      <diagonal/>
    </border>
    <border>
      <left style="dashed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theme="0" tint="-0.499984740745262"/>
      </left>
      <right/>
      <top style="thin">
        <color theme="0"/>
      </top>
      <bottom/>
      <diagonal/>
    </border>
    <border>
      <left style="thick">
        <color theme="0" tint="-0.499984740745262"/>
      </left>
      <right/>
      <top/>
      <bottom style="thin">
        <color theme="0"/>
      </bottom>
      <diagonal/>
    </border>
    <border>
      <left/>
      <right style="thick">
        <color theme="0" tint="-0.499984740745262"/>
      </right>
      <top style="thin">
        <color theme="0"/>
      </top>
      <bottom/>
      <diagonal/>
    </border>
    <border>
      <left/>
      <right style="thick">
        <color theme="0" tint="-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ck">
        <color theme="0" tint="-0.499984740745262"/>
      </bottom>
      <diagonal/>
    </border>
    <border>
      <left/>
      <right style="thin">
        <color theme="0"/>
      </right>
      <top/>
      <bottom style="thick">
        <color theme="0" tint="-0.499984740745262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ck">
        <color theme="0" tint="-0.499984740745262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ck">
        <color theme="0" tint="-0.499984740745262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 tint="-0.24994659260841701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medium">
        <color auto="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ck">
        <color theme="0" tint="-0.24994659260841701"/>
      </left>
      <right style="thick">
        <color theme="0"/>
      </right>
      <top style="thick">
        <color theme="0" tint="-0.24994659260841701"/>
      </top>
      <bottom style="thin">
        <color theme="0"/>
      </bottom>
      <diagonal/>
    </border>
    <border>
      <left style="thick">
        <color theme="0"/>
      </left>
      <right style="thick">
        <color theme="0" tint="-0.24994659260841701"/>
      </right>
      <top style="thick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ck">
        <color theme="0" tint="-0.34998626667073579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dashed">
        <color indexed="64"/>
      </top>
      <bottom style="thin">
        <color theme="0"/>
      </bottom>
      <diagonal/>
    </border>
    <border>
      <left style="thin">
        <color theme="0"/>
      </left>
      <right/>
      <top style="dashed">
        <color indexed="64"/>
      </top>
      <bottom style="thin">
        <color theme="0"/>
      </bottom>
      <diagonal/>
    </border>
    <border>
      <left/>
      <right/>
      <top style="dashed">
        <color indexed="64"/>
      </top>
      <bottom style="thin">
        <color theme="0"/>
      </bottom>
      <diagonal/>
    </border>
    <border>
      <left/>
      <right style="medium">
        <color indexed="64"/>
      </right>
      <top style="dashed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auto="1"/>
      </right>
      <top style="dashed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/>
      <right style="medium">
        <color auto="1"/>
      </right>
      <top style="medium">
        <color auto="1"/>
      </top>
      <bottom style="mediumDashed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Dashed">
        <color auto="1"/>
      </top>
      <bottom style="medium">
        <color auto="1"/>
      </bottom>
      <diagonal/>
    </border>
    <border>
      <left style="medium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 style="mediumDashed">
        <color auto="1"/>
      </bottom>
      <diagonal/>
    </border>
    <border>
      <left/>
      <right style="medium">
        <color indexed="64"/>
      </right>
      <top style="mediumDashed">
        <color auto="1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thin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theme="0" tint="-0.499984740745262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/>
      <bottom style="thick">
        <color indexed="55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/>
      <bottom/>
      <diagonal/>
    </border>
    <border>
      <left style="thick">
        <color indexed="55"/>
      </left>
      <right/>
      <top/>
      <bottom style="thick">
        <color indexed="55"/>
      </bottom>
      <diagonal/>
    </border>
    <border>
      <left/>
      <right style="thick">
        <color indexed="55"/>
      </right>
      <top style="thick">
        <color indexed="55"/>
      </top>
      <bottom/>
      <diagonal/>
    </border>
    <border>
      <left/>
      <right style="thick">
        <color indexed="55"/>
      </right>
      <top/>
      <bottom/>
      <diagonal/>
    </border>
    <border>
      <left/>
      <right style="thick">
        <color indexed="55"/>
      </right>
      <top/>
      <bottom style="thick">
        <color indexed="55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 style="thick">
        <color indexed="55"/>
      </top>
      <bottom/>
      <diagonal/>
    </border>
    <border>
      <left style="thick">
        <color indexed="55"/>
      </left>
      <right/>
      <top style="thick">
        <color indexed="55"/>
      </top>
      <bottom/>
      <diagonal/>
    </border>
    <border>
      <left/>
      <right style="thick">
        <color indexed="55"/>
      </right>
      <top style="thick">
        <color indexed="55"/>
      </top>
      <bottom/>
      <diagonal/>
    </border>
  </borders>
  <cellStyleXfs count="5">
    <xf numFmtId="0" fontId="0" fillId="0" borderId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40" fillId="0" borderId="0"/>
    <xf numFmtId="0" fontId="73" fillId="2" borderId="0" applyNumberFormat="0" applyFont="0" applyAlignment="0">
      <alignment horizontal="center" vertical="center"/>
    </xf>
  </cellStyleXfs>
  <cellXfs count="4241">
    <xf numFmtId="0" fontId="0" fillId="0" borderId="0" xfId="0"/>
    <xf numFmtId="0" fontId="1" fillId="2" borderId="0" xfId="0" applyFont="1" applyFill="1" applyAlignment="1" applyProtection="1">
      <alignment horizontal="right"/>
    </xf>
    <xf numFmtId="0" fontId="1" fillId="2" borderId="0" xfId="0" applyFont="1" applyFill="1" applyAlignment="1" applyProtection="1">
      <alignment horizontal="justify"/>
    </xf>
    <xf numFmtId="0" fontId="7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right" vertical="center"/>
    </xf>
    <xf numFmtId="0" fontId="6" fillId="2" borderId="0" xfId="0" applyFont="1" applyFill="1" applyAlignment="1" applyProtection="1">
      <alignment horizontal="justify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right" vertical="center"/>
    </xf>
    <xf numFmtId="0" fontId="6" fillId="4" borderId="38" xfId="0" applyFont="1" applyFill="1" applyBorder="1" applyAlignment="1" applyProtection="1">
      <alignment horizontal="justify" vertical="center"/>
    </xf>
    <xf numFmtId="0" fontId="4" fillId="4" borderId="40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center" vertical="center"/>
    </xf>
    <xf numFmtId="0" fontId="4" fillId="4" borderId="41" xfId="0" applyFont="1" applyFill="1" applyBorder="1" applyAlignment="1" applyProtection="1">
      <alignment horizontal="justify" vertical="center"/>
    </xf>
    <xf numFmtId="0" fontId="4" fillId="4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justify" vertical="center"/>
    </xf>
    <xf numFmtId="0" fontId="1" fillId="4" borderId="3" xfId="0" applyFont="1" applyFill="1" applyBorder="1" applyAlignment="1" applyProtection="1">
      <alignment horizontal="right" vertical="center"/>
    </xf>
    <xf numFmtId="0" fontId="7" fillId="4" borderId="43" xfId="0" applyFont="1" applyFill="1" applyBorder="1" applyAlignment="1" applyProtection="1">
      <alignment horizontal="center" vertical="center"/>
    </xf>
    <xf numFmtId="0" fontId="7" fillId="4" borderId="44" xfId="0" applyFont="1" applyFill="1" applyBorder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 vertical="center"/>
    </xf>
    <xf numFmtId="0" fontId="1" fillId="4" borderId="44" xfId="0" applyFont="1" applyFill="1" applyBorder="1" applyAlignment="1" applyProtection="1">
      <alignment horizontal="right" vertical="center"/>
    </xf>
    <xf numFmtId="0" fontId="1" fillId="4" borderId="4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right" vertical="center"/>
    </xf>
    <xf numFmtId="0" fontId="6" fillId="4" borderId="5" xfId="0" applyFont="1" applyFill="1" applyBorder="1" applyAlignment="1" applyProtection="1">
      <alignment horizontal="justify" vertical="center"/>
    </xf>
    <xf numFmtId="0" fontId="1" fillId="4" borderId="6" xfId="0" applyFont="1" applyFill="1" applyBorder="1" applyAlignment="1" applyProtection="1">
      <alignment horizontal="right" vertical="center"/>
    </xf>
    <xf numFmtId="0" fontId="8" fillId="0" borderId="0" xfId="1" applyProtection="1"/>
    <xf numFmtId="49" fontId="8" fillId="0" borderId="0" xfId="1" applyNumberFormat="1" applyAlignment="1" applyProtection="1">
      <alignment horizontal="left" wrapText="1"/>
    </xf>
    <xf numFmtId="49" fontId="9" fillId="0" borderId="40" xfId="1" applyNumberFormat="1" applyFont="1" applyBorder="1" applyAlignment="1" applyProtection="1">
      <alignment horizontal="center"/>
    </xf>
    <xf numFmtId="49" fontId="9" fillId="0" borderId="41" xfId="1" applyNumberFormat="1" applyFont="1" applyBorder="1" applyAlignment="1" applyProtection="1">
      <alignment horizontal="center"/>
    </xf>
    <xf numFmtId="49" fontId="9" fillId="0" borderId="42" xfId="1" applyNumberFormat="1" applyFont="1" applyBorder="1" applyAlignment="1" applyProtection="1">
      <alignment horizontal="center"/>
    </xf>
    <xf numFmtId="169" fontId="9" fillId="7" borderId="47" xfId="1" applyNumberFormat="1" applyFont="1" applyFill="1" applyBorder="1" applyAlignment="1" applyProtection="1">
      <alignment horizontal="right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25" xfId="0" applyFont="1" applyFill="1" applyBorder="1" applyAlignment="1" applyProtection="1">
      <alignment horizontal="justify" vertical="center"/>
      <protection locked="0"/>
    </xf>
    <xf numFmtId="0" fontId="6" fillId="4" borderId="25" xfId="0" applyFont="1" applyFill="1" applyBorder="1" applyAlignment="1" applyProtection="1">
      <alignment horizontal="right" vertical="center"/>
      <protection locked="0"/>
    </xf>
    <xf numFmtId="0" fontId="11" fillId="2" borderId="0" xfId="0" applyFont="1" applyFill="1" applyAlignment="1" applyProtection="1">
      <alignment horizontal="right"/>
    </xf>
    <xf numFmtId="0" fontId="11" fillId="2" borderId="0" xfId="0" applyFont="1" applyFill="1" applyAlignment="1" applyProtection="1">
      <alignment horizontal="justify"/>
    </xf>
    <xf numFmtId="0" fontId="11" fillId="2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right"/>
    </xf>
    <xf numFmtId="0" fontId="15" fillId="2" borderId="0" xfId="0" applyFont="1" applyFill="1" applyAlignment="1" applyProtection="1">
      <alignment vertical="center"/>
    </xf>
    <xf numFmtId="0" fontId="15" fillId="2" borderId="0" xfId="0" applyFont="1" applyFill="1" applyAlignment="1" applyProtection="1">
      <alignment horizontal="center" vertical="center"/>
    </xf>
    <xf numFmtId="0" fontId="1" fillId="4" borderId="43" xfId="0" applyFont="1" applyFill="1" applyBorder="1" applyAlignment="1" applyProtection="1">
      <alignment horizontal="right"/>
    </xf>
    <xf numFmtId="171" fontId="0" fillId="0" borderId="0" xfId="0" applyNumberFormat="1"/>
    <xf numFmtId="1" fontId="0" fillId="8" borderId="0" xfId="0" applyNumberFormat="1" applyFill="1"/>
    <xf numFmtId="1" fontId="0" fillId="0" borderId="0" xfId="0" applyNumberFormat="1"/>
    <xf numFmtId="167" fontId="0" fillId="8" borderId="0" xfId="0" applyNumberFormat="1" applyFill="1"/>
    <xf numFmtId="167" fontId="0" fillId="0" borderId="0" xfId="0" applyNumberFormat="1"/>
    <xf numFmtId="0" fontId="1" fillId="4" borderId="4" xfId="0" applyFont="1" applyFill="1" applyBorder="1" applyAlignment="1" applyProtection="1">
      <alignment horizontal="right"/>
    </xf>
    <xf numFmtId="168" fontId="3" fillId="4" borderId="8" xfId="0" applyNumberFormat="1" applyFont="1" applyFill="1" applyBorder="1" applyAlignment="1" applyProtection="1">
      <alignment horizontal="right" vertical="center"/>
    </xf>
    <xf numFmtId="0" fontId="1" fillId="4" borderId="75" xfId="0" applyFont="1" applyFill="1" applyBorder="1" applyAlignment="1" applyProtection="1">
      <alignment horizontal="right"/>
    </xf>
    <xf numFmtId="0" fontId="1" fillId="4" borderId="76" xfId="0" applyFont="1" applyFill="1" applyBorder="1" applyAlignment="1" applyProtection="1">
      <alignment horizontal="justify"/>
    </xf>
    <xf numFmtId="0" fontId="1" fillId="4" borderId="76" xfId="0" applyFont="1" applyFill="1" applyBorder="1" applyAlignment="1" applyProtection="1">
      <alignment horizontal="right"/>
    </xf>
    <xf numFmtId="0" fontId="1" fillId="4" borderId="77" xfId="0" applyFont="1" applyFill="1" applyBorder="1" applyAlignment="1" applyProtection="1">
      <alignment horizontal="right"/>
    </xf>
    <xf numFmtId="0" fontId="7" fillId="4" borderId="78" xfId="0" applyFont="1" applyFill="1" applyBorder="1" applyAlignment="1" applyProtection="1">
      <alignment horizontal="center" vertical="center"/>
    </xf>
    <xf numFmtId="0" fontId="7" fillId="4" borderId="79" xfId="0" applyFont="1" applyFill="1" applyBorder="1" applyAlignment="1" applyProtection="1">
      <alignment horizontal="center" vertical="center"/>
    </xf>
    <xf numFmtId="0" fontId="1" fillId="4" borderId="78" xfId="0" applyFont="1" applyFill="1" applyBorder="1" applyAlignment="1" applyProtection="1">
      <alignment horizontal="right"/>
    </xf>
    <xf numFmtId="0" fontId="1" fillId="4" borderId="79" xfId="0" applyFont="1" applyFill="1" applyBorder="1" applyAlignment="1" applyProtection="1">
      <alignment horizontal="right"/>
    </xf>
    <xf numFmtId="0" fontId="1" fillId="4" borderId="80" xfId="0" applyFont="1" applyFill="1" applyBorder="1" applyAlignment="1" applyProtection="1">
      <alignment horizontal="right"/>
    </xf>
    <xf numFmtId="0" fontId="1" fillId="4" borderId="81" xfId="0" applyFont="1" applyFill="1" applyBorder="1" applyAlignment="1" applyProtection="1">
      <alignment horizontal="justify"/>
    </xf>
    <xf numFmtId="0" fontId="1" fillId="4" borderId="81" xfId="0" applyFont="1" applyFill="1" applyBorder="1" applyAlignment="1" applyProtection="1">
      <alignment horizontal="right"/>
    </xf>
    <xf numFmtId="0" fontId="1" fillId="4" borderId="82" xfId="0" applyFont="1" applyFill="1" applyBorder="1" applyAlignment="1" applyProtection="1">
      <alignment horizontal="right"/>
    </xf>
    <xf numFmtId="0" fontId="0" fillId="2" borderId="0" xfId="0" applyFill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51" xfId="0" applyBorder="1"/>
    <xf numFmtId="0" fontId="29" fillId="0" borderId="51" xfId="0" applyFont="1" applyBorder="1"/>
    <xf numFmtId="0" fontId="0" fillId="0" borderId="73" xfId="0" applyBorder="1"/>
    <xf numFmtId="0" fontId="0" fillId="0" borderId="95" xfId="0" applyFill="1" applyBorder="1"/>
    <xf numFmtId="0" fontId="0" fillId="0" borderId="51" xfId="0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2" borderId="0" xfId="0" applyFill="1" applyBorder="1"/>
    <xf numFmtId="0" fontId="28" fillId="4" borderId="0" xfId="0" applyFont="1" applyFill="1" applyBorder="1" applyAlignment="1">
      <alignment horizontal="center" vertical="center" wrapText="1"/>
    </xf>
    <xf numFmtId="0" fontId="28" fillId="4" borderId="113" xfId="0" applyFont="1" applyFill="1" applyBorder="1" applyAlignment="1">
      <alignment horizontal="center" vertical="center" wrapText="1"/>
    </xf>
    <xf numFmtId="0" fontId="28" fillId="4" borderId="114" xfId="0" applyFont="1" applyFill="1" applyBorder="1" applyAlignment="1">
      <alignment horizontal="center" vertical="center" wrapText="1"/>
    </xf>
    <xf numFmtId="0" fontId="0" fillId="0" borderId="115" xfId="0" applyBorder="1"/>
    <xf numFmtId="0" fontId="0" fillId="0" borderId="116" xfId="0" applyBorder="1"/>
    <xf numFmtId="0" fontId="29" fillId="0" borderId="115" xfId="0" applyFont="1" applyBorder="1"/>
    <xf numFmtId="0" fontId="0" fillId="0" borderId="106" xfId="0" applyBorder="1"/>
    <xf numFmtId="0" fontId="0" fillId="0" borderId="117" xfId="0" applyBorder="1"/>
    <xf numFmtId="0" fontId="0" fillId="0" borderId="115" xfId="0" applyFill="1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93" xfId="0" applyBorder="1" applyAlignment="1"/>
    <xf numFmtId="0" fontId="0" fillId="0" borderId="94" xfId="0" applyBorder="1" applyAlignment="1"/>
    <xf numFmtId="0" fontId="0" fillId="2" borderId="0" xfId="0" applyFill="1" applyAlignment="1"/>
    <xf numFmtId="0" fontId="11" fillId="2" borderId="0" xfId="0" applyFont="1" applyFill="1" applyAlignment="1" applyProtection="1">
      <alignment horizontal="right" vertical="center"/>
    </xf>
    <xf numFmtId="0" fontId="11" fillId="4" borderId="1" xfId="0" applyFont="1" applyFill="1" applyBorder="1" applyAlignment="1" applyProtection="1">
      <alignment horizontal="right"/>
    </xf>
    <xf numFmtId="0" fontId="11" fillId="4" borderId="2" xfId="0" applyFont="1" applyFill="1" applyBorder="1" applyAlignment="1" applyProtection="1">
      <alignment horizontal="justify"/>
    </xf>
    <xf numFmtId="0" fontId="11" fillId="4" borderId="2" xfId="0" applyFont="1" applyFill="1" applyBorder="1" applyAlignment="1" applyProtection="1">
      <alignment horizontal="right"/>
    </xf>
    <xf numFmtId="0" fontId="11" fillId="4" borderId="3" xfId="0" applyFont="1" applyFill="1" applyBorder="1" applyAlignment="1" applyProtection="1">
      <alignment horizontal="right"/>
    </xf>
    <xf numFmtId="0" fontId="11" fillId="4" borderId="43" xfId="0" applyFont="1" applyFill="1" applyBorder="1" applyAlignment="1" applyProtection="1">
      <alignment horizontal="center" vertical="center"/>
    </xf>
    <xf numFmtId="0" fontId="11" fillId="4" borderId="44" xfId="0" applyFont="1" applyFill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right"/>
    </xf>
    <xf numFmtId="0" fontId="11" fillId="4" borderId="44" xfId="0" applyFont="1" applyFill="1" applyBorder="1" applyAlignment="1" applyProtection="1">
      <alignment horizontal="right"/>
    </xf>
    <xf numFmtId="0" fontId="11" fillId="4" borderId="4" xfId="0" applyFont="1" applyFill="1" applyBorder="1" applyAlignment="1" applyProtection="1">
      <alignment horizontal="right"/>
    </xf>
    <xf numFmtId="0" fontId="11" fillId="4" borderId="5" xfId="0" applyFont="1" applyFill="1" applyBorder="1" applyAlignment="1" applyProtection="1">
      <alignment horizontal="justify"/>
    </xf>
    <xf numFmtId="0" fontId="11" fillId="4" borderId="5" xfId="0" applyFont="1" applyFill="1" applyBorder="1" applyAlignment="1" applyProtection="1">
      <alignment horizontal="right"/>
    </xf>
    <xf numFmtId="0" fontId="11" fillId="4" borderId="6" xfId="0" applyFont="1" applyFill="1" applyBorder="1" applyAlignment="1" applyProtection="1">
      <alignment horizontal="right"/>
    </xf>
    <xf numFmtId="0" fontId="12" fillId="4" borderId="19" xfId="0" applyFont="1" applyFill="1" applyBorder="1" applyAlignment="1" applyProtection="1">
      <alignment horizontal="center" vertical="top"/>
    </xf>
    <xf numFmtId="168" fontId="12" fillId="4" borderId="19" xfId="0" applyNumberFormat="1" applyFont="1" applyFill="1" applyBorder="1" applyAlignment="1" applyProtection="1">
      <alignment horizontal="center" vertical="top"/>
    </xf>
    <xf numFmtId="168" fontId="12" fillId="4" borderId="20" xfId="0" applyNumberFormat="1" applyFont="1" applyFill="1" applyBorder="1" applyAlignment="1" applyProtection="1">
      <alignment horizontal="center" vertical="top"/>
    </xf>
    <xf numFmtId="168" fontId="12" fillId="10" borderId="49" xfId="0" applyNumberFormat="1" applyFont="1" applyFill="1" applyBorder="1" applyAlignment="1" applyProtection="1">
      <alignment horizontal="right" vertical="top"/>
      <protection locked="0"/>
    </xf>
    <xf numFmtId="0" fontId="12" fillId="0" borderId="49" xfId="0" applyFont="1" applyFill="1" applyBorder="1" applyAlignment="1" applyProtection="1">
      <alignment horizontal="center" vertical="top"/>
    </xf>
    <xf numFmtId="168" fontId="12" fillId="10" borderId="50" xfId="0" applyNumberFormat="1" applyFont="1" applyFill="1" applyBorder="1" applyAlignment="1" applyProtection="1">
      <alignment horizontal="left" vertical="top"/>
      <protection locked="0"/>
    </xf>
    <xf numFmtId="168" fontId="12" fillId="10" borderId="51" xfId="0" applyNumberFormat="1" applyFont="1" applyFill="1" applyBorder="1" applyAlignment="1" applyProtection="1">
      <alignment horizontal="center" vertical="top"/>
      <protection locked="0"/>
    </xf>
    <xf numFmtId="0" fontId="12" fillId="0" borderId="51" xfId="0" applyFont="1" applyFill="1" applyBorder="1" applyAlignment="1" applyProtection="1">
      <alignment horizontal="right" vertical="top"/>
    </xf>
    <xf numFmtId="168" fontId="11" fillId="0" borderId="51" xfId="0" applyNumberFormat="1" applyFont="1" applyFill="1" applyBorder="1" applyAlignment="1" applyProtection="1">
      <alignment horizontal="center" vertical="center"/>
    </xf>
    <xf numFmtId="1" fontId="12" fillId="0" borderId="51" xfId="0" applyNumberFormat="1" applyFont="1" applyFill="1" applyBorder="1" applyAlignment="1" applyProtection="1">
      <alignment horizontal="center" vertical="center" wrapText="1"/>
    </xf>
    <xf numFmtId="168" fontId="12" fillId="10" borderId="51" xfId="0" applyNumberFormat="1" applyFont="1" applyFill="1" applyBorder="1" applyAlignment="1" applyProtection="1">
      <alignment horizontal="center" vertical="center" wrapText="1"/>
      <protection locked="0"/>
    </xf>
    <xf numFmtId="168" fontId="11" fillId="4" borderId="0" xfId="0" applyNumberFormat="1" applyFont="1" applyFill="1" applyBorder="1" applyAlignment="1" applyProtection="1">
      <alignment horizontal="right"/>
    </xf>
    <xf numFmtId="168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0" fontId="11" fillId="4" borderId="43" xfId="0" applyFont="1" applyFill="1" applyBorder="1" applyAlignment="1" applyProtection="1">
      <alignment horizontal="right" vertical="center"/>
    </xf>
    <xf numFmtId="0" fontId="11" fillId="4" borderId="44" xfId="0" applyFont="1" applyFill="1" applyBorder="1" applyAlignment="1" applyProtection="1">
      <alignment horizontal="right" vertical="center"/>
    </xf>
    <xf numFmtId="1" fontId="14" fillId="0" borderId="57" xfId="0" applyNumberFormat="1" applyFont="1" applyFill="1" applyBorder="1" applyAlignment="1" applyProtection="1">
      <alignment horizontal="center"/>
    </xf>
    <xf numFmtId="1" fontId="14" fillId="0" borderId="98" xfId="0" applyNumberFormat="1" applyFont="1" applyFill="1" applyBorder="1" applyAlignment="1" applyProtection="1">
      <alignment horizontal="center"/>
    </xf>
    <xf numFmtId="1" fontId="11" fillId="9" borderId="0" xfId="0" applyNumberFormat="1" applyFont="1" applyFill="1" applyBorder="1" applyAlignment="1" applyProtection="1">
      <alignment horizontal="center"/>
    </xf>
    <xf numFmtId="168" fontId="12" fillId="9" borderId="0" xfId="0" applyNumberFormat="1" applyFont="1" applyFill="1" applyBorder="1" applyAlignment="1" applyProtection="1">
      <alignment horizontal="center"/>
    </xf>
    <xf numFmtId="0" fontId="3" fillId="4" borderId="41" xfId="0" applyFont="1" applyFill="1" applyBorder="1" applyAlignment="1" applyProtection="1">
      <alignment horizontal="center" vertical="center"/>
    </xf>
    <xf numFmtId="0" fontId="1" fillId="4" borderId="44" xfId="0" applyFont="1" applyFill="1" applyBorder="1" applyAlignment="1" applyProtection="1">
      <alignment horizontal="right"/>
    </xf>
    <xf numFmtId="0" fontId="1" fillId="4" borderId="5" xfId="0" applyFont="1" applyFill="1" applyBorder="1" applyAlignment="1" applyProtection="1">
      <alignment horizontal="justify"/>
    </xf>
    <xf numFmtId="0" fontId="1" fillId="4" borderId="5" xfId="0" applyFont="1" applyFill="1" applyBorder="1" applyAlignment="1" applyProtection="1">
      <alignment horizontal="right"/>
    </xf>
    <xf numFmtId="0" fontId="1" fillId="4" borderId="6" xfId="0" applyFont="1" applyFill="1" applyBorder="1" applyAlignment="1" applyProtection="1">
      <alignment horizontal="right"/>
    </xf>
    <xf numFmtId="0" fontId="7" fillId="4" borderId="43" xfId="0" applyFont="1" applyFill="1" applyBorder="1" applyAlignment="1" applyProtection="1">
      <alignment horizontal="right"/>
    </xf>
    <xf numFmtId="0" fontId="7" fillId="4" borderId="44" xfId="0" applyFont="1" applyFill="1" applyBorder="1" applyAlignment="1" applyProtection="1">
      <alignment horizontal="right"/>
    </xf>
    <xf numFmtId="1" fontId="2" fillId="4" borderId="155" xfId="0" applyNumberFormat="1" applyFont="1" applyFill="1" applyBorder="1" applyAlignment="1" applyProtection="1">
      <alignment horizontal="right" vertical="center"/>
    </xf>
    <xf numFmtId="1" fontId="2" fillId="4" borderId="149" xfId="0" applyNumberFormat="1" applyFont="1" applyFill="1" applyBorder="1" applyAlignment="1" applyProtection="1">
      <alignment horizontal="right" vertical="center"/>
    </xf>
    <xf numFmtId="1" fontId="2" fillId="4" borderId="156" xfId="0" applyNumberFormat="1" applyFont="1" applyFill="1" applyBorder="1" applyAlignment="1" applyProtection="1">
      <alignment horizontal="right" vertical="center"/>
    </xf>
    <xf numFmtId="0" fontId="3" fillId="4" borderId="40" xfId="0" applyFont="1" applyFill="1" applyBorder="1" applyAlignment="1" applyProtection="1">
      <alignment horizontal="center" vertical="center"/>
    </xf>
    <xf numFmtId="0" fontId="4" fillId="4" borderId="157" xfId="0" applyFont="1" applyFill="1" applyBorder="1" applyAlignment="1" applyProtection="1">
      <alignment horizontal="center" vertical="center"/>
    </xf>
    <xf numFmtId="0" fontId="5" fillId="4" borderId="41" xfId="0" applyFont="1" applyFill="1" applyBorder="1" applyAlignment="1" applyProtection="1">
      <alignment horizontal="center" vertical="center"/>
    </xf>
    <xf numFmtId="168" fontId="2" fillId="4" borderId="37" xfId="0" applyNumberFormat="1" applyFont="1" applyFill="1" applyBorder="1" applyAlignment="1" applyProtection="1">
      <alignment horizontal="center" vertical="center"/>
    </xf>
    <xf numFmtId="168" fontId="2" fillId="4" borderId="14" xfId="0" applyNumberFormat="1" applyFont="1" applyFill="1" applyBorder="1" applyAlignment="1" applyProtection="1">
      <alignment horizontal="center" vertical="center"/>
    </xf>
    <xf numFmtId="168" fontId="2" fillId="4" borderId="17" xfId="0" applyNumberFormat="1" applyFont="1" applyFill="1" applyBorder="1" applyAlignment="1" applyProtection="1">
      <alignment horizontal="center" vertical="center"/>
    </xf>
    <xf numFmtId="174" fontId="33" fillId="4" borderId="65" xfId="0" applyNumberFormat="1" applyFont="1" applyFill="1" applyBorder="1" applyAlignment="1" applyProtection="1">
      <alignment horizontal="right" vertical="center"/>
    </xf>
    <xf numFmtId="174" fontId="33" fillId="4" borderId="26" xfId="0" applyNumberFormat="1" applyFont="1" applyFill="1" applyBorder="1" applyAlignment="1" applyProtection="1">
      <alignment horizontal="right" vertical="center"/>
    </xf>
    <xf numFmtId="174" fontId="33" fillId="4" borderId="48" xfId="0" applyNumberFormat="1" applyFont="1" applyFill="1" applyBorder="1" applyAlignment="1" applyProtection="1">
      <alignment horizontal="right" vertical="center"/>
    </xf>
    <xf numFmtId="174" fontId="33" fillId="4" borderId="154" xfId="0" applyNumberFormat="1" applyFont="1" applyFill="1" applyBorder="1" applyAlignment="1" applyProtection="1">
      <alignment horizontal="right" vertical="center"/>
    </xf>
    <xf numFmtId="174" fontId="33" fillId="4" borderId="34" xfId="0" applyNumberFormat="1" applyFont="1" applyFill="1" applyBorder="1" applyAlignment="1" applyProtection="1">
      <alignment horizontal="right" vertical="center"/>
    </xf>
    <xf numFmtId="174" fontId="33" fillId="4" borderId="36" xfId="0" applyNumberFormat="1" applyFont="1" applyFill="1" applyBorder="1" applyAlignment="1" applyProtection="1">
      <alignment horizontal="right" vertical="center"/>
    </xf>
    <xf numFmtId="167" fontId="3" fillId="11" borderId="152" xfId="0" applyNumberFormat="1" applyFont="1" applyFill="1" applyBorder="1" applyAlignment="1" applyProtection="1">
      <alignment horizontal="center" vertical="center"/>
    </xf>
    <xf numFmtId="1" fontId="16" fillId="4" borderId="21" xfId="0" applyNumberFormat="1" applyFont="1" applyFill="1" applyBorder="1" applyAlignment="1" applyProtection="1">
      <alignment horizontal="center" vertical="center"/>
    </xf>
    <xf numFmtId="1" fontId="16" fillId="4" borderId="60" xfId="0" applyNumberFormat="1" applyFont="1" applyFill="1" applyBorder="1" applyAlignment="1" applyProtection="1">
      <alignment horizontal="center" vertical="center"/>
    </xf>
    <xf numFmtId="1" fontId="16" fillId="4" borderId="162" xfId="0" applyNumberFormat="1" applyFont="1" applyFill="1" applyBorder="1" applyAlignment="1" applyProtection="1">
      <alignment horizontal="center" vertical="center"/>
    </xf>
    <xf numFmtId="169" fontId="16" fillId="4" borderId="67" xfId="0" applyNumberFormat="1" applyFont="1" applyFill="1" applyBorder="1" applyAlignment="1" applyProtection="1">
      <alignment horizontal="right" vertical="center"/>
    </xf>
    <xf numFmtId="169" fontId="16" fillId="4" borderId="60" xfId="0" applyNumberFormat="1" applyFont="1" applyFill="1" applyBorder="1" applyAlignment="1" applyProtection="1">
      <alignment horizontal="right" vertical="center"/>
    </xf>
    <xf numFmtId="169" fontId="16" fillId="4" borderId="162" xfId="0" applyNumberFormat="1" applyFont="1" applyFill="1" applyBorder="1" applyAlignment="1" applyProtection="1">
      <alignment horizontal="right" vertical="center"/>
    </xf>
    <xf numFmtId="1" fontId="16" fillId="4" borderId="67" xfId="0" applyNumberFormat="1" applyFont="1" applyFill="1" applyBorder="1" applyAlignment="1" applyProtection="1">
      <alignment horizontal="center" vertical="center"/>
    </xf>
    <xf numFmtId="1" fontId="16" fillId="4" borderId="22" xfId="0" applyNumberFormat="1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49" fontId="3" fillId="3" borderId="8" xfId="0" applyNumberFormat="1" applyFont="1" applyFill="1" applyBorder="1" applyAlignment="1" applyProtection="1">
      <alignment horizontal="center" vertical="center"/>
    </xf>
    <xf numFmtId="49" fontId="22" fillId="3" borderId="8" xfId="0" applyNumberFormat="1" applyFont="1" applyFill="1" applyBorder="1" applyAlignment="1" applyProtection="1">
      <alignment horizontal="center" vertical="center"/>
    </xf>
    <xf numFmtId="0" fontId="3" fillId="17" borderId="0" xfId="0" applyFont="1" applyFill="1" applyBorder="1" applyAlignment="1" applyProtection="1">
      <alignment horizontal="center" vertical="top"/>
    </xf>
    <xf numFmtId="0" fontId="41" fillId="2" borderId="0" xfId="3" applyFont="1" applyFill="1"/>
    <xf numFmtId="0" fontId="41" fillId="0" borderId="168" xfId="3" applyFont="1" applyBorder="1"/>
    <xf numFmtId="0" fontId="41" fillId="0" borderId="169" xfId="3" applyFont="1" applyBorder="1"/>
    <xf numFmtId="0" fontId="41" fillId="0" borderId="170" xfId="3" applyFont="1" applyBorder="1"/>
    <xf numFmtId="0" fontId="41" fillId="0" borderId="171" xfId="3" applyFont="1" applyBorder="1"/>
    <xf numFmtId="0" fontId="41" fillId="0" borderId="172" xfId="3" applyFont="1" applyBorder="1"/>
    <xf numFmtId="0" fontId="41" fillId="0" borderId="175" xfId="3" applyFont="1" applyBorder="1"/>
    <xf numFmtId="0" fontId="41" fillId="0" borderId="176" xfId="3" applyFont="1" applyBorder="1"/>
    <xf numFmtId="0" fontId="41" fillId="4" borderId="43" xfId="3" applyFont="1" applyFill="1" applyBorder="1"/>
    <xf numFmtId="0" fontId="41" fillId="4" borderId="177" xfId="3" applyFont="1" applyFill="1" applyBorder="1"/>
    <xf numFmtId="0" fontId="41" fillId="4" borderId="178" xfId="3" applyFont="1" applyFill="1" applyBorder="1"/>
    <xf numFmtId="0" fontId="5" fillId="17" borderId="0" xfId="0" applyFont="1" applyFill="1" applyBorder="1" applyAlignment="1" applyProtection="1">
      <alignment horizontal="center" vertical="center"/>
    </xf>
    <xf numFmtId="0" fontId="45" fillId="9" borderId="31" xfId="0" applyNumberFormat="1" applyFont="1" applyFill="1" applyBorder="1" applyAlignment="1" applyProtection="1">
      <alignment vertical="center"/>
    </xf>
    <xf numFmtId="0" fontId="45" fillId="9" borderId="31" xfId="0" applyFont="1" applyFill="1" applyBorder="1" applyAlignment="1" applyProtection="1">
      <alignment vertical="center"/>
    </xf>
    <xf numFmtId="0" fontId="46" fillId="4" borderId="8" xfId="0" applyFont="1" applyFill="1" applyBorder="1" applyAlignment="1" applyProtection="1">
      <alignment horizontal="center" vertical="center"/>
    </xf>
    <xf numFmtId="0" fontId="47" fillId="4" borderId="31" xfId="0" applyNumberFormat="1" applyFont="1" applyFill="1" applyBorder="1" applyAlignment="1" applyProtection="1">
      <alignment vertical="center"/>
    </xf>
    <xf numFmtId="0" fontId="47" fillId="4" borderId="31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vertical="center"/>
    </xf>
    <xf numFmtId="0" fontId="44" fillId="9" borderId="32" xfId="0" applyFont="1" applyFill="1" applyBorder="1" applyAlignment="1" applyProtection="1">
      <alignment vertical="center"/>
    </xf>
    <xf numFmtId="0" fontId="44" fillId="9" borderId="31" xfId="0" applyFont="1" applyFill="1" applyBorder="1" applyAlignment="1" applyProtection="1">
      <alignment horizontal="right" vertical="center"/>
    </xf>
    <xf numFmtId="0" fontId="17" fillId="4" borderId="1" xfId="0" applyFont="1" applyFill="1" applyBorder="1" applyAlignment="1" applyProtection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6" fillId="4" borderId="43" xfId="0" applyFont="1" applyFill="1" applyBorder="1" applyAlignment="1" applyProtection="1">
      <alignment horizontal="right"/>
    </xf>
    <xf numFmtId="0" fontId="16" fillId="4" borderId="0" xfId="0" applyFont="1" applyFill="1" applyBorder="1" applyAlignment="1" applyProtection="1">
      <alignment horizontal="right"/>
    </xf>
    <xf numFmtId="0" fontId="16" fillId="4" borderId="44" xfId="0" applyFont="1" applyFill="1" applyBorder="1" applyAlignment="1" applyProtection="1">
      <alignment horizontal="right"/>
    </xf>
    <xf numFmtId="165" fontId="16" fillId="4" borderId="0" xfId="0" applyNumberFormat="1" applyFont="1" applyFill="1" applyBorder="1" applyAlignment="1" applyProtection="1">
      <alignment horizontal="right"/>
    </xf>
    <xf numFmtId="0" fontId="16" fillId="4" borderId="4" xfId="0" applyFont="1" applyFill="1" applyBorder="1" applyAlignment="1" applyProtection="1">
      <alignment horizontal="right"/>
    </xf>
    <xf numFmtId="0" fontId="16" fillId="4" borderId="5" xfId="0" applyFont="1" applyFill="1" applyBorder="1" applyAlignment="1" applyProtection="1">
      <alignment horizontal="right"/>
    </xf>
    <xf numFmtId="0" fontId="16" fillId="4" borderId="6" xfId="0" applyFont="1" applyFill="1" applyBorder="1" applyAlignment="1" applyProtection="1">
      <alignment horizontal="right"/>
    </xf>
    <xf numFmtId="0" fontId="48" fillId="3" borderId="7" xfId="0" applyNumberFormat="1" applyFont="1" applyFill="1" applyBorder="1" applyAlignment="1" applyProtection="1">
      <alignment horizontal="center" vertical="center"/>
    </xf>
    <xf numFmtId="49" fontId="48" fillId="3" borderId="9" xfId="0" applyNumberFormat="1" applyFont="1" applyFill="1" applyBorder="1" applyAlignment="1" applyProtection="1">
      <alignment horizontal="center" vertical="center"/>
    </xf>
    <xf numFmtId="168" fontId="17" fillId="0" borderId="181" xfId="0" applyNumberFormat="1" applyFont="1" applyFill="1" applyBorder="1" applyAlignment="1" applyProtection="1">
      <alignment horizontal="center"/>
    </xf>
    <xf numFmtId="0" fontId="16" fillId="0" borderId="174" xfId="0" applyFont="1" applyFill="1" applyBorder="1" applyAlignment="1" applyProtection="1">
      <alignment horizontal="center" vertical="center"/>
    </xf>
    <xf numFmtId="0" fontId="49" fillId="4" borderId="0" xfId="0" applyFont="1" applyFill="1" applyBorder="1" applyAlignment="1" applyProtection="1">
      <alignment horizontal="center"/>
    </xf>
    <xf numFmtId="168" fontId="17" fillId="0" borderId="190" xfId="0" applyNumberFormat="1" applyFont="1" applyFill="1" applyBorder="1" applyAlignment="1" applyProtection="1">
      <alignment horizontal="center"/>
    </xf>
    <xf numFmtId="0" fontId="54" fillId="2" borderId="0" xfId="0" applyFont="1" applyFill="1" applyAlignment="1" applyProtection="1">
      <alignment horizontal="right"/>
    </xf>
    <xf numFmtId="0" fontId="54" fillId="2" borderId="0" xfId="0" applyFont="1" applyFill="1" applyAlignment="1" applyProtection="1">
      <alignment horizontal="justify"/>
    </xf>
    <xf numFmtId="0" fontId="54" fillId="0" borderId="193" xfId="0" applyFont="1" applyBorder="1" applyAlignment="1" applyProtection="1">
      <alignment horizontal="center"/>
    </xf>
    <xf numFmtId="167" fontId="38" fillId="0" borderId="193" xfId="0" applyNumberFormat="1" applyFont="1" applyFill="1" applyBorder="1" applyAlignment="1" applyProtection="1">
      <alignment horizontal="center" vertical="center"/>
    </xf>
    <xf numFmtId="0" fontId="54" fillId="2" borderId="0" xfId="0" applyFont="1" applyFill="1" applyAlignment="1" applyProtection="1">
      <alignment horizontal="right" vertical="center"/>
    </xf>
    <xf numFmtId="1" fontId="54" fillId="0" borderId="190" xfId="0" applyNumberFormat="1" applyFont="1" applyFill="1" applyBorder="1" applyAlignment="1" applyProtection="1">
      <alignment horizontal="center"/>
    </xf>
    <xf numFmtId="1" fontId="54" fillId="0" borderId="190" xfId="0" applyNumberFormat="1" applyFont="1" applyFill="1" applyBorder="1" applyAlignment="1" applyProtection="1"/>
    <xf numFmtId="0" fontId="54" fillId="0" borderId="180" xfId="0" applyFont="1" applyFill="1" applyBorder="1" applyAlignment="1" applyProtection="1">
      <alignment horizontal="center" vertical="center"/>
    </xf>
    <xf numFmtId="168" fontId="17" fillId="5" borderId="192" xfId="0" applyNumberFormat="1" applyFont="1" applyFill="1" applyBorder="1" applyAlignment="1" applyProtection="1">
      <alignment horizontal="left" vertical="top"/>
    </xf>
    <xf numFmtId="0" fontId="54" fillId="0" borderId="180" xfId="0" applyFont="1" applyFill="1" applyBorder="1" applyAlignment="1" applyProtection="1">
      <alignment horizontal="center" vertical="center" wrapText="1"/>
    </xf>
    <xf numFmtId="0" fontId="16" fillId="0" borderId="186" xfId="0" applyFont="1" applyBorder="1" applyProtection="1">
      <protection locked="0"/>
    </xf>
    <xf numFmtId="0" fontId="16" fillId="0" borderId="200" xfId="0" applyFont="1" applyBorder="1" applyProtection="1">
      <protection locked="0"/>
    </xf>
    <xf numFmtId="0" fontId="16" fillId="0" borderId="48" xfId="0" applyFont="1" applyBorder="1" applyProtection="1">
      <protection locked="0"/>
    </xf>
    <xf numFmtId="0" fontId="16" fillId="0" borderId="36" xfId="0" applyFont="1" applyBorder="1" applyProtection="1">
      <protection locked="0"/>
    </xf>
    <xf numFmtId="0" fontId="6" fillId="4" borderId="199" xfId="0" applyFont="1" applyFill="1" applyBorder="1" applyAlignment="1" applyProtection="1">
      <alignment horizontal="center" vertical="center"/>
      <protection locked="0"/>
    </xf>
    <xf numFmtId="0" fontId="6" fillId="4" borderId="206" xfId="0" applyFont="1" applyFill="1" applyBorder="1" applyAlignment="1" applyProtection="1">
      <alignment horizontal="right" vertical="center"/>
      <protection locked="0"/>
    </xf>
    <xf numFmtId="0" fontId="6" fillId="4" borderId="206" xfId="0" applyFont="1" applyFill="1" applyBorder="1" applyAlignment="1" applyProtection="1">
      <alignment horizontal="justify" vertical="center"/>
      <protection locked="0"/>
    </xf>
    <xf numFmtId="0" fontId="60" fillId="4" borderId="199" xfId="0" applyFont="1" applyFill="1" applyBorder="1" applyAlignment="1" applyProtection="1">
      <alignment horizontal="center" vertical="center"/>
      <protection locked="0"/>
    </xf>
    <xf numFmtId="0" fontId="60" fillId="4" borderId="206" xfId="0" applyFont="1" applyFill="1" applyBorder="1" applyAlignment="1" applyProtection="1">
      <alignment horizontal="right" vertical="center"/>
      <protection locked="0"/>
    </xf>
    <xf numFmtId="0" fontId="60" fillId="4" borderId="17" xfId="0" applyFont="1" applyFill="1" applyBorder="1" applyAlignment="1" applyProtection="1">
      <alignment horizontal="center" vertical="center"/>
    </xf>
    <xf numFmtId="0" fontId="60" fillId="4" borderId="35" xfId="0" applyFont="1" applyFill="1" applyBorder="1" applyAlignment="1" applyProtection="1">
      <alignment horizontal="right" vertical="center"/>
    </xf>
    <xf numFmtId="0" fontId="60" fillId="4" borderId="35" xfId="0" applyFont="1" applyFill="1" applyBorder="1" applyAlignment="1" applyProtection="1">
      <alignment horizontal="justify" vertical="center"/>
    </xf>
    <xf numFmtId="0" fontId="6" fillId="4" borderId="35" xfId="0" applyFont="1" applyFill="1" applyBorder="1" applyAlignment="1" applyProtection="1">
      <alignment horizontal="justify" vertical="center"/>
    </xf>
    <xf numFmtId="0" fontId="12" fillId="0" borderId="0" xfId="0" applyFont="1" applyFill="1" applyBorder="1" applyAlignment="1" applyProtection="1">
      <alignment horizontal="center" vertical="top"/>
    </xf>
    <xf numFmtId="0" fontId="12" fillId="4" borderId="0" xfId="0" applyFont="1" applyFill="1" applyBorder="1" applyAlignment="1" applyProtection="1">
      <alignment horizontal="center" vertical="top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4" fillId="0" borderId="135" xfId="0" applyFont="1" applyBorder="1" applyAlignment="1" applyProtection="1">
      <alignment horizontal="right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17" fillId="10" borderId="181" xfId="0" applyNumberFormat="1" applyFont="1" applyFill="1" applyBorder="1" applyAlignment="1" applyProtection="1">
      <alignment horizontal="center"/>
      <protection locked="0"/>
    </xf>
    <xf numFmtId="0" fontId="16" fillId="2" borderId="0" xfId="0" applyFont="1" applyFill="1" applyProtection="1"/>
    <xf numFmtId="0" fontId="17" fillId="9" borderId="40" xfId="0" applyFont="1" applyFill="1" applyBorder="1" applyAlignment="1" applyProtection="1">
      <alignment horizontal="center" vertic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42" xfId="0" applyFont="1" applyFill="1" applyBorder="1" applyAlignment="1" applyProtection="1">
      <alignment horizontal="center"/>
    </xf>
    <xf numFmtId="179" fontId="16" fillId="0" borderId="37" xfId="0" applyNumberFormat="1" applyFont="1" applyBorder="1" applyProtection="1"/>
    <xf numFmtId="0" fontId="16" fillId="0" borderId="70" xfId="0" applyFont="1" applyBorder="1" applyProtection="1"/>
    <xf numFmtId="0" fontId="16" fillId="0" borderId="39" xfId="0" applyFont="1" applyBorder="1" applyProtection="1"/>
    <xf numFmtId="179" fontId="16" fillId="0" borderId="14" xfId="0" applyNumberFormat="1" applyFont="1" applyBorder="1" applyProtection="1"/>
    <xf numFmtId="0" fontId="16" fillId="0" borderId="181" xfId="0" applyFont="1" applyBorder="1" applyProtection="1"/>
    <xf numFmtId="0" fontId="16" fillId="0" borderId="34" xfId="0" applyFont="1" applyBorder="1" applyProtection="1"/>
    <xf numFmtId="179" fontId="16" fillId="0" borderId="199" xfId="0" applyNumberFormat="1" applyFont="1" applyBorder="1" applyProtection="1"/>
    <xf numFmtId="0" fontId="16" fillId="0" borderId="186" xfId="0" applyFont="1" applyBorder="1" applyProtection="1"/>
    <xf numFmtId="0" fontId="16" fillId="0" borderId="200" xfId="0" applyFont="1" applyBorder="1" applyProtection="1"/>
    <xf numFmtId="179" fontId="16" fillId="0" borderId="199" xfId="0" applyNumberFormat="1" applyFont="1" applyBorder="1" applyProtection="1">
      <protection locked="0"/>
    </xf>
    <xf numFmtId="179" fontId="16" fillId="0" borderId="17" xfId="0" applyNumberFormat="1" applyFont="1" applyBorder="1" applyProtection="1">
      <protection locked="0"/>
    </xf>
    <xf numFmtId="0" fontId="16" fillId="0" borderId="80" xfId="0" applyFont="1" applyBorder="1" applyAlignment="1" applyProtection="1">
      <alignment horizontal="center"/>
    </xf>
    <xf numFmtId="0" fontId="16" fillId="0" borderId="82" xfId="0" applyFont="1" applyBorder="1" applyAlignment="1" applyProtection="1">
      <alignment horizontal="center"/>
    </xf>
    <xf numFmtId="178" fontId="6" fillId="4" borderId="37" xfId="0" applyNumberFormat="1" applyFont="1" applyFill="1" applyBorder="1" applyAlignment="1" applyProtection="1">
      <alignment horizontal="center" vertical="center"/>
      <protection locked="0"/>
    </xf>
    <xf numFmtId="0" fontId="6" fillId="4" borderId="38" xfId="0" applyFont="1" applyFill="1" applyBorder="1" applyAlignment="1" applyProtection="1">
      <alignment horizontal="right" vertical="center"/>
      <protection locked="0"/>
    </xf>
    <xf numFmtId="0" fontId="6" fillId="4" borderId="38" xfId="0" applyFont="1" applyFill="1" applyBorder="1" applyAlignment="1" applyProtection="1">
      <alignment horizontal="justify" vertical="center"/>
      <protection locked="0"/>
    </xf>
    <xf numFmtId="168" fontId="22" fillId="4" borderId="187" xfId="0" applyNumberFormat="1" applyFont="1" applyFill="1" applyBorder="1" applyAlignment="1" applyProtection="1">
      <alignment horizontal="right" vertical="center"/>
    </xf>
    <xf numFmtId="0" fontId="44" fillId="9" borderId="187" xfId="0" applyFont="1" applyFill="1" applyBorder="1" applyAlignment="1" applyProtection="1">
      <alignment horizontal="right" vertical="center"/>
    </xf>
    <xf numFmtId="0" fontId="45" fillId="9" borderId="187" xfId="0" applyNumberFormat="1" applyFont="1" applyFill="1" applyBorder="1" applyAlignment="1" applyProtection="1">
      <alignment vertical="center"/>
    </xf>
    <xf numFmtId="0" fontId="44" fillId="9" borderId="187" xfId="0" applyFont="1" applyFill="1" applyBorder="1" applyAlignment="1" applyProtection="1">
      <alignment vertical="center"/>
    </xf>
    <xf numFmtId="0" fontId="45" fillId="9" borderId="187" xfId="0" applyFont="1" applyFill="1" applyBorder="1" applyAlignment="1" applyProtection="1">
      <alignment vertical="center"/>
    </xf>
    <xf numFmtId="0" fontId="44" fillId="9" borderId="89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horizontal="justify"/>
    </xf>
    <xf numFmtId="0" fontId="16" fillId="4" borderId="5" xfId="0" applyFont="1" applyFill="1" applyBorder="1" applyAlignment="1" applyProtection="1">
      <alignment horizontal="justify" vertical="center"/>
    </xf>
    <xf numFmtId="169" fontId="16" fillId="4" borderId="5" xfId="0" applyNumberFormat="1" applyFont="1" applyFill="1" applyBorder="1" applyAlignment="1" applyProtection="1">
      <alignment horizontal="justify" vertical="center"/>
    </xf>
    <xf numFmtId="1" fontId="16" fillId="4" borderId="5" xfId="0" applyNumberFormat="1" applyFont="1" applyFill="1" applyBorder="1" applyAlignment="1" applyProtection="1">
      <alignment horizontal="justify" vertical="center"/>
    </xf>
    <xf numFmtId="0" fontId="1" fillId="4" borderId="0" xfId="0" applyFont="1" applyFill="1" applyBorder="1" applyAlignment="1" applyProtection="1">
      <alignment horizontal="justify"/>
    </xf>
    <xf numFmtId="0" fontId="16" fillId="4" borderId="0" xfId="0" applyFont="1" applyFill="1" applyBorder="1" applyAlignment="1" applyProtection="1">
      <alignment horizontal="justify" vertical="center"/>
    </xf>
    <xf numFmtId="169" fontId="16" fillId="4" borderId="0" xfId="0" applyNumberFormat="1" applyFont="1" applyFill="1" applyBorder="1" applyAlignment="1" applyProtection="1">
      <alignment horizontal="justify" vertical="center"/>
    </xf>
    <xf numFmtId="1" fontId="16" fillId="4" borderId="0" xfId="0" applyNumberFormat="1" applyFont="1" applyFill="1" applyBorder="1" applyAlignment="1" applyProtection="1">
      <alignment horizontal="justify" vertical="center"/>
    </xf>
    <xf numFmtId="175" fontId="77" fillId="5" borderId="18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justify"/>
    </xf>
    <xf numFmtId="14" fontId="12" fillId="4" borderId="0" xfId="0" applyNumberFormat="1" applyFont="1" applyFill="1" applyBorder="1" applyAlignment="1" applyProtection="1">
      <alignment horizontal="justify"/>
    </xf>
    <xf numFmtId="0" fontId="11" fillId="2" borderId="0" xfId="0" applyFont="1" applyFill="1" applyAlignment="1" applyProtection="1">
      <alignment horizontal="right"/>
    </xf>
    <xf numFmtId="0" fontId="14" fillId="4" borderId="0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justify"/>
    </xf>
    <xf numFmtId="1" fontId="11" fillId="0" borderId="0" xfId="0" applyNumberFormat="1" applyFont="1" applyFill="1" applyBorder="1" applyAlignment="1" applyProtection="1">
      <alignment horizontal="center"/>
    </xf>
    <xf numFmtId="167" fontId="12" fillId="4" borderId="0" xfId="0" applyNumberFormat="1" applyFont="1" applyFill="1" applyBorder="1" applyAlignment="1" applyProtection="1">
      <alignment horizontal="center" vertical="center"/>
    </xf>
    <xf numFmtId="166" fontId="11" fillId="4" borderId="0" xfId="0" applyNumberFormat="1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 vertical="top"/>
    </xf>
    <xf numFmtId="0" fontId="11" fillId="4" borderId="0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65" fontId="11" fillId="4" borderId="2" xfId="0" applyNumberFormat="1" applyFont="1" applyFill="1" applyBorder="1" applyAlignment="1" applyProtection="1">
      <alignment horizontal="right"/>
    </xf>
    <xf numFmtId="165" fontId="11" fillId="4" borderId="0" xfId="0" applyNumberFormat="1" applyFont="1" applyFill="1" applyBorder="1" applyAlignment="1" applyProtection="1">
      <alignment horizontal="center" vertical="center"/>
    </xf>
    <xf numFmtId="165" fontId="11" fillId="4" borderId="0" xfId="0" applyNumberFormat="1" applyFont="1" applyFill="1" applyBorder="1" applyAlignment="1" applyProtection="1">
      <alignment horizontal="center"/>
    </xf>
    <xf numFmtId="165" fontId="12" fillId="4" borderId="0" xfId="0" applyNumberFormat="1" applyFont="1" applyFill="1" applyBorder="1" applyAlignment="1" applyProtection="1">
      <alignment horizontal="center"/>
    </xf>
    <xf numFmtId="165" fontId="11" fillId="4" borderId="0" xfId="0" applyNumberFormat="1" applyFont="1" applyFill="1" applyBorder="1" applyAlignment="1" applyProtection="1">
      <alignment horizontal="justify"/>
    </xf>
    <xf numFmtId="165" fontId="11" fillId="4" borderId="0" xfId="0" applyNumberFormat="1" applyFont="1" applyFill="1" applyBorder="1" applyAlignment="1" applyProtection="1">
      <alignment horizontal="right"/>
    </xf>
    <xf numFmtId="0" fontId="64" fillId="4" borderId="0" xfId="0" applyFont="1" applyFill="1" applyBorder="1" applyAlignment="1" applyProtection="1">
      <alignment horizontal="justify"/>
    </xf>
    <xf numFmtId="0" fontId="69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80" fillId="4" borderId="222" xfId="0" applyNumberFormat="1" applyFont="1" applyFill="1" applyBorder="1" applyAlignment="1" applyProtection="1">
      <alignment horizontal="distributed" vertical="top"/>
    </xf>
    <xf numFmtId="165" fontId="12" fillId="4" borderId="0" xfId="0" applyNumberFormat="1" applyFont="1" applyFill="1" applyBorder="1" applyAlignment="1" applyProtection="1">
      <alignment horizontal="justify"/>
    </xf>
    <xf numFmtId="165" fontId="11" fillId="4" borderId="5" xfId="0" applyNumberFormat="1" applyFont="1" applyFill="1" applyBorder="1" applyAlignment="1" applyProtection="1">
      <alignment horizontal="right"/>
    </xf>
    <xf numFmtId="165" fontId="11" fillId="2" borderId="0" xfId="0" applyNumberFormat="1" applyFont="1" applyFill="1" applyAlignment="1" applyProtection="1">
      <alignment horizontal="right"/>
    </xf>
    <xf numFmtId="173" fontId="11" fillId="4" borderId="0" xfId="0" applyNumberFormat="1" applyFont="1" applyFill="1" applyBorder="1" applyAlignment="1" applyProtection="1">
      <alignment horizontal="justify"/>
    </xf>
    <xf numFmtId="176" fontId="71" fillId="0" borderId="0" xfId="0" applyNumberFormat="1" applyFont="1" applyFill="1" applyBorder="1" applyAlignment="1" applyProtection="1">
      <alignment horizontal="justify" wrapText="1"/>
    </xf>
    <xf numFmtId="1" fontId="12" fillId="0" borderId="0" xfId="0" applyNumberFormat="1" applyFont="1" applyFill="1" applyBorder="1" applyAlignment="1" applyProtection="1">
      <alignment horizontal="center" vertical="center" wrapText="1"/>
    </xf>
    <xf numFmtId="1" fontId="71" fillId="0" borderId="0" xfId="0" applyNumberFormat="1" applyFont="1" applyFill="1" applyBorder="1" applyAlignment="1" applyProtection="1">
      <alignment horizontal="center" vertical="center" wrapText="1"/>
    </xf>
    <xf numFmtId="168" fontId="67" fillId="0" borderId="0" xfId="0" applyNumberFormat="1" applyFont="1" applyFill="1" applyBorder="1" applyAlignment="1" applyProtection="1">
      <alignment horizontal="center"/>
    </xf>
    <xf numFmtId="168" fontId="31" fillId="0" borderId="0" xfId="0" applyNumberFormat="1" applyFont="1" applyFill="1" applyBorder="1" applyAlignment="1" applyProtection="1">
      <alignment horizontal="center" vertical="top" wrapText="1"/>
    </xf>
    <xf numFmtId="1" fontId="11" fillId="0" borderId="0" xfId="0" applyNumberFormat="1" applyFont="1" applyFill="1" applyBorder="1" applyAlignment="1" applyProtection="1">
      <alignment horizontal="center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69" fillId="0" borderId="23" xfId="0" applyNumberFormat="1" applyFont="1" applyFill="1" applyBorder="1" applyAlignment="1" applyProtection="1">
      <alignment horizontal="distributed" wrapText="1"/>
    </xf>
    <xf numFmtId="1" fontId="11" fillId="0" borderId="0" xfId="0" applyNumberFormat="1" applyFont="1" applyFill="1" applyBorder="1" applyAlignment="1" applyProtection="1">
      <alignment horizontal="justify" vertical="top"/>
    </xf>
    <xf numFmtId="0" fontId="64" fillId="0" borderId="0" xfId="0" applyFont="1" applyFill="1" applyBorder="1" applyAlignment="1" applyProtection="1">
      <alignment horizontal="justify"/>
    </xf>
    <xf numFmtId="176" fontId="12" fillId="0" borderId="0" xfId="0" applyNumberFormat="1" applyFont="1" applyFill="1" applyBorder="1" applyAlignment="1" applyProtection="1">
      <alignment horizontal="center" wrapText="1"/>
    </xf>
    <xf numFmtId="176" fontId="67" fillId="4" borderId="0" xfId="0" applyNumberFormat="1" applyFont="1" applyFill="1" applyBorder="1" applyAlignment="1" applyProtection="1">
      <alignment horizontal="distributed"/>
    </xf>
    <xf numFmtId="176" fontId="67" fillId="4" borderId="23" xfId="0" applyNumberFormat="1" applyFont="1" applyFill="1" applyBorder="1" applyAlignment="1" applyProtection="1">
      <alignment horizontal="distributed"/>
    </xf>
    <xf numFmtId="176" fontId="67" fillId="4" borderId="97" xfId="0" applyNumberFormat="1" applyFont="1" applyFill="1" applyBorder="1" applyAlignment="1" applyProtection="1">
      <alignment horizontal="distributed"/>
    </xf>
    <xf numFmtId="0" fontId="83" fillId="2" borderId="0" xfId="0" applyFont="1" applyFill="1" applyAlignment="1" applyProtection="1">
      <alignment horizontal="right"/>
    </xf>
    <xf numFmtId="0" fontId="83" fillId="4" borderId="43" xfId="0" applyFont="1" applyFill="1" applyBorder="1" applyAlignment="1" applyProtection="1">
      <alignment horizontal="right"/>
    </xf>
    <xf numFmtId="0" fontId="83" fillId="4" borderId="44" xfId="0" applyFont="1" applyFill="1" applyBorder="1" applyAlignment="1" applyProtection="1">
      <alignment horizontal="right"/>
    </xf>
    <xf numFmtId="173" fontId="11" fillId="4" borderId="23" xfId="0" applyNumberFormat="1" applyFont="1" applyFill="1" applyBorder="1" applyAlignment="1" applyProtection="1">
      <alignment horizontal="center"/>
    </xf>
    <xf numFmtId="0" fontId="87" fillId="2" borderId="0" xfId="0" applyFont="1" applyFill="1" applyAlignment="1" applyProtection="1">
      <alignment horizontal="right"/>
    </xf>
    <xf numFmtId="0" fontId="87" fillId="2" borderId="0" xfId="0" applyFont="1" applyFill="1" applyAlignment="1" applyProtection="1">
      <alignment horizontal="right"/>
      <protection locked="0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2" fontId="5" fillId="11" borderId="41" xfId="0" applyNumberFormat="1" applyFont="1" applyFill="1" applyBorder="1" applyAlignment="1" applyProtection="1">
      <alignment horizontal="center" vertical="center"/>
    </xf>
    <xf numFmtId="170" fontId="3" fillId="6" borderId="0" xfId="0" applyNumberFormat="1" applyFont="1" applyFill="1" applyBorder="1" applyAlignment="1" applyProtection="1">
      <alignment horizontal="center" vertical="center"/>
    </xf>
    <xf numFmtId="170" fontId="3" fillId="6" borderId="60" xfId="0" applyNumberFormat="1" applyFont="1" applyFill="1" applyBorder="1" applyAlignment="1" applyProtection="1">
      <alignment horizontal="center" vertical="center"/>
    </xf>
    <xf numFmtId="0" fontId="3" fillId="18" borderId="0" xfId="0" applyFont="1" applyFill="1" applyBorder="1" applyAlignment="1" applyProtection="1">
      <alignment horizontal="right"/>
    </xf>
    <xf numFmtId="168" fontId="90" fillId="15" borderId="143" xfId="0" applyNumberFormat="1" applyFont="1" applyFill="1" applyBorder="1" applyAlignment="1" applyProtection="1">
      <alignment horizontal="center" vertical="center"/>
    </xf>
    <xf numFmtId="0" fontId="90" fillId="12" borderId="230" xfId="0" applyFont="1" applyFill="1" applyBorder="1" applyAlignment="1" applyProtection="1">
      <alignment horizontal="center" vertical="center"/>
    </xf>
    <xf numFmtId="0" fontId="89" fillId="12" borderId="132" xfId="0" applyFont="1" applyFill="1" applyBorder="1" applyAlignment="1" applyProtection="1">
      <alignment horizontal="center" vertical="center"/>
    </xf>
    <xf numFmtId="0" fontId="1" fillId="2" borderId="43" xfId="0" applyFont="1" applyFill="1" applyBorder="1" applyAlignment="1" applyProtection="1">
      <alignment horizontal="right"/>
    </xf>
    <xf numFmtId="174" fontId="2" fillId="4" borderId="38" xfId="0" applyNumberFormat="1" applyFont="1" applyFill="1" applyBorder="1" applyAlignment="1" applyProtection="1">
      <alignment horizontal="center" vertical="center"/>
    </xf>
    <xf numFmtId="174" fontId="2" fillId="4" borderId="25" xfId="0" applyNumberFormat="1" applyFont="1" applyFill="1" applyBorder="1" applyAlignment="1" applyProtection="1">
      <alignment horizontal="center" vertical="center" wrapText="1"/>
    </xf>
    <xf numFmtId="174" fontId="2" fillId="4" borderId="206" xfId="0" applyNumberFormat="1" applyFont="1" applyFill="1" applyBorder="1" applyAlignment="1" applyProtection="1">
      <alignment horizontal="center" vertical="center" wrapText="1"/>
    </xf>
    <xf numFmtId="0" fontId="1" fillId="4" borderId="237" xfId="0" applyFont="1" applyFill="1" applyBorder="1" applyAlignment="1" applyProtection="1">
      <alignment horizontal="right"/>
    </xf>
    <xf numFmtId="0" fontId="1" fillId="4" borderId="239" xfId="0" applyFont="1" applyFill="1" applyBorder="1" applyAlignment="1" applyProtection="1">
      <alignment horizontal="right"/>
    </xf>
    <xf numFmtId="0" fontId="1" fillId="4" borderId="0" xfId="0" applyFont="1" applyFill="1" applyBorder="1" applyAlignment="1" applyProtection="1">
      <alignment horizontal="right"/>
    </xf>
    <xf numFmtId="0" fontId="1" fillId="4" borderId="240" xfId="0" applyFont="1" applyFill="1" applyBorder="1" applyAlignment="1" applyProtection="1">
      <alignment horizontal="right"/>
    </xf>
    <xf numFmtId="0" fontId="1" fillId="4" borderId="242" xfId="0" applyFont="1" applyFill="1" applyBorder="1" applyAlignment="1" applyProtection="1">
      <alignment horizontal="right"/>
    </xf>
    <xf numFmtId="0" fontId="1" fillId="4" borderId="243" xfId="0" applyFont="1" applyFill="1" applyBorder="1" applyAlignment="1" applyProtection="1">
      <alignment horizontal="right"/>
    </xf>
    <xf numFmtId="0" fontId="1" fillId="4" borderId="245" xfId="0" applyFont="1" applyFill="1" applyBorder="1" applyAlignment="1" applyProtection="1">
      <alignment horizontal="right"/>
    </xf>
    <xf numFmtId="0" fontId="33" fillId="4" borderId="76" xfId="0" applyFont="1" applyFill="1" applyBorder="1" applyAlignment="1" applyProtection="1">
      <alignment horizontal="center" vertical="center"/>
    </xf>
    <xf numFmtId="167" fontId="4" fillId="11" borderId="42" xfId="0" applyNumberFormat="1" applyFont="1" applyFill="1" applyBorder="1" applyAlignment="1" applyProtection="1">
      <alignment horizontal="center" vertical="center"/>
    </xf>
    <xf numFmtId="176" fontId="69" fillId="0" borderId="0" xfId="0" applyNumberFormat="1" applyFont="1" applyFill="1" applyBorder="1" applyAlignment="1" applyProtection="1">
      <alignment horizontal="justify" wrapText="1"/>
    </xf>
    <xf numFmtId="0" fontId="90" fillId="10" borderId="231" xfId="0" applyFont="1" applyFill="1" applyBorder="1" applyAlignment="1" applyProtection="1">
      <alignment horizontal="center" vertical="center"/>
      <protection locked="0"/>
    </xf>
    <xf numFmtId="1" fontId="2" fillId="4" borderId="248" xfId="0" applyNumberFormat="1" applyFont="1" applyFill="1" applyBorder="1" applyAlignment="1" applyProtection="1">
      <alignment horizontal="center" vertical="center"/>
      <protection locked="0"/>
    </xf>
    <xf numFmtId="168" fontId="80" fillId="4" borderId="227" xfId="0" applyNumberFormat="1" applyFont="1" applyFill="1" applyBorder="1" applyAlignment="1" applyProtection="1">
      <alignment horizontal="center"/>
    </xf>
    <xf numFmtId="176" fontId="3" fillId="0" borderId="0" xfId="0" applyNumberFormat="1" applyFont="1" applyFill="1" applyBorder="1" applyAlignment="1" applyProtection="1">
      <alignment horizontal="right" vertical="top" wrapText="1"/>
    </xf>
    <xf numFmtId="0" fontId="11" fillId="4" borderId="43" xfId="0" applyFont="1" applyFill="1" applyBorder="1" applyAlignment="1" applyProtection="1">
      <alignment horizontal="center" vertical="top"/>
    </xf>
    <xf numFmtId="165" fontId="11" fillId="4" borderId="0" xfId="0" applyNumberFormat="1" applyFont="1" applyFill="1" applyBorder="1" applyAlignment="1" applyProtection="1">
      <alignment horizontal="center" vertical="top"/>
    </xf>
    <xf numFmtId="0" fontId="11" fillId="4" borderId="44" xfId="0" applyFont="1" applyFill="1" applyBorder="1" applyAlignment="1" applyProtection="1">
      <alignment horizontal="center" vertical="top"/>
    </xf>
    <xf numFmtId="0" fontId="11" fillId="2" borderId="0" xfId="0" applyFont="1" applyFill="1" applyAlignment="1" applyProtection="1">
      <alignment horizontal="center" vertical="top"/>
    </xf>
    <xf numFmtId="0" fontId="11" fillId="4" borderId="43" xfId="0" applyFont="1" applyFill="1" applyBorder="1" applyAlignment="1" applyProtection="1">
      <alignment horizontal="right" vertical="top"/>
    </xf>
    <xf numFmtId="0" fontId="11" fillId="4" borderId="44" xfId="0" applyFont="1" applyFill="1" applyBorder="1" applyAlignment="1" applyProtection="1">
      <alignment horizontal="right" vertical="top"/>
    </xf>
    <xf numFmtId="0" fontId="11" fillId="2" borderId="0" xfId="0" applyFont="1" applyFill="1" applyAlignment="1" applyProtection="1">
      <alignment horizontal="right" vertical="top"/>
    </xf>
    <xf numFmtId="165" fontId="12" fillId="4" borderId="0" xfId="0" applyNumberFormat="1" applyFont="1" applyFill="1" applyBorder="1" applyAlignment="1" applyProtection="1">
      <alignment horizontal="center" vertical="top"/>
    </xf>
    <xf numFmtId="181" fontId="6" fillId="4" borderId="34" xfId="0" applyNumberFormat="1" applyFont="1" applyFill="1" applyBorder="1" applyAlignment="1" applyProtection="1">
      <alignment horizontal="right" vertical="center"/>
      <protection locked="0"/>
    </xf>
    <xf numFmtId="181" fontId="6" fillId="4" borderId="36" xfId="0" applyNumberFormat="1" applyFont="1" applyFill="1" applyBorder="1" applyAlignment="1" applyProtection="1">
      <alignment horizontal="right" vertical="center"/>
    </xf>
    <xf numFmtId="181" fontId="6" fillId="4" borderId="186" xfId="0" applyNumberFormat="1" applyFont="1" applyFill="1" applyBorder="1" applyAlignment="1" applyProtection="1">
      <alignment horizontal="right" vertical="center"/>
      <protection locked="0"/>
    </xf>
    <xf numFmtId="181" fontId="6" fillId="4" borderId="48" xfId="0" applyNumberFormat="1" applyFont="1" applyFill="1" applyBorder="1" applyAlignment="1" applyProtection="1">
      <alignment horizontal="right" vertical="center"/>
    </xf>
    <xf numFmtId="0" fontId="90" fillId="12" borderId="250" xfId="0" applyFont="1" applyFill="1" applyBorder="1" applyAlignment="1" applyProtection="1">
      <alignment horizontal="center" vertical="center"/>
    </xf>
    <xf numFmtId="0" fontId="90" fillId="12" borderId="253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/>
    </xf>
    <xf numFmtId="173" fontId="11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44" xfId="0" applyFont="1" applyBorder="1" applyAlignment="1" applyProtection="1">
      <alignment horizontal="right"/>
    </xf>
    <xf numFmtId="0" fontId="61" fillId="0" borderId="0" xfId="0" applyFont="1" applyFill="1" applyBorder="1" applyAlignment="1" applyProtection="1">
      <alignment horizontal="justify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3" fontId="11" fillId="4" borderId="23" xfId="0" applyNumberFormat="1" applyFont="1" applyFill="1" applyBorder="1" applyAlignment="1" applyProtection="1">
      <alignment horizontal="justify"/>
    </xf>
    <xf numFmtId="176" fontId="67" fillId="4" borderId="57" xfId="0" applyNumberFormat="1" applyFont="1" applyFill="1" applyBorder="1" applyAlignment="1" applyProtection="1">
      <alignment horizontal="distributed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67" fillId="4" borderId="98" xfId="0" applyNumberFormat="1" applyFont="1" applyFill="1" applyBorder="1" applyAlignment="1" applyProtection="1">
      <alignment horizontal="distributed"/>
    </xf>
    <xf numFmtId="176" fontId="85" fillId="4" borderId="0" xfId="0" applyNumberFormat="1" applyFont="1" applyFill="1" applyBorder="1" applyAlignment="1" applyProtection="1">
      <alignment horizontal="justify"/>
    </xf>
    <xf numFmtId="0" fontId="64" fillId="0" borderId="0" xfId="0" applyFont="1" applyFill="1" applyBorder="1" applyAlignment="1" applyProtection="1">
      <alignment horizontal="justify" vertical="center"/>
    </xf>
    <xf numFmtId="0" fontId="85" fillId="0" borderId="0" xfId="0" applyFont="1" applyFill="1" applyBorder="1" applyAlignment="1" applyProtection="1">
      <alignment horizontal="justify" vertical="center"/>
    </xf>
    <xf numFmtId="176" fontId="83" fillId="4" borderId="0" xfId="0" applyNumberFormat="1" applyFont="1" applyFill="1" applyBorder="1" applyAlignment="1" applyProtection="1">
      <alignment horizontal="center"/>
    </xf>
    <xf numFmtId="176" fontId="95" fillId="0" borderId="0" xfId="0" applyNumberFormat="1" applyFont="1" applyFill="1" applyBorder="1" applyAlignment="1" applyProtection="1">
      <alignment horizontal="center" wrapText="1"/>
    </xf>
    <xf numFmtId="180" fontId="9" fillId="7" borderId="47" xfId="1" applyNumberFormat="1" applyFont="1" applyFill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0" xfId="0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right"/>
    </xf>
    <xf numFmtId="165" fontId="16" fillId="2" borderId="0" xfId="0" applyNumberFormat="1" applyFont="1" applyFill="1" applyBorder="1" applyAlignment="1" applyProtection="1">
      <alignment horizontal="right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1" fillId="2" borderId="78" xfId="0" applyFont="1" applyFill="1" applyBorder="1" applyAlignment="1" applyProtection="1">
      <alignment horizontal="right"/>
    </xf>
    <xf numFmtId="0" fontId="7" fillId="2" borderId="78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182" fontId="90" fillId="19" borderId="251" xfId="0" applyNumberFormat="1" applyFont="1" applyFill="1" applyBorder="1" applyAlignment="1" applyProtection="1">
      <alignment horizontal="center" vertical="center"/>
      <protection locked="0"/>
    </xf>
    <xf numFmtId="182" fontId="90" fillId="19" borderId="254" xfId="0" applyNumberFormat="1" applyFont="1" applyFill="1" applyBorder="1" applyAlignment="1" applyProtection="1">
      <alignment horizontal="center" vertical="center"/>
      <protection locked="0"/>
    </xf>
    <xf numFmtId="182" fontId="90" fillId="19" borderId="257" xfId="0" applyNumberFormat="1" applyFont="1" applyFill="1" applyBorder="1" applyAlignment="1" applyProtection="1">
      <alignment horizontal="center" vertical="center"/>
      <protection locked="0"/>
    </xf>
    <xf numFmtId="182" fontId="90" fillId="19" borderId="259" xfId="0" applyNumberFormat="1" applyFont="1" applyFill="1" applyBorder="1" applyAlignment="1" applyProtection="1">
      <alignment horizontal="center" vertical="center"/>
      <protection locked="0"/>
    </xf>
    <xf numFmtId="182" fontId="90" fillId="19" borderId="261" xfId="0" applyNumberFormat="1" applyFont="1" applyFill="1" applyBorder="1" applyAlignment="1" applyProtection="1">
      <alignment horizontal="center" vertical="center"/>
      <protection locked="0"/>
    </xf>
    <xf numFmtId="182" fontId="90" fillId="19" borderId="267" xfId="0" applyNumberFormat="1" applyFont="1" applyFill="1" applyBorder="1" applyAlignment="1" applyProtection="1">
      <alignment horizontal="center" vertical="center"/>
      <protection locked="0"/>
    </xf>
    <xf numFmtId="182" fontId="90" fillId="19" borderId="266" xfId="0" applyNumberFormat="1" applyFont="1" applyFill="1" applyBorder="1" applyAlignment="1" applyProtection="1">
      <alignment horizontal="center" vertical="center"/>
      <protection locked="0"/>
    </xf>
    <xf numFmtId="0" fontId="84" fillId="2" borderId="0" xfId="0" applyFont="1" applyFill="1" applyProtection="1"/>
    <xf numFmtId="0" fontId="84" fillId="2" borderId="0" xfId="0" applyFont="1" applyFill="1" applyAlignment="1" applyProtection="1">
      <alignment vertical="top"/>
    </xf>
    <xf numFmtId="0" fontId="84" fillId="0" borderId="80" xfId="0" applyFont="1" applyBorder="1" applyAlignment="1" applyProtection="1">
      <alignment horizontal="center"/>
    </xf>
    <xf numFmtId="0" fontId="84" fillId="0" borderId="82" xfId="0" applyFont="1" applyBorder="1" applyAlignment="1" applyProtection="1">
      <alignment horizontal="center"/>
    </xf>
    <xf numFmtId="168" fontId="2" fillId="20" borderId="223" xfId="0" applyNumberFormat="1" applyFont="1" applyFill="1" applyBorder="1" applyAlignment="1" applyProtection="1">
      <alignment horizontal="center" vertical="center"/>
    </xf>
    <xf numFmtId="0" fontId="2" fillId="20" borderId="63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vertical="center"/>
    </xf>
    <xf numFmtId="0" fontId="2" fillId="20" borderId="14" xfId="0" applyFont="1" applyFill="1" applyBorder="1" applyAlignment="1" applyProtection="1">
      <alignment horizontal="justify" vertical="center"/>
    </xf>
    <xf numFmtId="0" fontId="2" fillId="20" borderId="17" xfId="0" applyFont="1" applyFill="1" applyBorder="1" applyAlignment="1" applyProtection="1">
      <alignment horizontal="justify" vertical="center"/>
    </xf>
    <xf numFmtId="0" fontId="2" fillId="5" borderId="63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vertical="center"/>
    </xf>
    <xf numFmtId="0" fontId="2" fillId="5" borderId="14" xfId="0" applyFont="1" applyFill="1" applyBorder="1" applyAlignment="1" applyProtection="1">
      <alignment horizontal="justify" vertical="center"/>
    </xf>
    <xf numFmtId="0" fontId="2" fillId="5" borderId="17" xfId="0" applyFont="1" applyFill="1" applyBorder="1" applyAlignment="1" applyProtection="1">
      <alignment horizontal="justify" vertical="center"/>
    </xf>
    <xf numFmtId="183" fontId="2" fillId="10" borderId="34" xfId="0" applyNumberFormat="1" applyFont="1" applyFill="1" applyBorder="1" applyAlignment="1" applyProtection="1">
      <alignment horizontal="left" vertical="center"/>
      <protection locked="0"/>
    </xf>
    <xf numFmtId="0" fontId="80" fillId="4" borderId="0" xfId="0" applyFont="1" applyFill="1" applyBorder="1" applyAlignment="1" applyProtection="1">
      <alignment horizontal="justify" vertical="center"/>
    </xf>
    <xf numFmtId="168" fontId="75" fillId="10" borderId="217" xfId="0" applyNumberFormat="1" applyFont="1" applyFill="1" applyBorder="1" applyAlignment="1" applyProtection="1">
      <alignment horizontal="center"/>
      <protection locked="0"/>
    </xf>
    <xf numFmtId="168" fontId="75" fillId="10" borderId="9" xfId="0" applyNumberFormat="1" applyFont="1" applyFill="1" applyBorder="1" applyAlignment="1" applyProtection="1">
      <alignment horizontal="center" vertical="center"/>
      <protection locked="0"/>
    </xf>
    <xf numFmtId="175" fontId="77" fillId="5" borderId="274" xfId="0" applyNumberFormat="1" applyFont="1" applyFill="1" applyBorder="1" applyAlignment="1" applyProtection="1">
      <alignment horizontal="center" vertical="center"/>
    </xf>
    <xf numFmtId="168" fontId="9" fillId="7" borderId="47" xfId="1" applyNumberFormat="1" applyFont="1" applyFill="1" applyBorder="1" applyAlignment="1" applyProtection="1">
      <alignment horizontal="right"/>
    </xf>
    <xf numFmtId="177" fontId="75" fillId="25" borderId="7" xfId="0" applyNumberFormat="1" applyFont="1" applyFill="1" applyBorder="1" applyAlignment="1" applyProtection="1">
      <alignment horizontal="center" vertical="center"/>
    </xf>
    <xf numFmtId="174" fontId="33" fillId="4" borderId="262" xfId="0" applyNumberFormat="1" applyFont="1" applyFill="1" applyBorder="1" applyAlignment="1" applyProtection="1">
      <alignment horizontal="right" vertical="center"/>
    </xf>
    <xf numFmtId="168" fontId="104" fillId="4" borderId="285" xfId="0" applyNumberFormat="1" applyFont="1" applyFill="1" applyBorder="1" applyAlignment="1" applyProtection="1">
      <alignment horizontal="center" vertical="top"/>
    </xf>
    <xf numFmtId="168" fontId="61" fillId="4" borderId="286" xfId="0" applyNumberFormat="1" applyFont="1" applyFill="1" applyBorder="1" applyAlignment="1" applyProtection="1">
      <alignment horizontal="center" vertical="top"/>
    </xf>
    <xf numFmtId="9" fontId="61" fillId="4" borderId="286" xfId="0" applyNumberFormat="1" applyFont="1" applyFill="1" applyBorder="1" applyAlignment="1" applyProtection="1">
      <alignment horizontal="center" vertical="top"/>
    </xf>
    <xf numFmtId="0" fontId="12" fillId="4" borderId="61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 vertical="center"/>
    </xf>
    <xf numFmtId="168" fontId="103" fillId="4" borderId="285" xfId="0" applyNumberFormat="1" applyFont="1" applyFill="1" applyBorder="1" applyAlignment="1" applyProtection="1">
      <alignment horizontal="center" vertical="center"/>
    </xf>
    <xf numFmtId="1" fontId="54" fillId="0" borderId="292" xfId="0" applyNumberFormat="1" applyFont="1" applyFill="1" applyBorder="1" applyAlignment="1" applyProtection="1">
      <alignment horizontal="center" vertical="center"/>
    </xf>
    <xf numFmtId="182" fontId="61" fillId="0" borderId="284" xfId="0" applyNumberFormat="1" applyFont="1" applyFill="1" applyBorder="1" applyAlignment="1" applyProtection="1">
      <alignment horizontal="center" vertical="top"/>
    </xf>
    <xf numFmtId="0" fontId="61" fillId="4" borderId="21" xfId="0" applyFont="1" applyFill="1" applyBorder="1" applyAlignment="1" applyProtection="1">
      <alignment horizontal="justify" vertical="center"/>
    </xf>
    <xf numFmtId="0" fontId="61" fillId="4" borderId="60" xfId="0" applyFont="1" applyFill="1" applyBorder="1" applyAlignment="1" applyProtection="1">
      <alignment horizontal="justify" vertical="center"/>
    </xf>
    <xf numFmtId="0" fontId="61" fillId="4" borderId="22" xfId="0" applyFont="1" applyFill="1" applyBorder="1" applyAlignment="1" applyProtection="1">
      <alignment horizontal="justify" vertical="center"/>
    </xf>
    <xf numFmtId="182" fontId="61" fillId="0" borderId="297" xfId="0" applyNumberFormat="1" applyFont="1" applyFill="1" applyBorder="1" applyAlignment="1" applyProtection="1">
      <alignment horizontal="center" vertical="top"/>
    </xf>
    <xf numFmtId="182" fontId="61" fillId="0" borderId="285" xfId="0" applyNumberFormat="1" applyFont="1" applyFill="1" applyBorder="1" applyAlignment="1" applyProtection="1">
      <alignment horizontal="center" vertical="top"/>
    </xf>
    <xf numFmtId="182" fontId="61" fillId="0" borderId="288" xfId="0" applyNumberFormat="1" applyFont="1" applyFill="1" applyBorder="1" applyAlignment="1" applyProtection="1">
      <alignment horizontal="center" vertical="top"/>
    </xf>
    <xf numFmtId="168" fontId="61" fillId="0" borderId="286" xfId="0" applyNumberFormat="1" applyFont="1" applyFill="1" applyBorder="1" applyAlignment="1" applyProtection="1">
      <alignment horizontal="center" vertical="top"/>
    </xf>
    <xf numFmtId="9" fontId="61" fillId="0" borderId="286" xfId="0" applyNumberFormat="1" applyFont="1" applyFill="1" applyBorder="1" applyAlignment="1" applyProtection="1">
      <alignment horizontal="center" vertical="top"/>
    </xf>
    <xf numFmtId="0" fontId="105" fillId="2" borderId="186" xfId="0" applyFont="1" applyFill="1" applyBorder="1" applyAlignment="1" applyProtection="1">
      <alignment horizontal="center" vertical="center"/>
    </xf>
    <xf numFmtId="0" fontId="105" fillId="2" borderId="281" xfId="0" applyFont="1" applyFill="1" applyBorder="1" applyAlignment="1" applyProtection="1">
      <alignment horizontal="center" vertical="center"/>
    </xf>
    <xf numFmtId="168" fontId="61" fillId="0" borderId="206" xfId="0" applyNumberFormat="1" applyFont="1" applyFill="1" applyBorder="1" applyAlignment="1" applyProtection="1">
      <alignment horizontal="center" vertical="top"/>
    </xf>
    <xf numFmtId="9" fontId="61" fillId="0" borderId="206" xfId="0" applyNumberFormat="1" applyFont="1" applyFill="1" applyBorder="1" applyAlignment="1" applyProtection="1">
      <alignment horizontal="center" vertical="top"/>
    </xf>
    <xf numFmtId="0" fontId="62" fillId="4" borderId="285" xfId="0" applyFont="1" applyFill="1" applyBorder="1" applyAlignment="1" applyProtection="1">
      <alignment horizontal="justify" vertical="center"/>
    </xf>
    <xf numFmtId="168" fontId="103" fillId="28" borderId="285" xfId="0" applyNumberFormat="1" applyFont="1" applyFill="1" applyBorder="1" applyAlignment="1" applyProtection="1">
      <alignment horizontal="center" vertical="center"/>
      <protection locked="0"/>
    </xf>
    <xf numFmtId="168" fontId="103" fillId="19" borderId="285" xfId="0" applyNumberFormat="1" applyFont="1" applyFill="1" applyBorder="1" applyAlignment="1" applyProtection="1">
      <alignment horizontal="center" vertical="center"/>
      <protection locked="0"/>
    </xf>
    <xf numFmtId="182" fontId="61" fillId="10" borderId="284" xfId="0" applyNumberFormat="1" applyFont="1" applyFill="1" applyBorder="1" applyAlignment="1" applyProtection="1">
      <alignment horizontal="center" vertical="top"/>
      <protection locked="0"/>
    </xf>
    <xf numFmtId="168" fontId="61" fillId="19" borderId="286" xfId="0" applyNumberFormat="1" applyFont="1" applyFill="1" applyBorder="1" applyAlignment="1" applyProtection="1">
      <alignment horizontal="center" vertical="top"/>
      <protection locked="0"/>
    </xf>
    <xf numFmtId="168" fontId="61" fillId="19" borderId="290" xfId="0" applyNumberFormat="1" applyFont="1" applyFill="1" applyBorder="1" applyAlignment="1" applyProtection="1">
      <alignment horizontal="center" vertical="top"/>
      <protection locked="0"/>
    </xf>
    <xf numFmtId="168" fontId="61" fillId="19" borderId="299" xfId="0" applyNumberFormat="1" applyFont="1" applyFill="1" applyBorder="1" applyAlignment="1" applyProtection="1">
      <alignment horizontal="center" vertical="top"/>
      <protection locked="0"/>
    </xf>
    <xf numFmtId="9" fontId="61" fillId="19" borderId="286" xfId="0" applyNumberFormat="1" applyFont="1" applyFill="1" applyBorder="1" applyAlignment="1" applyProtection="1">
      <alignment horizontal="center" vertical="top"/>
      <protection locked="0"/>
    </xf>
    <xf numFmtId="182" fontId="61" fillId="19" borderId="281" xfId="0" applyNumberFormat="1" applyFont="1" applyFill="1" applyBorder="1" applyAlignment="1" applyProtection="1">
      <alignment horizontal="center" vertical="top"/>
      <protection locked="0"/>
    </xf>
    <xf numFmtId="168" fontId="104" fillId="4" borderId="23" xfId="0" applyNumberFormat="1" applyFont="1" applyFill="1" applyBorder="1" applyAlignment="1" applyProtection="1">
      <alignment horizontal="center" vertical="top"/>
    </xf>
    <xf numFmtId="0" fontId="61" fillId="4" borderId="87" xfId="0" applyFont="1" applyFill="1" applyBorder="1" applyAlignment="1" applyProtection="1">
      <alignment horizontal="justify" vertical="top"/>
    </xf>
    <xf numFmtId="168" fontId="61" fillId="4" borderId="38" xfId="0" applyNumberFormat="1" applyFont="1" applyFill="1" applyBorder="1" applyAlignment="1" applyProtection="1">
      <alignment horizontal="center" vertical="top"/>
    </xf>
    <xf numFmtId="9" fontId="61" fillId="4" borderId="38" xfId="0" applyNumberFormat="1" applyFont="1" applyFill="1" applyBorder="1" applyAlignment="1" applyProtection="1">
      <alignment horizontal="center" vertical="top"/>
    </xf>
    <xf numFmtId="0" fontId="21" fillId="4" borderId="41" xfId="0" applyFont="1" applyFill="1" applyBorder="1" applyAlignment="1" applyProtection="1">
      <alignment horizontal="center" vertical="center"/>
    </xf>
    <xf numFmtId="0" fontId="107" fillId="4" borderId="285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  <protection locked="0"/>
    </xf>
    <xf numFmtId="9" fontId="61" fillId="4" borderId="289" xfId="0" applyNumberFormat="1" applyFont="1" applyFill="1" applyBorder="1" applyAlignment="1" applyProtection="1">
      <alignment horizontal="center" vertical="top"/>
    </xf>
    <xf numFmtId="168" fontId="103" fillId="10" borderId="292" xfId="0" applyNumberFormat="1" applyFont="1" applyFill="1" applyBorder="1" applyAlignment="1" applyProtection="1">
      <alignment horizontal="center" vertical="center"/>
      <protection locked="0"/>
    </xf>
    <xf numFmtId="168" fontId="61" fillId="4" borderId="285" xfId="0" applyNumberFormat="1" applyFont="1" applyFill="1" applyBorder="1" applyAlignment="1" applyProtection="1">
      <alignment horizontal="center" vertical="top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44" fontId="62" fillId="3" borderId="302" xfId="0" applyNumberFormat="1" applyFont="1" applyFill="1" applyBorder="1" applyAlignment="1" applyProtection="1">
      <alignment horizontal="right" vertical="top"/>
    </xf>
    <xf numFmtId="0" fontId="61" fillId="4" borderId="303" xfId="0" applyNumberFormat="1" applyFont="1" applyFill="1" applyBorder="1" applyAlignment="1" applyProtection="1">
      <alignment horizontal="center" vertical="top"/>
    </xf>
    <xf numFmtId="44" fontId="61" fillId="4" borderId="304" xfId="0" applyNumberFormat="1" applyFont="1" applyFill="1" applyBorder="1" applyAlignment="1" applyProtection="1">
      <alignment horizontal="right" vertical="top"/>
    </xf>
    <xf numFmtId="9" fontId="61" fillId="4" borderId="305" xfId="0" applyNumberFormat="1" applyFont="1" applyFill="1" applyBorder="1" applyAlignment="1" applyProtection="1">
      <alignment horizontal="center" vertical="top"/>
    </xf>
    <xf numFmtId="44" fontId="61" fillId="4" borderId="306" xfId="0" applyNumberFormat="1" applyFont="1" applyFill="1" applyBorder="1" applyAlignment="1" applyProtection="1">
      <alignment horizontal="right" vertical="top"/>
    </xf>
    <xf numFmtId="9" fontId="61" fillId="4" borderId="307" xfId="0" applyNumberFormat="1" applyFont="1" applyFill="1" applyBorder="1" applyAlignment="1" applyProtection="1">
      <alignment horizontal="center" vertical="top"/>
    </xf>
    <xf numFmtId="44" fontId="61" fillId="4" borderId="308" xfId="0" applyNumberFormat="1" applyFont="1" applyFill="1" applyBorder="1" applyAlignment="1" applyProtection="1">
      <alignment horizontal="right" vertical="top"/>
    </xf>
    <xf numFmtId="0" fontId="61" fillId="2" borderId="78" xfId="0" applyNumberFormat="1" applyFont="1" applyFill="1" applyBorder="1" applyAlignment="1" applyProtection="1">
      <alignment horizontal="center" vertical="top"/>
    </xf>
    <xf numFmtId="44" fontId="61" fillId="2" borderId="0" xfId="0" applyNumberFormat="1" applyFont="1" applyFill="1" applyBorder="1" applyAlignment="1" applyProtection="1">
      <alignment horizontal="right" vertical="top"/>
    </xf>
    <xf numFmtId="9" fontId="61" fillId="2" borderId="78" xfId="0" applyNumberFormat="1" applyFont="1" applyFill="1" applyBorder="1" applyAlignment="1" applyProtection="1">
      <alignment horizontal="center" vertical="top"/>
    </xf>
    <xf numFmtId="44" fontId="62" fillId="2" borderId="0" xfId="0" applyNumberFormat="1" applyFont="1" applyFill="1" applyBorder="1" applyAlignment="1" applyProtection="1">
      <alignment horizontal="right" vertical="top"/>
    </xf>
    <xf numFmtId="168" fontId="62" fillId="0" borderId="285" xfId="0" applyNumberFormat="1" applyFont="1" applyFill="1" applyBorder="1" applyAlignment="1" applyProtection="1">
      <alignment horizontal="center" vertical="center"/>
    </xf>
    <xf numFmtId="168" fontId="62" fillId="0" borderId="292" xfId="0" applyNumberFormat="1" applyFont="1" applyFill="1" applyBorder="1" applyAlignment="1" applyProtection="1">
      <alignment horizontal="center" vertical="center"/>
    </xf>
    <xf numFmtId="168" fontId="104" fillId="6" borderId="23" xfId="0" applyNumberFormat="1" applyFont="1" applyFill="1" applyBorder="1" applyAlignment="1" applyProtection="1">
      <alignment horizontal="center" vertical="top"/>
    </xf>
    <xf numFmtId="0" fontId="61" fillId="6" borderId="87" xfId="0" applyFont="1" applyFill="1" applyBorder="1" applyAlignment="1" applyProtection="1">
      <alignment horizontal="justify" vertical="top"/>
    </xf>
    <xf numFmtId="168" fontId="61" fillId="6" borderId="285" xfId="0" applyNumberFormat="1" applyFont="1" applyFill="1" applyBorder="1" applyAlignment="1" applyProtection="1">
      <alignment horizontal="center" vertical="top"/>
    </xf>
    <xf numFmtId="0" fontId="61" fillId="6" borderId="285" xfId="0" applyFont="1" applyFill="1" applyBorder="1" applyAlignment="1" applyProtection="1">
      <alignment horizontal="justify" vertical="top"/>
    </xf>
    <xf numFmtId="182" fontId="61" fillId="6" borderId="284" xfId="0" applyNumberFormat="1" applyFont="1" applyFill="1" applyBorder="1" applyAlignment="1" applyProtection="1">
      <alignment horizontal="center" vertical="top"/>
    </xf>
    <xf numFmtId="182" fontId="61" fillId="9" borderId="284" xfId="0" applyNumberFormat="1" applyFont="1" applyFill="1" applyBorder="1" applyAlignment="1" applyProtection="1">
      <alignment horizontal="center" vertical="top"/>
    </xf>
    <xf numFmtId="182" fontId="61" fillId="9" borderId="285" xfId="0" applyNumberFormat="1" applyFont="1" applyFill="1" applyBorder="1" applyAlignment="1" applyProtection="1">
      <alignment horizontal="center" vertical="top"/>
    </xf>
    <xf numFmtId="182" fontId="61" fillId="9" borderId="281" xfId="0" applyNumberFormat="1" applyFont="1" applyFill="1" applyBorder="1" applyAlignment="1" applyProtection="1">
      <alignment horizontal="center" vertical="top"/>
    </xf>
    <xf numFmtId="168" fontId="2" fillId="10" borderId="32" xfId="0" applyNumberFormat="1" applyFont="1" applyFill="1" applyBorder="1" applyAlignment="1" applyProtection="1">
      <alignment horizontal="center" vertical="center"/>
      <protection locked="0"/>
    </xf>
    <xf numFmtId="0" fontId="98" fillId="4" borderId="285" xfId="0" applyFont="1" applyFill="1" applyBorder="1" applyAlignment="1" applyProtection="1">
      <alignment horizontal="center" vertical="center"/>
    </xf>
    <xf numFmtId="0" fontId="2" fillId="4" borderId="45" xfId="0" applyFont="1" applyFill="1" applyBorder="1" applyAlignment="1" applyProtection="1">
      <alignment horizontal="center" vertical="center"/>
    </xf>
    <xf numFmtId="0" fontId="62" fillId="4" borderId="70" xfId="0" applyFont="1" applyFill="1" applyBorder="1" applyAlignment="1" applyProtection="1">
      <alignment horizontal="left" vertical="center"/>
    </xf>
    <xf numFmtId="0" fontId="62" fillId="4" borderId="23" xfId="0" applyFont="1" applyFill="1" applyBorder="1" applyAlignment="1" applyProtection="1">
      <alignment horizontal="left" vertical="center"/>
    </xf>
    <xf numFmtId="0" fontId="62" fillId="4" borderId="71" xfId="0" applyFont="1" applyFill="1" applyBorder="1" applyAlignment="1" applyProtection="1">
      <alignment horizontal="left" vertical="center"/>
    </xf>
    <xf numFmtId="0" fontId="105" fillId="2" borderId="325" xfId="0" applyFont="1" applyFill="1" applyBorder="1" applyAlignment="1" applyProtection="1">
      <alignment horizontal="center" vertical="center"/>
    </xf>
    <xf numFmtId="0" fontId="105" fillId="2" borderId="326" xfId="0" applyFont="1" applyFill="1" applyBorder="1" applyAlignment="1" applyProtection="1">
      <alignment horizontal="center" vertical="center"/>
    </xf>
    <xf numFmtId="0" fontId="62" fillId="2" borderId="326" xfId="0" applyFont="1" applyFill="1" applyBorder="1" applyAlignment="1" applyProtection="1">
      <alignment horizontal="center" vertical="center"/>
    </xf>
    <xf numFmtId="0" fontId="62" fillId="2" borderId="32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2" borderId="0" xfId="0" applyFont="1" applyFill="1" applyBorder="1" applyAlignment="1" applyProtection="1">
      <alignment horizontal="center" vertical="center"/>
    </xf>
    <xf numFmtId="180" fontId="62" fillId="2" borderId="0" xfId="0" applyNumberFormat="1" applyFont="1" applyFill="1" applyBorder="1" applyAlignment="1" applyProtection="1">
      <alignment horizontal="right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106" fillId="4" borderId="285" xfId="0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62" fillId="2" borderId="288" xfId="0" applyFont="1" applyFill="1" applyBorder="1" applyAlignment="1" applyProtection="1">
      <alignment horizontal="center" vertical="center"/>
    </xf>
    <xf numFmtId="0" fontId="62" fillId="2" borderId="289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61" fillId="4" borderId="0" xfId="0" applyFont="1" applyFill="1" applyBorder="1" applyAlignment="1" applyProtection="1">
      <alignment horizontal="right" vertical="center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1" fillId="9" borderId="291" xfId="0" applyFont="1" applyFill="1" applyBorder="1" applyAlignment="1" applyProtection="1">
      <alignment horizontal="justify" vertical="top"/>
    </xf>
    <xf numFmtId="0" fontId="106" fillId="9" borderId="285" xfId="0" applyFont="1" applyFill="1" applyBorder="1" applyAlignment="1" applyProtection="1">
      <alignment horizontal="center" vertical="top"/>
    </xf>
    <xf numFmtId="0" fontId="61" fillId="0" borderId="291" xfId="0" applyFont="1" applyFill="1" applyBorder="1" applyAlignment="1" applyProtection="1">
      <alignment horizontal="justify" vertical="top"/>
    </xf>
    <xf numFmtId="0" fontId="106" fillId="0" borderId="285" xfId="0" applyFont="1" applyFill="1" applyBorder="1" applyAlignment="1" applyProtection="1">
      <alignment horizontal="center" vertical="top"/>
    </xf>
    <xf numFmtId="0" fontId="3" fillId="4" borderId="321" xfId="0" applyFont="1" applyFill="1" applyBorder="1" applyAlignment="1" applyProtection="1">
      <alignment horizontal="center" vertical="center"/>
      <protection locked="0"/>
    </xf>
    <xf numFmtId="0" fontId="4" fillId="4" borderId="333" xfId="0" applyFont="1" applyFill="1" applyBorder="1" applyAlignment="1" applyProtection="1">
      <alignment horizontal="center" vertical="center"/>
    </xf>
    <xf numFmtId="0" fontId="4" fillId="4" borderId="332" xfId="0" applyFont="1" applyFill="1" applyBorder="1" applyAlignment="1" applyProtection="1">
      <alignment horizontal="center" vertical="center"/>
    </xf>
    <xf numFmtId="0" fontId="4" fillId="4" borderId="332" xfId="0" applyNumberFormat="1" applyFont="1" applyFill="1" applyBorder="1" applyAlignment="1" applyProtection="1">
      <alignment horizontal="center" vertical="center"/>
    </xf>
    <xf numFmtId="177" fontId="4" fillId="4" borderId="332" xfId="0" applyNumberFormat="1" applyFont="1" applyFill="1" applyBorder="1" applyAlignment="1" applyProtection="1">
      <alignment horizontal="center" vertical="center"/>
    </xf>
    <xf numFmtId="168" fontId="4" fillId="19" borderId="332" xfId="0" applyNumberFormat="1" applyFont="1" applyFill="1" applyBorder="1" applyAlignment="1" applyProtection="1">
      <alignment horizontal="center" vertical="center"/>
    </xf>
    <xf numFmtId="182" fontId="4" fillId="4" borderId="332" xfId="0" applyNumberFormat="1" applyFont="1" applyFill="1" applyBorder="1" applyAlignment="1" applyProtection="1">
      <alignment horizontal="center" vertical="center"/>
    </xf>
    <xf numFmtId="0" fontId="4" fillId="4" borderId="335" xfId="0" applyFont="1" applyFill="1" applyBorder="1" applyAlignment="1" applyProtection="1">
      <alignment horizontal="center" vertical="center"/>
    </xf>
    <xf numFmtId="0" fontId="4" fillId="4" borderId="336" xfId="0" applyFont="1" applyFill="1" applyBorder="1" applyAlignment="1" applyProtection="1">
      <alignment horizontal="center" vertical="center"/>
    </xf>
    <xf numFmtId="0" fontId="4" fillId="4" borderId="337" xfId="0" applyFont="1" applyFill="1" applyBorder="1" applyAlignment="1" applyProtection="1">
      <alignment horizontal="center" vertical="center"/>
    </xf>
    <xf numFmtId="0" fontId="4" fillId="4" borderId="338" xfId="0" applyFont="1" applyFill="1" applyBorder="1" applyAlignment="1" applyProtection="1">
      <alignment horizontal="center" vertical="center"/>
    </xf>
    <xf numFmtId="0" fontId="19" fillId="4" borderId="337" xfId="0" applyFont="1" applyFill="1" applyBorder="1" applyAlignment="1" applyProtection="1">
      <alignment horizontal="center" vertical="center"/>
    </xf>
    <xf numFmtId="168" fontId="4" fillId="4" borderId="334" xfId="0" applyNumberFormat="1" applyFont="1" applyFill="1" applyBorder="1" applyAlignment="1" applyProtection="1">
      <alignment horizontal="center" vertical="center"/>
    </xf>
    <xf numFmtId="177" fontId="91" fillId="4" borderId="21" xfId="0" applyNumberFormat="1" applyFont="1" applyFill="1" applyBorder="1" applyAlignment="1" applyProtection="1">
      <alignment horizontal="center" vertical="center"/>
    </xf>
    <xf numFmtId="168" fontId="4" fillId="0" borderId="332" xfId="0" applyNumberFormat="1" applyFont="1" applyFill="1" applyBorder="1" applyAlignment="1" applyProtection="1">
      <alignment horizontal="center" vertical="center"/>
    </xf>
    <xf numFmtId="0" fontId="89" fillId="0" borderId="12" xfId="0" applyFont="1" applyBorder="1" applyAlignment="1" applyProtection="1">
      <alignment horizontal="center" vertical="center"/>
    </xf>
    <xf numFmtId="168" fontId="88" fillId="0" borderId="332" xfId="0" applyNumberFormat="1" applyFont="1" applyFill="1" applyBorder="1" applyAlignment="1" applyProtection="1">
      <alignment horizontal="center" vertical="center"/>
    </xf>
    <xf numFmtId="186" fontId="4" fillId="10" borderId="332" xfId="0" applyNumberFormat="1" applyFont="1" applyFill="1" applyBorder="1" applyAlignment="1" applyProtection="1">
      <alignment horizontal="center" vertical="center"/>
    </xf>
    <xf numFmtId="182" fontId="4" fillId="0" borderId="332" xfId="0" applyNumberFormat="1" applyFont="1" applyFill="1" applyBorder="1" applyAlignment="1" applyProtection="1">
      <alignment horizontal="center" vertical="center"/>
    </xf>
    <xf numFmtId="181" fontId="4" fillId="0" borderId="332" xfId="0" applyNumberFormat="1" applyFont="1" applyFill="1" applyBorder="1" applyAlignment="1" applyProtection="1">
      <alignment horizontal="center" vertical="center"/>
    </xf>
    <xf numFmtId="1" fontId="4" fillId="0" borderId="332" xfId="0" applyNumberFormat="1" applyFont="1" applyFill="1" applyBorder="1" applyAlignment="1" applyProtection="1">
      <alignment horizontal="center" vertical="center"/>
    </xf>
    <xf numFmtId="0" fontId="4" fillId="0" borderId="9" xfId="0" applyFont="1" applyFill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0" borderId="374" xfId="0" applyBorder="1" applyProtection="1"/>
    <xf numFmtId="0" fontId="0" fillId="0" borderId="340" xfId="0" applyBorder="1" applyProtection="1"/>
    <xf numFmtId="0" fontId="0" fillId="0" borderId="340" xfId="0" applyBorder="1" applyAlignment="1" applyProtection="1">
      <alignment horizontal="center"/>
    </xf>
    <xf numFmtId="0" fontId="0" fillId="0" borderId="375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2" fillId="9" borderId="29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3" fillId="9" borderId="353" xfId="0" applyFont="1" applyFill="1" applyBorder="1" applyAlignment="1" applyProtection="1">
      <alignment horizontal="center"/>
    </xf>
    <xf numFmtId="14" fontId="112" fillId="0" borderId="29" xfId="0" applyNumberFormat="1" applyFont="1" applyBorder="1" applyAlignment="1" applyProtection="1">
      <alignment horizontal="center"/>
    </xf>
    <xf numFmtId="0" fontId="2" fillId="0" borderId="65" xfId="0" applyFont="1" applyBorder="1" applyAlignment="1" applyProtection="1">
      <alignment horizontal="center"/>
    </xf>
    <xf numFmtId="14" fontId="112" fillId="0" borderId="350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168" fontId="3" fillId="0" borderId="350" xfId="0" applyNumberFormat="1" applyFont="1" applyBorder="1" applyAlignment="1" applyProtection="1">
      <alignment horizontal="center"/>
    </xf>
    <xf numFmtId="168" fontId="112" fillId="0" borderId="351" xfId="0" applyNumberFormat="1" applyFont="1" applyBorder="1" applyAlignment="1" applyProtection="1">
      <alignment horizontal="center"/>
    </xf>
    <xf numFmtId="168" fontId="4" fillId="32" borderId="372" xfId="0" applyNumberFormat="1" applyFont="1" applyFill="1" applyBorder="1" applyAlignment="1" applyProtection="1">
      <alignment horizontal="center" vertical="top" wrapText="1"/>
    </xf>
    <xf numFmtId="0" fontId="38" fillId="32" borderId="373" xfId="0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wrapText="1"/>
    </xf>
    <xf numFmtId="17" fontId="2" fillId="0" borderId="360" xfId="0" applyNumberFormat="1" applyFont="1" applyBorder="1" applyAlignment="1" applyProtection="1">
      <alignment horizontal="center" wrapText="1"/>
    </xf>
    <xf numFmtId="0" fontId="112" fillId="0" borderId="29" xfId="0" applyFont="1" applyFill="1" applyBorder="1" applyAlignment="1" applyProtection="1">
      <alignment horizontal="center"/>
    </xf>
    <xf numFmtId="1" fontId="2" fillId="0" borderId="371" xfId="0" applyNumberFormat="1" applyFont="1" applyBorder="1" applyAlignment="1" applyProtection="1">
      <alignment horizontal="center" wrapText="1"/>
    </xf>
    <xf numFmtId="1" fontId="2" fillId="0" borderId="284" xfId="0" applyNumberFormat="1" applyFont="1" applyBorder="1" applyAlignment="1" applyProtection="1">
      <alignment horizontal="center" wrapText="1"/>
    </xf>
    <xf numFmtId="17" fontId="2" fillId="0" borderId="358" xfId="0" applyNumberFormat="1" applyFont="1" applyBorder="1" applyAlignment="1" applyProtection="1">
      <alignment horizontal="center" wrapText="1"/>
    </xf>
    <xf numFmtId="14" fontId="112" fillId="0" borderId="23" xfId="0" applyNumberFormat="1" applyFont="1" applyBorder="1" applyAlignment="1" applyProtection="1">
      <alignment horizontal="center"/>
    </xf>
    <xf numFmtId="0" fontId="2" fillId="0" borderId="70" xfId="0" applyFont="1" applyBorder="1" applyAlignment="1" applyProtection="1">
      <alignment horizontal="center"/>
    </xf>
    <xf numFmtId="0" fontId="112" fillId="0" borderId="23" xfId="0" applyFont="1" applyFill="1" applyBorder="1" applyAlignment="1" applyProtection="1">
      <alignment horizontal="center"/>
    </xf>
    <xf numFmtId="0" fontId="0" fillId="0" borderId="99" xfId="0" applyBorder="1" applyProtection="1"/>
    <xf numFmtId="0" fontId="0" fillId="0" borderId="100" xfId="0" applyBorder="1" applyProtection="1"/>
    <xf numFmtId="0" fontId="0" fillId="0" borderId="100" xfId="0" applyBorder="1" applyAlignment="1" applyProtection="1">
      <alignment horizontal="center"/>
    </xf>
    <xf numFmtId="0" fontId="0" fillId="0" borderId="101" xfId="0" applyBorder="1" applyProtection="1"/>
    <xf numFmtId="168" fontId="114" fillId="10" borderId="29" xfId="0" applyNumberFormat="1" applyFont="1" applyFill="1" applyBorder="1" applyAlignment="1" applyProtection="1">
      <alignment horizontal="left"/>
      <protection locked="0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0" fontId="112" fillId="10" borderId="29" xfId="0" applyFont="1" applyFill="1" applyBorder="1" applyAlignment="1" applyProtection="1">
      <alignment horizontal="center"/>
      <protection locked="0"/>
    </xf>
    <xf numFmtId="168" fontId="114" fillId="10" borderId="350" xfId="0" applyNumberFormat="1" applyFont="1" applyFill="1" applyBorder="1" applyAlignment="1" applyProtection="1">
      <alignment horizontal="left"/>
      <protection locked="0"/>
    </xf>
    <xf numFmtId="168" fontId="112" fillId="10" borderId="350" xfId="0" applyNumberFormat="1" applyFont="1" applyFill="1" applyBorder="1" applyAlignment="1" applyProtection="1">
      <alignment horizontal="center"/>
      <protection locked="0"/>
    </xf>
    <xf numFmtId="1" fontId="2" fillId="10" borderId="371" xfId="0" applyNumberFormat="1" applyFont="1" applyFill="1" applyBorder="1" applyAlignment="1" applyProtection="1">
      <alignment horizontal="center" wrapText="1"/>
      <protection locked="0"/>
    </xf>
    <xf numFmtId="168" fontId="114" fillId="10" borderId="23" xfId="0" applyNumberFormat="1" applyFont="1" applyFill="1" applyBorder="1" applyAlignment="1" applyProtection="1">
      <alignment horizontal="left"/>
      <protection locked="0"/>
    </xf>
    <xf numFmtId="168" fontId="112" fillId="10" borderId="23" xfId="0" applyNumberFormat="1" applyFont="1" applyFill="1" applyBorder="1" applyAlignment="1" applyProtection="1">
      <alignment horizontal="center"/>
      <protection locked="0"/>
    </xf>
    <xf numFmtId="180" fontId="116" fillId="0" borderId="96" xfId="0" applyNumberFormat="1" applyFont="1" applyBorder="1" applyProtection="1"/>
    <xf numFmtId="168" fontId="112" fillId="0" borderId="376" xfId="0" applyNumberFormat="1" applyFont="1" applyBorder="1" applyAlignment="1" applyProtection="1">
      <alignment horizontal="center"/>
    </xf>
    <xf numFmtId="168" fontId="117" fillId="0" borderId="377" xfId="0" applyNumberFormat="1" applyFont="1" applyBorder="1" applyAlignment="1" applyProtection="1">
      <alignment horizontal="center"/>
    </xf>
    <xf numFmtId="168" fontId="112" fillId="0" borderId="378" xfId="0" applyNumberFormat="1" applyFont="1" applyBorder="1" applyAlignment="1" applyProtection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31" xfId="0" applyNumberFormat="1" applyFont="1" applyFill="1" applyBorder="1" applyAlignment="1" applyProtection="1">
      <alignment horizontal="center" vertical="center"/>
    </xf>
    <xf numFmtId="0" fontId="90" fillId="10" borderId="231" xfId="0" applyFont="1" applyFill="1" applyBorder="1" applyAlignment="1" applyProtection="1">
      <alignment horizontal="center" vertical="center"/>
    </xf>
    <xf numFmtId="1" fontId="2" fillId="4" borderId="248" xfId="0" applyNumberFormat="1" applyFont="1" applyFill="1" applyBorder="1" applyAlignment="1" applyProtection="1">
      <alignment horizontal="center" vertical="center"/>
    </xf>
    <xf numFmtId="168" fontId="2" fillId="10" borderId="87" xfId="0" applyNumberFormat="1" applyFont="1" applyFill="1" applyBorder="1" applyAlignment="1" applyProtection="1">
      <alignment horizontal="center" vertical="center"/>
    </xf>
    <xf numFmtId="0" fontId="54" fillId="0" borderId="154" xfId="0" applyFont="1" applyBorder="1" applyAlignment="1" applyProtection="1">
      <alignment horizontal="center" vertical="center"/>
    </xf>
    <xf numFmtId="0" fontId="38" fillId="0" borderId="34" xfId="0" applyFont="1" applyBorder="1" applyAlignment="1" applyProtection="1">
      <alignment horizontal="center" vertical="center"/>
    </xf>
    <xf numFmtId="168" fontId="2" fillId="10" borderId="191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justify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</xf>
    <xf numFmtId="177" fontId="4" fillId="4" borderId="286" xfId="0" applyNumberFormat="1" applyFont="1" applyFill="1" applyBorder="1" applyAlignment="1" applyProtection="1">
      <alignment horizontal="center" vertical="center"/>
      <protection locked="0"/>
    </xf>
    <xf numFmtId="177" fontId="4" fillId="4" borderId="360" xfId="0" applyNumberFormat="1" applyFont="1" applyFill="1" applyBorder="1" applyAlignment="1" applyProtection="1">
      <alignment horizontal="center" vertical="center"/>
    </xf>
    <xf numFmtId="0" fontId="6" fillId="4" borderId="286" xfId="0" applyFont="1" applyFill="1" applyBorder="1" applyAlignment="1" applyProtection="1">
      <alignment horizontal="right" vertical="center"/>
      <protection locked="0"/>
    </xf>
    <xf numFmtId="9" fontId="120" fillId="0" borderId="371" xfId="0" applyNumberFormat="1" applyFont="1" applyBorder="1" applyAlignment="1" applyProtection="1">
      <alignment horizontal="center" wrapText="1"/>
    </xf>
    <xf numFmtId="188" fontId="120" fillId="0" borderId="135" xfId="0" applyNumberFormat="1" applyFont="1" applyBorder="1" applyAlignment="1" applyProtection="1">
      <alignment horizontal="center" wrapText="1"/>
    </xf>
    <xf numFmtId="188" fontId="120" fillId="0" borderId="360" xfId="0" applyNumberFormat="1" applyFont="1" applyBorder="1" applyAlignment="1" applyProtection="1">
      <alignment horizontal="center" wrapText="1"/>
    </xf>
    <xf numFmtId="9" fontId="120" fillId="0" borderId="284" xfId="0" applyNumberFormat="1" applyFont="1" applyBorder="1" applyAlignment="1" applyProtection="1">
      <alignment horizontal="center" wrapText="1"/>
    </xf>
    <xf numFmtId="188" fontId="55" fillId="0" borderId="135" xfId="0" applyNumberFormat="1" applyFont="1" applyBorder="1" applyAlignment="1" applyProtection="1">
      <alignment horizontal="center" wrapText="1"/>
    </xf>
    <xf numFmtId="188" fontId="55" fillId="0" borderId="358" xfId="0" applyNumberFormat="1" applyFont="1" applyBorder="1" applyAlignment="1" applyProtection="1">
      <alignment horizontal="center" wrapText="1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77" fontId="60" fillId="10" borderId="210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/>
      <protection locked="0"/>
    </xf>
    <xf numFmtId="177" fontId="60" fillId="10" borderId="211" xfId="0" applyNumberFormat="1" applyFont="1" applyFill="1" applyBorder="1" applyAlignment="1" applyProtection="1">
      <alignment horizontal="center" vertical="center" wrapText="1"/>
      <protection locked="0"/>
    </xf>
    <xf numFmtId="177" fontId="60" fillId="10" borderId="211" xfId="0" applyNumberFormat="1" applyFont="1" applyFill="1" applyBorder="1" applyAlignment="1" applyProtection="1">
      <alignment horizontal="center"/>
      <protection locked="0"/>
    </xf>
    <xf numFmtId="177" fontId="60" fillId="10" borderId="212" xfId="0" applyNumberFormat="1" applyFont="1" applyFill="1" applyBorder="1" applyAlignment="1" applyProtection="1">
      <alignment horizontal="center" vertical="center"/>
      <protection locked="0"/>
    </xf>
    <xf numFmtId="0" fontId="35" fillId="12" borderId="61" xfId="0" applyFont="1" applyFill="1" applyBorder="1" applyAlignment="1" applyProtection="1">
      <alignment horizontal="center" vertical="center"/>
    </xf>
    <xf numFmtId="0" fontId="35" fillId="12" borderId="0" xfId="0" applyFont="1" applyFill="1" applyBorder="1" applyAlignment="1" applyProtection="1">
      <alignment horizontal="center" vertical="center"/>
    </xf>
    <xf numFmtId="169" fontId="74" fillId="15" borderId="18" xfId="0" applyNumberFormat="1" applyFont="1" applyFill="1" applyBorder="1" applyAlignment="1" applyProtection="1">
      <alignment horizontal="center" vertical="center"/>
    </xf>
    <xf numFmtId="169" fontId="74" fillId="15" borderId="19" xfId="0" applyNumberFormat="1" applyFont="1" applyFill="1" applyBorder="1" applyAlignment="1" applyProtection="1">
      <alignment horizontal="center" vertical="center"/>
    </xf>
    <xf numFmtId="177" fontId="123" fillId="0" borderId="210" xfId="0" applyNumberFormat="1" applyFont="1" applyFill="1" applyBorder="1" applyAlignment="1" applyProtection="1">
      <alignment horizontal="center" vertical="center"/>
    </xf>
    <xf numFmtId="189" fontId="123" fillId="0" borderId="211" xfId="0" applyNumberFormat="1" applyFont="1" applyFill="1" applyBorder="1" applyAlignment="1" applyProtection="1">
      <alignment horizontal="center" vertical="center"/>
    </xf>
    <xf numFmtId="0" fontId="38" fillId="4" borderId="335" xfId="0" applyFont="1" applyFill="1" applyBorder="1" applyAlignment="1" applyProtection="1">
      <alignment horizontal="center" vertical="center"/>
    </xf>
    <xf numFmtId="181" fontId="21" fillId="10" borderId="332" xfId="0" applyNumberFormat="1" applyFont="1" applyFill="1" applyBorder="1" applyAlignment="1" applyProtection="1">
      <alignment horizontal="center" vertical="center"/>
    </xf>
    <xf numFmtId="181" fontId="38" fillId="10" borderId="332" xfId="0" applyNumberFormat="1" applyFont="1" applyFill="1" applyBorder="1" applyAlignment="1" applyProtection="1">
      <alignment horizontal="center" vertical="center"/>
    </xf>
    <xf numFmtId="0" fontId="4" fillId="4" borderId="335" xfId="0" applyNumberFormat="1" applyFont="1" applyFill="1" applyBorder="1" applyAlignment="1" applyProtection="1">
      <alignment horizontal="center" vertical="center"/>
    </xf>
    <xf numFmtId="0" fontId="38" fillId="4" borderId="337" xfId="0" applyFont="1" applyFill="1" applyBorder="1" applyAlignment="1" applyProtection="1">
      <alignment horizontal="center" vertical="center"/>
    </xf>
    <xf numFmtId="0" fontId="21" fillId="4" borderId="335" xfId="0" applyFont="1" applyFill="1" applyBorder="1" applyAlignment="1" applyProtection="1">
      <alignment horizontal="center" vertical="center"/>
    </xf>
    <xf numFmtId="0" fontId="125" fillId="0" borderId="359" xfId="3" applyFont="1" applyBorder="1" applyAlignment="1">
      <alignment horizontal="right"/>
    </xf>
    <xf numFmtId="0" fontId="125" fillId="0" borderId="379" xfId="3" applyFont="1" applyBorder="1"/>
    <xf numFmtId="0" fontId="125" fillId="0" borderId="363" xfId="3" applyFont="1" applyBorder="1"/>
    <xf numFmtId="1" fontId="0" fillId="0" borderId="173" xfId="0" applyNumberFormat="1" applyFont="1" applyBorder="1"/>
    <xf numFmtId="0" fontId="0" fillId="0" borderId="0" xfId="0" applyBorder="1"/>
    <xf numFmtId="0" fontId="0" fillId="0" borderId="174" xfId="0" applyBorder="1"/>
    <xf numFmtId="0" fontId="0" fillId="0" borderId="173" xfId="0" applyBorder="1"/>
    <xf numFmtId="0" fontId="0" fillId="0" borderId="70" xfId="0" applyBorder="1"/>
    <xf numFmtId="0" fontId="0" fillId="0" borderId="23" xfId="0" applyBorder="1"/>
    <xf numFmtId="0" fontId="0" fillId="0" borderId="87" xfId="0" applyBorder="1"/>
    <xf numFmtId="0" fontId="41" fillId="4" borderId="171" xfId="3" applyFont="1" applyFill="1" applyBorder="1"/>
    <xf numFmtId="0" fontId="41" fillId="0" borderId="380" xfId="3" applyFont="1" applyBorder="1"/>
    <xf numFmtId="0" fontId="41" fillId="4" borderId="381" xfId="3" applyFont="1" applyFill="1" applyBorder="1"/>
    <xf numFmtId="0" fontId="41" fillId="4" borderId="44" xfId="3" applyFont="1" applyFill="1" applyBorder="1"/>
    <xf numFmtId="0" fontId="41" fillId="4" borderId="4" xfId="3" applyFont="1" applyFill="1" applyBorder="1"/>
    <xf numFmtId="0" fontId="41" fillId="4" borderId="5" xfId="3" applyFont="1" applyFill="1" applyBorder="1"/>
    <xf numFmtId="0" fontId="41" fillId="4" borderId="6" xfId="3" applyFont="1" applyFill="1" applyBorder="1"/>
    <xf numFmtId="0" fontId="41" fillId="0" borderId="286" xfId="3" applyFont="1" applyBorder="1"/>
    <xf numFmtId="0" fontId="126" fillId="0" borderId="63" xfId="0" applyFont="1" applyBorder="1"/>
    <xf numFmtId="0" fontId="126" fillId="0" borderId="64" xfId="0" applyFont="1" applyBorder="1"/>
    <xf numFmtId="0" fontId="126" fillId="0" borderId="154" xfId="0" applyFont="1" applyBorder="1"/>
    <xf numFmtId="0" fontId="126" fillId="0" borderId="14" xfId="0" applyFont="1" applyBorder="1"/>
    <xf numFmtId="0" fontId="126" fillId="0" borderId="286" xfId="0" applyFont="1" applyBorder="1"/>
    <xf numFmtId="0" fontId="126" fillId="0" borderId="34" xfId="0" applyFont="1" applyBorder="1"/>
    <xf numFmtId="0" fontId="42" fillId="0" borderId="40" xfId="3" applyFont="1" applyBorder="1"/>
    <xf numFmtId="0" fontId="42" fillId="0" borderId="41" xfId="3" applyFont="1" applyBorder="1"/>
    <xf numFmtId="0" fontId="42" fillId="0" borderId="42" xfId="3" applyFont="1" applyBorder="1"/>
    <xf numFmtId="0" fontId="126" fillId="0" borderId="199" xfId="0" applyFont="1" applyBorder="1"/>
    <xf numFmtId="0" fontId="126" fillId="0" borderId="358" xfId="0" applyFont="1" applyBorder="1"/>
    <xf numFmtId="0" fontId="126" fillId="0" borderId="200" xfId="0" applyFont="1" applyBorder="1"/>
    <xf numFmtId="0" fontId="41" fillId="0" borderId="14" xfId="3" applyFont="1" applyBorder="1"/>
    <xf numFmtId="0" fontId="41" fillId="0" borderId="34" xfId="3" applyFont="1" applyBorder="1"/>
    <xf numFmtId="0" fontId="41" fillId="0" borderId="17" xfId="3" applyFont="1" applyBorder="1"/>
    <xf numFmtId="0" fontId="41" fillId="0" borderId="360" xfId="3" applyFont="1" applyBorder="1"/>
    <xf numFmtId="0" fontId="41" fillId="0" borderId="361" xfId="3" applyFont="1" applyBorder="1"/>
    <xf numFmtId="0" fontId="67" fillId="4" borderId="0" xfId="0" applyFont="1" applyFill="1" applyBorder="1" applyAlignment="1" applyProtection="1">
      <alignment horizontal="justify" vertical="top"/>
    </xf>
    <xf numFmtId="0" fontId="85" fillId="4" borderId="0" xfId="0" applyFont="1" applyFill="1" applyBorder="1" applyAlignment="1" applyProtection="1">
      <alignment horizontal="justify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8" xfId="0" applyNumberFormat="1" applyFont="1" applyFill="1" applyBorder="1" applyAlignment="1" applyProtection="1">
      <alignment horizontal="center" vertical="center"/>
    </xf>
    <xf numFmtId="176" fontId="85" fillId="4" borderId="0" xfId="0" applyNumberFormat="1" applyFont="1" applyFill="1" applyBorder="1" applyAlignment="1" applyProtection="1">
      <alignment horizontal="right" vertical="center"/>
    </xf>
    <xf numFmtId="0" fontId="67" fillId="4" borderId="61" xfId="0" applyFont="1" applyFill="1" applyBorder="1" applyAlignment="1" applyProtection="1">
      <alignment horizontal="justify" vertical="top"/>
    </xf>
    <xf numFmtId="0" fontId="67" fillId="4" borderId="128" xfId="0" applyFont="1" applyFill="1" applyBorder="1" applyAlignment="1" applyProtection="1">
      <alignment horizontal="justify" vertical="top"/>
    </xf>
    <xf numFmtId="0" fontId="80" fillId="4" borderId="61" xfId="0" applyFont="1" applyFill="1" applyBorder="1" applyAlignment="1" applyProtection="1">
      <alignment horizontal="justify" vertical="center"/>
    </xf>
    <xf numFmtId="0" fontId="67" fillId="4" borderId="128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justify" vertical="center"/>
    </xf>
    <xf numFmtId="0" fontId="67" fillId="4" borderId="21" xfId="0" applyFont="1" applyFill="1" applyBorder="1" applyAlignment="1" applyProtection="1">
      <alignment horizontal="justify" vertical="center"/>
    </xf>
    <xf numFmtId="0" fontId="67" fillId="4" borderId="60" xfId="0" applyFont="1" applyFill="1" applyBorder="1" applyAlignment="1" applyProtection="1">
      <alignment horizontal="justify" vertical="center"/>
    </xf>
    <xf numFmtId="0" fontId="67" fillId="4" borderId="22" xfId="0" applyFont="1" applyFill="1" applyBorder="1" applyAlignment="1" applyProtection="1">
      <alignment horizontal="justify" vertical="center"/>
    </xf>
    <xf numFmtId="0" fontId="23" fillId="4" borderId="21" xfId="0" applyFont="1" applyFill="1" applyBorder="1" applyAlignment="1" applyProtection="1">
      <alignment horizontal="justify" vertical="center"/>
    </xf>
    <xf numFmtId="0" fontId="23" fillId="4" borderId="6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center" vertical="center"/>
    </xf>
    <xf numFmtId="176" fontId="128" fillId="4" borderId="0" xfId="0" applyNumberFormat="1" applyFont="1" applyFill="1" applyBorder="1" applyAlignment="1" applyProtection="1">
      <alignment horizontal="distributed" vertical="center"/>
    </xf>
    <xf numFmtId="176" fontId="128" fillId="4" borderId="128" xfId="0" applyNumberFormat="1" applyFont="1" applyFill="1" applyBorder="1" applyAlignment="1" applyProtection="1">
      <alignment horizontal="distributed" vertical="center"/>
    </xf>
    <xf numFmtId="0" fontId="85" fillId="4" borderId="61" xfId="0" applyFont="1" applyFill="1" applyBorder="1" applyAlignment="1" applyProtection="1">
      <alignment horizontal="justify" vertical="center"/>
    </xf>
    <xf numFmtId="0" fontId="67" fillId="4" borderId="61" xfId="0" applyFont="1" applyFill="1" applyBorder="1" applyAlignment="1" applyProtection="1">
      <alignment horizontal="right" vertical="center"/>
    </xf>
    <xf numFmtId="173" fontId="67" fillId="4" borderId="128" xfId="0" applyNumberFormat="1" applyFont="1" applyFill="1" applyBorder="1" applyAlignment="1" applyProtection="1">
      <alignment horizontal="justify" vertical="center"/>
    </xf>
    <xf numFmtId="0" fontId="129" fillId="4" borderId="86" xfId="0" applyFont="1" applyFill="1" applyBorder="1" applyAlignment="1" applyProtection="1">
      <alignment horizontal="center" vertical="center"/>
    </xf>
    <xf numFmtId="0" fontId="129" fillId="4" borderId="23" xfId="0" applyFont="1" applyFill="1" applyBorder="1" applyAlignment="1" applyProtection="1">
      <alignment horizontal="center" vertical="center"/>
    </xf>
    <xf numFmtId="0" fontId="129" fillId="4" borderId="71" xfId="0" applyFont="1" applyFill="1" applyBorder="1" applyAlignment="1" applyProtection="1">
      <alignment horizontal="center" vertical="center"/>
    </xf>
    <xf numFmtId="176" fontId="6" fillId="4" borderId="186" xfId="0" applyNumberFormat="1" applyFont="1" applyFill="1" applyBorder="1" applyAlignment="1" applyProtection="1">
      <alignment horizontal="right" vertical="center"/>
      <protection locked="0"/>
    </xf>
    <xf numFmtId="176" fontId="6" fillId="4" borderId="48" xfId="0" applyNumberFormat="1" applyFont="1" applyFill="1" applyBorder="1" applyAlignment="1" applyProtection="1">
      <alignment horizontal="right" vertical="center"/>
    </xf>
    <xf numFmtId="0" fontId="2" fillId="4" borderId="0" xfId="0" applyFont="1" applyFill="1" applyBorder="1" applyAlignment="1" applyProtection="1">
      <alignment horizontal="center"/>
    </xf>
    <xf numFmtId="1" fontId="38" fillId="9" borderId="387" xfId="0" applyNumberFormat="1" applyFont="1" applyFill="1" applyBorder="1" applyAlignment="1" applyProtection="1">
      <alignment horizontal="center" vertical="center"/>
    </xf>
    <xf numFmtId="1" fontId="3" fillId="9" borderId="392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61" xfId="0" applyFont="1" applyFill="1" applyBorder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/>
    </xf>
    <xf numFmtId="168" fontId="2" fillId="10" borderId="396" xfId="0" applyNumberFormat="1" applyFont="1" applyFill="1" applyBorder="1" applyAlignment="1" applyProtection="1">
      <alignment horizontal="center" vertical="center"/>
      <protection locked="0"/>
    </xf>
    <xf numFmtId="174" fontId="54" fillId="4" borderId="397" xfId="0" applyNumberFormat="1" applyFont="1" applyFill="1" applyBorder="1" applyAlignment="1" applyProtection="1">
      <alignment horizontal="center" vertical="center"/>
    </xf>
    <xf numFmtId="0" fontId="54" fillId="0" borderId="399" xfId="0" applyFont="1" applyBorder="1" applyAlignment="1">
      <alignment horizontal="center" vertical="center"/>
    </xf>
    <xf numFmtId="0" fontId="54" fillId="0" borderId="404" xfId="0" applyFont="1" applyBorder="1" applyAlignment="1">
      <alignment horizontal="center" vertical="center"/>
    </xf>
    <xf numFmtId="168" fontId="2" fillId="10" borderId="407" xfId="0" applyNumberFormat="1" applyFont="1" applyFill="1" applyBorder="1" applyAlignment="1" applyProtection="1">
      <alignment horizontal="center" vertical="center"/>
      <protection locked="0"/>
    </xf>
    <xf numFmtId="174" fontId="54" fillId="4" borderId="408" xfId="0" applyNumberFormat="1" applyFont="1" applyFill="1" applyBorder="1" applyAlignment="1" applyProtection="1">
      <alignment horizontal="center" vertical="center" wrapText="1"/>
    </xf>
    <xf numFmtId="0" fontId="38" fillId="0" borderId="410" xfId="0" applyFont="1" applyBorder="1" applyAlignment="1">
      <alignment horizontal="center" vertical="center"/>
    </xf>
    <xf numFmtId="0" fontId="38" fillId="0" borderId="404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77" fontId="2" fillId="4" borderId="0" xfId="0" applyNumberFormat="1" applyFont="1" applyFill="1" applyBorder="1" applyAlignment="1" applyProtection="1">
      <alignment horizontal="justify" vertical="center"/>
    </xf>
    <xf numFmtId="177" fontId="3" fillId="4" borderId="0" xfId="0" applyNumberFormat="1" applyFont="1" applyFill="1" applyBorder="1" applyAlignment="1" applyProtection="1">
      <alignment horizontal="right" vertical="center"/>
    </xf>
    <xf numFmtId="0" fontId="6" fillId="4" borderId="206" xfId="0" applyFont="1" applyFill="1" applyBorder="1" applyAlignment="1" applyProtection="1">
      <alignment horizontal="center" vertical="center"/>
      <protection locked="0"/>
    </xf>
    <xf numFmtId="0" fontId="6" fillId="4" borderId="35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2" fillId="4" borderId="5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416" xfId="0" applyFont="1" applyBorder="1" applyAlignment="1">
      <alignment horizontal="center" vertical="center"/>
    </xf>
    <xf numFmtId="0" fontId="2" fillId="0" borderId="416" xfId="0" applyFont="1" applyBorder="1" applyAlignment="1">
      <alignment horizontal="left" vertical="center"/>
    </xf>
    <xf numFmtId="0" fontId="0" fillId="0" borderId="416" xfId="0" applyBorder="1" applyAlignment="1">
      <alignment horizontal="center" vertical="center"/>
    </xf>
    <xf numFmtId="0" fontId="0" fillId="0" borderId="417" xfId="0" applyBorder="1" applyAlignment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  <protection locked="0"/>
    </xf>
    <xf numFmtId="1" fontId="3" fillId="0" borderId="21" xfId="0" applyNumberFormat="1" applyFont="1" applyFill="1" applyBorder="1" applyAlignment="1" applyProtection="1">
      <alignment horizontal="justify" vertical="center"/>
    </xf>
    <xf numFmtId="1" fontId="3" fillId="19" borderId="416" xfId="0" applyNumberFormat="1" applyFont="1" applyFill="1" applyBorder="1" applyAlignment="1" applyProtection="1">
      <alignment horizontal="center" vertical="center"/>
      <protection locked="0"/>
    </xf>
    <xf numFmtId="1" fontId="3" fillId="0" borderId="60" xfId="0" applyNumberFormat="1" applyFont="1" applyBorder="1" applyAlignment="1">
      <alignment horizontal="center" vertical="center"/>
    </xf>
    <xf numFmtId="0" fontId="16" fillId="4" borderId="128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44" fillId="9" borderId="379" xfId="0" applyFont="1" applyFill="1" applyBorder="1" applyAlignment="1" applyProtection="1">
      <alignment horizontal="right" vertical="center"/>
    </xf>
    <xf numFmtId="0" fontId="45" fillId="9" borderId="379" xfId="0" applyNumberFormat="1" applyFont="1" applyFill="1" applyBorder="1" applyAlignment="1" applyProtection="1">
      <alignment vertical="center"/>
    </xf>
    <xf numFmtId="0" fontId="44" fillId="9" borderId="379" xfId="0" applyFont="1" applyFill="1" applyBorder="1" applyAlignment="1" applyProtection="1">
      <alignment vertical="center"/>
    </xf>
    <xf numFmtId="0" fontId="45" fillId="9" borderId="379" xfId="0" applyFont="1" applyFill="1" applyBorder="1" applyAlignment="1" applyProtection="1">
      <alignment vertical="center"/>
    </xf>
    <xf numFmtId="0" fontId="44" fillId="9" borderId="324" xfId="0" applyFont="1" applyFill="1" applyBorder="1" applyAlignment="1" applyProtection="1">
      <alignment vertical="center"/>
    </xf>
    <xf numFmtId="0" fontId="67" fillId="4" borderId="379" xfId="0" applyFont="1" applyFill="1" applyBorder="1" applyAlignment="1" applyProtection="1">
      <alignment horizontal="center" vertical="center"/>
    </xf>
    <xf numFmtId="1" fontId="21" fillId="9" borderId="427" xfId="0" applyNumberFormat="1" applyFont="1" applyFill="1" applyBorder="1" applyAlignment="1" applyProtection="1">
      <alignment horizontal="center" vertical="center"/>
    </xf>
    <xf numFmtId="1" fontId="3" fillId="9" borderId="428" xfId="0" applyNumberFormat="1" applyFont="1" applyFill="1" applyBorder="1" applyAlignment="1" applyProtection="1">
      <alignment horizontal="center" vertical="center"/>
    </xf>
    <xf numFmtId="1" fontId="38" fillId="9" borderId="392" xfId="0" applyNumberFormat="1" applyFont="1" applyFill="1" applyBorder="1" applyAlignment="1" applyProtection="1">
      <alignment horizontal="center" vertical="center"/>
    </xf>
    <xf numFmtId="1" fontId="38" fillId="9" borderId="428" xfId="0" applyNumberFormat="1" applyFont="1" applyFill="1" applyBorder="1" applyAlignment="1" applyProtection="1">
      <alignment horizontal="center" vertical="center"/>
    </xf>
    <xf numFmtId="0" fontId="54" fillId="0" borderId="433" xfId="0" applyFont="1" applyBorder="1" applyAlignment="1">
      <alignment horizontal="center" vertical="center"/>
    </xf>
    <xf numFmtId="0" fontId="38" fillId="0" borderId="433" xfId="0" applyFont="1" applyBorder="1" applyAlignment="1">
      <alignment horizontal="center" vertical="center"/>
    </xf>
    <xf numFmtId="0" fontId="38" fillId="0" borderId="414" xfId="0" applyFont="1" applyBorder="1" applyAlignment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16" fillId="4" borderId="128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justify" vertical="center"/>
    </xf>
    <xf numFmtId="0" fontId="4" fillId="4" borderId="29" xfId="0" applyFont="1" applyFill="1" applyBorder="1" applyAlignment="1" applyProtection="1">
      <alignment horizontal="justify" vertical="center"/>
    </xf>
    <xf numFmtId="0" fontId="4" fillId="4" borderId="362" xfId="0" applyFont="1" applyFill="1" applyBorder="1" applyAlignment="1" applyProtection="1">
      <alignment horizontal="justify" vertical="center"/>
    </xf>
    <xf numFmtId="0" fontId="136" fillId="4" borderId="29" xfId="0" applyFont="1" applyFill="1" applyBorder="1" applyAlignment="1" applyProtection="1">
      <alignment horizontal="center" vertical="center"/>
    </xf>
    <xf numFmtId="0" fontId="35" fillId="12" borderId="444" xfId="0" applyFont="1" applyFill="1" applyBorder="1" applyAlignment="1" applyProtection="1">
      <alignment horizontal="center" vertical="center"/>
    </xf>
    <xf numFmtId="0" fontId="35" fillId="12" borderId="443" xfId="0" applyFont="1" applyFill="1" applyBorder="1" applyAlignment="1" applyProtection="1">
      <alignment horizontal="center" vertical="center"/>
    </xf>
    <xf numFmtId="0" fontId="35" fillId="12" borderId="445" xfId="0" applyFont="1" applyFill="1" applyBorder="1" applyAlignment="1" applyProtection="1">
      <alignment horizontal="center" vertical="center"/>
    </xf>
    <xf numFmtId="7" fontId="138" fillId="0" borderId="60" xfId="0" applyNumberFormat="1" applyFont="1" applyBorder="1" applyAlignment="1">
      <alignment horizontal="center" vertical="center"/>
    </xf>
    <xf numFmtId="180" fontId="138" fillId="0" borderId="60" xfId="0" applyNumberFormat="1" applyFont="1" applyBorder="1" applyAlignment="1">
      <alignment horizontal="center" vertical="center"/>
    </xf>
    <xf numFmtId="7" fontId="139" fillId="0" borderId="60" xfId="0" applyNumberFormat="1" applyFont="1" applyBorder="1" applyAlignment="1">
      <alignment horizontal="center" vertical="center"/>
    </xf>
    <xf numFmtId="0" fontId="1" fillId="4" borderId="128" xfId="0" applyFont="1" applyFill="1" applyBorder="1" applyAlignment="1" applyProtection="1">
      <alignment horizontal="right"/>
    </xf>
    <xf numFmtId="0" fontId="1" fillId="4" borderId="60" xfId="0" applyFont="1" applyFill="1" applyBorder="1" applyAlignment="1" applyProtection="1">
      <alignment horizontal="right"/>
    </xf>
    <xf numFmtId="0" fontId="1" fillId="4" borderId="22" xfId="0" applyFont="1" applyFill="1" applyBorder="1" applyAlignment="1" applyProtection="1">
      <alignment horizontal="right"/>
    </xf>
    <xf numFmtId="0" fontId="1" fillId="4" borderId="134" xfId="0" applyFont="1" applyFill="1" applyBorder="1" applyAlignment="1" applyProtection="1">
      <alignment horizontal="justify"/>
    </xf>
    <xf numFmtId="0" fontId="1" fillId="4" borderId="142" xfId="0" applyFont="1" applyFill="1" applyBorder="1" applyAlignment="1" applyProtection="1">
      <alignment horizontal="justify"/>
    </xf>
    <xf numFmtId="0" fontId="35" fillId="12" borderId="447" xfId="0" applyFont="1" applyFill="1" applyBorder="1" applyAlignment="1" applyProtection="1">
      <alignment horizontal="center" vertical="center"/>
    </xf>
    <xf numFmtId="0" fontId="1" fillId="4" borderId="60" xfId="0" applyFont="1" applyFill="1" applyBorder="1" applyAlignment="1" applyProtection="1">
      <alignment horizontal="justify"/>
    </xf>
    <xf numFmtId="0" fontId="45" fillId="9" borderId="449" xfId="0" applyFont="1" applyFill="1" applyBorder="1" applyAlignment="1" applyProtection="1">
      <alignment vertical="center"/>
    </xf>
    <xf numFmtId="0" fontId="22" fillId="9" borderId="449" xfId="0" applyFont="1" applyFill="1" applyBorder="1" applyAlignment="1" applyProtection="1">
      <alignment horizontal="center" vertical="center"/>
    </xf>
    <xf numFmtId="0" fontId="44" fillId="9" borderId="449" xfId="0" applyFont="1" applyFill="1" applyBorder="1" applyAlignment="1" applyProtection="1">
      <alignment vertical="center"/>
    </xf>
    <xf numFmtId="0" fontId="45" fillId="9" borderId="449" xfId="0" applyNumberFormat="1" applyFont="1" applyFill="1" applyBorder="1" applyAlignment="1" applyProtection="1">
      <alignment vertical="center"/>
    </xf>
    <xf numFmtId="0" fontId="79" fillId="3" borderId="8" xfId="0" applyFont="1" applyFill="1" applyBorder="1" applyAlignment="1" applyProtection="1">
      <alignment horizontal="center" vertical="center"/>
    </xf>
    <xf numFmtId="0" fontId="79" fillId="3" borderId="8" xfId="0" applyNumberFormat="1" applyFont="1" applyFill="1" applyBorder="1" applyAlignment="1" applyProtection="1">
      <alignment horizontal="center" vertical="center"/>
    </xf>
    <xf numFmtId="0" fontId="149" fillId="0" borderId="10" xfId="0" applyFont="1" applyBorder="1" applyAlignment="1" applyProtection="1">
      <alignment horizontal="center" vertical="center"/>
    </xf>
    <xf numFmtId="168" fontId="79" fillId="4" borderId="379" xfId="0" applyNumberFormat="1" applyFont="1" applyFill="1" applyBorder="1" applyAlignment="1" applyProtection="1">
      <alignment horizontal="center" vertical="center"/>
    </xf>
    <xf numFmtId="14" fontId="112" fillId="0" borderId="29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 applyProtection="1">
      <alignment horizontal="center" vertical="center"/>
    </xf>
    <xf numFmtId="14" fontId="112" fillId="0" borderId="350" xfId="0" applyNumberFormat="1" applyFont="1" applyBorder="1" applyAlignment="1" applyProtection="1">
      <alignment horizontal="center" vertical="center"/>
    </xf>
    <xf numFmtId="168" fontId="117" fillId="0" borderId="377" xfId="0" applyNumberFormat="1" applyFont="1" applyBorder="1" applyAlignment="1" applyProtection="1">
      <alignment horizontal="center" vertical="center"/>
    </xf>
    <xf numFmtId="168" fontId="4" fillId="32" borderId="372" xfId="0" applyNumberFormat="1" applyFont="1" applyFill="1" applyBorder="1" applyAlignment="1" applyProtection="1">
      <alignment horizontal="center" vertical="center" wrapText="1"/>
    </xf>
    <xf numFmtId="17" fontId="2" fillId="0" borderId="135" xfId="0" applyNumberFormat="1" applyFont="1" applyBorder="1" applyAlignment="1" applyProtection="1">
      <alignment horizontal="center" vertical="center" wrapText="1"/>
    </xf>
    <xf numFmtId="17" fontId="2" fillId="0" borderId="360" xfId="0" applyNumberFormat="1" applyFont="1" applyBorder="1" applyAlignment="1" applyProtection="1">
      <alignment horizontal="center" vertical="center" wrapText="1"/>
    </xf>
    <xf numFmtId="188" fontId="120" fillId="0" borderId="360" xfId="0" applyNumberFormat="1" applyFont="1" applyBorder="1" applyAlignment="1" applyProtection="1">
      <alignment horizontal="center" vertical="center" wrapText="1"/>
    </xf>
    <xf numFmtId="0" fontId="112" fillId="0" borderId="29" xfId="0" applyFont="1" applyFill="1" applyBorder="1" applyAlignment="1" applyProtection="1">
      <alignment horizontal="center" vertical="center"/>
    </xf>
    <xf numFmtId="168" fontId="112" fillId="0" borderId="351" xfId="0" applyNumberFormat="1" applyFont="1" applyBorder="1" applyAlignment="1" applyProtection="1">
      <alignment horizontal="center" vertical="center"/>
    </xf>
    <xf numFmtId="188" fontId="55" fillId="0" borderId="135" xfId="0" applyNumberFormat="1" applyFont="1" applyBorder="1" applyAlignment="1" applyProtection="1">
      <alignment horizontal="center" vertical="center" wrapText="1"/>
    </xf>
    <xf numFmtId="1" fontId="2" fillId="0" borderId="284" xfId="0" applyNumberFormat="1" applyFont="1" applyBorder="1" applyAlignment="1" applyProtection="1">
      <alignment horizontal="center" vertical="center" wrapText="1"/>
    </xf>
    <xf numFmtId="9" fontId="120" fillId="0" borderId="284" xfId="0" applyNumberFormat="1" applyFont="1" applyBorder="1" applyAlignment="1" applyProtection="1">
      <alignment horizontal="center" vertical="center" wrapText="1"/>
    </xf>
    <xf numFmtId="17" fontId="2" fillId="0" borderId="358" xfId="0" applyNumberFormat="1" applyFont="1" applyBorder="1" applyAlignment="1" applyProtection="1">
      <alignment horizontal="center" vertical="center" wrapText="1"/>
    </xf>
    <xf numFmtId="188" fontId="55" fillId="0" borderId="358" xfId="0" applyNumberFormat="1" applyFont="1" applyBorder="1" applyAlignment="1" applyProtection="1">
      <alignment horizontal="center" vertical="center" wrapText="1"/>
    </xf>
    <xf numFmtId="14" fontId="112" fillId="0" borderId="23" xfId="0" applyNumberFormat="1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112" fillId="0" borderId="23" xfId="0" applyFont="1" applyFill="1" applyBorder="1" applyAlignment="1" applyProtection="1">
      <alignment horizontal="center" vertical="center"/>
    </xf>
    <xf numFmtId="0" fontId="2" fillId="4" borderId="29" xfId="0" applyFont="1" applyFill="1" applyBorder="1" applyAlignment="1" applyProtection="1">
      <alignment horizontal="center" vertical="center"/>
    </xf>
    <xf numFmtId="0" fontId="113" fillId="4" borderId="29" xfId="0" applyFont="1" applyFill="1" applyBorder="1" applyAlignment="1" applyProtection="1">
      <alignment horizontal="center" vertical="center"/>
    </xf>
    <xf numFmtId="0" fontId="3" fillId="4" borderId="454" xfId="0" applyFont="1" applyFill="1" applyBorder="1" applyAlignment="1" applyProtection="1">
      <alignment horizontal="center" vertical="center"/>
    </xf>
    <xf numFmtId="180" fontId="112" fillId="4" borderId="454" xfId="0" applyNumberFormat="1" applyFont="1" applyFill="1" applyBorder="1" applyAlignment="1" applyProtection="1">
      <alignment horizontal="center" vertical="center"/>
    </xf>
    <xf numFmtId="180" fontId="112" fillId="4" borderId="455" xfId="0" applyNumberFormat="1" applyFont="1" applyFill="1" applyBorder="1" applyAlignment="1" applyProtection="1">
      <alignment horizontal="center" vertical="center"/>
    </xf>
    <xf numFmtId="177" fontId="153" fillId="0" borderId="371" xfId="0" applyNumberFormat="1" applyFont="1" applyBorder="1" applyAlignment="1" applyProtection="1">
      <alignment horizontal="center" vertical="center" wrapText="1"/>
    </xf>
    <xf numFmtId="1" fontId="44" fillId="0" borderId="350" xfId="0" applyNumberFormat="1" applyFont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right"/>
    </xf>
    <xf numFmtId="0" fontId="1" fillId="4" borderId="0" xfId="0" applyFont="1" applyFill="1" applyAlignment="1" applyProtection="1">
      <alignment horizontal="justify"/>
    </xf>
    <xf numFmtId="0" fontId="7" fillId="4" borderId="0" xfId="0" applyFont="1" applyFill="1" applyAlignment="1" applyProtection="1">
      <alignment horizontal="center" vertical="center"/>
    </xf>
    <xf numFmtId="0" fontId="153" fillId="0" borderId="363" xfId="0" applyNumberFormat="1" applyFont="1" applyBorder="1" applyAlignment="1" applyProtection="1">
      <alignment horizontal="center" vertical="center" wrapText="1"/>
    </xf>
    <xf numFmtId="17" fontId="2" fillId="0" borderId="350" xfId="0" applyNumberFormat="1" applyFont="1" applyBorder="1" applyAlignment="1" applyProtection="1">
      <alignment horizontal="center" vertical="center" wrapText="1"/>
    </xf>
    <xf numFmtId="17" fontId="2" fillId="0" borderId="86" xfId="0" applyNumberFormat="1" applyFont="1" applyBorder="1" applyAlignment="1" applyProtection="1">
      <alignment horizontal="center" vertical="center" wrapText="1"/>
    </xf>
    <xf numFmtId="0" fontId="35" fillId="9" borderId="23" xfId="0" applyFont="1" applyFill="1" applyBorder="1" applyAlignment="1" applyProtection="1">
      <alignment horizontal="center" vertical="center" wrapText="1"/>
    </xf>
    <xf numFmtId="180" fontId="55" fillId="0" borderId="0" xfId="0" applyNumberFormat="1" applyFont="1" applyBorder="1" applyAlignment="1" applyProtection="1">
      <alignment horizontal="right" vertical="center" wrapText="1"/>
    </xf>
    <xf numFmtId="187" fontId="38" fillId="32" borderId="373" xfId="0" applyNumberFormat="1" applyFont="1" applyFill="1" applyBorder="1" applyAlignment="1" applyProtection="1">
      <alignment horizontal="center" vertical="center" wrapText="1"/>
    </xf>
    <xf numFmtId="0" fontId="23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25" fillId="4" borderId="0" xfId="0" applyFont="1" applyFill="1" applyBorder="1" applyAlignment="1" applyProtection="1">
      <alignment horizontal="center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lef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0" fontId="67" fillId="4" borderId="0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180" fontId="43" fillId="0" borderId="350" xfId="0" applyNumberFormat="1" applyFont="1" applyBorder="1" applyAlignment="1" applyProtection="1">
      <alignment horizontal="left" vertical="center" wrapText="1"/>
    </xf>
    <xf numFmtId="168" fontId="144" fillId="10" borderId="324" xfId="0" applyNumberFormat="1" applyFont="1" applyFill="1" applyBorder="1" applyAlignment="1" applyProtection="1">
      <alignment horizontal="center" vertical="center"/>
    </xf>
    <xf numFmtId="168" fontId="117" fillId="10" borderId="29" xfId="0" applyNumberFormat="1" applyFont="1" applyFill="1" applyBorder="1" applyAlignment="1" applyProtection="1">
      <alignment horizontal="center" vertical="center"/>
    </xf>
    <xf numFmtId="0" fontId="112" fillId="5" borderId="29" xfId="0" applyFont="1" applyFill="1" applyBorder="1" applyAlignment="1" applyProtection="1">
      <alignment horizontal="center" vertical="center"/>
    </xf>
    <xf numFmtId="180" fontId="112" fillId="5" borderId="29" xfId="0" applyNumberFormat="1" applyFont="1" applyFill="1" applyBorder="1" applyAlignment="1" applyProtection="1">
      <alignment horizontal="center" vertical="center"/>
    </xf>
    <xf numFmtId="180" fontId="112" fillId="5" borderId="453" xfId="0" applyNumberFormat="1" applyFont="1" applyFill="1" applyBorder="1" applyAlignment="1" applyProtection="1">
      <alignment horizontal="center" vertical="center"/>
    </xf>
    <xf numFmtId="180" fontId="112" fillId="5" borderId="454" xfId="0" applyNumberFormat="1" applyFont="1" applyFill="1" applyBorder="1" applyAlignment="1" applyProtection="1">
      <alignment horizontal="center" vertical="center"/>
    </xf>
    <xf numFmtId="168" fontId="114" fillId="10" borderId="29" xfId="0" applyNumberFormat="1" applyFont="1" applyFill="1" applyBorder="1" applyAlignment="1" applyProtection="1">
      <alignment horizontal="center" vertical="center"/>
    </xf>
    <xf numFmtId="168" fontId="112" fillId="10" borderId="29" xfId="0" applyNumberFormat="1" applyFont="1" applyFill="1" applyBorder="1" applyAlignment="1" applyProtection="1">
      <alignment horizontal="center" vertical="center"/>
    </xf>
    <xf numFmtId="168" fontId="114" fillId="10" borderId="350" xfId="0" applyNumberFormat="1" applyFont="1" applyFill="1" applyBorder="1" applyAlignment="1" applyProtection="1">
      <alignment horizontal="center" vertical="center"/>
    </xf>
    <xf numFmtId="168" fontId="112" fillId="10" borderId="350" xfId="0" applyNumberFormat="1" applyFont="1" applyFill="1" applyBorder="1" applyAlignment="1" applyProtection="1">
      <alignment horizontal="center" vertical="center"/>
    </xf>
    <xf numFmtId="168" fontId="114" fillId="10" borderId="23" xfId="0" applyNumberFormat="1" applyFont="1" applyFill="1" applyBorder="1" applyAlignment="1" applyProtection="1">
      <alignment horizontal="center" vertical="center"/>
    </xf>
    <xf numFmtId="168" fontId="112" fillId="10" borderId="23" xfId="0" applyNumberFormat="1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68" fontId="4" fillId="4" borderId="332" xfId="0" applyNumberFormat="1" applyFont="1" applyFill="1" applyBorder="1" applyAlignment="1" applyProtection="1">
      <alignment horizontal="center" vertical="center"/>
    </xf>
    <xf numFmtId="168" fontId="4" fillId="4" borderId="333" xfId="0" applyNumberFormat="1" applyFont="1" applyFill="1" applyBorder="1" applyAlignment="1" applyProtection="1">
      <alignment horizontal="center" vertical="center"/>
    </xf>
    <xf numFmtId="168" fontId="4" fillId="0" borderId="333" xfId="0" applyNumberFormat="1" applyFont="1" applyFill="1" applyBorder="1" applyAlignment="1" applyProtection="1">
      <alignment horizontal="center" vertical="center"/>
    </xf>
    <xf numFmtId="168" fontId="4" fillId="4" borderId="7" xfId="0" applyNumberFormat="1" applyFont="1" applyFill="1" applyBorder="1" applyAlignment="1" applyProtection="1">
      <alignment horizontal="center" vertical="center"/>
    </xf>
    <xf numFmtId="168" fontId="4" fillId="4" borderId="8" xfId="0" applyNumberFormat="1" applyFont="1" applyFill="1" applyBorder="1" applyAlignment="1" applyProtection="1">
      <alignment horizontal="center" vertical="center"/>
    </xf>
    <xf numFmtId="168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155" fillId="29" borderId="5" xfId="0" applyFont="1" applyFill="1" applyBorder="1" applyAlignment="1" applyProtection="1">
      <alignment horizontal="left" vertical="center"/>
      <protection locked="0"/>
    </xf>
    <xf numFmtId="0" fontId="157" fillId="2" borderId="0" xfId="0" applyFont="1" applyFill="1" applyAlignment="1" applyProtection="1">
      <alignment horizontal="right"/>
    </xf>
    <xf numFmtId="0" fontId="158" fillId="2" borderId="0" xfId="0" applyFont="1" applyFill="1" applyAlignment="1" applyProtection="1">
      <alignment horizontal="right"/>
    </xf>
    <xf numFmtId="177" fontId="158" fillId="2" borderId="0" xfId="0" applyNumberFormat="1" applyFont="1" applyFill="1" applyAlignment="1" applyProtection="1">
      <alignment horizontal="right"/>
    </xf>
    <xf numFmtId="1" fontId="158" fillId="2" borderId="0" xfId="0" applyNumberFormat="1" applyFont="1" applyFill="1" applyAlignment="1" applyProtection="1">
      <alignment horizontal="right"/>
    </xf>
    <xf numFmtId="0" fontId="158" fillId="2" borderId="0" xfId="0" applyNumberFormat="1" applyFont="1" applyFill="1" applyAlignment="1" applyProtection="1">
      <alignment horizontal="right"/>
    </xf>
    <xf numFmtId="0" fontId="159" fillId="2" borderId="0" xfId="0" applyFont="1" applyFill="1" applyAlignment="1" applyProtection="1">
      <alignment horizontal="center" vertical="center"/>
    </xf>
    <xf numFmtId="169" fontId="158" fillId="2" borderId="0" xfId="0" applyNumberFormat="1" applyFont="1" applyFill="1" applyAlignment="1" applyProtection="1">
      <alignment horizontal="right"/>
    </xf>
    <xf numFmtId="0" fontId="11" fillId="4" borderId="0" xfId="0" applyFont="1" applyFill="1" applyBorder="1" applyAlignment="1" applyProtection="1">
      <alignment horizontal="right" vertical="center"/>
    </xf>
    <xf numFmtId="0" fontId="11" fillId="4" borderId="0" xfId="0" applyFont="1" applyFill="1" applyBorder="1" applyAlignment="1" applyProtection="1">
      <alignment horizontal="justify" vertical="center"/>
    </xf>
    <xf numFmtId="0" fontId="12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" fillId="0" borderId="44" xfId="0" applyFont="1" applyBorder="1" applyAlignment="1" applyProtection="1">
      <alignment horizontal="right"/>
    </xf>
    <xf numFmtId="0" fontId="23" fillId="4" borderId="0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23" xfId="0" applyFont="1" applyFill="1" applyBorder="1" applyAlignment="1" applyProtection="1">
      <alignment horizontal="justify" vertical="top"/>
    </xf>
    <xf numFmtId="180" fontId="62" fillId="2" borderId="0" xfId="0" applyNumberFormat="1" applyFont="1" applyFill="1" applyBorder="1" applyAlignment="1" applyProtection="1">
      <alignment horizontal="right"/>
    </xf>
    <xf numFmtId="0" fontId="62" fillId="4" borderId="41" xfId="0" applyFont="1" applyFill="1" applyBorder="1" applyAlignment="1" applyProtection="1">
      <alignment horizontal="center" vertical="center"/>
    </xf>
    <xf numFmtId="180" fontId="61" fillId="2" borderId="135" xfId="0" applyNumberFormat="1" applyFont="1" applyFill="1" applyBorder="1" applyAlignment="1" applyProtection="1">
      <alignment horizontal="right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61" fillId="6" borderId="23" xfId="0" applyFont="1" applyFill="1" applyBorder="1" applyAlignment="1" applyProtection="1">
      <alignment horizontal="justify" vertical="top"/>
    </xf>
    <xf numFmtId="180" fontId="97" fillId="2" borderId="132" xfId="0" applyNumberFormat="1" applyFont="1" applyFill="1" applyBorder="1" applyAlignment="1" applyProtection="1">
      <alignment horizontal="right"/>
    </xf>
    <xf numFmtId="7" fontId="97" fillId="2" borderId="23" xfId="0" applyNumberFormat="1" applyFont="1" applyFill="1" applyBorder="1" applyAlignment="1" applyProtection="1">
      <alignment horizontal="right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9" fontId="61" fillId="4" borderId="301" xfId="0" applyNumberFormat="1" applyFont="1" applyFill="1" applyBorder="1" applyAlignment="1" applyProtection="1">
      <alignment horizontal="center" vertical="top"/>
    </xf>
    <xf numFmtId="0" fontId="105" fillId="2" borderId="0" xfId="0" applyFont="1" applyFill="1" applyBorder="1" applyAlignment="1" applyProtection="1">
      <alignment horizontal="center" vertical="center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0" fontId="129" fillId="4" borderId="0" xfId="0" applyFont="1" applyFill="1" applyBorder="1" applyAlignment="1" applyProtection="1">
      <alignment horizontal="distributed" vertical="top"/>
    </xf>
    <xf numFmtId="0" fontId="160" fillId="4" borderId="0" xfId="0" applyFont="1" applyFill="1" applyAlignment="1" applyProtection="1">
      <alignment horizontal="center" vertical="center" wrapText="1"/>
    </xf>
    <xf numFmtId="0" fontId="161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vertical="center"/>
    </xf>
    <xf numFmtId="14" fontId="162" fillId="4" borderId="0" xfId="0" applyNumberFormat="1" applyFont="1" applyFill="1" applyAlignment="1" applyProtection="1">
      <alignment horizontal="center" vertical="center"/>
    </xf>
    <xf numFmtId="168" fontId="22" fillId="4" borderId="465" xfId="0" applyNumberFormat="1" applyFont="1" applyFill="1" applyBorder="1" applyAlignment="1" applyProtection="1">
      <alignment horizontal="right" vertical="center"/>
    </xf>
    <xf numFmtId="0" fontId="44" fillId="9" borderId="465" xfId="0" applyFont="1" applyFill="1" applyBorder="1" applyAlignment="1" applyProtection="1">
      <alignment horizontal="right" vertical="center"/>
    </xf>
    <xf numFmtId="0" fontId="45" fillId="9" borderId="465" xfId="0" applyNumberFormat="1" applyFont="1" applyFill="1" applyBorder="1" applyAlignment="1" applyProtection="1">
      <alignment vertical="center"/>
    </xf>
    <xf numFmtId="0" fontId="44" fillId="9" borderId="465" xfId="0" applyFont="1" applyFill="1" applyBorder="1" applyAlignment="1" applyProtection="1">
      <alignment vertical="center"/>
    </xf>
    <xf numFmtId="0" fontId="45" fillId="9" borderId="465" xfId="0" applyFont="1" applyFill="1" applyBorder="1" applyAlignment="1" applyProtection="1">
      <alignment vertical="center"/>
    </xf>
    <xf numFmtId="0" fontId="44" fillId="9" borderId="466" xfId="0" applyFont="1" applyFill="1" applyBorder="1" applyAlignment="1" applyProtection="1">
      <alignment vertical="center"/>
    </xf>
    <xf numFmtId="14" fontId="16" fillId="4" borderId="0" xfId="0" applyNumberFormat="1" applyFont="1" applyFill="1" applyAlignment="1" applyProtection="1">
      <alignment horizontal="center" vertical="center"/>
    </xf>
    <xf numFmtId="168" fontId="22" fillId="0" borderId="8" xfId="0" applyNumberFormat="1" applyFont="1" applyFill="1" applyBorder="1" applyAlignment="1" applyProtection="1">
      <alignment horizontal="center" vertical="center"/>
    </xf>
    <xf numFmtId="0" fontId="22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justify" vertical="center"/>
    </xf>
    <xf numFmtId="0" fontId="98" fillId="4" borderId="468" xfId="0" applyFont="1" applyFill="1" applyBorder="1" applyAlignment="1" applyProtection="1">
      <alignment horizontal="center" vertical="center"/>
    </xf>
    <xf numFmtId="168" fontId="103" fillId="4" borderId="468" xfId="0" applyNumberFormat="1" applyFont="1" applyFill="1" applyBorder="1" applyAlignment="1" applyProtection="1">
      <alignment horizontal="center" vertical="center"/>
    </xf>
    <xf numFmtId="168" fontId="62" fillId="0" borderId="468" xfId="0" applyNumberFormat="1" applyFont="1" applyFill="1" applyBorder="1" applyAlignment="1" applyProtection="1">
      <alignment horizontal="center" vertical="center"/>
    </xf>
    <xf numFmtId="168" fontId="62" fillId="0" borderId="470" xfId="0" applyNumberFormat="1" applyFont="1" applyFill="1" applyBorder="1" applyAlignment="1" applyProtection="1">
      <alignment horizontal="center" vertical="center"/>
    </xf>
    <xf numFmtId="0" fontId="62" fillId="29" borderId="468" xfId="0" applyFont="1" applyFill="1" applyBorder="1" applyAlignment="1" applyProtection="1">
      <alignment horizontal="left" vertical="center"/>
    </xf>
    <xf numFmtId="1" fontId="54" fillId="0" borderId="470" xfId="0" applyNumberFormat="1" applyFont="1" applyFill="1" applyBorder="1" applyAlignment="1" applyProtection="1">
      <alignment horizontal="center" vertical="center"/>
    </xf>
    <xf numFmtId="168" fontId="104" fillId="4" borderId="468" xfId="0" applyNumberFormat="1" applyFont="1" applyFill="1" applyBorder="1" applyAlignment="1" applyProtection="1">
      <alignment horizontal="center" vertical="top"/>
    </xf>
    <xf numFmtId="0" fontId="61" fillId="4" borderId="468" xfId="0" applyFont="1" applyFill="1" applyBorder="1" applyAlignment="1" applyProtection="1">
      <alignment horizontal="justify" vertical="top"/>
    </xf>
    <xf numFmtId="182" fontId="61" fillId="10" borderId="477" xfId="0" applyNumberFormat="1" applyFont="1" applyFill="1" applyBorder="1" applyAlignment="1" applyProtection="1">
      <alignment horizontal="center" vertical="top"/>
      <protection locked="0"/>
    </xf>
    <xf numFmtId="168" fontId="61" fillId="4" borderId="463" xfId="0" applyNumberFormat="1" applyFont="1" applyFill="1" applyBorder="1" applyAlignment="1" applyProtection="1">
      <alignment horizontal="center" vertical="top"/>
    </xf>
    <xf numFmtId="9" fontId="61" fillId="4" borderId="463" xfId="0" applyNumberFormat="1" applyFont="1" applyFill="1" applyBorder="1" applyAlignment="1" applyProtection="1">
      <alignment horizontal="center" vertical="top"/>
    </xf>
    <xf numFmtId="44" fontId="61" fillId="4" borderId="479" xfId="0" applyNumberFormat="1" applyFont="1" applyFill="1" applyBorder="1" applyAlignment="1" applyProtection="1">
      <alignment horizontal="right" vertical="top"/>
    </xf>
    <xf numFmtId="182" fontId="61" fillId="0" borderId="477" xfId="0" applyNumberFormat="1" applyFont="1" applyFill="1" applyBorder="1" applyAlignment="1" applyProtection="1">
      <alignment horizontal="center" vertical="top"/>
    </xf>
    <xf numFmtId="182" fontId="61" fillId="0" borderId="468" xfId="0" applyNumberFormat="1" applyFont="1" applyFill="1" applyBorder="1" applyAlignment="1" applyProtection="1">
      <alignment horizontal="center" vertical="top"/>
    </xf>
    <xf numFmtId="168" fontId="61" fillId="19" borderId="463" xfId="0" applyNumberFormat="1" applyFont="1" applyFill="1" applyBorder="1" applyAlignment="1" applyProtection="1">
      <alignment horizontal="center" vertical="top"/>
      <protection locked="0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1" fillId="0" borderId="475" xfId="0" applyNumberFormat="1" applyFont="1" applyFill="1" applyBorder="1" applyAlignment="1" applyProtection="1">
      <alignment horizontal="center" vertical="top"/>
    </xf>
    <xf numFmtId="168" fontId="61" fillId="19" borderId="481" xfId="0" applyNumberFormat="1" applyFont="1" applyFill="1" applyBorder="1" applyAlignment="1" applyProtection="1">
      <alignment horizontal="center" vertical="top"/>
      <protection locked="0"/>
    </xf>
    <xf numFmtId="9" fontId="61" fillId="4" borderId="476" xfId="0" applyNumberFormat="1" applyFont="1" applyFill="1" applyBorder="1" applyAlignment="1" applyProtection="1">
      <alignment horizontal="center" vertical="top"/>
    </xf>
    <xf numFmtId="168" fontId="61" fillId="0" borderId="463" xfId="0" applyNumberFormat="1" applyFont="1" applyFill="1" applyBorder="1" applyAlignment="1" applyProtection="1">
      <alignment horizontal="center" vertical="top"/>
    </xf>
    <xf numFmtId="0" fontId="62" fillId="4" borderId="463" xfId="0" applyFont="1" applyFill="1" applyBorder="1" applyAlignment="1" applyProtection="1">
      <alignment horizontal="center" vertical="center"/>
      <protection locked="0"/>
    </xf>
    <xf numFmtId="9" fontId="61" fillId="19" borderId="463" xfId="0" applyNumberFormat="1" applyFont="1" applyFill="1" applyBorder="1" applyAlignment="1" applyProtection="1">
      <alignment horizontal="center" vertical="top"/>
      <protection locked="0"/>
    </xf>
    <xf numFmtId="0" fontId="62" fillId="2" borderId="463" xfId="0" applyFont="1" applyFill="1" applyBorder="1" applyAlignment="1" applyProtection="1">
      <alignment horizontal="center" vertical="center"/>
    </xf>
    <xf numFmtId="9" fontId="61" fillId="0" borderId="463" xfId="0" applyNumberFormat="1" applyFont="1" applyFill="1" applyBorder="1" applyAlignment="1" applyProtection="1">
      <alignment horizontal="center" vertical="top"/>
    </xf>
    <xf numFmtId="0" fontId="105" fillId="2" borderId="469" xfId="0" applyFont="1" applyFill="1" applyBorder="1" applyAlignment="1" applyProtection="1">
      <alignment horizontal="center" vertical="center"/>
    </xf>
    <xf numFmtId="0" fontId="105" fillId="2" borderId="465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top"/>
    </xf>
    <xf numFmtId="0" fontId="106" fillId="4" borderId="468" xfId="0" applyFont="1" applyFill="1" applyBorder="1" applyAlignment="1" applyProtection="1">
      <alignment horizontal="center" vertical="top"/>
    </xf>
    <xf numFmtId="182" fontId="61" fillId="19" borderId="465" xfId="0" applyNumberFormat="1" applyFont="1" applyFill="1" applyBorder="1" applyAlignment="1" applyProtection="1">
      <alignment horizontal="center" vertical="top"/>
      <protection locked="0"/>
    </xf>
    <xf numFmtId="168" fontId="61" fillId="0" borderId="473" xfId="0" applyNumberFormat="1" applyFont="1" applyFill="1" applyBorder="1" applyAlignment="1" applyProtection="1">
      <alignment horizontal="center" vertical="top"/>
    </xf>
    <xf numFmtId="9" fontId="61" fillId="0" borderId="473" xfId="0" applyNumberFormat="1" applyFont="1" applyFill="1" applyBorder="1" applyAlignment="1" applyProtection="1">
      <alignment horizontal="center" vertical="top"/>
    </xf>
    <xf numFmtId="44" fontId="61" fillId="4" borderId="484" xfId="0" applyNumberFormat="1" applyFont="1" applyFill="1" applyBorder="1" applyAlignment="1" applyProtection="1">
      <alignment horizontal="right" vertical="top"/>
    </xf>
    <xf numFmtId="0" fontId="62" fillId="2" borderId="475" xfId="0" applyFont="1" applyFill="1" applyBorder="1" applyAlignment="1" applyProtection="1">
      <alignment horizontal="center" vertical="center"/>
    </xf>
    <xf numFmtId="0" fontId="62" fillId="2" borderId="476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left" vertical="center"/>
    </xf>
    <xf numFmtId="0" fontId="62" fillId="4" borderId="470" xfId="0" applyFont="1" applyFill="1" applyBorder="1" applyAlignment="1" applyProtection="1">
      <alignment horizontal="left" vertical="center"/>
    </xf>
    <xf numFmtId="168" fontId="61" fillId="4" borderId="468" xfId="0" applyNumberFormat="1" applyFont="1" applyFill="1" applyBorder="1" applyAlignment="1" applyProtection="1">
      <alignment horizontal="center" vertical="top"/>
    </xf>
    <xf numFmtId="168" fontId="61" fillId="6" borderId="468" xfId="0" applyNumberFormat="1" applyFont="1" applyFill="1" applyBorder="1" applyAlignment="1" applyProtection="1">
      <alignment horizontal="center" vertical="top"/>
    </xf>
    <xf numFmtId="0" fontId="61" fillId="6" borderId="468" xfId="0" applyFont="1" applyFill="1" applyBorder="1" applyAlignment="1" applyProtection="1">
      <alignment horizontal="justify" vertical="top"/>
    </xf>
    <xf numFmtId="182" fontId="61" fillId="6" borderId="477" xfId="0" applyNumberFormat="1" applyFont="1" applyFill="1" applyBorder="1" applyAlignment="1" applyProtection="1">
      <alignment horizontal="center" vertical="top"/>
    </xf>
    <xf numFmtId="182" fontId="61" fillId="9" borderId="477" xfId="0" applyNumberFormat="1" applyFont="1" applyFill="1" applyBorder="1" applyAlignment="1" applyProtection="1">
      <alignment horizontal="center" vertical="top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182" fontId="61" fillId="9" borderId="468" xfId="0" applyNumberFormat="1" applyFont="1" applyFill="1" applyBorder="1" applyAlignment="1" applyProtection="1">
      <alignment horizontal="center" vertical="top"/>
    </xf>
    <xf numFmtId="0" fontId="61" fillId="9" borderId="467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182" fontId="61" fillId="0" borderId="465" xfId="0" applyNumberFormat="1" applyFont="1" applyFill="1" applyBorder="1" applyAlignment="1" applyProtection="1">
      <alignment horizontal="center" vertical="top"/>
    </xf>
    <xf numFmtId="0" fontId="67" fillId="4" borderId="465" xfId="0" applyFont="1" applyFill="1" applyBorder="1" applyAlignment="1" applyProtection="1">
      <alignment horizontal="center" vertical="center"/>
    </xf>
    <xf numFmtId="177" fontId="4" fillId="4" borderId="358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6" fillId="4" borderId="134" xfId="0" applyFont="1" applyFill="1" applyBorder="1" applyAlignment="1" applyProtection="1">
      <alignment horizontal="center" vertical="center"/>
      <protection locked="0"/>
    </xf>
    <xf numFmtId="0" fontId="6" fillId="4" borderId="135" xfId="0" applyFont="1" applyFill="1" applyBorder="1" applyAlignment="1" applyProtection="1">
      <alignment horizontal="right" vertical="center"/>
      <protection locked="0"/>
    </xf>
    <xf numFmtId="0" fontId="6" fillId="4" borderId="135" xfId="0" applyFont="1" applyFill="1" applyBorder="1" applyAlignment="1" applyProtection="1">
      <alignment horizontal="justify" vertical="center"/>
      <protection locked="0"/>
    </xf>
    <xf numFmtId="0" fontId="6" fillId="4" borderId="135" xfId="0" applyFont="1" applyFill="1" applyBorder="1" applyAlignment="1" applyProtection="1">
      <alignment horizontal="center" vertical="center"/>
      <protection locked="0"/>
    </xf>
    <xf numFmtId="176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173" xfId="0" applyNumberFormat="1" applyFont="1" applyFill="1" applyBorder="1" applyAlignment="1" applyProtection="1">
      <alignment horizontal="right" vertical="center"/>
      <protection locked="0"/>
    </xf>
    <xf numFmtId="181" fontId="6" fillId="4" borderId="39" xfId="0" applyNumberFormat="1" applyFont="1" applyFill="1" applyBorder="1" applyAlignment="1" applyProtection="1">
      <alignment horizontal="right" vertical="center"/>
      <protection locked="0"/>
    </xf>
    <xf numFmtId="0" fontId="60" fillId="0" borderId="87" xfId="0" applyFont="1" applyFill="1" applyBorder="1" applyAlignment="1" applyProtection="1">
      <alignment horizontal="center" vertical="center"/>
    </xf>
    <xf numFmtId="0" fontId="60" fillId="0" borderId="38" xfId="0" applyFont="1" applyFill="1" applyBorder="1" applyAlignment="1" applyProtection="1">
      <alignment horizontal="right" vertical="center"/>
    </xf>
    <xf numFmtId="0" fontId="60" fillId="0" borderId="38" xfId="0" applyFont="1" applyFill="1" applyBorder="1" applyAlignment="1" applyProtection="1">
      <alignment horizontal="justify" vertical="center"/>
    </xf>
    <xf numFmtId="0" fontId="60" fillId="0" borderId="38" xfId="0" applyFont="1" applyFill="1" applyBorder="1" applyAlignment="1" applyProtection="1">
      <alignment horizontal="center" vertical="center"/>
    </xf>
    <xf numFmtId="176" fontId="60" fillId="0" borderId="70" xfId="0" applyNumberFormat="1" applyFont="1" applyFill="1" applyBorder="1" applyAlignment="1" applyProtection="1">
      <alignment horizontal="right" vertical="center"/>
    </xf>
    <xf numFmtId="181" fontId="60" fillId="0" borderId="70" xfId="0" applyNumberFormat="1" applyFont="1" applyFill="1" applyBorder="1" applyAlignment="1" applyProtection="1">
      <alignment horizontal="right" vertical="center"/>
    </xf>
    <xf numFmtId="178" fontId="60" fillId="0" borderId="87" xfId="0" applyNumberFormat="1" applyFont="1" applyFill="1" applyBorder="1" applyAlignment="1" applyProtection="1">
      <alignment horizontal="center" vertical="center"/>
      <protection locked="0"/>
    </xf>
    <xf numFmtId="0" fontId="60" fillId="0" borderId="38" xfId="0" applyFont="1" applyFill="1" applyBorder="1" applyAlignment="1" applyProtection="1">
      <alignment horizontal="right" vertical="center"/>
      <protection locked="0"/>
    </xf>
    <xf numFmtId="0" fontId="60" fillId="0" borderId="38" xfId="0" applyFont="1" applyFill="1" applyBorder="1" applyAlignment="1" applyProtection="1">
      <alignment horizontal="justify" vertical="center"/>
      <protection locked="0"/>
    </xf>
    <xf numFmtId="0" fontId="60" fillId="0" borderId="38" xfId="0" applyFont="1" applyFill="1" applyBorder="1" applyAlignment="1" applyProtection="1">
      <alignment horizontal="center" vertical="center"/>
      <protection locked="0"/>
    </xf>
    <xf numFmtId="176" fontId="60" fillId="0" borderId="70" xfId="0" applyNumberFormat="1" applyFont="1" applyFill="1" applyBorder="1" applyAlignment="1" applyProtection="1">
      <alignment horizontal="right" vertical="center"/>
      <protection locked="0"/>
    </xf>
    <xf numFmtId="181" fontId="60" fillId="0" borderId="223" xfId="0" applyNumberFormat="1" applyFont="1" applyFill="1" applyBorder="1" applyAlignment="1" applyProtection="1">
      <alignment horizontal="right" vertical="center"/>
      <protection locked="0"/>
    </xf>
    <xf numFmtId="181" fontId="60" fillId="0" borderId="472" xfId="0" applyNumberFormat="1" applyFont="1" applyFill="1" applyBorder="1" applyAlignment="1" applyProtection="1">
      <alignment horizontal="right" vertical="center"/>
      <protection locked="0"/>
    </xf>
    <xf numFmtId="0" fontId="60" fillId="0" borderId="477" xfId="0" applyFont="1" applyFill="1" applyBorder="1" applyAlignment="1" applyProtection="1">
      <alignment horizontal="center" vertical="center"/>
      <protection locked="0"/>
    </xf>
    <xf numFmtId="0" fontId="60" fillId="0" borderId="25" xfId="0" applyFont="1" applyFill="1" applyBorder="1" applyAlignment="1" applyProtection="1">
      <alignment horizontal="right" vertical="center"/>
      <protection locked="0"/>
    </xf>
    <xf numFmtId="0" fontId="60" fillId="0" borderId="25" xfId="0" applyFont="1" applyFill="1" applyBorder="1" applyAlignment="1" applyProtection="1">
      <alignment horizontal="justify" vertical="center"/>
      <protection locked="0"/>
    </xf>
    <xf numFmtId="0" fontId="60" fillId="0" borderId="25" xfId="0" applyFont="1" applyFill="1" applyBorder="1" applyAlignment="1" applyProtection="1">
      <alignment horizontal="center" vertical="center"/>
      <protection locked="0"/>
    </xf>
    <xf numFmtId="176" fontId="60" fillId="0" borderId="224" xfId="0" applyNumberFormat="1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right" vertical="center"/>
      <protection locked="0"/>
    </xf>
    <xf numFmtId="0" fontId="60" fillId="0" borderId="286" xfId="0" applyFont="1" applyFill="1" applyBorder="1" applyAlignment="1" applyProtection="1">
      <alignment horizontal="justify" vertical="center"/>
      <protection locked="0"/>
    </xf>
    <xf numFmtId="0" fontId="60" fillId="0" borderId="286" xfId="0" applyFont="1" applyFill="1" applyBorder="1" applyAlignment="1" applyProtection="1">
      <alignment horizontal="center" vertical="center"/>
      <protection locked="0"/>
    </xf>
    <xf numFmtId="176" fontId="60" fillId="0" borderId="349" xfId="0" applyNumberFormat="1" applyFont="1" applyFill="1" applyBorder="1" applyAlignment="1" applyProtection="1">
      <alignment horizontal="right" vertical="center"/>
      <protection locked="0"/>
    </xf>
    <xf numFmtId="181" fontId="60" fillId="0" borderId="286" xfId="0" applyNumberFormat="1" applyFont="1" applyFill="1" applyBorder="1" applyAlignment="1" applyProtection="1">
      <alignment horizontal="right" vertical="center"/>
      <protection locked="0"/>
    </xf>
    <xf numFmtId="176" fontId="60" fillId="0" borderId="382" xfId="0" applyNumberFormat="1" applyFont="1" applyFill="1" applyBorder="1" applyAlignment="1" applyProtection="1">
      <alignment horizontal="right" vertical="center"/>
      <protection locked="0"/>
    </xf>
    <xf numFmtId="181" fontId="60" fillId="0" borderId="383" xfId="0" applyNumberFormat="1" applyFont="1" applyFill="1" applyBorder="1" applyAlignment="1" applyProtection="1">
      <alignment horizontal="right" vertical="center"/>
      <protection locked="0"/>
    </xf>
    <xf numFmtId="0" fontId="60" fillId="0" borderId="471" xfId="0" applyFont="1" applyFill="1" applyBorder="1" applyAlignment="1" applyProtection="1">
      <alignment horizontal="center" vertical="center"/>
      <protection locked="0"/>
    </xf>
    <xf numFmtId="0" fontId="60" fillId="0" borderId="206" xfId="0" applyFont="1" applyFill="1" applyBorder="1" applyAlignment="1" applyProtection="1">
      <alignment horizontal="right" vertical="center"/>
      <protection locked="0"/>
    </xf>
    <xf numFmtId="0" fontId="60" fillId="0" borderId="206" xfId="0" applyFont="1" applyFill="1" applyBorder="1" applyAlignment="1" applyProtection="1">
      <alignment horizontal="justify" vertical="center"/>
      <protection locked="0"/>
    </xf>
    <xf numFmtId="0" fontId="60" fillId="0" borderId="206" xfId="0" applyFont="1" applyFill="1" applyBorder="1" applyAlignment="1" applyProtection="1">
      <alignment horizontal="center" vertical="center"/>
      <protection locked="0"/>
    </xf>
    <xf numFmtId="176" fontId="60" fillId="0" borderId="186" xfId="0" applyNumberFormat="1" applyFont="1" applyFill="1" applyBorder="1" applyAlignment="1" applyProtection="1">
      <alignment horizontal="right" vertical="center"/>
      <protection locked="0"/>
    </xf>
    <xf numFmtId="0" fontId="163" fillId="0" borderId="83" xfId="0" applyFont="1" applyFill="1" applyBorder="1" applyAlignment="1" applyProtection="1">
      <alignment horizontal="center" vertical="center"/>
    </xf>
    <xf numFmtId="0" fontId="163" fillId="0" borderId="41" xfId="0" applyFont="1" applyFill="1" applyBorder="1" applyAlignment="1" applyProtection="1">
      <alignment horizontal="center" vertical="center"/>
    </xf>
    <xf numFmtId="0" fontId="163" fillId="0" borderId="157" xfId="0" applyFont="1" applyFill="1" applyBorder="1" applyAlignment="1" applyProtection="1">
      <alignment horizontal="center" vertical="center"/>
    </xf>
    <xf numFmtId="0" fontId="163" fillId="0" borderId="67" xfId="0" applyFont="1" applyFill="1" applyBorder="1" applyAlignment="1" applyProtection="1">
      <alignment horizontal="center" vertical="center"/>
    </xf>
    <xf numFmtId="0" fontId="6" fillId="4" borderId="70" xfId="0" applyFont="1" applyFill="1" applyBorder="1" applyAlignment="1" applyProtection="1">
      <alignment horizontal="justify" vertical="center"/>
    </xf>
    <xf numFmtId="0" fontId="6" fillId="4" borderId="70" xfId="0" applyFont="1" applyFill="1" applyBorder="1" applyAlignment="1" applyProtection="1">
      <alignment horizontal="justify" vertical="center"/>
      <protection locked="0"/>
    </xf>
    <xf numFmtId="0" fontId="6" fillId="4" borderId="472" xfId="0" applyFont="1" applyFill="1" applyBorder="1" applyAlignment="1" applyProtection="1">
      <alignment horizontal="justify" vertical="center"/>
      <protection locked="0"/>
    </xf>
    <xf numFmtId="0" fontId="6" fillId="4" borderId="469" xfId="0" applyFont="1" applyFill="1" applyBorder="1" applyAlignment="1" applyProtection="1">
      <alignment horizontal="justify" vertical="center"/>
      <protection locked="0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0" fontId="6" fillId="4" borderId="352" xfId="0" applyFont="1" applyFill="1" applyBorder="1" applyAlignment="1" applyProtection="1">
      <alignment horizontal="justify" vertical="center"/>
    </xf>
    <xf numFmtId="0" fontId="2" fillId="2" borderId="463" xfId="0" applyFont="1" applyFill="1" applyBorder="1" applyAlignment="1" applyProtection="1">
      <alignment horizontal="center" vertical="center"/>
    </xf>
    <xf numFmtId="0" fontId="2" fillId="4" borderId="463" xfId="0" applyFont="1" applyFill="1" applyBorder="1" applyAlignment="1" applyProtection="1">
      <alignment horizontal="center" vertical="center"/>
    </xf>
    <xf numFmtId="0" fontId="3" fillId="4" borderId="463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justify" vertical="center"/>
    </xf>
    <xf numFmtId="0" fontId="1" fillId="0" borderId="43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center" vertical="center" wrapText="1"/>
    </xf>
    <xf numFmtId="0" fontId="16" fillId="4" borderId="0" xfId="0" applyFont="1" applyFill="1" applyBorder="1" applyAlignment="1" applyProtection="1">
      <alignment horizontal="center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168" fontId="2" fillId="10" borderId="485" xfId="0" applyNumberFormat="1" applyFont="1" applyFill="1" applyBorder="1" applyAlignment="1" applyProtection="1">
      <alignment horizontal="center" vertical="center"/>
      <protection locked="0"/>
    </xf>
    <xf numFmtId="0" fontId="44" fillId="9" borderId="485" xfId="0" applyFont="1" applyFill="1" applyBorder="1" applyAlignment="1" applyProtection="1">
      <alignment horizontal="right" vertical="center"/>
    </xf>
    <xf numFmtId="0" fontId="45" fillId="9" borderId="485" xfId="0" applyNumberFormat="1" applyFont="1" applyFill="1" applyBorder="1" applyAlignment="1" applyProtection="1">
      <alignment vertical="center"/>
    </xf>
    <xf numFmtId="0" fontId="44" fillId="9" borderId="485" xfId="0" applyFont="1" applyFill="1" applyBorder="1" applyAlignment="1" applyProtection="1">
      <alignment vertical="center"/>
    </xf>
    <xf numFmtId="0" fontId="45" fillId="9" borderId="485" xfId="0" applyFont="1" applyFill="1" applyBorder="1" applyAlignment="1" applyProtection="1">
      <alignment vertical="center"/>
    </xf>
    <xf numFmtId="0" fontId="44" fillId="9" borderId="354" xfId="0" applyFont="1" applyFill="1" applyBorder="1" applyAlignment="1" applyProtection="1">
      <alignment vertical="center"/>
    </xf>
    <xf numFmtId="0" fontId="47" fillId="4" borderId="485" xfId="0" applyNumberFormat="1" applyFont="1" applyFill="1" applyBorder="1" applyAlignment="1" applyProtection="1">
      <alignment vertical="center"/>
    </xf>
    <xf numFmtId="0" fontId="47" fillId="4" borderId="485" xfId="0" applyFont="1" applyFill="1" applyBorder="1" applyAlignment="1" applyProtection="1">
      <alignment vertical="center"/>
    </xf>
    <xf numFmtId="0" fontId="4" fillId="4" borderId="485" xfId="0" applyFont="1" applyFill="1" applyBorder="1" applyAlignment="1" applyProtection="1">
      <alignment horizontal="justify" vertical="center"/>
    </xf>
    <xf numFmtId="0" fontId="136" fillId="4" borderId="485" xfId="0" applyFont="1" applyFill="1" applyBorder="1" applyAlignment="1" applyProtection="1">
      <alignment horizontal="center" vertical="center"/>
    </xf>
    <xf numFmtId="0" fontId="61" fillId="2" borderId="303" xfId="0" applyNumberFormat="1" applyFont="1" applyFill="1" applyBorder="1" applyAlignment="1" applyProtection="1">
      <alignment horizontal="center" vertical="top"/>
    </xf>
    <xf numFmtId="9" fontId="61" fillId="2" borderId="478" xfId="0" applyNumberFormat="1" applyFont="1" applyFill="1" applyBorder="1" applyAlignment="1" applyProtection="1">
      <alignment horizontal="center" vertical="top"/>
    </xf>
    <xf numFmtId="9" fontId="61" fillId="2" borderId="483" xfId="0" applyNumberFormat="1" applyFont="1" applyFill="1" applyBorder="1" applyAlignment="1" applyProtection="1">
      <alignment horizontal="center" vertical="top"/>
    </xf>
    <xf numFmtId="0" fontId="61" fillId="4" borderId="0" xfId="0" applyFont="1" applyFill="1" applyBorder="1" applyAlignment="1" applyProtection="1">
      <alignment horizontal="right" vertical="center"/>
    </xf>
    <xf numFmtId="192" fontId="171" fillId="19" borderId="154" xfId="0" applyNumberFormat="1" applyFont="1" applyFill="1" applyBorder="1" applyAlignment="1" applyProtection="1">
      <alignment horizontal="center" vertical="center"/>
      <protection locked="0"/>
    </xf>
    <xf numFmtId="1" fontId="171" fillId="19" borderId="490" xfId="0" applyNumberFormat="1" applyFont="1" applyFill="1" applyBorder="1" applyAlignment="1" applyProtection="1">
      <alignment horizontal="center" vertical="center"/>
      <protection locked="0"/>
    </xf>
    <xf numFmtId="0" fontId="169" fillId="35" borderId="63" xfId="0" applyFont="1" applyFill="1" applyBorder="1" applyAlignment="1" applyProtection="1">
      <alignment horizontal="left" vertical="center"/>
    </xf>
    <xf numFmtId="0" fontId="169" fillId="9" borderId="488" xfId="0" applyFont="1" applyFill="1" applyBorder="1" applyAlignment="1" applyProtection="1">
      <alignment horizontal="left" vertical="center"/>
    </xf>
    <xf numFmtId="0" fontId="171" fillId="35" borderId="154" xfId="0" applyFont="1" applyFill="1" applyBorder="1" applyAlignment="1" applyProtection="1">
      <alignment horizontal="center" vertical="center" wrapText="1"/>
    </xf>
    <xf numFmtId="0" fontId="169" fillId="9" borderId="486" xfId="0" applyFont="1" applyFill="1" applyBorder="1" applyAlignment="1" applyProtection="1">
      <alignment horizontal="left" vertical="center"/>
    </xf>
    <xf numFmtId="0" fontId="171" fillId="9" borderId="487" xfId="0" applyFont="1" applyFill="1" applyBorder="1" applyAlignment="1" applyProtection="1">
      <alignment horizontal="center" vertical="center" wrapText="1"/>
    </xf>
    <xf numFmtId="0" fontId="169" fillId="35" borderId="486" xfId="0" applyFont="1" applyFill="1" applyBorder="1" applyAlignment="1" applyProtection="1">
      <alignment horizontal="left" vertical="center"/>
    </xf>
    <xf numFmtId="0" fontId="171" fillId="35" borderId="487" xfId="0" applyFont="1" applyFill="1" applyBorder="1" applyAlignment="1" applyProtection="1">
      <alignment horizontal="center" vertical="center" wrapText="1"/>
    </xf>
    <xf numFmtId="0" fontId="171" fillId="9" borderId="487" xfId="0" applyFont="1" applyFill="1" applyBorder="1" applyAlignment="1" applyProtection="1">
      <alignment horizontal="center" vertical="center"/>
    </xf>
    <xf numFmtId="0" fontId="175" fillId="2" borderId="0" xfId="0" applyFont="1" applyFill="1" applyProtection="1"/>
    <xf numFmtId="0" fontId="73" fillId="2" borderId="0" xfId="0" applyFont="1" applyFill="1" applyAlignment="1" applyProtection="1">
      <alignment horizontal="left" vertical="center"/>
    </xf>
    <xf numFmtId="0" fontId="73" fillId="2" borderId="0" xfId="0" applyFont="1" applyFill="1" applyAlignment="1" applyProtection="1">
      <alignment horizontal="center" vertical="center"/>
    </xf>
    <xf numFmtId="0" fontId="73" fillId="2" borderId="0" xfId="0" applyFont="1" applyFill="1" applyAlignment="1" applyProtection="1">
      <alignment horizontal="center"/>
    </xf>
    <xf numFmtId="0" fontId="175" fillId="0" borderId="1" xfId="0" applyFont="1" applyBorder="1" applyProtection="1"/>
    <xf numFmtId="0" fontId="73" fillId="0" borderId="2" xfId="0" applyFont="1" applyFill="1" applyBorder="1" applyAlignment="1" applyProtection="1">
      <alignment horizontal="left" vertical="center"/>
    </xf>
    <xf numFmtId="0" fontId="73" fillId="0" borderId="2" xfId="0" applyFont="1" applyFill="1" applyBorder="1" applyAlignment="1" applyProtection="1">
      <alignment horizontal="center" vertical="center"/>
    </xf>
    <xf numFmtId="0" fontId="73" fillId="0" borderId="3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center"/>
    </xf>
    <xf numFmtId="0" fontId="175" fillId="0" borderId="0" xfId="0" applyFont="1" applyProtection="1"/>
    <xf numFmtId="0" fontId="175" fillId="0" borderId="43" xfId="0" applyFont="1" applyBorder="1" applyProtection="1"/>
    <xf numFmtId="0" fontId="73" fillId="0" borderId="44" xfId="0" applyFont="1" applyFill="1" applyBorder="1" applyAlignment="1" applyProtection="1">
      <alignment horizontal="center"/>
    </xf>
    <xf numFmtId="0" fontId="73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 vertical="center"/>
    </xf>
    <xf numFmtId="0" fontId="22" fillId="0" borderId="44" xfId="0" applyFont="1" applyFill="1" applyBorder="1" applyAlignment="1" applyProtection="1">
      <alignment horizontal="center"/>
    </xf>
    <xf numFmtId="0" fontId="22" fillId="2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75" fillId="0" borderId="0" xfId="0" applyFont="1" applyAlignment="1" applyProtection="1">
      <alignment vertical="center"/>
    </xf>
    <xf numFmtId="0" fontId="22" fillId="9" borderId="488" xfId="0" applyFont="1" applyFill="1" applyBorder="1" applyAlignment="1" applyProtection="1">
      <alignment horizontal="left" vertical="center"/>
    </xf>
    <xf numFmtId="0" fontId="73" fillId="2" borderId="0" xfId="0" applyFont="1" applyFill="1" applyBorder="1" applyAlignment="1" applyProtection="1">
      <alignment horizontal="center"/>
    </xf>
    <xf numFmtId="177" fontId="175" fillId="0" borderId="0" xfId="0" applyNumberFormat="1" applyFont="1" applyProtection="1"/>
    <xf numFmtId="0" fontId="22" fillId="0" borderId="0" xfId="0" applyFont="1" applyFill="1" applyBorder="1" applyAlignment="1" applyProtection="1">
      <alignment horizontal="left" vertical="center"/>
    </xf>
    <xf numFmtId="0" fontId="73" fillId="0" borderId="0" xfId="0" applyFont="1" applyFill="1" applyBorder="1" applyAlignment="1" applyProtection="1">
      <alignment horizontal="center"/>
    </xf>
    <xf numFmtId="177" fontId="176" fillId="0" borderId="0" xfId="0" applyNumberFormat="1" applyFont="1" applyProtection="1"/>
    <xf numFmtId="0" fontId="22" fillId="9" borderId="486" xfId="0" applyFont="1" applyFill="1" applyBorder="1" applyAlignment="1" applyProtection="1">
      <alignment horizontal="left" vertical="center"/>
    </xf>
    <xf numFmtId="0" fontId="22" fillId="9" borderId="488" xfId="0" applyFont="1" applyFill="1" applyBorder="1" applyAlignment="1" applyProtection="1">
      <alignment horizontal="left" vertical="center" wrapText="1"/>
    </xf>
    <xf numFmtId="14" fontId="73" fillId="0" borderId="44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Border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/>
    </xf>
    <xf numFmtId="14" fontId="73" fillId="2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Alignment="1" applyProtection="1">
      <alignment horizontal="center"/>
    </xf>
    <xf numFmtId="14" fontId="73" fillId="0" borderId="0" xfId="0" applyNumberFormat="1" applyFont="1" applyFill="1" applyBorder="1" applyAlignment="1" applyProtection="1">
      <alignment horizontal="center" vertical="center"/>
    </xf>
    <xf numFmtId="0" fontId="73" fillId="0" borderId="61" xfId="0" applyFont="1" applyFill="1" applyBorder="1" applyAlignment="1" applyProtection="1">
      <alignment horizontal="left" vertical="center"/>
    </xf>
    <xf numFmtId="0" fontId="73" fillId="0" borderId="128" xfId="0" applyFont="1" applyFill="1" applyBorder="1" applyAlignment="1" applyProtection="1">
      <alignment horizontal="center" vertical="center"/>
    </xf>
    <xf numFmtId="0" fontId="22" fillId="10" borderId="0" xfId="0" applyFont="1" applyFill="1" applyBorder="1" applyAlignment="1" applyProtection="1">
      <alignment horizontal="center" vertical="center"/>
      <protection locked="0"/>
    </xf>
    <xf numFmtId="0" fontId="22" fillId="10" borderId="128" xfId="0" applyFont="1" applyFill="1" applyBorder="1" applyAlignment="1" applyProtection="1">
      <alignment horizontal="center" vertical="center"/>
      <protection locked="0"/>
    </xf>
    <xf numFmtId="0" fontId="22" fillId="10" borderId="60" xfId="0" applyFont="1" applyFill="1" applyBorder="1" applyAlignment="1" applyProtection="1">
      <alignment horizontal="center" vertical="center"/>
      <protection locked="0"/>
    </xf>
    <xf numFmtId="0" fontId="22" fillId="10" borderId="22" xfId="0" applyFont="1" applyFill="1" applyBorder="1" applyAlignment="1" applyProtection="1">
      <alignment horizontal="center" vertical="center"/>
      <protection locked="0"/>
    </xf>
    <xf numFmtId="0" fontId="175" fillId="0" borderId="4" xfId="0" applyFont="1" applyBorder="1" applyProtection="1"/>
    <xf numFmtId="0" fontId="73" fillId="0" borderId="5" xfId="0" applyFont="1" applyFill="1" applyBorder="1" applyAlignment="1" applyProtection="1">
      <alignment horizontal="left" vertical="center"/>
    </xf>
    <xf numFmtId="0" fontId="73" fillId="0" borderId="5" xfId="0" applyFont="1" applyFill="1" applyBorder="1" applyAlignment="1" applyProtection="1">
      <alignment horizontal="center" vertical="center"/>
    </xf>
    <xf numFmtId="0" fontId="73" fillId="0" borderId="6" xfId="0" applyFont="1" applyFill="1" applyBorder="1" applyAlignment="1" applyProtection="1">
      <alignment horizontal="center"/>
    </xf>
    <xf numFmtId="0" fontId="73" fillId="0" borderId="0" xfId="0" applyFont="1" applyFill="1" applyAlignment="1" applyProtection="1">
      <alignment horizontal="left" vertical="center"/>
    </xf>
    <xf numFmtId="0" fontId="73" fillId="0" borderId="0" xfId="0" applyFont="1" applyFill="1" applyAlignment="1" applyProtection="1">
      <alignment horizontal="center" vertical="center"/>
    </xf>
    <xf numFmtId="0" fontId="180" fillId="2" borderId="0" xfId="0" applyFont="1" applyFill="1" applyAlignment="1" applyProtection="1">
      <alignment horizontal="right"/>
    </xf>
    <xf numFmtId="0" fontId="180" fillId="2" borderId="0" xfId="0" applyFont="1" applyFill="1" applyAlignment="1" applyProtection="1">
      <alignment horizontal="justify"/>
    </xf>
    <xf numFmtId="177" fontId="172" fillId="2" borderId="0" xfId="0" applyNumberFormat="1" applyFont="1" applyFill="1" applyAlignment="1" applyProtection="1">
      <alignment horizontal="right"/>
    </xf>
    <xf numFmtId="0" fontId="172" fillId="2" borderId="0" xfId="0" applyNumberFormat="1" applyFont="1" applyFill="1" applyAlignment="1" applyProtection="1">
      <alignment horizontal="right"/>
    </xf>
    <xf numFmtId="0" fontId="181" fillId="2" borderId="0" xfId="0" applyFont="1" applyFill="1" applyAlignment="1" applyProtection="1">
      <alignment horizontal="right"/>
    </xf>
    <xf numFmtId="0" fontId="180" fillId="4" borderId="1" xfId="0" applyFont="1" applyFill="1" applyBorder="1" applyAlignment="1" applyProtection="1">
      <alignment horizontal="right"/>
    </xf>
    <xf numFmtId="0" fontId="180" fillId="4" borderId="2" xfId="0" applyFont="1" applyFill="1" applyBorder="1" applyAlignment="1" applyProtection="1">
      <alignment horizontal="right"/>
    </xf>
    <xf numFmtId="0" fontId="180" fillId="4" borderId="0" xfId="0" applyFont="1" applyFill="1" applyAlignment="1" applyProtection="1">
      <alignment horizontal="right"/>
    </xf>
    <xf numFmtId="0" fontId="182" fillId="3" borderId="7" xfId="0" applyNumberFormat="1" applyFont="1" applyFill="1" applyBorder="1" applyAlignment="1" applyProtection="1">
      <alignment horizontal="center" vertical="center"/>
    </xf>
    <xf numFmtId="49" fontId="174" fillId="3" borderId="8" xfId="0" applyNumberFormat="1" applyFont="1" applyFill="1" applyBorder="1" applyAlignment="1" applyProtection="1">
      <alignment horizontal="center" vertical="center"/>
    </xf>
    <xf numFmtId="49" fontId="5" fillId="3" borderId="8" xfId="0" applyNumberFormat="1" applyFont="1" applyFill="1" applyBorder="1" applyAlignment="1" applyProtection="1">
      <alignment horizontal="center" vertical="center"/>
    </xf>
    <xf numFmtId="49" fontId="182" fillId="3" borderId="9" xfId="0" applyNumberFormat="1" applyFont="1" applyFill="1" applyBorder="1" applyAlignment="1" applyProtection="1">
      <alignment horizontal="center" vertical="center"/>
    </xf>
    <xf numFmtId="0" fontId="180" fillId="4" borderId="43" xfId="0" applyFont="1" applyFill="1" applyBorder="1" applyAlignment="1" applyProtection="1">
      <alignment horizontal="right"/>
    </xf>
    <xf numFmtId="0" fontId="52" fillId="2" borderId="0" xfId="0" applyFont="1" applyFill="1" applyAlignment="1" applyProtection="1">
      <alignment vertical="center"/>
    </xf>
    <xf numFmtId="0" fontId="183" fillId="4" borderId="0" xfId="0" applyFont="1" applyFill="1" applyAlignment="1" applyProtection="1">
      <alignment horizontal="center" vertical="center"/>
    </xf>
    <xf numFmtId="0" fontId="52" fillId="2" borderId="0" xfId="0" applyFont="1" applyFill="1" applyAlignment="1" applyProtection="1">
      <alignment horizontal="center" vertical="center"/>
    </xf>
    <xf numFmtId="0" fontId="185" fillId="4" borderId="491" xfId="0" applyFont="1" applyFill="1" applyBorder="1" applyAlignment="1" applyProtection="1">
      <alignment horizontal="center" vertical="center"/>
    </xf>
    <xf numFmtId="168" fontId="33" fillId="32" borderId="31" xfId="0" applyNumberFormat="1" applyFont="1" applyFill="1" applyBorder="1" applyAlignment="1" applyProtection="1">
      <alignment horizontal="center" vertical="center"/>
    </xf>
    <xf numFmtId="0" fontId="45" fillId="9" borderId="31" xfId="0" applyFont="1" applyFill="1" applyBorder="1" applyAlignment="1" applyProtection="1">
      <alignment horizontal="right" vertical="center"/>
    </xf>
    <xf numFmtId="0" fontId="45" fillId="9" borderId="32" xfId="0" applyFont="1" applyFill="1" applyBorder="1" applyAlignment="1" applyProtection="1">
      <alignment vertical="center"/>
    </xf>
    <xf numFmtId="0" fontId="178" fillId="4" borderId="8" xfId="0" applyFont="1" applyFill="1" applyBorder="1" applyAlignment="1" applyProtection="1">
      <alignment horizontal="center" vertical="center"/>
    </xf>
    <xf numFmtId="168" fontId="5" fillId="4" borderId="8" xfId="0" applyNumberFormat="1" applyFont="1" applyFill="1" applyBorder="1" applyAlignment="1" applyProtection="1">
      <alignment horizontal="right" vertical="center"/>
    </xf>
    <xf numFmtId="0" fontId="183" fillId="4" borderId="491" xfId="0" applyFont="1" applyFill="1" applyBorder="1" applyAlignment="1" applyProtection="1">
      <alignment horizontal="center" vertical="center"/>
    </xf>
    <xf numFmtId="0" fontId="5" fillId="17" borderId="0" xfId="0" applyFont="1" applyFill="1" applyBorder="1" applyAlignment="1" applyProtection="1">
      <alignment horizontal="center" vertical="top"/>
    </xf>
    <xf numFmtId="0" fontId="5" fillId="18" borderId="0" xfId="0" applyFont="1" applyFill="1" applyBorder="1" applyAlignment="1" applyProtection="1">
      <alignment horizontal="right"/>
    </xf>
    <xf numFmtId="169" fontId="172" fillId="2" borderId="0" xfId="0" applyNumberFormat="1" applyFont="1" applyFill="1" applyAlignment="1" applyProtection="1">
      <alignment horizontal="right"/>
    </xf>
    <xf numFmtId="1" fontId="184" fillId="4" borderId="21" xfId="0" applyNumberFormat="1" applyFont="1" applyFill="1" applyBorder="1" applyAlignment="1" applyProtection="1">
      <alignment horizontal="center" vertical="center"/>
    </xf>
    <xf numFmtId="1" fontId="184" fillId="4" borderId="60" xfId="0" applyNumberFormat="1" applyFont="1" applyFill="1" applyBorder="1" applyAlignment="1" applyProtection="1">
      <alignment horizontal="center" vertical="center"/>
    </xf>
    <xf numFmtId="1" fontId="184" fillId="4" borderId="162" xfId="0" applyNumberFormat="1" applyFont="1" applyFill="1" applyBorder="1" applyAlignment="1" applyProtection="1">
      <alignment horizontal="center" vertical="center"/>
    </xf>
    <xf numFmtId="169" fontId="184" fillId="4" borderId="67" xfId="0" applyNumberFormat="1" applyFont="1" applyFill="1" applyBorder="1" applyAlignment="1" applyProtection="1">
      <alignment horizontal="right" vertical="center"/>
    </xf>
    <xf numFmtId="169" fontId="184" fillId="4" borderId="60" xfId="0" applyNumberFormat="1" applyFont="1" applyFill="1" applyBorder="1" applyAlignment="1" applyProtection="1">
      <alignment horizontal="right" vertical="center"/>
    </xf>
    <xf numFmtId="169" fontId="184" fillId="4" borderId="162" xfId="0" applyNumberFormat="1" applyFont="1" applyFill="1" applyBorder="1" applyAlignment="1" applyProtection="1">
      <alignment horizontal="right" vertical="center"/>
    </xf>
    <xf numFmtId="1" fontId="184" fillId="4" borderId="67" xfId="0" applyNumberFormat="1" applyFont="1" applyFill="1" applyBorder="1" applyAlignment="1" applyProtection="1">
      <alignment horizontal="center" vertical="center"/>
    </xf>
    <xf numFmtId="1" fontId="184" fillId="4" borderId="22" xfId="0" applyNumberFormat="1" applyFont="1" applyFill="1" applyBorder="1" applyAlignment="1" applyProtection="1">
      <alignment horizontal="center" vertical="center"/>
    </xf>
    <xf numFmtId="0" fontId="5" fillId="12" borderId="230" xfId="0" applyFont="1" applyFill="1" applyBorder="1" applyAlignment="1" applyProtection="1">
      <alignment horizontal="center" vertical="center"/>
    </xf>
    <xf numFmtId="0" fontId="5" fillId="10" borderId="231" xfId="0" applyFont="1" applyFill="1" applyBorder="1" applyAlignment="1" applyProtection="1">
      <alignment horizontal="center" vertical="center"/>
    </xf>
    <xf numFmtId="0" fontId="5" fillId="12" borderId="132" xfId="0" applyFont="1" applyFill="1" applyBorder="1" applyAlignment="1" applyProtection="1">
      <alignment horizontal="center" vertical="center"/>
    </xf>
    <xf numFmtId="1" fontId="184" fillId="4" borderId="0" xfId="0" applyNumberFormat="1" applyFont="1" applyFill="1" applyBorder="1" applyAlignment="1" applyProtection="1">
      <alignment horizontal="center" vertical="center"/>
    </xf>
    <xf numFmtId="169" fontId="184" fillId="4" borderId="0" xfId="0" applyNumberFormat="1" applyFont="1" applyFill="1" applyBorder="1" applyAlignment="1" applyProtection="1">
      <alignment horizontal="right" vertical="center"/>
    </xf>
    <xf numFmtId="168" fontId="5" fillId="15" borderId="143" xfId="0" applyNumberFormat="1" applyFont="1" applyFill="1" applyBorder="1" applyAlignment="1" applyProtection="1">
      <alignment horizontal="center" vertical="center"/>
    </xf>
    <xf numFmtId="0" fontId="180" fillId="4" borderId="4" xfId="0" applyFont="1" applyFill="1" applyBorder="1" applyAlignment="1" applyProtection="1">
      <alignment horizontal="right"/>
    </xf>
    <xf numFmtId="1" fontId="33" fillId="4" borderId="248" xfId="0" applyNumberFormat="1" applyFont="1" applyFill="1" applyBorder="1" applyAlignment="1" applyProtection="1">
      <alignment horizontal="center" vertical="center"/>
      <protection locked="0"/>
    </xf>
    <xf numFmtId="0" fontId="172" fillId="2" borderId="0" xfId="0" applyFont="1" applyFill="1" applyAlignment="1" applyProtection="1">
      <alignment horizontal="right"/>
    </xf>
    <xf numFmtId="14" fontId="183" fillId="4" borderId="0" xfId="0" applyNumberFormat="1" applyFont="1" applyFill="1" applyAlignment="1" applyProtection="1">
      <alignment horizontal="center" vertical="center"/>
    </xf>
    <xf numFmtId="168" fontId="33" fillId="0" borderId="396" xfId="0" applyNumberFormat="1" applyFont="1" applyFill="1" applyBorder="1" applyAlignment="1" applyProtection="1">
      <alignment horizontal="center" vertical="center"/>
    </xf>
    <xf numFmtId="174" fontId="33" fillId="4" borderId="397" xfId="0" applyNumberFormat="1" applyFont="1" applyFill="1" applyBorder="1" applyAlignment="1" applyProtection="1">
      <alignment horizontal="center" vertical="center"/>
    </xf>
    <xf numFmtId="0" fontId="33" fillId="0" borderId="399" xfId="0" applyFont="1" applyBorder="1" applyAlignment="1">
      <alignment horizontal="center" vertical="center"/>
    </xf>
    <xf numFmtId="0" fontId="180" fillId="4" borderId="237" xfId="0" applyFont="1" applyFill="1" applyBorder="1" applyAlignment="1" applyProtection="1">
      <alignment horizontal="right"/>
    </xf>
    <xf numFmtId="0" fontId="180" fillId="4" borderId="239" xfId="0" applyFont="1" applyFill="1" applyBorder="1" applyAlignment="1" applyProtection="1">
      <alignment horizontal="right"/>
    </xf>
    <xf numFmtId="1" fontId="172" fillId="2" borderId="0" xfId="0" applyNumberFormat="1" applyFont="1" applyFill="1" applyAlignment="1" applyProtection="1">
      <alignment horizontal="right"/>
    </xf>
    <xf numFmtId="0" fontId="33" fillId="0" borderId="433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/>
    </xf>
    <xf numFmtId="0" fontId="180" fillId="4" borderId="44" xfId="0" applyFont="1" applyFill="1" applyBorder="1" applyAlignment="1" applyProtection="1">
      <alignment horizontal="right"/>
    </xf>
    <xf numFmtId="0" fontId="33" fillId="0" borderId="404" xfId="0" applyFont="1" applyBorder="1" applyAlignment="1">
      <alignment horizontal="center" vertical="center"/>
    </xf>
    <xf numFmtId="168" fontId="33" fillId="0" borderId="407" xfId="0" applyNumberFormat="1" applyFont="1" applyFill="1" applyBorder="1" applyAlignment="1" applyProtection="1">
      <alignment horizontal="center" vertical="center"/>
    </xf>
    <xf numFmtId="174" fontId="33" fillId="4" borderId="408" xfId="0" applyNumberFormat="1" applyFont="1" applyFill="1" applyBorder="1" applyAlignment="1" applyProtection="1">
      <alignment horizontal="center" vertical="center" wrapText="1"/>
    </xf>
    <xf numFmtId="0" fontId="5" fillId="0" borderId="410" xfId="0" applyFont="1" applyBorder="1" applyAlignment="1">
      <alignment horizontal="center" vertical="center"/>
    </xf>
    <xf numFmtId="0" fontId="180" fillId="4" borderId="240" xfId="0" applyFont="1" applyFill="1" applyBorder="1" applyAlignment="1" applyProtection="1">
      <alignment horizontal="right"/>
    </xf>
    <xf numFmtId="0" fontId="180" fillId="4" borderId="242" xfId="0" applyFont="1" applyFill="1" applyBorder="1" applyAlignment="1" applyProtection="1">
      <alignment horizontal="right"/>
    </xf>
    <xf numFmtId="0" fontId="5" fillId="0" borderId="433" xfId="0" applyFont="1" applyBorder="1" applyAlignment="1">
      <alignment horizontal="center" vertical="center"/>
    </xf>
    <xf numFmtId="0" fontId="5" fillId="0" borderId="404" xfId="0" applyFont="1" applyBorder="1" applyAlignment="1">
      <alignment horizontal="center" vertical="center"/>
    </xf>
    <xf numFmtId="168" fontId="33" fillId="10" borderId="407" xfId="0" applyNumberFormat="1" applyFont="1" applyFill="1" applyBorder="1" applyAlignment="1" applyProtection="1">
      <alignment horizontal="center" vertical="center"/>
      <protection locked="0"/>
    </xf>
    <xf numFmtId="0" fontId="180" fillId="2" borderId="43" xfId="0" applyFont="1" applyFill="1" applyBorder="1" applyAlignment="1" applyProtection="1">
      <alignment horizontal="right"/>
    </xf>
    <xf numFmtId="0" fontId="180" fillId="4" borderId="243" xfId="0" applyFont="1" applyFill="1" applyBorder="1" applyAlignment="1" applyProtection="1">
      <alignment horizontal="right"/>
    </xf>
    <xf numFmtId="0" fontId="180" fillId="4" borderId="245" xfId="0" applyFont="1" applyFill="1" applyBorder="1" applyAlignment="1" applyProtection="1">
      <alignment horizontal="right"/>
    </xf>
    <xf numFmtId="0" fontId="180" fillId="2" borderId="0" xfId="0" applyFont="1" applyFill="1" applyBorder="1" applyAlignment="1" applyProtection="1">
      <alignment horizontal="right"/>
    </xf>
    <xf numFmtId="0" fontId="33" fillId="4" borderId="0" xfId="0" applyFont="1" applyFill="1" applyBorder="1" applyAlignment="1" applyProtection="1">
      <alignment horizontal="center"/>
    </xf>
    <xf numFmtId="0" fontId="180" fillId="4" borderId="0" xfId="0" applyFont="1" applyFill="1" applyBorder="1" applyAlignment="1" applyProtection="1">
      <alignment horizontal="right"/>
    </xf>
    <xf numFmtId="0" fontId="5" fillId="0" borderId="414" xfId="0" applyFont="1" applyBorder="1" applyAlignment="1">
      <alignment horizontal="center" vertical="center"/>
    </xf>
    <xf numFmtId="0" fontId="5" fillId="4" borderId="8" xfId="0" applyFont="1" applyFill="1" applyBorder="1" applyAlignment="1" applyProtection="1">
      <alignment horizontal="justify" vertical="center"/>
    </xf>
    <xf numFmtId="0" fontId="5" fillId="4" borderId="28" xfId="0" applyFont="1" applyFill="1" applyBorder="1" applyAlignment="1" applyProtection="1">
      <alignment horizontal="justify" vertical="center"/>
    </xf>
    <xf numFmtId="0" fontId="5" fillId="4" borderId="29" xfId="0" applyFont="1" applyFill="1" applyBorder="1" applyAlignment="1" applyProtection="1">
      <alignment horizontal="justify" vertical="center"/>
    </xf>
    <xf numFmtId="0" fontId="186" fillId="4" borderId="29" xfId="0" applyFont="1" applyFill="1" applyBorder="1" applyAlignment="1" applyProtection="1">
      <alignment horizontal="center" vertical="center"/>
    </xf>
    <xf numFmtId="0" fontId="33" fillId="4" borderId="61" xfId="0" applyFont="1" applyFill="1" applyBorder="1" applyAlignment="1" applyProtection="1">
      <alignment horizontal="center" vertical="center"/>
    </xf>
    <xf numFmtId="0" fontId="180" fillId="4" borderId="0" xfId="0" applyFont="1" applyFill="1" applyBorder="1" applyAlignment="1" applyProtection="1">
      <alignment horizontal="center"/>
    </xf>
    <xf numFmtId="0" fontId="184" fillId="4" borderId="0" xfId="0" applyFont="1" applyFill="1" applyBorder="1" applyAlignment="1" applyProtection="1">
      <alignment horizontal="center" vertical="center"/>
      <protection locked="0"/>
    </xf>
    <xf numFmtId="0" fontId="184" fillId="4" borderId="128" xfId="0" applyFont="1" applyFill="1" applyBorder="1" applyAlignment="1" applyProtection="1">
      <alignment horizontal="center" vertical="center"/>
      <protection locked="0"/>
    </xf>
    <xf numFmtId="0" fontId="5" fillId="4" borderId="362" xfId="0" applyFont="1" applyFill="1" applyBorder="1" applyAlignment="1" applyProtection="1">
      <alignment horizontal="justify" vertical="center"/>
    </xf>
    <xf numFmtId="0" fontId="5" fillId="4" borderId="353" xfId="0" applyFont="1" applyFill="1" applyBorder="1" applyAlignment="1" applyProtection="1">
      <alignment horizontal="justify" vertical="center"/>
    </xf>
    <xf numFmtId="0" fontId="186" fillId="4" borderId="353" xfId="0" applyFont="1" applyFill="1" applyBorder="1" applyAlignment="1" applyProtection="1">
      <alignment horizontal="center" vertical="center"/>
    </xf>
    <xf numFmtId="0" fontId="184" fillId="4" borderId="0" xfId="0" applyFont="1" applyFill="1" applyBorder="1" applyAlignment="1" applyProtection="1">
      <alignment horizontal="center" vertical="center"/>
    </xf>
    <xf numFmtId="0" fontId="184" fillId="4" borderId="128" xfId="0" applyFont="1" applyFill="1" applyBorder="1" applyAlignment="1" applyProtection="1">
      <alignment horizontal="center" vertical="center"/>
    </xf>
    <xf numFmtId="0" fontId="33" fillId="4" borderId="5" xfId="0" applyFont="1" applyFill="1" applyBorder="1" applyAlignment="1" applyProtection="1">
      <alignment horizontal="center" vertical="center" wrapText="1"/>
    </xf>
    <xf numFmtId="0" fontId="180" fillId="4" borderId="6" xfId="0" applyFont="1" applyFill="1" applyBorder="1" applyAlignment="1" applyProtection="1">
      <alignment horizontal="right"/>
    </xf>
    <xf numFmtId="0" fontId="180" fillId="0" borderId="43" xfId="0" applyFont="1" applyBorder="1" applyAlignment="1" applyProtection="1">
      <alignment horizontal="right"/>
    </xf>
    <xf numFmtId="0" fontId="0" fillId="0" borderId="0" xfId="0" applyFont="1" applyBorder="1" applyAlignment="1">
      <alignment horizontal="center" vertical="center"/>
    </xf>
    <xf numFmtId="0" fontId="180" fillId="0" borderId="44" xfId="0" applyFont="1" applyBorder="1" applyAlignment="1" applyProtection="1">
      <alignment horizontal="right"/>
    </xf>
    <xf numFmtId="1" fontId="5" fillId="19" borderId="416" xfId="0" applyNumberFormat="1" applyFont="1" applyFill="1" applyBorder="1" applyAlignment="1" applyProtection="1">
      <alignment horizontal="center" vertical="center"/>
      <protection locked="0"/>
    </xf>
    <xf numFmtId="0" fontId="33" fillId="0" borderId="416" xfId="0" applyFont="1" applyBorder="1" applyAlignment="1">
      <alignment horizontal="center" vertical="center"/>
    </xf>
    <xf numFmtId="0" fontId="33" fillId="0" borderId="416" xfId="0" applyFont="1" applyBorder="1" applyAlignment="1">
      <alignment horizontal="left" vertical="center"/>
    </xf>
    <xf numFmtId="0" fontId="0" fillId="0" borderId="417" xfId="0" applyFont="1" applyBorder="1" applyAlignment="1">
      <alignment horizontal="center" vertical="center"/>
    </xf>
    <xf numFmtId="0" fontId="33" fillId="4" borderId="0" xfId="0" applyFont="1" applyFill="1" applyBorder="1" applyAlignment="1" applyProtection="1">
      <alignment horizontal="center" vertical="center" wrapText="1"/>
    </xf>
    <xf numFmtId="1" fontId="5" fillId="0" borderId="21" xfId="0" applyNumberFormat="1" applyFont="1" applyFill="1" applyBorder="1" applyAlignment="1" applyProtection="1">
      <alignment horizontal="justify" vertical="center"/>
    </xf>
    <xf numFmtId="7" fontId="47" fillId="0" borderId="60" xfId="0" applyNumberFormat="1" applyFont="1" applyBorder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/>
    </xf>
    <xf numFmtId="180" fontId="47" fillId="0" borderId="60" xfId="0" applyNumberFormat="1" applyFont="1" applyBorder="1" applyAlignment="1">
      <alignment horizontal="center" vertical="center"/>
    </xf>
    <xf numFmtId="0" fontId="180" fillId="4" borderId="5" xfId="0" applyFont="1" applyFill="1" applyBorder="1" applyAlignment="1" applyProtection="1">
      <alignment horizontal="right"/>
    </xf>
    <xf numFmtId="0" fontId="180" fillId="4" borderId="75" xfId="0" applyFont="1" applyFill="1" applyBorder="1" applyAlignment="1" applyProtection="1">
      <alignment horizontal="right"/>
    </xf>
    <xf numFmtId="0" fontId="180" fillId="4" borderId="76" xfId="0" applyFont="1" applyFill="1" applyBorder="1" applyAlignment="1" applyProtection="1">
      <alignment horizontal="justify"/>
    </xf>
    <xf numFmtId="0" fontId="180" fillId="4" borderId="76" xfId="0" applyFont="1" applyFill="1" applyBorder="1" applyAlignment="1" applyProtection="1">
      <alignment horizontal="right"/>
    </xf>
    <xf numFmtId="0" fontId="180" fillId="4" borderId="77" xfId="0" applyFont="1" applyFill="1" applyBorder="1" applyAlignment="1" applyProtection="1">
      <alignment horizontal="right"/>
    </xf>
    <xf numFmtId="0" fontId="188" fillId="4" borderId="78" xfId="0" applyFont="1" applyFill="1" applyBorder="1" applyAlignment="1" applyProtection="1">
      <alignment horizontal="center" vertical="center"/>
    </xf>
    <xf numFmtId="0" fontId="62" fillId="4" borderId="0" xfId="0" applyFont="1" applyFill="1" applyBorder="1" applyAlignment="1" applyProtection="1">
      <alignment horizontal="center" vertical="center"/>
    </xf>
    <xf numFmtId="0" fontId="188" fillId="4" borderId="79" xfId="0" applyFont="1" applyFill="1" applyBorder="1" applyAlignment="1" applyProtection="1">
      <alignment horizontal="center" vertical="center"/>
    </xf>
    <xf numFmtId="0" fontId="188" fillId="2" borderId="0" xfId="0" applyFont="1" applyFill="1" applyBorder="1" applyAlignment="1" applyProtection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</xf>
    <xf numFmtId="0" fontId="52" fillId="4" borderId="2" xfId="0" applyFont="1" applyFill="1" applyBorder="1" applyAlignment="1" applyProtection="1">
      <alignment horizontal="center" vertical="center"/>
    </xf>
    <xf numFmtId="0" fontId="52" fillId="4" borderId="3" xfId="0" applyFont="1" applyFill="1" applyBorder="1" applyAlignment="1" applyProtection="1">
      <alignment horizontal="center" vertical="center"/>
    </xf>
    <xf numFmtId="0" fontId="188" fillId="2" borderId="0" xfId="0" applyFont="1" applyFill="1" applyAlignment="1" applyProtection="1">
      <alignment horizontal="center" vertical="center"/>
    </xf>
    <xf numFmtId="0" fontId="173" fillId="2" borderId="0" xfId="0" applyFont="1" applyFill="1" applyAlignment="1" applyProtection="1">
      <alignment horizontal="center" vertical="center"/>
    </xf>
    <xf numFmtId="0" fontId="180" fillId="4" borderId="78" xfId="0" applyFont="1" applyFill="1" applyBorder="1" applyAlignment="1" applyProtection="1">
      <alignment horizontal="right"/>
    </xf>
    <xf numFmtId="0" fontId="61" fillId="4" borderId="0" xfId="0" applyFont="1" applyFill="1" applyBorder="1" applyAlignment="1" applyProtection="1">
      <alignment horizontal="justify" vertical="center"/>
    </xf>
    <xf numFmtId="0" fontId="180" fillId="4" borderId="79" xfId="0" applyFont="1" applyFill="1" applyBorder="1" applyAlignment="1" applyProtection="1">
      <alignment horizontal="right"/>
    </xf>
    <xf numFmtId="0" fontId="184" fillId="4" borderId="43" xfId="0" applyFont="1" applyFill="1" applyBorder="1" applyAlignment="1" applyProtection="1">
      <alignment horizontal="right"/>
    </xf>
    <xf numFmtId="0" fontId="184" fillId="4" borderId="44" xfId="0" applyFont="1" applyFill="1" applyBorder="1" applyAlignment="1" applyProtection="1">
      <alignment horizontal="right"/>
    </xf>
    <xf numFmtId="0" fontId="184" fillId="4" borderId="0" xfId="0" applyFont="1" applyFill="1" applyBorder="1" applyAlignment="1" applyProtection="1">
      <alignment horizontal="right"/>
    </xf>
    <xf numFmtId="165" fontId="184" fillId="4" borderId="0" xfId="0" applyNumberFormat="1" applyFont="1" applyFill="1" applyBorder="1" applyAlignment="1" applyProtection="1">
      <alignment horizontal="right"/>
    </xf>
    <xf numFmtId="0" fontId="184" fillId="4" borderId="4" xfId="0" applyFont="1" applyFill="1" applyBorder="1" applyAlignment="1" applyProtection="1">
      <alignment horizontal="right"/>
    </xf>
    <xf numFmtId="0" fontId="184" fillId="4" borderId="5" xfId="0" applyFont="1" applyFill="1" applyBorder="1" applyAlignment="1" applyProtection="1">
      <alignment horizontal="right"/>
    </xf>
    <xf numFmtId="0" fontId="184" fillId="4" borderId="6" xfId="0" applyFont="1" applyFill="1" applyBorder="1" applyAlignment="1" applyProtection="1">
      <alignment horizontal="right"/>
    </xf>
    <xf numFmtId="177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right" vertical="center"/>
    </xf>
    <xf numFmtId="177" fontId="33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0" fontId="180" fillId="4" borderId="80" xfId="0" applyFont="1" applyFill="1" applyBorder="1" applyAlignment="1" applyProtection="1">
      <alignment horizontal="right"/>
    </xf>
    <xf numFmtId="0" fontId="180" fillId="4" borderId="81" xfId="0" applyFont="1" applyFill="1" applyBorder="1" applyAlignment="1" applyProtection="1">
      <alignment horizontal="justify"/>
    </xf>
    <xf numFmtId="0" fontId="180" fillId="4" borderId="81" xfId="0" applyFont="1" applyFill="1" applyBorder="1" applyAlignment="1" applyProtection="1">
      <alignment horizontal="right"/>
    </xf>
    <xf numFmtId="0" fontId="180" fillId="4" borderId="82" xfId="0" applyFont="1" applyFill="1" applyBorder="1" applyAlignment="1" applyProtection="1">
      <alignment horizontal="right"/>
    </xf>
    <xf numFmtId="170" fontId="38" fillId="6" borderId="0" xfId="0" applyNumberFormat="1" applyFont="1" applyFill="1" applyBorder="1" applyAlignment="1" applyProtection="1">
      <alignment horizontal="center" vertical="center"/>
    </xf>
    <xf numFmtId="170" fontId="38" fillId="6" borderId="60" xfId="0" applyNumberFormat="1" applyFont="1" applyFill="1" applyBorder="1" applyAlignment="1" applyProtection="1">
      <alignment horizontal="center" vertical="center"/>
    </xf>
    <xf numFmtId="167" fontId="38" fillId="11" borderId="152" xfId="0" applyNumberFormat="1" applyFont="1" applyFill="1" applyBorder="1" applyAlignment="1" applyProtection="1">
      <alignment horizontal="center" vertical="center"/>
    </xf>
    <xf numFmtId="2" fontId="38" fillId="11" borderId="41" xfId="0" applyNumberFormat="1" applyFont="1" applyFill="1" applyBorder="1" applyAlignment="1" applyProtection="1">
      <alignment horizontal="center" vertical="center"/>
    </xf>
    <xf numFmtId="167" fontId="38" fillId="11" borderId="42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vertical="center"/>
    </xf>
    <xf numFmtId="0" fontId="54" fillId="29" borderId="6" xfId="0" applyFont="1" applyFill="1" applyBorder="1" applyAlignment="1" applyProtection="1">
      <alignment vertical="center"/>
    </xf>
    <xf numFmtId="0" fontId="0" fillId="0" borderId="0" xfId="0" applyProtection="1"/>
    <xf numFmtId="0" fontId="170" fillId="0" borderId="44" xfId="0" applyFont="1" applyFill="1" applyBorder="1" applyAlignment="1" applyProtection="1">
      <alignment horizontal="center" vertical="center"/>
    </xf>
    <xf numFmtId="0" fontId="170" fillId="2" borderId="0" xfId="0" applyFont="1" applyFill="1" applyBorder="1" applyAlignment="1" applyProtection="1">
      <alignment horizontal="center" vertical="center"/>
    </xf>
    <xf numFmtId="192" fontId="171" fillId="0" borderId="44" xfId="0" applyNumberFormat="1" applyFont="1" applyFill="1" applyBorder="1" applyAlignment="1" applyProtection="1">
      <alignment horizontal="center" vertical="center"/>
    </xf>
    <xf numFmtId="192" fontId="171" fillId="2" borderId="0" xfId="0" applyNumberFormat="1" applyFont="1" applyFill="1" applyBorder="1" applyAlignment="1" applyProtection="1">
      <alignment horizontal="center" vertical="center"/>
    </xf>
    <xf numFmtId="1" fontId="171" fillId="0" borderId="44" xfId="0" applyNumberFormat="1" applyFont="1" applyFill="1" applyBorder="1" applyAlignment="1" applyProtection="1">
      <alignment horizontal="center" vertical="center"/>
    </xf>
    <xf numFmtId="1" fontId="171" fillId="2" borderId="0" xfId="0" applyNumberFormat="1" applyFont="1" applyFill="1" applyBorder="1" applyAlignment="1" applyProtection="1">
      <alignment horizontal="center" vertical="center"/>
    </xf>
    <xf numFmtId="0" fontId="171" fillId="0" borderId="44" xfId="0" applyFont="1" applyFill="1" applyBorder="1" applyAlignment="1" applyProtection="1">
      <alignment horizontal="center" vertical="center" wrapText="1"/>
    </xf>
    <xf numFmtId="0" fontId="171" fillId="2" borderId="0" xfId="0" applyFont="1" applyFill="1" applyBorder="1" applyAlignment="1" applyProtection="1">
      <alignment horizontal="center" vertical="center" wrapText="1"/>
    </xf>
    <xf numFmtId="0" fontId="171" fillId="0" borderId="44" xfId="0" applyFont="1" applyFill="1" applyBorder="1" applyAlignment="1" applyProtection="1">
      <alignment horizontal="center" vertical="center"/>
    </xf>
    <xf numFmtId="0" fontId="171" fillId="2" borderId="0" xfId="0" applyFont="1" applyFill="1" applyBorder="1" applyAlignment="1" applyProtection="1">
      <alignment horizontal="center" vertical="center"/>
    </xf>
    <xf numFmtId="0" fontId="169" fillId="9" borderId="493" xfId="0" applyFont="1" applyFill="1" applyBorder="1" applyAlignment="1" applyProtection="1">
      <alignment horizontal="left" vertical="center"/>
    </xf>
    <xf numFmtId="0" fontId="169" fillId="0" borderId="247" xfId="0" applyFont="1" applyFill="1" applyBorder="1" applyAlignment="1" applyProtection="1">
      <alignment horizontal="left" vertical="center"/>
    </xf>
    <xf numFmtId="14" fontId="171" fillId="0" borderId="247" xfId="0" applyNumberFormat="1" applyFont="1" applyFill="1" applyBorder="1" applyAlignment="1" applyProtection="1">
      <alignment horizontal="center" vertical="center"/>
    </xf>
    <xf numFmtId="0" fontId="171" fillId="0" borderId="6" xfId="0" applyFont="1" applyFill="1" applyBorder="1" applyAlignment="1" applyProtection="1">
      <alignment horizontal="center" vertical="center"/>
    </xf>
    <xf numFmtId="14" fontId="171" fillId="2" borderId="0" xfId="0" applyNumberFormat="1" applyFont="1" applyFill="1" applyBorder="1" applyAlignment="1" applyProtection="1">
      <alignment horizontal="center" vertical="center"/>
    </xf>
    <xf numFmtId="0" fontId="33" fillId="2" borderId="0" xfId="0" applyFont="1" applyFill="1" applyBorder="1" applyAlignment="1" applyProtection="1">
      <alignment vertical="center"/>
    </xf>
    <xf numFmtId="0" fontId="171" fillId="2" borderId="0" xfId="0" applyFont="1" applyFill="1" applyBorder="1" applyAlignment="1" applyProtection="1">
      <alignment vertical="center"/>
    </xf>
    <xf numFmtId="0" fontId="33" fillId="2" borderId="0" xfId="0" applyFont="1" applyFill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vertical="center"/>
    </xf>
    <xf numFmtId="0" fontId="171" fillId="0" borderId="2" xfId="0" applyFont="1" applyBorder="1" applyAlignment="1" applyProtection="1">
      <alignment vertical="center"/>
    </xf>
    <xf numFmtId="0" fontId="171" fillId="0" borderId="3" xfId="0" applyFont="1" applyFill="1" applyBorder="1" applyAlignment="1" applyProtection="1">
      <alignment vertical="center"/>
    </xf>
    <xf numFmtId="0" fontId="33" fillId="0" borderId="0" xfId="0" applyFont="1" applyBorder="1" applyAlignment="1" applyProtection="1">
      <alignment horizontal="center" vertical="center"/>
    </xf>
    <xf numFmtId="0" fontId="33" fillId="0" borderId="0" xfId="0" applyFont="1" applyBorder="1" applyAlignment="1" applyProtection="1">
      <alignment vertical="center"/>
    </xf>
    <xf numFmtId="0" fontId="33" fillId="0" borderId="43" xfId="0" applyFont="1" applyBorder="1" applyAlignment="1" applyProtection="1">
      <alignment vertical="center"/>
    </xf>
    <xf numFmtId="0" fontId="33" fillId="0" borderId="43" xfId="0" applyFont="1" applyFill="1" applyBorder="1" applyAlignment="1" applyProtection="1">
      <alignment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vertical="center"/>
    </xf>
    <xf numFmtId="14" fontId="33" fillId="0" borderId="0" xfId="0" applyNumberFormat="1" applyFont="1" applyBorder="1" applyAlignment="1" applyProtection="1">
      <alignment horizontal="center" vertical="center"/>
    </xf>
    <xf numFmtId="0" fontId="33" fillId="0" borderId="4" xfId="0" applyFont="1" applyBorder="1" applyAlignment="1" applyProtection="1">
      <alignment vertical="center"/>
    </xf>
    <xf numFmtId="0" fontId="171" fillId="0" borderId="491" xfId="0" applyFont="1" applyBorder="1" applyAlignment="1" applyProtection="1">
      <alignment vertical="center"/>
    </xf>
    <xf numFmtId="0" fontId="171" fillId="0" borderId="0" xfId="0" applyFont="1" applyFill="1" applyBorder="1" applyAlignment="1" applyProtection="1">
      <alignment vertical="center"/>
    </xf>
    <xf numFmtId="0" fontId="192" fillId="0" borderId="0" xfId="0" applyFont="1" applyFill="1" applyBorder="1"/>
    <xf numFmtId="0" fontId="0" fillId="0" borderId="0" xfId="0" applyFill="1" applyBorder="1" applyProtection="1"/>
    <xf numFmtId="0" fontId="0" fillId="0" borderId="495" xfId="0" applyFill="1" applyBorder="1" applyProtection="1"/>
    <xf numFmtId="0" fontId="0" fillId="0" borderId="496" xfId="0" applyFill="1" applyBorder="1" applyProtection="1"/>
    <xf numFmtId="0" fontId="0" fillId="0" borderId="497" xfId="0" applyFill="1" applyBorder="1" applyProtection="1"/>
    <xf numFmtId="0" fontId="175" fillId="0" borderId="497" xfId="0" applyFont="1" applyFill="1" applyBorder="1" applyProtection="1"/>
    <xf numFmtId="0" fontId="175" fillId="0" borderId="498" xfId="0" applyFont="1" applyFill="1" applyBorder="1" applyProtection="1"/>
    <xf numFmtId="0" fontId="0" fillId="0" borderId="499" xfId="0" applyFill="1" applyBorder="1" applyProtection="1"/>
    <xf numFmtId="0" fontId="0" fillId="0" borderId="500" xfId="0" applyFill="1" applyBorder="1" applyProtection="1"/>
    <xf numFmtId="0" fontId="73" fillId="0" borderId="500" xfId="0" applyFont="1" applyFill="1" applyBorder="1" applyAlignment="1" applyProtection="1">
      <alignment horizontal="center"/>
    </xf>
    <xf numFmtId="0" fontId="175" fillId="0" borderId="500" xfId="0" applyFont="1" applyFill="1" applyBorder="1" applyProtection="1"/>
    <xf numFmtId="0" fontId="175" fillId="0" borderId="501" xfId="0" applyFont="1" applyFill="1" applyBorder="1" applyProtection="1"/>
    <xf numFmtId="0" fontId="0" fillId="37" borderId="0" xfId="0" applyFill="1" applyBorder="1" applyProtection="1"/>
    <xf numFmtId="0" fontId="0" fillId="0" borderId="501" xfId="0" applyFill="1" applyBorder="1" applyProtection="1"/>
    <xf numFmtId="0" fontId="73" fillId="0" borderId="495" xfId="0" applyFont="1" applyFill="1" applyBorder="1" applyAlignment="1" applyProtection="1">
      <alignment horizontal="left" vertical="center"/>
    </xf>
    <xf numFmtId="0" fontId="3" fillId="37" borderId="0" xfId="0" applyFont="1" applyFill="1" applyBorder="1"/>
    <xf numFmtId="0" fontId="3" fillId="2" borderId="0" xfId="0" applyFont="1" applyFill="1"/>
    <xf numFmtId="0" fontId="3" fillId="0" borderId="497" xfId="0" applyFont="1" applyFill="1" applyBorder="1"/>
    <xf numFmtId="0" fontId="3" fillId="0" borderId="500" xfId="0" applyFont="1" applyFill="1" applyBorder="1"/>
    <xf numFmtId="0" fontId="3" fillId="0" borderId="0" xfId="0" applyFont="1" applyFill="1" applyBorder="1"/>
    <xf numFmtId="0" fontId="3" fillId="0" borderId="0" xfId="0" applyFont="1" applyFill="1"/>
    <xf numFmtId="0" fontId="3" fillId="0" borderId="498" xfId="0" applyFont="1" applyFill="1" applyBorder="1"/>
    <xf numFmtId="0" fontId="3" fillId="0" borderId="495" xfId="0" applyFont="1" applyFill="1" applyBorder="1"/>
    <xf numFmtId="0" fontId="3" fillId="0" borderId="501" xfId="0" applyFont="1" applyFill="1" applyBorder="1"/>
    <xf numFmtId="0" fontId="3" fillId="0" borderId="0" xfId="0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Protection="1">
      <protection locked="0"/>
    </xf>
    <xf numFmtId="14" fontId="3" fillId="0" borderId="0" xfId="0" applyNumberFormat="1" applyFont="1" applyFill="1" applyBorder="1" applyProtection="1">
      <protection locked="0"/>
    </xf>
    <xf numFmtId="0" fontId="0" fillId="2" borderId="0" xfId="4" applyFont="1" applyAlignment="1" applyProtection="1"/>
    <xf numFmtId="0" fontId="0" fillId="0" borderId="0" xfId="0" applyNumberFormat="1"/>
    <xf numFmtId="0" fontId="73" fillId="9" borderId="61" xfId="0" applyFont="1" applyFill="1" applyBorder="1" applyAlignment="1" applyProtection="1">
      <alignment horizontal="center" vertical="center"/>
    </xf>
    <xf numFmtId="0" fontId="73" fillId="9" borderId="61" xfId="0" applyNumberFormat="1" applyFont="1" applyFill="1" applyBorder="1" applyAlignment="1" applyProtection="1">
      <alignment horizontal="center" vertical="center"/>
    </xf>
    <xf numFmtId="0" fontId="73" fillId="9" borderId="21" xfId="0" applyNumberFormat="1" applyFont="1" applyFill="1" applyBorder="1" applyAlignment="1" applyProtection="1">
      <alignment horizontal="center" vertical="center"/>
    </xf>
    <xf numFmtId="0" fontId="54" fillId="29" borderId="5" xfId="0" applyFont="1" applyFill="1" applyBorder="1" applyAlignment="1" applyProtection="1">
      <alignment horizontal="left" vertical="center"/>
    </xf>
    <xf numFmtId="0" fontId="175" fillId="37" borderId="0" xfId="0" applyFont="1" applyFill="1" applyBorder="1" applyProtection="1"/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/>
    <xf numFmtId="0" fontId="3" fillId="4" borderId="0" xfId="0" applyFont="1" applyFill="1" applyBorder="1"/>
    <xf numFmtId="0" fontId="3" fillId="0" borderId="0" xfId="0" applyFont="1" applyBorder="1"/>
    <xf numFmtId="0" fontId="3" fillId="4" borderId="505" xfId="0" applyFont="1" applyFill="1" applyBorder="1"/>
    <xf numFmtId="0" fontId="3" fillId="4" borderId="506" xfId="0" applyFont="1" applyFill="1" applyBorder="1"/>
    <xf numFmtId="0" fontId="3" fillId="4" borderId="507" xfId="0" applyFont="1" applyFill="1" applyBorder="1"/>
    <xf numFmtId="0" fontId="3" fillId="4" borderId="508" xfId="0" applyFont="1" applyFill="1" applyBorder="1"/>
    <xf numFmtId="0" fontId="3" fillId="4" borderId="509" xfId="0" applyFont="1" applyFill="1" applyBorder="1"/>
    <xf numFmtId="0" fontId="3" fillId="0" borderId="510" xfId="0" applyFont="1" applyFill="1" applyBorder="1"/>
    <xf numFmtId="0" fontId="3" fillId="0" borderId="511" xfId="0" applyFont="1" applyFill="1" applyBorder="1"/>
    <xf numFmtId="192" fontId="3" fillId="0" borderId="0" xfId="0" applyNumberFormat="1" applyFont="1" applyFill="1" applyBorder="1" applyAlignment="1" applyProtection="1">
      <alignment horizontal="center" vertical="center"/>
      <protection locked="0"/>
    </xf>
    <xf numFmtId="193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507" xfId="0" applyFont="1" applyFill="1" applyBorder="1"/>
    <xf numFmtId="0" fontId="3" fillId="37" borderId="0" xfId="0" applyFont="1" applyFill="1" applyBorder="1" applyProtection="1"/>
    <xf numFmtId="0" fontId="3" fillId="0" borderId="512" xfId="0" applyFont="1" applyFill="1" applyBorder="1" applyProtection="1"/>
    <xf numFmtId="0" fontId="3" fillId="0" borderId="500" xfId="0" applyFont="1" applyFill="1" applyBorder="1" applyProtection="1"/>
    <xf numFmtId="0" fontId="3" fillId="0" borderId="500" xfId="0" applyFont="1" applyFill="1" applyBorder="1" applyAlignment="1" applyProtection="1">
      <alignment horizontal="center" vertical="center" wrapText="1"/>
    </xf>
    <xf numFmtId="0" fontId="3" fillId="0" borderId="500" xfId="0" applyFont="1" applyFill="1" applyBorder="1" applyAlignment="1" applyProtection="1">
      <alignment horizontal="center" vertical="center"/>
    </xf>
    <xf numFmtId="0" fontId="3" fillId="0" borderId="501" xfId="0" applyFont="1" applyFill="1" applyBorder="1" applyProtection="1"/>
    <xf numFmtId="0" fontId="3" fillId="0" borderId="0" xfId="0" applyFont="1" applyFill="1" applyProtection="1"/>
    <xf numFmtId="0" fontId="3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9" fontId="171" fillId="9" borderId="494" xfId="0" applyNumberFormat="1" applyFont="1" applyFill="1" applyBorder="1" applyAlignment="1" applyProtection="1">
      <alignment horizontal="center" vertical="center"/>
    </xf>
    <xf numFmtId="0" fontId="0" fillId="0" borderId="510" xfId="0" applyFill="1" applyBorder="1" applyProtection="1"/>
    <xf numFmtId="0" fontId="0" fillId="0" borderId="511" xfId="0" applyFill="1" applyBorder="1" applyProtection="1"/>
    <xf numFmtId="0" fontId="0" fillId="0" borderId="512" xfId="0" applyFill="1" applyBorder="1" applyProtection="1"/>
    <xf numFmtId="0" fontId="3" fillId="0" borderId="512" xfId="0" applyFont="1" applyFill="1" applyBorder="1"/>
    <xf numFmtId="0" fontId="3" fillId="0" borderId="0" xfId="0" applyFont="1" applyFill="1" applyBorder="1" applyProtection="1"/>
    <xf numFmtId="0" fontId="3" fillId="0" borderId="495" xfId="0" applyFont="1" applyFill="1" applyBorder="1" applyProtection="1"/>
    <xf numFmtId="0" fontId="3" fillId="0" borderId="510" xfId="0" applyFont="1" applyFill="1" applyBorder="1" applyProtection="1"/>
    <xf numFmtId="0" fontId="3" fillId="39" borderId="504" xfId="0" applyFont="1" applyFill="1" applyBorder="1" applyProtection="1"/>
    <xf numFmtId="193" fontId="195" fillId="0" borderId="0" xfId="0" applyNumberFormat="1" applyFont="1" applyFill="1" applyBorder="1" applyAlignment="1" applyProtection="1">
      <alignment horizontal="center" vertical="center"/>
      <protection locked="0"/>
    </xf>
    <xf numFmtId="14" fontId="195" fillId="0" borderId="0" xfId="0" applyNumberFormat="1" applyFont="1" applyAlignment="1">
      <alignment horizontal="center" vertical="center" wrapText="1"/>
    </xf>
    <xf numFmtId="0" fontId="0" fillId="0" borderId="12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30" fillId="3" borderId="109" xfId="0" applyFont="1" applyFill="1" applyBorder="1" applyAlignment="1">
      <alignment horizontal="center" vertical="center" wrapText="1"/>
    </xf>
    <xf numFmtId="0" fontId="30" fillId="3" borderId="19" xfId="0" applyFont="1" applyFill="1" applyBorder="1" applyAlignment="1">
      <alignment horizontal="center" vertical="center" wrapText="1"/>
    </xf>
    <xf numFmtId="0" fontId="30" fillId="3" borderId="110" xfId="0" applyFont="1" applyFill="1" applyBorder="1" applyAlignment="1">
      <alignment horizontal="center" vertical="center" wrapText="1"/>
    </xf>
    <xf numFmtId="0" fontId="30" fillId="3" borderId="111" xfId="0" applyFont="1" applyFill="1" applyBorder="1" applyAlignment="1">
      <alignment horizontal="center" vertical="center" wrapText="1"/>
    </xf>
    <xf numFmtId="0" fontId="30" fillId="3" borderId="60" xfId="0" applyFont="1" applyFill="1" applyBorder="1" applyAlignment="1">
      <alignment horizontal="center" vertical="center" wrapText="1"/>
    </xf>
    <xf numFmtId="0" fontId="30" fillId="3" borderId="112" xfId="0" applyFont="1" applyFill="1" applyBorder="1" applyAlignment="1">
      <alignment horizontal="center" vertical="center" wrapText="1"/>
    </xf>
    <xf numFmtId="0" fontId="6" fillId="0" borderId="56" xfId="0" applyFont="1" applyBorder="1" applyAlignment="1">
      <alignment horizontal="distributed"/>
    </xf>
    <xf numFmtId="0" fontId="6" fillId="0" borderId="57" xfId="0" applyFont="1" applyBorder="1" applyAlignment="1">
      <alignment horizontal="distributed"/>
    </xf>
    <xf numFmtId="0" fontId="6" fillId="0" borderId="55" xfId="0" applyFont="1" applyBorder="1" applyAlignment="1">
      <alignment horizontal="distributed"/>
    </xf>
    <xf numFmtId="0" fontId="6" fillId="0" borderId="56" xfId="0" applyFont="1" applyBorder="1" applyAlignment="1">
      <alignment horizontal="justify"/>
    </xf>
    <xf numFmtId="0" fontId="6" fillId="0" borderId="57" xfId="0" applyFont="1" applyBorder="1" applyAlignment="1">
      <alignment horizontal="justify"/>
    </xf>
    <xf numFmtId="0" fontId="6" fillId="0" borderId="105" xfId="0" applyFont="1" applyBorder="1" applyAlignment="1">
      <alignment horizontal="justify"/>
    </xf>
    <xf numFmtId="0" fontId="0" fillId="0" borderId="107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4" xfId="0" applyBorder="1" applyAlignment="1"/>
    <xf numFmtId="0" fontId="0" fillId="0" borderId="106" xfId="0" applyBorder="1" applyAlignment="1"/>
    <xf numFmtId="0" fontId="6" fillId="0" borderId="121" xfId="0" applyFont="1" applyBorder="1" applyAlignment="1">
      <alignment horizontal="justify"/>
    </xf>
    <xf numFmtId="0" fontId="6" fillId="0" borderId="97" xfId="0" applyFont="1" applyBorder="1" applyAlignment="1">
      <alignment horizontal="justify"/>
    </xf>
    <xf numFmtId="0" fontId="6" fillId="0" borderId="122" xfId="0" applyFont="1" applyBorder="1" applyAlignment="1">
      <alignment horizontal="justify"/>
    </xf>
    <xf numFmtId="0" fontId="6" fillId="0" borderId="56" xfId="0" applyFont="1" applyFill="1" applyBorder="1" applyAlignment="1">
      <alignment horizontal="justify"/>
    </xf>
    <xf numFmtId="0" fontId="6" fillId="0" borderId="57" xfId="0" applyFont="1" applyFill="1" applyBorder="1" applyAlignment="1">
      <alignment horizontal="justify"/>
    </xf>
    <xf numFmtId="0" fontId="6" fillId="0" borderId="105" xfId="0" applyFont="1" applyFill="1" applyBorder="1" applyAlignment="1">
      <alignment horizontal="justify"/>
    </xf>
    <xf numFmtId="0" fontId="11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right" vertical="center"/>
    </xf>
    <xf numFmtId="176" fontId="11" fillId="4" borderId="0" xfId="0" applyNumberFormat="1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 applyProtection="1">
      <alignment horizontal="justify" vertical="center"/>
    </xf>
    <xf numFmtId="0" fontId="27" fillId="4" borderId="0" xfId="0" applyFont="1" applyFill="1" applyBorder="1" applyAlignment="1" applyProtection="1">
      <alignment horizontal="center" vertical="center"/>
    </xf>
    <xf numFmtId="190" fontId="132" fillId="4" borderId="0" xfId="0" applyNumberFormat="1" applyFont="1" applyFill="1" applyBorder="1" applyAlignment="1" applyProtection="1">
      <alignment horizontal="justify" vertical="center"/>
    </xf>
    <xf numFmtId="0" fontId="25" fillId="4" borderId="0" xfId="0" applyFont="1" applyFill="1" applyBorder="1" applyAlignment="1" applyProtection="1">
      <alignment horizontal="center" vertical="center"/>
    </xf>
    <xf numFmtId="0" fontId="25" fillId="4" borderId="0" xfId="0" applyFont="1" applyFill="1" applyBorder="1" applyAlignment="1" applyProtection="1">
      <alignment horizontal="left" vertical="center"/>
    </xf>
    <xf numFmtId="0" fontId="26" fillId="4" borderId="0" xfId="0" applyFont="1" applyFill="1" applyBorder="1" applyAlignment="1" applyProtection="1">
      <alignment horizontal="justify" vertical="center"/>
    </xf>
    <xf numFmtId="173" fontId="11" fillId="4" borderId="0" xfId="0" applyNumberFormat="1" applyFont="1" applyFill="1" applyBorder="1" applyAlignment="1" applyProtection="1">
      <alignment horizontal="justify" vertical="center"/>
    </xf>
    <xf numFmtId="1" fontId="3" fillId="4" borderId="0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133" fillId="4" borderId="0" xfId="0" applyFont="1" applyFill="1" applyBorder="1" applyAlignment="1" applyProtection="1">
      <alignment horizontal="justify" vertical="center"/>
    </xf>
    <xf numFmtId="0" fontId="0" fillId="0" borderId="0" xfId="0" applyAlignment="1">
      <alignment horizontal="justify" vertical="center"/>
    </xf>
    <xf numFmtId="190" fontId="11" fillId="4" borderId="0" xfId="0" applyNumberFormat="1" applyFont="1" applyFill="1" applyBorder="1" applyAlignment="1" applyProtection="1">
      <alignment horizontal="justify" vertical="center"/>
    </xf>
    <xf numFmtId="164" fontId="3" fillId="4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justify" vertical="center"/>
    </xf>
    <xf numFmtId="0" fontId="11" fillId="4" borderId="0" xfId="0" applyNumberFormat="1" applyFont="1" applyFill="1" applyBorder="1" applyAlignment="1" applyProtection="1">
      <alignment horizontal="distributed" vertical="center"/>
    </xf>
    <xf numFmtId="0" fontId="2" fillId="4" borderId="0" xfId="0" applyFont="1" applyFill="1" applyBorder="1" applyAlignment="1" applyProtection="1">
      <alignment horizontal="justify" vertical="center"/>
    </xf>
    <xf numFmtId="0" fontId="135" fillId="4" borderId="0" xfId="0" applyFont="1" applyFill="1" applyBorder="1" applyAlignment="1" applyProtection="1">
      <alignment horizontal="justify" vertical="center"/>
    </xf>
    <xf numFmtId="0" fontId="11" fillId="4" borderId="0" xfId="0" applyFont="1" applyFill="1" applyBorder="1" applyAlignment="1" applyProtection="1">
      <alignment horizontal="distributed" vertical="center"/>
    </xf>
    <xf numFmtId="0" fontId="16" fillId="4" borderId="19" xfId="0" applyFont="1" applyFill="1" applyBorder="1" applyAlignment="1" applyProtection="1">
      <alignment horizontal="center"/>
    </xf>
    <xf numFmtId="0" fontId="14" fillId="4" borderId="0" xfId="0" applyFont="1" applyFill="1" applyBorder="1" applyAlignment="1" applyProtection="1">
      <alignment horizontal="distributed" vertical="center"/>
    </xf>
    <xf numFmtId="176" fontId="14" fillId="4" borderId="0" xfId="0" applyNumberFormat="1" applyFont="1" applyFill="1" applyBorder="1" applyAlignment="1" applyProtection="1">
      <alignment horizontal="distributed" vertical="center"/>
    </xf>
    <xf numFmtId="0" fontId="23" fillId="4" borderId="0" xfId="0" applyFont="1" applyFill="1" applyBorder="1" applyAlignment="1" applyProtection="1">
      <alignment horizontal="justify" vertical="center"/>
    </xf>
    <xf numFmtId="0" fontId="16" fillId="4" borderId="467" xfId="0" applyFont="1" applyFill="1" applyBorder="1" applyAlignment="1" applyProtection="1">
      <alignment horizontal="center" vertical="center"/>
    </xf>
    <xf numFmtId="0" fontId="16" fillId="4" borderId="468" xfId="0" applyFont="1" applyFill="1" applyBorder="1" applyAlignment="1" applyProtection="1">
      <alignment horizontal="center" vertical="center"/>
    </xf>
    <xf numFmtId="0" fontId="16" fillId="4" borderId="477" xfId="0" applyFont="1" applyFill="1" applyBorder="1" applyAlignment="1" applyProtection="1">
      <alignment horizontal="center" vertical="center"/>
    </xf>
    <xf numFmtId="0" fontId="16" fillId="4" borderId="472" xfId="0" applyFont="1" applyFill="1" applyBorder="1" applyAlignment="1" applyProtection="1">
      <alignment horizontal="center" vertical="center"/>
    </xf>
    <xf numFmtId="0" fontId="16" fillId="4" borderId="470" xfId="0" applyFont="1" applyFill="1" applyBorder="1" applyAlignment="1" applyProtection="1">
      <alignment horizontal="center" vertical="center"/>
    </xf>
    <xf numFmtId="0" fontId="16" fillId="4" borderId="362" xfId="0" applyFont="1" applyFill="1" applyBorder="1" applyAlignment="1" applyProtection="1">
      <alignment horizontal="center" vertical="center"/>
    </xf>
    <xf numFmtId="0" fontId="16" fillId="4" borderId="485" xfId="0" applyFont="1" applyFill="1" applyBorder="1" applyAlignment="1" applyProtection="1">
      <alignment horizontal="center" vertical="center"/>
    </xf>
    <xf numFmtId="0" fontId="16" fillId="4" borderId="364" xfId="0" applyFont="1" applyFill="1" applyBorder="1" applyAlignment="1" applyProtection="1">
      <alignment horizontal="center" vertical="center"/>
    </xf>
    <xf numFmtId="0" fontId="16" fillId="4" borderId="352" xfId="0" applyFont="1" applyFill="1" applyBorder="1" applyAlignment="1" applyProtection="1">
      <alignment horizontal="center" vertical="center"/>
    </xf>
    <xf numFmtId="0" fontId="16" fillId="4" borderId="354" xfId="0" applyFont="1" applyFill="1" applyBorder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center" vertical="center"/>
    </xf>
    <xf numFmtId="0" fontId="16" fillId="4" borderId="29" xfId="0" applyFont="1" applyFill="1" applyBorder="1" applyAlignment="1" applyProtection="1">
      <alignment horizontal="center" vertical="center"/>
    </xf>
    <xf numFmtId="0" fontId="16" fillId="4" borderId="161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  <protection locked="0"/>
    </xf>
    <xf numFmtId="0" fontId="16" fillId="4" borderId="29" xfId="0" applyFont="1" applyFill="1" applyBorder="1" applyAlignment="1" applyProtection="1">
      <alignment horizontal="center" vertical="center"/>
      <protection locked="0"/>
    </xf>
    <xf numFmtId="0" fontId="16" fillId="4" borderId="30" xfId="0" applyFont="1" applyFill="1" applyBorder="1" applyAlignment="1" applyProtection="1">
      <alignment horizontal="center" vertical="center"/>
      <protection locked="0"/>
    </xf>
    <xf numFmtId="0" fontId="19" fillId="29" borderId="4" xfId="0" applyFont="1" applyFill="1" applyBorder="1" applyAlignment="1" applyProtection="1">
      <alignment horizontal="center" vertical="center"/>
    </xf>
    <xf numFmtId="0" fontId="19" fillId="29" borderId="5" xfId="0" applyFont="1" applyFill="1" applyBorder="1" applyAlignment="1" applyProtection="1">
      <alignment horizontal="center" vertical="center"/>
    </xf>
    <xf numFmtId="0" fontId="2" fillId="29" borderId="5" xfId="0" applyFont="1" applyFill="1" applyBorder="1" applyAlignment="1" applyProtection="1">
      <alignment horizontal="center" vertical="center"/>
    </xf>
    <xf numFmtId="0" fontId="2" fillId="29" borderId="6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/>
    </xf>
    <xf numFmtId="0" fontId="98" fillId="4" borderId="0" xfId="0" applyFont="1" applyFill="1" applyBorder="1" applyAlignment="1" applyProtection="1">
      <alignment horizontal="center" vertical="center"/>
    </xf>
    <xf numFmtId="0" fontId="17" fillId="4" borderId="7" xfId="0" applyFont="1" applyFill="1" applyBorder="1" applyAlignment="1" applyProtection="1">
      <alignment horizontal="center" vertical="center"/>
    </xf>
    <xf numFmtId="0" fontId="17" fillId="4" borderId="8" xfId="0" applyFont="1" applyFill="1" applyBorder="1" applyAlignment="1" applyProtection="1">
      <alignment horizontal="center" vertical="center"/>
    </xf>
    <xf numFmtId="0" fontId="17" fillId="4" borderId="9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</xf>
    <xf numFmtId="0" fontId="134" fillId="29" borderId="423" xfId="0" applyFont="1" applyFill="1" applyBorder="1" applyAlignment="1" applyProtection="1">
      <alignment horizontal="center" vertical="center"/>
    </xf>
    <xf numFmtId="0" fontId="134" fillId="29" borderId="424" xfId="0" applyFont="1" applyFill="1" applyBorder="1" applyAlignment="1" applyProtection="1">
      <alignment horizontal="center" vertical="center"/>
    </xf>
    <xf numFmtId="0" fontId="134" fillId="29" borderId="425" xfId="0" applyFont="1" applyFill="1" applyBorder="1" applyAlignment="1" applyProtection="1">
      <alignment horizontal="center" vertical="center"/>
    </xf>
    <xf numFmtId="180" fontId="3" fillId="4" borderId="60" xfId="0" applyNumberFormat="1" applyFont="1" applyFill="1" applyBorder="1" applyAlignment="1" applyProtection="1">
      <alignment horizontal="center" vertical="center"/>
    </xf>
    <xf numFmtId="169" fontId="46" fillId="0" borderId="422" xfId="0" applyNumberFormat="1" applyFont="1" applyBorder="1" applyAlignment="1">
      <alignment horizontal="center" vertical="center"/>
    </xf>
    <xf numFmtId="7" fontId="92" fillId="34" borderId="422" xfId="0" applyNumberFormat="1" applyFont="1" applyFill="1" applyBorder="1" applyAlignment="1">
      <alignment horizontal="center" vertical="center"/>
    </xf>
    <xf numFmtId="180" fontId="3" fillId="20" borderId="422" xfId="0" applyNumberFormat="1" applyFont="1" applyFill="1" applyBorder="1" applyAlignment="1">
      <alignment horizontal="center" vertical="center"/>
    </xf>
    <xf numFmtId="180" fontId="3" fillId="20" borderId="426" xfId="0" applyNumberFormat="1" applyFont="1" applyFill="1" applyBorder="1" applyAlignment="1">
      <alignment horizontal="center" vertical="center"/>
    </xf>
    <xf numFmtId="0" fontId="120" fillId="4" borderId="411" xfId="0" applyFont="1" applyFill="1" applyBorder="1" applyAlignment="1" applyProtection="1">
      <alignment horizontal="center" vertical="center" wrapText="1"/>
    </xf>
    <xf numFmtId="0" fontId="120" fillId="4" borderId="412" xfId="0" applyFont="1" applyFill="1" applyBorder="1" applyAlignment="1" applyProtection="1">
      <alignment horizontal="center" vertical="center" wrapText="1"/>
    </xf>
    <xf numFmtId="0" fontId="120" fillId="4" borderId="414" xfId="0" applyFont="1" applyFill="1" applyBorder="1" applyAlignment="1" applyProtection="1">
      <alignment horizontal="center" vertical="center" wrapText="1"/>
    </xf>
    <xf numFmtId="0" fontId="2" fillId="20" borderId="7" xfId="0" applyFont="1" applyFill="1" applyBorder="1" applyAlignment="1" applyProtection="1">
      <alignment horizontal="distributed" vertical="center"/>
    </xf>
    <xf numFmtId="0" fontId="2" fillId="20" borderId="8" xfId="0" applyFont="1" applyFill="1" applyBorder="1" applyAlignment="1" applyProtection="1">
      <alignment horizontal="distributed" vertical="center"/>
    </xf>
    <xf numFmtId="0" fontId="2" fillId="20" borderId="8" xfId="0" applyNumberFormat="1" applyFont="1" applyFill="1" applyBorder="1" applyAlignment="1" applyProtection="1">
      <alignment horizontal="justify" vertical="center"/>
    </xf>
    <xf numFmtId="0" fontId="2" fillId="20" borderId="9" xfId="0" applyNumberFormat="1" applyFont="1" applyFill="1" applyBorder="1" applyAlignment="1" applyProtection="1">
      <alignment horizontal="justify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2" fillId="4" borderId="415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justify" vertical="center"/>
    </xf>
    <xf numFmtId="0" fontId="2" fillId="4" borderId="416" xfId="0" applyFont="1" applyFill="1" applyBorder="1" applyAlignment="1" applyProtection="1">
      <alignment horizontal="center" vertical="center"/>
    </xf>
    <xf numFmtId="191" fontId="33" fillId="4" borderId="416" xfId="0" applyNumberFormat="1" applyFont="1" applyFill="1" applyBorder="1" applyAlignment="1" applyProtection="1">
      <alignment horizontal="center" vertical="center"/>
    </xf>
    <xf numFmtId="191" fontId="33" fillId="0" borderId="416" xfId="0" applyNumberFormat="1" applyFont="1" applyBorder="1" applyAlignment="1">
      <alignment horizontal="center" vertical="center"/>
    </xf>
    <xf numFmtId="175" fontId="46" fillId="5" borderId="485" xfId="0" applyNumberFormat="1" applyFont="1" applyFill="1" applyBorder="1" applyAlignment="1" applyProtection="1">
      <alignment horizontal="center" vertical="center"/>
    </xf>
    <xf numFmtId="173" fontId="3" fillId="5" borderId="485" xfId="0" applyNumberFormat="1" applyFont="1" applyFill="1" applyBorder="1" applyAlignment="1" applyProtection="1">
      <alignment horizontal="center" vertical="center"/>
    </xf>
    <xf numFmtId="180" fontId="3" fillId="12" borderId="485" xfId="0" applyNumberFormat="1" applyFont="1" applyFill="1" applyBorder="1" applyAlignment="1" applyProtection="1">
      <alignment horizontal="right" vertical="center"/>
    </xf>
    <xf numFmtId="177" fontId="3" fillId="4" borderId="352" xfId="0" applyNumberFormat="1" applyFont="1" applyFill="1" applyBorder="1" applyAlignment="1" applyProtection="1">
      <alignment horizontal="center" vertical="center"/>
    </xf>
    <xf numFmtId="177" fontId="3" fillId="4" borderId="441" xfId="0" applyNumberFormat="1" applyFont="1" applyFill="1" applyBorder="1" applyAlignment="1" applyProtection="1">
      <alignment horizontal="center" vertical="center"/>
    </xf>
    <xf numFmtId="180" fontId="3" fillId="11" borderId="438" xfId="0" applyNumberFormat="1" applyFont="1" applyFill="1" applyBorder="1" applyAlignment="1" applyProtection="1">
      <alignment horizontal="right" vertical="center"/>
    </xf>
    <xf numFmtId="180" fontId="3" fillId="11" borderId="475" xfId="0" applyNumberFormat="1" applyFont="1" applyFill="1" applyBorder="1" applyAlignment="1" applyProtection="1">
      <alignment horizontal="right" vertical="center"/>
    </xf>
    <xf numFmtId="180" fontId="3" fillId="11" borderId="439" xfId="0" applyNumberFormat="1" applyFont="1" applyFill="1" applyBorder="1" applyAlignment="1" applyProtection="1">
      <alignment horizontal="right" vertical="center"/>
    </xf>
    <xf numFmtId="0" fontId="3" fillId="14" borderId="7" xfId="0" applyNumberFormat="1" applyFont="1" applyFill="1" applyBorder="1" applyAlignment="1" applyProtection="1">
      <alignment horizontal="center" vertical="center"/>
    </xf>
    <xf numFmtId="0" fontId="3" fillId="14" borderId="8" xfId="0" applyNumberFormat="1" applyFont="1" applyFill="1" applyBorder="1" applyAlignment="1" applyProtection="1">
      <alignment horizontal="center" vertical="center"/>
    </xf>
    <xf numFmtId="0" fontId="3" fillId="14" borderId="60" xfId="0" applyNumberFormat="1" applyFont="1" applyFill="1" applyBorder="1" applyAlignment="1" applyProtection="1">
      <alignment horizontal="center" vertical="center"/>
    </xf>
    <xf numFmtId="0" fontId="3" fillId="14" borderId="22" xfId="0" applyNumberFormat="1" applyFont="1" applyFill="1" applyBorder="1" applyAlignment="1" applyProtection="1">
      <alignment horizontal="center" vertical="center"/>
    </xf>
    <xf numFmtId="169" fontId="3" fillId="11" borderId="18" xfId="0" applyNumberFormat="1" applyFont="1" applyFill="1" applyBorder="1" applyAlignment="1" applyProtection="1">
      <alignment horizontal="right" vertical="center"/>
    </xf>
    <xf numFmtId="169" fontId="3" fillId="11" borderId="19" xfId="0" applyNumberFormat="1" applyFont="1" applyFill="1" applyBorder="1" applyAlignment="1" applyProtection="1">
      <alignment horizontal="right" vertical="center"/>
    </xf>
    <xf numFmtId="169" fontId="3" fillId="11" borderId="20" xfId="0" applyNumberFormat="1" applyFont="1" applyFill="1" applyBorder="1" applyAlignment="1" applyProtection="1">
      <alignment horizontal="right" vertical="center"/>
    </xf>
    <xf numFmtId="0" fontId="2" fillId="4" borderId="18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1" fillId="4" borderId="19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6" fillId="4" borderId="20" xfId="0" applyFont="1" applyFill="1" applyBorder="1" applyAlignment="1" applyProtection="1">
      <alignment horizontal="center" vertical="center"/>
    </xf>
    <xf numFmtId="175" fontId="46" fillId="5" borderId="29" xfId="0" applyNumberFormat="1" applyFont="1" applyFill="1" applyBorder="1" applyAlignment="1" applyProtection="1">
      <alignment horizontal="center" vertical="center"/>
    </xf>
    <xf numFmtId="173" fontId="3" fillId="5" borderId="29" xfId="0" applyNumberFormat="1" applyFont="1" applyFill="1" applyBorder="1" applyAlignment="1" applyProtection="1">
      <alignment horizontal="center" vertical="center"/>
    </xf>
    <xf numFmtId="180" fontId="3" fillId="12" borderId="29" xfId="0" applyNumberFormat="1" applyFont="1" applyFill="1" applyBorder="1" applyAlignment="1" applyProtection="1">
      <alignment horizontal="right" vertical="center"/>
    </xf>
    <xf numFmtId="177" fontId="3" fillId="4" borderId="65" xfId="0" applyNumberFormat="1" applyFont="1" applyFill="1" applyBorder="1" applyAlignment="1" applyProtection="1">
      <alignment horizontal="center" vertical="center"/>
    </xf>
    <xf numFmtId="177" fontId="3" fillId="4" borderId="440" xfId="0" applyNumberFormat="1" applyFont="1" applyFill="1" applyBorder="1" applyAlignment="1" applyProtection="1">
      <alignment horizontal="center" vertical="center"/>
    </xf>
    <xf numFmtId="169" fontId="3" fillId="12" borderId="436" xfId="0" applyNumberFormat="1" applyFont="1" applyFill="1" applyBorder="1" applyAlignment="1" applyProtection="1">
      <alignment horizontal="center" vertical="center"/>
    </xf>
    <xf numFmtId="169" fontId="3" fillId="12" borderId="297" xfId="0" applyNumberFormat="1" applyFont="1" applyFill="1" applyBorder="1" applyAlignment="1" applyProtection="1">
      <alignment horizontal="center" vertical="center"/>
    </xf>
    <xf numFmtId="169" fontId="3" fillId="12" borderId="437" xfId="0" applyNumberFormat="1" applyFont="1" applyFill="1" applyBorder="1" applyAlignment="1" applyProtection="1">
      <alignment horizontal="center" vertical="center"/>
    </xf>
    <xf numFmtId="0" fontId="19" fillId="4" borderId="411" xfId="0" applyNumberFormat="1" applyFont="1" applyFill="1" applyBorder="1" applyAlignment="1" applyProtection="1">
      <alignment horizontal="justify" vertical="center"/>
    </xf>
    <xf numFmtId="0" fontId="19" fillId="4" borderId="412" xfId="0" applyNumberFormat="1" applyFont="1" applyFill="1" applyBorder="1" applyAlignment="1" applyProtection="1">
      <alignment horizontal="justify" vertical="center"/>
    </xf>
    <xf numFmtId="168" fontId="2" fillId="5" borderId="412" xfId="0" applyNumberFormat="1" applyFont="1" applyFill="1" applyBorder="1" applyAlignment="1" applyProtection="1">
      <alignment horizontal="center" vertical="center"/>
    </xf>
    <xf numFmtId="44" fontId="21" fillId="4" borderId="434" xfId="0" applyNumberFormat="1" applyFont="1" applyFill="1" applyBorder="1" applyAlignment="1" applyProtection="1">
      <alignment horizontal="right" vertical="center"/>
    </xf>
    <xf numFmtId="44" fontId="21" fillId="4" borderId="435" xfId="0" applyNumberFormat="1" applyFont="1" applyFill="1" applyBorder="1" applyAlignment="1" applyProtection="1">
      <alignment horizontal="right" vertical="center"/>
    </xf>
    <xf numFmtId="177" fontId="3" fillId="5" borderId="434" xfId="0" applyNumberFormat="1" applyFont="1" applyFill="1" applyBorder="1" applyAlignment="1" applyProtection="1">
      <alignment horizontal="center" vertical="center"/>
    </xf>
    <xf numFmtId="177" fontId="3" fillId="5" borderId="435" xfId="0" applyNumberFormat="1" applyFont="1" applyFill="1" applyBorder="1" applyAlignment="1" applyProtection="1">
      <alignment horizontal="center" vertical="center"/>
    </xf>
    <xf numFmtId="167" fontId="3" fillId="5" borderId="434" xfId="0" applyNumberFormat="1" applyFont="1" applyFill="1" applyBorder="1" applyAlignment="1" applyProtection="1">
      <alignment horizontal="center" vertical="center"/>
    </xf>
    <xf numFmtId="167" fontId="3" fillId="5" borderId="435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justify" vertical="center"/>
    </xf>
    <xf numFmtId="0" fontId="4" fillId="4" borderId="8" xfId="0" applyFont="1" applyFill="1" applyBorder="1" applyAlignment="1" applyProtection="1">
      <alignment horizontal="justify" vertical="center"/>
    </xf>
    <xf numFmtId="175" fontId="3" fillId="10" borderId="8" xfId="0" applyNumberFormat="1" applyFont="1" applyFill="1" applyBorder="1" applyAlignment="1" applyProtection="1">
      <alignment horizontal="center" vertical="center"/>
      <protection locked="0"/>
    </xf>
    <xf numFmtId="173" fontId="3" fillId="5" borderId="8" xfId="0" applyNumberFormat="1" applyFont="1" applyFill="1" applyBorder="1" applyAlignment="1" applyProtection="1">
      <alignment horizontal="center" vertical="center"/>
    </xf>
    <xf numFmtId="173" fontId="3" fillId="12" borderId="8" xfId="0" applyNumberFormat="1" applyFont="1" applyFill="1" applyBorder="1" applyAlignment="1" applyProtection="1">
      <alignment horizontal="center" vertical="center"/>
    </xf>
    <xf numFmtId="173" fontId="3" fillId="12" borderId="9" xfId="0" applyNumberFormat="1" applyFont="1" applyFill="1" applyBorder="1" applyAlignment="1" applyProtection="1">
      <alignment horizontal="center" vertical="center"/>
    </xf>
    <xf numFmtId="177" fontId="3" fillId="4" borderId="7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0" fontId="2" fillId="4" borderId="244" xfId="0" applyFont="1" applyFill="1" applyBorder="1" applyAlignment="1" applyProtection="1">
      <alignment horizontal="center"/>
      <protection locked="0"/>
    </xf>
    <xf numFmtId="0" fontId="3" fillId="4" borderId="429" xfId="0" applyNumberFormat="1" applyFont="1" applyFill="1" applyBorder="1" applyAlignment="1" applyProtection="1">
      <alignment horizontal="justify" vertical="center"/>
    </xf>
    <xf numFmtId="0" fontId="3" fillId="4" borderId="430" xfId="0" applyNumberFormat="1" applyFont="1" applyFill="1" applyBorder="1" applyAlignment="1" applyProtection="1">
      <alignment horizontal="justify" vertical="center"/>
    </xf>
    <xf numFmtId="168" fontId="2" fillId="5" borderId="430" xfId="0" applyNumberFormat="1" applyFont="1" applyFill="1" applyBorder="1" applyAlignment="1" applyProtection="1">
      <alignment horizontal="center" vertical="center"/>
    </xf>
    <xf numFmtId="168" fontId="2" fillId="5" borderId="431" xfId="0" applyNumberFormat="1" applyFont="1" applyFill="1" applyBorder="1" applyAlignment="1" applyProtection="1">
      <alignment horizontal="center" vertical="center"/>
    </xf>
    <xf numFmtId="44" fontId="21" fillId="4" borderId="432" xfId="0" applyNumberFormat="1" applyFont="1" applyFill="1" applyBorder="1" applyAlignment="1" applyProtection="1">
      <alignment horizontal="right" vertical="center"/>
    </xf>
    <xf numFmtId="44" fontId="21" fillId="4" borderId="431" xfId="0" applyNumberFormat="1" applyFont="1" applyFill="1" applyBorder="1" applyAlignment="1" applyProtection="1">
      <alignment horizontal="right" vertical="center"/>
    </xf>
    <xf numFmtId="177" fontId="3" fillId="5" borderId="432" xfId="0" applyNumberFormat="1" applyFont="1" applyFill="1" applyBorder="1" applyAlignment="1" applyProtection="1">
      <alignment horizontal="center" vertical="center"/>
    </xf>
    <xf numFmtId="177" fontId="3" fillId="5" borderId="431" xfId="0" applyNumberFormat="1" applyFont="1" applyFill="1" applyBorder="1" applyAlignment="1" applyProtection="1">
      <alignment horizontal="center" vertical="center"/>
    </xf>
    <xf numFmtId="167" fontId="3" fillId="5" borderId="432" xfId="0" applyNumberFormat="1" applyFont="1" applyFill="1" applyBorder="1" applyAlignment="1" applyProtection="1">
      <alignment horizontal="center" vertical="center"/>
    </xf>
    <xf numFmtId="167" fontId="3" fillId="5" borderId="431" xfId="0" applyNumberFormat="1" applyFont="1" applyFill="1" applyBorder="1" applyAlignment="1" applyProtection="1">
      <alignment horizontal="center" vertical="center"/>
    </xf>
    <xf numFmtId="177" fontId="3" fillId="5" borderId="409" xfId="0" applyNumberFormat="1" applyFont="1" applyFill="1" applyBorder="1" applyAlignment="1" applyProtection="1">
      <alignment horizontal="center" vertical="center"/>
    </xf>
    <xf numFmtId="177" fontId="3" fillId="5" borderId="407" xfId="0" applyNumberFormat="1" applyFont="1" applyFill="1" applyBorder="1" applyAlignment="1" applyProtection="1">
      <alignment horizontal="center" vertical="center"/>
    </xf>
    <xf numFmtId="167" fontId="3" fillId="5" borderId="409" xfId="0" applyNumberFormat="1" applyFont="1" applyFill="1" applyBorder="1" applyAlignment="1" applyProtection="1">
      <alignment horizontal="center" vertical="center"/>
    </xf>
    <xf numFmtId="167" fontId="3" fillId="5" borderId="407" xfId="0" applyNumberFormat="1" applyFont="1" applyFill="1" applyBorder="1" applyAlignment="1" applyProtection="1">
      <alignment horizontal="center" vertical="center"/>
    </xf>
    <xf numFmtId="0" fontId="19" fillId="4" borderId="429" xfId="0" applyNumberFormat="1" applyFont="1" applyFill="1" applyBorder="1" applyAlignment="1" applyProtection="1">
      <alignment horizontal="justify" vertical="center"/>
    </xf>
    <xf numFmtId="0" fontId="19" fillId="4" borderId="430" xfId="0" applyNumberFormat="1" applyFont="1" applyFill="1" applyBorder="1" applyAlignment="1" applyProtection="1">
      <alignment horizontal="justify" vertical="center"/>
    </xf>
    <xf numFmtId="44" fontId="21" fillId="4" borderId="430" xfId="0" applyNumberFormat="1" applyFont="1" applyFill="1" applyBorder="1" applyAlignment="1" applyProtection="1">
      <alignment horizontal="right" vertical="center"/>
    </xf>
    <xf numFmtId="0" fontId="3" fillId="4" borderId="400" xfId="0" applyNumberFormat="1" applyFont="1" applyFill="1" applyBorder="1" applyAlignment="1" applyProtection="1">
      <alignment horizontal="justify" vertical="center"/>
    </xf>
    <xf numFmtId="0" fontId="3" fillId="4" borderId="401" xfId="0" applyNumberFormat="1" applyFont="1" applyFill="1" applyBorder="1" applyAlignment="1" applyProtection="1">
      <alignment horizontal="justify" vertical="center"/>
    </xf>
    <xf numFmtId="168" fontId="2" fillId="5" borderId="401" xfId="0" applyNumberFormat="1" applyFont="1" applyFill="1" applyBorder="1" applyAlignment="1" applyProtection="1">
      <alignment horizontal="center" vertical="center"/>
    </xf>
    <xf numFmtId="168" fontId="2" fillId="5" borderId="402" xfId="0" applyNumberFormat="1" applyFont="1" applyFill="1" applyBorder="1" applyAlignment="1" applyProtection="1">
      <alignment horizontal="center" vertical="center"/>
    </xf>
    <xf numFmtId="44" fontId="21" fillId="4" borderId="403" xfId="0" applyNumberFormat="1" applyFont="1" applyFill="1" applyBorder="1" applyAlignment="1" applyProtection="1">
      <alignment horizontal="right" vertical="center"/>
    </xf>
    <xf numFmtId="44" fontId="21" fillId="4" borderId="402" xfId="0" applyNumberFormat="1" applyFont="1" applyFill="1" applyBorder="1" applyAlignment="1" applyProtection="1">
      <alignment horizontal="right" vertical="center"/>
    </xf>
    <xf numFmtId="177" fontId="3" fillId="5" borderId="403" xfId="0" applyNumberFormat="1" applyFont="1" applyFill="1" applyBorder="1" applyAlignment="1" applyProtection="1">
      <alignment horizontal="center" vertical="center"/>
    </xf>
    <xf numFmtId="177" fontId="3" fillId="5" borderId="402" xfId="0" applyNumberFormat="1" applyFont="1" applyFill="1" applyBorder="1" applyAlignment="1" applyProtection="1">
      <alignment horizontal="center" vertical="center"/>
    </xf>
    <xf numFmtId="167" fontId="3" fillId="5" borderId="403" xfId="0" applyNumberFormat="1" applyFont="1" applyFill="1" applyBorder="1" applyAlignment="1" applyProtection="1">
      <alignment horizontal="center" vertical="center"/>
    </xf>
    <xf numFmtId="167" fontId="3" fillId="5" borderId="402" xfId="0" applyNumberFormat="1" applyFont="1" applyFill="1" applyBorder="1" applyAlignment="1" applyProtection="1">
      <alignment horizontal="center" vertical="center"/>
    </xf>
    <xf numFmtId="0" fontId="3" fillId="4" borderId="405" xfId="0" applyNumberFormat="1" applyFont="1" applyFill="1" applyBorder="1" applyAlignment="1" applyProtection="1">
      <alignment horizontal="justify" vertical="center"/>
    </xf>
    <xf numFmtId="0" fontId="3" fillId="4" borderId="406" xfId="0" applyNumberFormat="1" applyFont="1" applyFill="1" applyBorder="1" applyAlignment="1" applyProtection="1">
      <alignment horizontal="justify" vertical="center"/>
    </xf>
    <xf numFmtId="0" fontId="2" fillId="5" borderId="408" xfId="0" applyNumberFormat="1" applyFont="1" applyFill="1" applyBorder="1" applyAlignment="1" applyProtection="1">
      <alignment horizontal="center" vertical="center"/>
    </xf>
    <xf numFmtId="174" fontId="2" fillId="5" borderId="408" xfId="0" applyNumberFormat="1" applyFont="1" applyFill="1" applyBorder="1" applyAlignment="1" applyProtection="1">
      <alignment horizontal="center" vertical="center"/>
    </xf>
    <xf numFmtId="174" fontId="2" fillId="4" borderId="409" xfId="0" applyNumberFormat="1" applyFont="1" applyFill="1" applyBorder="1" applyAlignment="1" applyProtection="1">
      <alignment horizontal="right" vertical="center" wrapText="1" indent="4"/>
    </xf>
    <xf numFmtId="174" fontId="2" fillId="4" borderId="406" xfId="0" applyNumberFormat="1" applyFont="1" applyFill="1" applyBorder="1" applyAlignment="1" applyProtection="1">
      <alignment horizontal="right" vertical="center" wrapText="1" indent="4"/>
    </xf>
    <xf numFmtId="174" fontId="2" fillId="4" borderId="407" xfId="0" applyNumberFormat="1" applyFont="1" applyFill="1" applyBorder="1" applyAlignment="1" applyProtection="1">
      <alignment horizontal="right" vertical="center" wrapText="1" indent="4"/>
    </xf>
    <xf numFmtId="44" fontId="21" fillId="4" borderId="406" xfId="0" applyNumberFormat="1" applyFont="1" applyFill="1" applyBorder="1" applyAlignment="1" applyProtection="1">
      <alignment horizontal="right" vertical="center"/>
    </xf>
    <xf numFmtId="44" fontId="21" fillId="4" borderId="407" xfId="0" applyNumberFormat="1" applyFont="1" applyFill="1" applyBorder="1" applyAlignment="1" applyProtection="1">
      <alignment horizontal="right" vertical="center"/>
    </xf>
    <xf numFmtId="174" fontId="2" fillId="4" borderId="409" xfId="0" applyNumberFormat="1" applyFont="1" applyFill="1" applyBorder="1" applyAlignment="1" applyProtection="1">
      <alignment horizontal="right" vertical="center" indent="4"/>
    </xf>
    <xf numFmtId="174" fontId="2" fillId="4" borderId="406" xfId="0" applyNumberFormat="1" applyFont="1" applyFill="1" applyBorder="1" applyAlignment="1" applyProtection="1">
      <alignment horizontal="right" vertical="center" indent="4"/>
    </xf>
    <xf numFmtId="174" fontId="2" fillId="4" borderId="407" xfId="0" applyNumberFormat="1" applyFont="1" applyFill="1" applyBorder="1" applyAlignment="1" applyProtection="1">
      <alignment horizontal="right" vertical="center" indent="4"/>
    </xf>
    <xf numFmtId="0" fontId="2" fillId="4" borderId="244" xfId="0" applyFont="1" applyFill="1" applyBorder="1" applyAlignment="1" applyProtection="1">
      <alignment horizontal="center"/>
    </xf>
    <xf numFmtId="0" fontId="2" fillId="4" borderId="241" xfId="0" applyFont="1" applyFill="1" applyBorder="1" applyAlignment="1" applyProtection="1">
      <alignment horizontal="center" vertical="center"/>
    </xf>
    <xf numFmtId="0" fontId="2" fillId="4" borderId="241" xfId="0" applyFont="1" applyFill="1" applyBorder="1" applyAlignment="1" applyProtection="1">
      <alignment horizontal="center" vertical="center"/>
      <protection locked="0"/>
    </xf>
    <xf numFmtId="0" fontId="2" fillId="4" borderId="238" xfId="0" applyFont="1" applyFill="1" applyBorder="1" applyAlignment="1" applyProtection="1">
      <alignment horizontal="center" vertical="center"/>
    </xf>
    <xf numFmtId="0" fontId="2" fillId="4" borderId="238" xfId="0" applyFont="1" applyFill="1" applyBorder="1" applyAlignment="1" applyProtection="1">
      <alignment horizontal="center" vertical="center"/>
      <protection locked="0"/>
    </xf>
    <xf numFmtId="167" fontId="38" fillId="11" borderId="157" xfId="0" applyNumberFormat="1" applyFont="1" applyFill="1" applyBorder="1" applyAlignment="1" applyProtection="1">
      <alignment horizontal="center" vertical="center"/>
    </xf>
    <xf numFmtId="167" fontId="38" fillId="11" borderId="83" xfId="0" applyNumberFormat="1" applyFont="1" applyFill="1" applyBorder="1" applyAlignment="1" applyProtection="1">
      <alignment horizontal="center" vertical="center"/>
    </xf>
    <xf numFmtId="0" fontId="3" fillId="4" borderId="394" xfId="0" applyNumberFormat="1" applyFont="1" applyFill="1" applyBorder="1" applyAlignment="1" applyProtection="1">
      <alignment horizontal="justify" vertical="center"/>
    </xf>
    <xf numFmtId="0" fontId="3" fillId="4" borderId="395" xfId="0" applyNumberFormat="1" applyFont="1" applyFill="1" applyBorder="1" applyAlignment="1" applyProtection="1">
      <alignment horizontal="justify" vertical="center"/>
    </xf>
    <xf numFmtId="0" fontId="2" fillId="5" borderId="397" xfId="0" applyNumberFormat="1" applyFont="1" applyFill="1" applyBorder="1" applyAlignment="1" applyProtection="1">
      <alignment horizontal="center" vertical="center"/>
    </xf>
    <xf numFmtId="174" fontId="2" fillId="5" borderId="397" xfId="0" applyNumberFormat="1" applyFont="1" applyFill="1" applyBorder="1" applyAlignment="1" applyProtection="1">
      <alignment horizontal="center" vertical="center"/>
    </xf>
    <xf numFmtId="174" fontId="2" fillId="4" borderId="398" xfId="0" applyNumberFormat="1" applyFont="1" applyFill="1" applyBorder="1" applyAlignment="1" applyProtection="1">
      <alignment horizontal="right" vertical="center" indent="4"/>
    </xf>
    <xf numFmtId="174" fontId="2" fillId="4" borderId="395" xfId="0" applyNumberFormat="1" applyFont="1" applyFill="1" applyBorder="1" applyAlignment="1" applyProtection="1">
      <alignment horizontal="right" vertical="center" indent="4"/>
    </xf>
    <xf numFmtId="174" fontId="2" fillId="4" borderId="396" xfId="0" applyNumberFormat="1" applyFont="1" applyFill="1" applyBorder="1" applyAlignment="1" applyProtection="1">
      <alignment horizontal="right" vertical="center" indent="4"/>
    </xf>
    <xf numFmtId="44" fontId="21" fillId="4" borderId="395" xfId="0" applyNumberFormat="1" applyFont="1" applyFill="1" applyBorder="1" applyAlignment="1" applyProtection="1">
      <alignment horizontal="right" vertical="center"/>
    </xf>
    <xf numFmtId="44" fontId="21" fillId="4" borderId="396" xfId="0" applyNumberFormat="1" applyFont="1" applyFill="1" applyBorder="1" applyAlignment="1" applyProtection="1">
      <alignment horizontal="right" vertical="center"/>
    </xf>
    <xf numFmtId="177" fontId="3" fillId="5" borderId="398" xfId="0" applyNumberFormat="1" applyFont="1" applyFill="1" applyBorder="1" applyAlignment="1" applyProtection="1">
      <alignment horizontal="center" vertical="center"/>
    </xf>
    <xf numFmtId="177" fontId="3" fillId="5" borderId="396" xfId="0" applyNumberFormat="1" applyFont="1" applyFill="1" applyBorder="1" applyAlignment="1" applyProtection="1">
      <alignment horizontal="center" vertical="center"/>
    </xf>
    <xf numFmtId="167" fontId="3" fillId="5" borderId="398" xfId="0" applyNumberFormat="1" applyFont="1" applyFill="1" applyBorder="1" applyAlignment="1" applyProtection="1">
      <alignment horizontal="center" vertical="center"/>
    </xf>
    <xf numFmtId="167" fontId="3" fillId="5" borderId="396" xfId="0" applyNumberFormat="1" applyFont="1" applyFill="1" applyBorder="1" applyAlignment="1" applyProtection="1">
      <alignment horizontal="center" vertical="center"/>
    </xf>
    <xf numFmtId="0" fontId="3" fillId="11" borderId="150" xfId="0" applyFont="1" applyFill="1" applyBorder="1" applyAlignment="1" applyProtection="1">
      <alignment horizontal="center" vertical="center"/>
    </xf>
    <xf numFmtId="0" fontId="3" fillId="11" borderId="151" xfId="0" applyFont="1" applyFill="1" applyBorder="1" applyAlignment="1" applyProtection="1">
      <alignment horizontal="center" vertical="center"/>
    </xf>
    <xf numFmtId="167" fontId="3" fillId="11" borderId="41" xfId="0" applyNumberFormat="1" applyFont="1" applyFill="1" applyBorder="1" applyAlignment="1" applyProtection="1">
      <alignment horizontal="center" vertical="center"/>
    </xf>
    <xf numFmtId="2" fontId="38" fillId="11" borderId="157" xfId="0" applyNumberFormat="1" applyFont="1" applyFill="1" applyBorder="1" applyAlignment="1" applyProtection="1">
      <alignment horizontal="center" vertical="center"/>
    </xf>
    <xf numFmtId="2" fontId="38" fillId="11" borderId="8" xfId="0" applyNumberFormat="1" applyFont="1" applyFill="1" applyBorder="1" applyAlignment="1" applyProtection="1">
      <alignment horizontal="center" vertical="center"/>
    </xf>
    <xf numFmtId="2" fontId="38" fillId="11" borderId="83" xfId="0" applyNumberFormat="1" applyFont="1" applyFill="1" applyBorder="1" applyAlignment="1" applyProtection="1">
      <alignment horizontal="center" vertical="center"/>
    </xf>
    <xf numFmtId="0" fontId="3" fillId="11" borderId="8" xfId="0" applyFont="1" applyFill="1" applyBorder="1" applyAlignment="1" applyProtection="1">
      <alignment horizontal="center" vertical="center"/>
    </xf>
    <xf numFmtId="0" fontId="3" fillId="11" borderId="8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35" fillId="12" borderId="7" xfId="0" applyFont="1" applyFill="1" applyBorder="1" applyAlignment="1" applyProtection="1">
      <alignment horizontal="center" vertical="center"/>
    </xf>
    <xf numFmtId="0" fontId="35" fillId="12" borderId="8" xfId="0" applyFont="1" applyFill="1" applyBorder="1" applyAlignment="1" applyProtection="1">
      <alignment horizontal="center" vertical="center"/>
    </xf>
    <xf numFmtId="169" fontId="34" fillId="15" borderId="8" xfId="0" applyNumberFormat="1" applyFont="1" applyFill="1" applyBorder="1" applyAlignment="1" applyProtection="1">
      <alignment horizontal="center" vertical="center"/>
    </xf>
    <xf numFmtId="169" fontId="34" fillId="15" borderId="83" xfId="0" applyNumberFormat="1" applyFont="1" applyFill="1" applyBorder="1" applyAlignment="1" applyProtection="1">
      <alignment horizontal="center" vertical="center"/>
    </xf>
    <xf numFmtId="169" fontId="3" fillId="12" borderId="173" xfId="0" applyNumberFormat="1" applyFont="1" applyFill="1" applyBorder="1" applyAlignment="1" applyProtection="1">
      <alignment horizontal="center" vertical="center" wrapText="1"/>
    </xf>
    <xf numFmtId="169" fontId="3" fillId="12" borderId="0" xfId="0" applyNumberFormat="1" applyFont="1" applyFill="1" applyBorder="1" applyAlignment="1" applyProtection="1">
      <alignment horizontal="center" vertical="center" wrapText="1"/>
    </xf>
    <xf numFmtId="169" fontId="38" fillId="10" borderId="0" xfId="0" applyNumberFormat="1" applyFont="1" applyFill="1" applyBorder="1" applyAlignment="1" applyProtection="1">
      <alignment horizontal="right" vertical="center"/>
      <protection locked="0"/>
    </xf>
    <xf numFmtId="169" fontId="38" fillId="10" borderId="128" xfId="0" applyNumberFormat="1" applyFont="1" applyFill="1" applyBorder="1" applyAlignment="1" applyProtection="1">
      <alignment horizontal="right" vertical="center"/>
      <protection locked="0"/>
    </xf>
    <xf numFmtId="169" fontId="37" fillId="6" borderId="61" xfId="0" applyNumberFormat="1" applyFont="1" applyFill="1" applyBorder="1" applyAlignment="1" applyProtection="1">
      <alignment horizontal="center" vertical="center"/>
    </xf>
    <xf numFmtId="169" fontId="37" fillId="6" borderId="21" xfId="0" applyNumberFormat="1" applyFont="1" applyFill="1" applyBorder="1" applyAlignment="1" applyProtection="1">
      <alignment horizontal="center" vertical="center"/>
    </xf>
    <xf numFmtId="49" fontId="37" fillId="6" borderId="0" xfId="0" applyNumberFormat="1" applyFont="1" applyFill="1" applyBorder="1" applyAlignment="1" applyProtection="1">
      <alignment horizontal="center" vertical="center"/>
    </xf>
    <xf numFmtId="49" fontId="37" fillId="6" borderId="60" xfId="0" applyNumberFormat="1" applyFont="1" applyFill="1" applyBorder="1" applyAlignment="1" applyProtection="1">
      <alignment horizontal="center" vertical="center"/>
    </xf>
    <xf numFmtId="0" fontId="91" fillId="12" borderId="231" xfId="0" applyFont="1" applyFill="1" applyBorder="1" applyAlignment="1" applyProtection="1">
      <alignment horizontal="left" vertical="center"/>
    </xf>
    <xf numFmtId="0" fontId="91" fillId="12" borderId="236" xfId="0" applyFont="1" applyFill="1" applyBorder="1" applyAlignment="1" applyProtection="1">
      <alignment horizontal="left" vertical="center"/>
    </xf>
    <xf numFmtId="169" fontId="5" fillId="12" borderId="173" xfId="0" applyNumberFormat="1" applyFont="1" applyFill="1" applyBorder="1" applyAlignment="1" applyProtection="1">
      <alignment horizontal="center" vertical="center" wrapText="1"/>
    </xf>
    <xf numFmtId="169" fontId="5" fillId="12" borderId="0" xfId="0" applyNumberFormat="1" applyFont="1" applyFill="1" applyBorder="1" applyAlignment="1" applyProtection="1">
      <alignment horizontal="center" vertical="center" wrapText="1"/>
    </xf>
    <xf numFmtId="0" fontId="90" fillId="12" borderId="21" xfId="0" applyFont="1" applyFill="1" applyBorder="1" applyAlignment="1" applyProtection="1">
      <alignment horizontal="center" vertical="center"/>
    </xf>
    <xf numFmtId="0" fontId="90" fillId="12" borderId="60" xfId="0" applyFont="1" applyFill="1" applyBorder="1" applyAlignment="1" applyProtection="1">
      <alignment horizontal="center" vertical="center"/>
    </xf>
    <xf numFmtId="169" fontId="92" fillId="16" borderId="61" xfId="0" applyNumberFormat="1" applyFont="1" applyFill="1" applyBorder="1" applyAlignment="1" applyProtection="1">
      <alignment horizontal="center" vertical="center" wrapText="1"/>
    </xf>
    <xf numFmtId="169" fontId="92" fillId="16" borderId="128" xfId="0" applyNumberFormat="1" applyFont="1" applyFill="1" applyBorder="1" applyAlignment="1" applyProtection="1">
      <alignment horizontal="center" vertical="center" wrapText="1"/>
    </xf>
    <xf numFmtId="169" fontId="92" fillId="16" borderId="21" xfId="0" applyNumberFormat="1" applyFont="1" applyFill="1" applyBorder="1" applyAlignment="1" applyProtection="1">
      <alignment horizontal="center" vertical="center" wrapText="1"/>
    </xf>
    <xf numFmtId="169" fontId="92" fillId="16" borderId="22" xfId="0" applyNumberFormat="1" applyFont="1" applyFill="1" applyBorder="1" applyAlignment="1" applyProtection="1">
      <alignment horizontal="center" vertical="center" wrapText="1"/>
    </xf>
    <xf numFmtId="0" fontId="21" fillId="6" borderId="18" xfId="0" applyFont="1" applyFill="1" applyBorder="1" applyAlignment="1" applyProtection="1">
      <alignment horizontal="distributed" vertical="center"/>
    </xf>
    <xf numFmtId="0" fontId="21" fillId="6" borderId="19" xfId="0" applyFont="1" applyFill="1" applyBorder="1" applyAlignment="1" applyProtection="1">
      <alignment horizontal="distributed" vertical="center"/>
    </xf>
    <xf numFmtId="0" fontId="21" fillId="6" borderId="20" xfId="0" applyFont="1" applyFill="1" applyBorder="1" applyAlignment="1" applyProtection="1">
      <alignment horizontal="distributed" vertical="center"/>
    </xf>
    <xf numFmtId="1" fontId="16" fillId="4" borderId="467" xfId="0" applyNumberFormat="1" applyFont="1" applyFill="1" applyBorder="1" applyAlignment="1" applyProtection="1">
      <alignment horizontal="center" vertical="center"/>
    </xf>
    <xf numFmtId="169" fontId="16" fillId="4" borderId="472" xfId="0" applyNumberFormat="1" applyFont="1" applyFill="1" applyBorder="1" applyAlignment="1" applyProtection="1">
      <alignment horizontal="right" vertical="center"/>
    </xf>
    <xf numFmtId="169" fontId="16" fillId="4" borderId="468" xfId="0" applyNumberFormat="1" applyFont="1" applyFill="1" applyBorder="1" applyAlignment="1" applyProtection="1">
      <alignment horizontal="right" vertical="center"/>
    </xf>
    <xf numFmtId="169" fontId="16" fillId="4" borderId="477" xfId="0" applyNumberFormat="1" applyFont="1" applyFill="1" applyBorder="1" applyAlignment="1" applyProtection="1">
      <alignment horizontal="right" vertical="center"/>
    </xf>
    <xf numFmtId="1" fontId="16" fillId="4" borderId="472" xfId="0" applyNumberFormat="1" applyFont="1" applyFill="1" applyBorder="1" applyAlignment="1" applyProtection="1">
      <alignment horizontal="center" vertical="center"/>
    </xf>
    <xf numFmtId="1" fontId="16" fillId="4" borderId="468" xfId="0" applyNumberFormat="1" applyFont="1" applyFill="1" applyBorder="1" applyAlignment="1" applyProtection="1">
      <alignment horizontal="center" vertical="center"/>
    </xf>
    <xf numFmtId="1" fontId="16" fillId="4" borderId="470" xfId="0" applyNumberFormat="1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60" xfId="0" applyFill="1" applyBorder="1" applyProtection="1"/>
    <xf numFmtId="170" fontId="21" fillId="6" borderId="173" xfId="0" applyNumberFormat="1" applyFont="1" applyFill="1" applyBorder="1" applyAlignment="1" applyProtection="1">
      <alignment horizontal="center" vertical="center" wrapText="1"/>
    </xf>
    <xf numFmtId="0" fontId="36" fillId="0" borderId="173" xfId="0" applyFont="1" applyBorder="1" applyAlignment="1">
      <alignment wrapText="1"/>
    </xf>
    <xf numFmtId="0" fontId="36" fillId="0" borderId="67" xfId="0" applyFont="1" applyBorder="1" applyAlignment="1">
      <alignment wrapText="1"/>
    </xf>
    <xf numFmtId="168" fontId="34" fillId="13" borderId="128" xfId="0" applyNumberFormat="1" applyFont="1" applyFill="1" applyBorder="1" applyAlignment="1" applyProtection="1">
      <alignment horizontal="center" vertical="center"/>
    </xf>
    <xf numFmtId="168" fontId="34" fillId="13" borderId="22" xfId="0" applyNumberFormat="1" applyFont="1" applyFill="1" applyBorder="1" applyAlignment="1" applyProtection="1">
      <alignment horizontal="center" vertical="center"/>
    </xf>
    <xf numFmtId="169" fontId="90" fillId="12" borderId="60" xfId="0" applyNumberFormat="1" applyFont="1" applyFill="1" applyBorder="1" applyAlignment="1" applyProtection="1">
      <alignment horizontal="center" vertical="center"/>
    </xf>
    <xf numFmtId="169" fontId="5" fillId="12" borderId="67" xfId="0" applyNumberFormat="1" applyFont="1" applyFill="1" applyBorder="1" applyAlignment="1" applyProtection="1">
      <alignment horizontal="center" vertical="center" wrapText="1"/>
    </xf>
    <xf numFmtId="169" fontId="5" fillId="12" borderId="60" xfId="0" applyNumberFormat="1" applyFont="1" applyFill="1" applyBorder="1" applyAlignment="1" applyProtection="1">
      <alignment horizontal="center" vertical="center" wrapText="1"/>
    </xf>
    <xf numFmtId="169" fontId="38" fillId="10" borderId="60" xfId="0" applyNumberFormat="1" applyFont="1" applyFill="1" applyBorder="1" applyAlignment="1" applyProtection="1">
      <alignment horizontal="right" vertical="center"/>
      <protection locked="0"/>
    </xf>
    <xf numFmtId="169" fontId="38" fillId="10" borderId="22" xfId="0" applyNumberFormat="1" applyFont="1" applyFill="1" applyBorder="1" applyAlignment="1" applyProtection="1">
      <alignment horizontal="right" vertical="center"/>
      <protection locked="0"/>
    </xf>
    <xf numFmtId="0" fontId="2" fillId="4" borderId="246" xfId="0" applyFont="1" applyFill="1" applyBorder="1" applyAlignment="1" applyProtection="1">
      <alignment horizontal="center" vertical="center"/>
    </xf>
    <xf numFmtId="0" fontId="2" fillId="4" borderId="247" xfId="0" applyFont="1" applyFill="1" applyBorder="1" applyAlignment="1" applyProtection="1">
      <alignment horizontal="center" vertical="center"/>
    </xf>
    <xf numFmtId="169" fontId="2" fillId="4" borderId="247" xfId="0" applyNumberFormat="1" applyFont="1" applyFill="1" applyBorder="1" applyAlignment="1" applyProtection="1">
      <alignment horizontal="center" vertical="center"/>
    </xf>
    <xf numFmtId="169" fontId="16" fillId="4" borderId="38" xfId="0" applyNumberFormat="1" applyFont="1" applyFill="1" applyBorder="1" applyAlignment="1" applyProtection="1">
      <alignment horizontal="right" vertical="center"/>
    </xf>
    <xf numFmtId="0" fontId="21" fillId="6" borderId="61" xfId="0" applyFont="1" applyFill="1" applyBorder="1" applyAlignment="1" applyProtection="1">
      <alignment horizontal="distributed" vertical="center"/>
    </xf>
    <xf numFmtId="0" fontId="36" fillId="0" borderId="0" xfId="0" applyFont="1" applyBorder="1" applyAlignment="1" applyProtection="1">
      <alignment horizontal="distributed"/>
    </xf>
    <xf numFmtId="175" fontId="6" fillId="10" borderId="68" xfId="0" applyNumberFormat="1" applyFont="1" applyFill="1" applyBorder="1" applyAlignment="1" applyProtection="1">
      <alignment horizontal="center" vertical="center"/>
      <protection locked="0"/>
    </xf>
    <xf numFmtId="172" fontId="18" fillId="6" borderId="68" xfId="0" applyNumberFormat="1" applyFont="1" applyFill="1" applyBorder="1" applyAlignment="1" applyProtection="1">
      <alignment horizontal="center" vertical="center"/>
    </xf>
    <xf numFmtId="172" fontId="18" fillId="6" borderId="69" xfId="0" applyNumberFormat="1" applyFont="1" applyFill="1" applyBorder="1" applyAlignment="1" applyProtection="1">
      <alignment horizontal="center" vertical="center"/>
    </xf>
    <xf numFmtId="1" fontId="16" fillId="4" borderId="469" xfId="0" applyNumberFormat="1" applyFont="1" applyFill="1" applyBorder="1" applyAlignment="1" applyProtection="1">
      <alignment horizontal="center" vertical="center"/>
    </xf>
    <xf numFmtId="1" fontId="16" fillId="4" borderId="465" xfId="0" applyNumberFormat="1" applyFont="1" applyFill="1" applyBorder="1" applyAlignment="1" applyProtection="1">
      <alignment horizontal="center" vertical="center"/>
    </xf>
    <xf numFmtId="1" fontId="16" fillId="4" borderId="466" xfId="0" applyNumberFormat="1" applyFont="1" applyFill="1" applyBorder="1" applyAlignment="1" applyProtection="1">
      <alignment horizontal="center" vertical="center"/>
    </xf>
    <xf numFmtId="1" fontId="16" fillId="4" borderId="70" xfId="0" applyNumberFormat="1" applyFont="1" applyFill="1" applyBorder="1" applyAlignment="1" applyProtection="1">
      <alignment horizontal="center" vertical="center"/>
    </xf>
    <xf numFmtId="1" fontId="16" fillId="4" borderId="23" xfId="0" applyNumberFormat="1" applyFont="1" applyFill="1" applyBorder="1" applyAlignment="1" applyProtection="1">
      <alignment horizontal="center" vertical="center"/>
    </xf>
    <xf numFmtId="1" fontId="16" fillId="4" borderId="71" xfId="0" applyNumberFormat="1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justify" vertical="center"/>
    </xf>
    <xf numFmtId="0" fontId="4" fillId="9" borderId="18" xfId="0" applyFont="1" applyFill="1" applyBorder="1" applyAlignment="1" applyProtection="1">
      <alignment horizontal="justify" vertical="center"/>
    </xf>
    <xf numFmtId="0" fontId="4" fillId="9" borderId="19" xfId="0" applyFont="1" applyFill="1" applyBorder="1" applyAlignment="1" applyProtection="1">
      <alignment horizontal="justify" vertical="center"/>
    </xf>
    <xf numFmtId="0" fontId="4" fillId="9" borderId="61" xfId="0" applyFont="1" applyFill="1" applyBorder="1" applyAlignment="1" applyProtection="1">
      <alignment horizontal="justify" vertical="center"/>
    </xf>
    <xf numFmtId="0" fontId="4" fillId="9" borderId="0" xfId="0" applyFont="1" applyFill="1" applyBorder="1" applyAlignment="1" applyProtection="1">
      <alignment horizontal="justify" vertical="center"/>
    </xf>
    <xf numFmtId="0" fontId="38" fillId="17" borderId="19" xfId="0" applyFont="1" applyFill="1" applyBorder="1" applyAlignment="1" applyProtection="1">
      <alignment horizontal="center" vertical="top" wrapText="1"/>
    </xf>
    <xf numFmtId="175" fontId="6" fillId="10" borderId="166" xfId="0" applyNumberFormat="1" applyFont="1" applyFill="1" applyBorder="1" applyAlignment="1" applyProtection="1">
      <alignment horizontal="center" vertical="center"/>
      <protection locked="0"/>
    </xf>
    <xf numFmtId="172" fontId="18" fillId="6" borderId="166" xfId="0" applyNumberFormat="1" applyFont="1" applyFill="1" applyBorder="1" applyAlignment="1" applyProtection="1">
      <alignment horizontal="center" vertical="center"/>
    </xf>
    <xf numFmtId="172" fontId="18" fillId="6" borderId="167" xfId="0" applyNumberFormat="1" applyFont="1" applyFill="1" applyBorder="1" applyAlignment="1" applyProtection="1">
      <alignment horizontal="center" vertical="center"/>
    </xf>
    <xf numFmtId="1" fontId="16" fillId="4" borderId="486" xfId="0" applyNumberFormat="1" applyFont="1" applyFill="1" applyBorder="1" applyAlignment="1" applyProtection="1">
      <alignment horizontal="center" vertical="center"/>
    </xf>
    <xf numFmtId="0" fontId="16" fillId="4" borderId="491" xfId="0" applyFont="1" applyFill="1" applyBorder="1" applyAlignment="1" applyProtection="1">
      <alignment horizontal="center" vertical="center"/>
    </xf>
    <xf numFmtId="169" fontId="16" fillId="4" borderId="491" xfId="0" applyNumberFormat="1" applyFont="1" applyFill="1" applyBorder="1" applyAlignment="1" applyProtection="1">
      <alignment horizontal="right" vertical="center"/>
    </xf>
    <xf numFmtId="0" fontId="19" fillId="6" borderId="7" xfId="0" applyFont="1" applyFill="1" applyBorder="1" applyAlignment="1" applyProtection="1">
      <alignment horizontal="justify" vertical="center"/>
    </xf>
    <xf numFmtId="0" fontId="19" fillId="6" borderId="8" xfId="0" applyFont="1" applyFill="1" applyBorder="1" applyAlignment="1" applyProtection="1">
      <alignment horizontal="justify" vertical="center"/>
    </xf>
    <xf numFmtId="0" fontId="19" fillId="6" borderId="33" xfId="0" applyFont="1" applyFill="1" applyBorder="1" applyAlignment="1" applyProtection="1">
      <alignment horizontal="justify" vertical="center"/>
    </xf>
    <xf numFmtId="178" fontId="3" fillId="10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8" xfId="0" applyFont="1" applyFill="1" applyBorder="1" applyAlignment="1" applyProtection="1">
      <alignment horizontal="justify" vertical="center"/>
    </xf>
    <xf numFmtId="0" fontId="6" fillId="4" borderId="8" xfId="0" applyFont="1" applyFill="1" applyBorder="1" applyAlignment="1" applyProtection="1">
      <alignment horizontal="justify" vertical="center"/>
    </xf>
    <xf numFmtId="0" fontId="6" fillId="4" borderId="9" xfId="0" applyFont="1" applyFill="1" applyBorder="1" applyAlignment="1" applyProtection="1">
      <alignment horizontal="justify" vertical="center"/>
    </xf>
    <xf numFmtId="1" fontId="16" fillId="4" borderId="464" xfId="0" applyNumberFormat="1" applyFont="1" applyFill="1" applyBorder="1" applyAlignment="1" applyProtection="1">
      <alignment horizontal="center" vertical="center"/>
    </xf>
    <xf numFmtId="0" fontId="16" fillId="4" borderId="465" xfId="0" applyFont="1" applyFill="1" applyBorder="1" applyAlignment="1" applyProtection="1">
      <alignment horizontal="center" vertical="center"/>
    </xf>
    <xf numFmtId="0" fontId="16" fillId="4" borderId="471" xfId="0" applyFont="1" applyFill="1" applyBorder="1" applyAlignment="1" applyProtection="1">
      <alignment horizontal="center" vertical="center"/>
    </xf>
    <xf numFmtId="0" fontId="16" fillId="4" borderId="86" xfId="0" applyFont="1" applyFill="1" applyBorder="1" applyAlignment="1" applyProtection="1">
      <alignment horizontal="center" vertical="center"/>
    </xf>
    <xf numFmtId="0" fontId="16" fillId="4" borderId="23" xfId="0" applyFont="1" applyFill="1" applyBorder="1" applyAlignment="1" applyProtection="1">
      <alignment horizontal="center" vertical="center"/>
    </xf>
    <xf numFmtId="0" fontId="16" fillId="4" borderId="87" xfId="0" applyFont="1" applyFill="1" applyBorder="1" applyAlignment="1" applyProtection="1">
      <alignment horizontal="center" vertical="center"/>
    </xf>
    <xf numFmtId="169" fontId="16" fillId="4" borderId="469" xfId="0" applyNumberFormat="1" applyFont="1" applyFill="1" applyBorder="1" applyAlignment="1" applyProtection="1">
      <alignment horizontal="right" vertical="center"/>
    </xf>
    <xf numFmtId="169" fontId="16" fillId="4" borderId="465" xfId="0" applyNumberFormat="1" applyFont="1" applyFill="1" applyBorder="1" applyAlignment="1" applyProtection="1">
      <alignment horizontal="right" vertical="center"/>
    </xf>
    <xf numFmtId="169" fontId="16" fillId="4" borderId="471" xfId="0" applyNumberFormat="1" applyFont="1" applyFill="1" applyBorder="1" applyAlignment="1" applyProtection="1">
      <alignment horizontal="right" vertical="center"/>
    </xf>
    <xf numFmtId="169" fontId="16" fillId="4" borderId="70" xfId="0" applyNumberFormat="1" applyFont="1" applyFill="1" applyBorder="1" applyAlignment="1" applyProtection="1">
      <alignment horizontal="right" vertical="center"/>
    </xf>
    <xf numFmtId="169" fontId="16" fillId="4" borderId="23" xfId="0" applyNumberFormat="1" applyFont="1" applyFill="1" applyBorder="1" applyAlignment="1" applyProtection="1">
      <alignment horizontal="right" vertical="center"/>
    </xf>
    <xf numFmtId="169" fontId="16" fillId="4" borderId="87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/>
    </xf>
    <xf numFmtId="0" fontId="1" fillId="4" borderId="44" xfId="0" applyFont="1" applyFill="1" applyBorder="1" applyAlignment="1" applyProtection="1">
      <alignment horizontal="center"/>
    </xf>
    <xf numFmtId="0" fontId="1" fillId="4" borderId="6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0" fontId="3" fillId="3" borderId="8" xfId="0" applyFont="1" applyFill="1" applyBorder="1" applyAlignment="1" applyProtection="1">
      <alignment horizontal="center" vertical="center"/>
    </xf>
    <xf numFmtId="0" fontId="48" fillId="3" borderId="8" xfId="0" applyNumberFormat="1" applyFont="1" applyFill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0" fontId="1" fillId="0" borderId="44" xfId="0" applyFont="1" applyBorder="1" applyAlignment="1" applyProtection="1">
      <alignment horizontal="right"/>
    </xf>
    <xf numFmtId="0" fontId="17" fillId="4" borderId="63" xfId="0" applyFont="1" applyFill="1" applyBorder="1" applyAlignment="1" applyProtection="1">
      <alignment horizontal="center" vertical="center"/>
    </xf>
    <xf numFmtId="0" fontId="17" fillId="4" borderId="64" xfId="0" applyFont="1" applyFill="1" applyBorder="1" applyAlignment="1" applyProtection="1">
      <alignment horizontal="center" vertical="center"/>
    </xf>
    <xf numFmtId="0" fontId="17" fillId="4" borderId="488" xfId="0" applyFont="1" applyFill="1" applyBorder="1" applyAlignment="1" applyProtection="1">
      <alignment horizontal="center" vertical="center"/>
    </xf>
    <xf numFmtId="0" fontId="17" fillId="4" borderId="489" xfId="0" applyFont="1" applyFill="1" applyBorder="1" applyAlignment="1" applyProtection="1">
      <alignment horizontal="center" vertical="center"/>
    </xf>
    <xf numFmtId="0" fontId="17" fillId="4" borderId="66" xfId="0" applyFont="1" applyFill="1" applyBorder="1" applyAlignment="1" applyProtection="1">
      <alignment horizontal="center" vertical="center"/>
    </xf>
    <xf numFmtId="0" fontId="17" fillId="4" borderId="19" xfId="0" applyFont="1" applyFill="1" applyBorder="1" applyAlignment="1" applyProtection="1">
      <alignment horizontal="center" vertical="center"/>
    </xf>
    <xf numFmtId="0" fontId="17" fillId="4" borderId="20" xfId="0" applyFont="1" applyFill="1" applyBorder="1" applyAlignment="1" applyProtection="1">
      <alignment horizontal="center" vertical="center"/>
    </xf>
    <xf numFmtId="0" fontId="17" fillId="4" borderId="67" xfId="0" applyFont="1" applyFill="1" applyBorder="1" applyAlignment="1" applyProtection="1">
      <alignment horizontal="center" vertical="center"/>
    </xf>
    <xf numFmtId="0" fontId="17" fillId="4" borderId="60" xfId="0" applyFont="1" applyFill="1" applyBorder="1" applyAlignment="1" applyProtection="1">
      <alignment horizontal="center" vertical="center"/>
    </xf>
    <xf numFmtId="0" fontId="17" fillId="4" borderId="22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  <protection locked="0"/>
    </xf>
    <xf numFmtId="1" fontId="16" fillId="4" borderId="29" xfId="0" applyNumberFormat="1" applyFont="1" applyFill="1" applyBorder="1" applyAlignment="1" applyProtection="1">
      <alignment horizontal="center" vertical="center"/>
      <protection locked="0"/>
    </xf>
    <xf numFmtId="1" fontId="16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6" borderId="362" xfId="0" applyFont="1" applyFill="1" applyBorder="1" applyAlignment="1" applyProtection="1">
      <alignment horizontal="justify" vertical="center"/>
    </xf>
    <xf numFmtId="0" fontId="3" fillId="6" borderId="485" xfId="0" applyFont="1" applyFill="1" applyBorder="1" applyAlignment="1" applyProtection="1">
      <alignment horizontal="justify" vertical="center"/>
    </xf>
    <xf numFmtId="0" fontId="46" fillId="4" borderId="362" xfId="0" applyFont="1" applyFill="1" applyBorder="1" applyAlignment="1" applyProtection="1">
      <alignment horizontal="justify" vertical="center"/>
    </xf>
    <xf numFmtId="0" fontId="46" fillId="4" borderId="485" xfId="0" applyFont="1" applyFill="1" applyBorder="1" applyAlignment="1" applyProtection="1">
      <alignment horizontal="justify" vertical="center"/>
    </xf>
    <xf numFmtId="0" fontId="43" fillId="4" borderId="485" xfId="0" applyFont="1" applyFill="1" applyBorder="1" applyAlignment="1" applyProtection="1">
      <alignment horizontal="right" vertical="center"/>
    </xf>
    <xf numFmtId="0" fontId="43" fillId="4" borderId="485" xfId="0" applyFont="1" applyFill="1" applyBorder="1" applyAlignment="1" applyProtection="1">
      <alignment vertical="center"/>
    </xf>
    <xf numFmtId="0" fontId="43" fillId="4" borderId="354" xfId="0" applyFont="1" applyFill="1" applyBorder="1" applyAlignment="1" applyProtection="1">
      <alignment vertical="center"/>
    </xf>
    <xf numFmtId="0" fontId="3" fillId="6" borderId="28" xfId="0" applyFont="1" applyFill="1" applyBorder="1" applyAlignment="1" applyProtection="1">
      <alignment horizontal="justify" vertical="center"/>
    </xf>
    <xf numFmtId="0" fontId="3" fillId="6" borderId="29" xfId="0" applyFont="1" applyFill="1" applyBorder="1" applyAlignment="1" applyProtection="1">
      <alignment horizontal="justify" vertical="center"/>
    </xf>
    <xf numFmtId="0" fontId="2" fillId="10" borderId="29" xfId="0" applyFont="1" applyFill="1" applyBorder="1" applyAlignment="1" applyProtection="1">
      <alignment horizontal="justify" vertical="center"/>
      <protection locked="0"/>
    </xf>
    <xf numFmtId="0" fontId="3" fillId="6" borderId="29" xfId="0" applyFont="1" applyFill="1" applyBorder="1" applyAlignment="1" applyProtection="1">
      <alignment horizontal="center" vertical="center"/>
    </xf>
    <xf numFmtId="176" fontId="33" fillId="10" borderId="29" xfId="0" applyNumberFormat="1" applyFont="1" applyFill="1" applyBorder="1" applyAlignment="1" applyProtection="1">
      <alignment horizontal="right" vertical="center"/>
      <protection locked="0"/>
    </xf>
    <xf numFmtId="176" fontId="33" fillId="10" borderId="30" xfId="0" applyNumberFormat="1" applyFont="1" applyFill="1" applyBorder="1" applyAlignment="1" applyProtection="1">
      <alignment horizontal="right" vertical="center"/>
      <protection locked="0"/>
    </xf>
    <xf numFmtId="0" fontId="16" fillId="4" borderId="37" xfId="0" applyFont="1" applyFill="1" applyBorder="1" applyAlignment="1" applyProtection="1">
      <alignment horizontal="center" vertical="center"/>
    </xf>
    <xf numFmtId="0" fontId="16" fillId="4" borderId="38" xfId="0" applyFont="1" applyFill="1" applyBorder="1" applyAlignment="1" applyProtection="1">
      <alignment horizontal="center" vertical="center"/>
    </xf>
    <xf numFmtId="169" fontId="3" fillId="10" borderId="98" xfId="0" applyNumberFormat="1" applyFont="1" applyFill="1" applyBorder="1" applyAlignment="1" applyProtection="1">
      <alignment horizontal="right" vertical="center"/>
      <protection locked="0"/>
    </xf>
    <xf numFmtId="169" fontId="3" fillId="10" borderId="418" xfId="0" applyNumberFormat="1" applyFont="1" applyFill="1" applyBorder="1" applyAlignment="1" applyProtection="1">
      <alignment horizontal="right" vertical="center"/>
      <protection locked="0"/>
    </xf>
    <xf numFmtId="1" fontId="3" fillId="9" borderId="98" xfId="0" applyNumberFormat="1" applyFont="1" applyFill="1" applyBorder="1" applyAlignment="1" applyProtection="1">
      <alignment horizontal="center" vertical="center"/>
    </xf>
    <xf numFmtId="169" fontId="5" fillId="10" borderId="98" xfId="0" applyNumberFormat="1" applyFont="1" applyFill="1" applyBorder="1" applyAlignment="1" applyProtection="1">
      <alignment horizontal="right" vertical="center"/>
      <protection locked="0"/>
    </xf>
    <xf numFmtId="169" fontId="5" fillId="10" borderId="418" xfId="0" applyNumberFormat="1" applyFont="1" applyFill="1" applyBorder="1" applyAlignment="1" applyProtection="1">
      <alignment horizontal="right" vertical="center"/>
      <protection locked="0"/>
    </xf>
    <xf numFmtId="169" fontId="5" fillId="10" borderId="140" xfId="0" applyNumberFormat="1" applyFont="1" applyFill="1" applyBorder="1" applyAlignment="1" applyProtection="1">
      <alignment horizontal="right" vertical="center"/>
      <protection locked="0"/>
    </xf>
    <xf numFmtId="169" fontId="5" fillId="10" borderId="148" xfId="0" applyNumberFormat="1" applyFont="1" applyFill="1" applyBorder="1" applyAlignment="1" applyProtection="1">
      <alignment horizontal="right" vertical="center"/>
      <protection locked="0"/>
    </xf>
    <xf numFmtId="0" fontId="3" fillId="9" borderId="124" xfId="0" applyFont="1" applyFill="1" applyBorder="1" applyAlignment="1" applyProtection="1">
      <alignment horizontal="center" vertical="center"/>
    </xf>
    <xf numFmtId="0" fontId="3" fillId="9" borderId="391" xfId="0" applyFont="1" applyFill="1" applyBorder="1" applyAlignment="1" applyProtection="1">
      <alignment horizontal="center" vertical="center"/>
    </xf>
    <xf numFmtId="169" fontId="5" fillId="10" borderId="413" xfId="0" applyNumberFormat="1" applyFont="1" applyFill="1" applyBorder="1" applyAlignment="1" applyProtection="1">
      <alignment horizontal="right" vertical="center"/>
      <protection locked="0"/>
    </xf>
    <xf numFmtId="1" fontId="3" fillId="9" borderId="391" xfId="0" applyNumberFormat="1" applyFont="1" applyFill="1" applyBorder="1" applyAlignment="1" applyProtection="1">
      <alignment horizontal="center" vertical="center"/>
    </xf>
    <xf numFmtId="169" fontId="38" fillId="10" borderId="384" xfId="0" applyNumberFormat="1" applyFont="1" applyFill="1" applyBorder="1" applyAlignment="1" applyProtection="1">
      <alignment horizontal="right" vertical="center"/>
      <protection locked="0"/>
    </xf>
    <xf numFmtId="0" fontId="3" fillId="6" borderId="411" xfId="0" applyFont="1" applyFill="1" applyBorder="1" applyAlignment="1" applyProtection="1">
      <alignment horizontal="center" vertical="center"/>
    </xf>
    <xf numFmtId="0" fontId="3" fillId="6" borderId="412" xfId="0" applyFont="1" applyFill="1" applyBorder="1" applyAlignment="1" applyProtection="1">
      <alignment horizontal="center" vertical="center"/>
    </xf>
    <xf numFmtId="169" fontId="4" fillId="10" borderId="412" xfId="0" applyNumberFormat="1" applyFont="1" applyFill="1" applyBorder="1" applyAlignment="1" applyProtection="1">
      <alignment horizontal="right" vertical="center"/>
      <protection locked="0"/>
    </xf>
    <xf numFmtId="169" fontId="4" fillId="10" borderId="421" xfId="0" applyNumberFormat="1" applyFont="1" applyFill="1" applyBorder="1" applyAlignment="1" applyProtection="1">
      <alignment horizontal="right" vertical="center"/>
      <protection locked="0"/>
    </xf>
    <xf numFmtId="0" fontId="33" fillId="3" borderId="231" xfId="0" applyFont="1" applyFill="1" applyBorder="1" applyAlignment="1" applyProtection="1">
      <alignment horizontal="center" vertical="center"/>
    </xf>
    <xf numFmtId="0" fontId="33" fillId="3" borderId="232" xfId="0" applyFont="1" applyFill="1" applyBorder="1" applyAlignment="1" applyProtection="1">
      <alignment horizontal="center" vertical="center"/>
    </xf>
    <xf numFmtId="0" fontId="38" fillId="6" borderId="394" xfId="0" applyFont="1" applyFill="1" applyBorder="1" applyAlignment="1" applyProtection="1">
      <alignment horizontal="center" vertical="center"/>
    </xf>
    <xf numFmtId="0" fontId="38" fillId="6" borderId="395" xfId="0" applyFont="1" applyFill="1" applyBorder="1" applyAlignment="1" applyProtection="1">
      <alignment horizontal="center" vertical="center"/>
    </xf>
    <xf numFmtId="169" fontId="4" fillId="32" borderId="395" xfId="0" applyNumberFormat="1" applyFont="1" applyFill="1" applyBorder="1" applyAlignment="1" applyProtection="1">
      <alignment horizontal="right" vertical="center"/>
    </xf>
    <xf numFmtId="169" fontId="4" fillId="32" borderId="420" xfId="0" applyNumberFormat="1" applyFont="1" applyFill="1" applyBorder="1" applyAlignment="1" applyProtection="1">
      <alignment horizontal="right" vertical="center"/>
    </xf>
    <xf numFmtId="169" fontId="3" fillId="10" borderId="208" xfId="0" applyNumberFormat="1" applyFont="1" applyFill="1" applyBorder="1" applyAlignment="1" applyProtection="1">
      <alignment horizontal="center" vertical="center"/>
      <protection locked="0"/>
    </xf>
    <xf numFmtId="169" fontId="3" fillId="10" borderId="209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/>
    </xf>
    <xf numFmtId="0" fontId="2" fillId="4" borderId="60" xfId="0" applyFont="1" applyFill="1" applyBorder="1" applyAlignment="1" applyProtection="1">
      <alignment horizontal="center"/>
    </xf>
    <xf numFmtId="0" fontId="2" fillId="4" borderId="22" xfId="0" applyFont="1" applyFill="1" applyBorder="1" applyAlignment="1" applyProtection="1">
      <alignment horizontal="center"/>
    </xf>
    <xf numFmtId="169" fontId="38" fillId="10" borderId="389" xfId="0" applyNumberFormat="1" applyFont="1" applyFill="1" applyBorder="1" applyAlignment="1" applyProtection="1">
      <alignment horizontal="right" vertical="center"/>
      <protection locked="0"/>
    </xf>
    <xf numFmtId="169" fontId="38" fillId="10" borderId="393" xfId="0" applyNumberFormat="1" applyFont="1" applyFill="1" applyBorder="1" applyAlignment="1" applyProtection="1">
      <alignment horizontal="right" vertical="center"/>
      <protection locked="0"/>
    </xf>
    <xf numFmtId="0" fontId="20" fillId="10" borderId="8" xfId="0" applyFont="1" applyFill="1" applyBorder="1" applyAlignment="1" applyProtection="1">
      <alignment horizontal="justify" vertical="center"/>
      <protection locked="0"/>
    </xf>
    <xf numFmtId="0" fontId="20" fillId="10" borderId="9" xfId="0" applyFont="1" applyFill="1" applyBorder="1" applyAlignment="1" applyProtection="1">
      <alignment horizontal="justify" vertical="center"/>
      <protection locked="0"/>
    </xf>
    <xf numFmtId="176" fontId="33" fillId="10" borderId="15" xfId="0" applyNumberFormat="1" applyFont="1" applyFill="1" applyBorder="1" applyAlignment="1" applyProtection="1">
      <alignment horizontal="right" vertical="center"/>
      <protection locked="0"/>
    </xf>
    <xf numFmtId="176" fontId="33" fillId="10" borderId="16" xfId="0" applyNumberFormat="1" applyFont="1" applyFill="1" applyBorder="1" applyAlignment="1" applyProtection="1">
      <alignment horizontal="right" vertical="center"/>
      <protection locked="0"/>
    </xf>
    <xf numFmtId="176" fontId="33" fillId="10" borderId="31" xfId="0" applyNumberFormat="1" applyFont="1" applyFill="1" applyBorder="1" applyAlignment="1" applyProtection="1">
      <alignment horizontal="right" vertical="center"/>
      <protection locked="0"/>
    </xf>
    <xf numFmtId="176" fontId="33" fillId="10" borderId="32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justify" vertical="center"/>
    </xf>
    <xf numFmtId="0" fontId="4" fillId="6" borderId="8" xfId="0" applyFont="1" applyFill="1" applyBorder="1" applyAlignment="1" applyProtection="1">
      <alignment horizontal="justify" vertical="center"/>
    </xf>
    <xf numFmtId="0" fontId="13" fillId="10" borderId="8" xfId="0" applyFont="1" applyFill="1" applyBorder="1" applyAlignment="1" applyProtection="1">
      <alignment horizontal="justify" vertical="center"/>
      <protection locked="0"/>
    </xf>
    <xf numFmtId="0" fontId="4" fillId="6" borderId="8" xfId="0" applyFont="1" applyFill="1" applyBorder="1" applyAlignment="1" applyProtection="1">
      <alignment horizontal="right" vertical="center"/>
    </xf>
    <xf numFmtId="176" fontId="33" fillId="10" borderId="8" xfId="0" applyNumberFormat="1" applyFont="1" applyFill="1" applyBorder="1" applyAlignment="1" applyProtection="1">
      <alignment horizontal="right" vertical="center"/>
      <protection locked="0"/>
    </xf>
    <xf numFmtId="176" fontId="33" fillId="10" borderId="9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4" fillId="6" borderId="24" xfId="0" applyFont="1" applyFill="1" applyBorder="1" applyAlignment="1" applyProtection="1">
      <alignment horizontal="justify" vertical="center"/>
    </xf>
    <xf numFmtId="0" fontId="4" fillId="6" borderId="15" xfId="0" applyFont="1" applyFill="1" applyBorder="1" applyAlignment="1" applyProtection="1">
      <alignment horizontal="justify" vertical="center"/>
    </xf>
    <xf numFmtId="0" fontId="6" fillId="10" borderId="15" xfId="0" applyFont="1" applyFill="1" applyBorder="1" applyAlignment="1" applyProtection="1">
      <alignment horizontal="justify" vertical="center"/>
      <protection locked="0"/>
    </xf>
    <xf numFmtId="0" fontId="4" fillId="6" borderId="15" xfId="0" applyFont="1" applyFill="1" applyBorder="1" applyAlignment="1" applyProtection="1">
      <alignment horizontal="right" vertical="center"/>
    </xf>
    <xf numFmtId="0" fontId="1" fillId="2" borderId="62" xfId="0" applyFont="1" applyFill="1" applyBorder="1" applyAlignment="1" applyProtection="1">
      <alignment horizontal="center"/>
    </xf>
    <xf numFmtId="0" fontId="3" fillId="3" borderId="230" xfId="0" applyFont="1" applyFill="1" applyBorder="1" applyAlignment="1" applyProtection="1">
      <alignment horizontal="center" vertical="center"/>
    </xf>
    <xf numFmtId="0" fontId="3" fillId="3" borderId="231" xfId="0" applyFont="1" applyFill="1" applyBorder="1" applyAlignment="1" applyProtection="1">
      <alignment horizontal="center" vertical="center"/>
    </xf>
    <xf numFmtId="0" fontId="3" fillId="3" borderId="232" xfId="0" applyFont="1" applyFill="1" applyBorder="1" applyAlignment="1" applyProtection="1">
      <alignment horizontal="center" vertical="center"/>
    </xf>
    <xf numFmtId="0" fontId="3" fillId="9" borderId="386" xfId="0" applyFont="1" applyFill="1" applyBorder="1" applyAlignment="1" applyProtection="1">
      <alignment horizontal="right" vertical="center"/>
    </xf>
    <xf numFmtId="0" fontId="3" fillId="9" borderId="387" xfId="0" applyFont="1" applyFill="1" applyBorder="1" applyAlignment="1" applyProtection="1">
      <alignment horizontal="right" vertical="center"/>
    </xf>
    <xf numFmtId="169" fontId="38" fillId="10" borderId="388" xfId="0" applyNumberFormat="1" applyFont="1" applyFill="1" applyBorder="1" applyAlignment="1" applyProtection="1">
      <alignment horizontal="right" vertical="center"/>
      <protection locked="0"/>
    </xf>
    <xf numFmtId="1" fontId="3" fillId="9" borderId="389" xfId="0" applyNumberFormat="1" applyFont="1" applyFill="1" applyBorder="1" applyAlignment="1" applyProtection="1">
      <alignment horizontal="right" vertical="center"/>
    </xf>
    <xf numFmtId="1" fontId="3" fillId="9" borderId="387" xfId="0" applyNumberFormat="1" applyFont="1" applyFill="1" applyBorder="1" applyAlignment="1" applyProtection="1">
      <alignment horizontal="right" vertical="center"/>
    </xf>
    <xf numFmtId="169" fontId="38" fillId="10" borderId="390" xfId="0" applyNumberFormat="1" applyFont="1" applyFill="1" applyBorder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2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5" fillId="6" borderId="28" xfId="0" applyFont="1" applyFill="1" applyBorder="1" applyAlignment="1" applyProtection="1">
      <alignment horizontal="justify" vertical="center"/>
    </xf>
    <xf numFmtId="0" fontId="5" fillId="6" borderId="29" xfId="0" applyFont="1" applyFill="1" applyBorder="1" applyAlignment="1" applyProtection="1">
      <alignment horizontal="justify" vertical="center"/>
    </xf>
    <xf numFmtId="0" fontId="4" fillId="6" borderId="28" xfId="0" applyFont="1" applyFill="1" applyBorder="1" applyAlignment="1" applyProtection="1">
      <alignment horizontal="justify" vertical="center"/>
    </xf>
    <xf numFmtId="0" fontId="4" fillId="6" borderId="29" xfId="0" applyFont="1" applyFill="1" applyBorder="1" applyAlignment="1" applyProtection="1">
      <alignment horizontal="justify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8" xfId="0" applyFont="1" applyFill="1" applyBorder="1" applyAlignment="1" applyProtection="1">
      <alignment horizontal="center" vertical="center"/>
    </xf>
    <xf numFmtId="0" fontId="3" fillId="4" borderId="9" xfId="0" applyFont="1" applyFill="1" applyBorder="1" applyAlignment="1" applyProtection="1">
      <alignment horizontal="center" vertical="center"/>
    </xf>
    <xf numFmtId="0" fontId="4" fillId="10" borderId="29" xfId="0" applyFont="1" applyFill="1" applyBorder="1" applyAlignment="1" applyProtection="1">
      <alignment horizontal="justify" vertical="center"/>
      <protection locked="0"/>
    </xf>
    <xf numFmtId="0" fontId="4" fillId="6" borderId="29" xfId="0" applyFont="1" applyFill="1" applyBorder="1" applyAlignment="1" applyProtection="1">
      <alignment horizontal="right" vertical="center"/>
    </xf>
    <xf numFmtId="176" fontId="5" fillId="10" borderId="29" xfId="0" applyNumberFormat="1" applyFont="1" applyFill="1" applyBorder="1" applyAlignment="1" applyProtection="1">
      <alignment horizontal="right" vertical="center"/>
      <protection locked="0"/>
    </xf>
    <xf numFmtId="176" fontId="5" fillId="10" borderId="30" xfId="0" applyNumberFormat="1" applyFont="1" applyFill="1" applyBorder="1" applyAlignment="1" applyProtection="1">
      <alignment horizontal="right" vertical="center"/>
      <protection locked="0"/>
    </xf>
    <xf numFmtId="0" fontId="4" fillId="6" borderId="7" xfId="0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/>
    </xf>
    <xf numFmtId="0" fontId="4" fillId="6" borderId="9" xfId="0" applyFont="1" applyFill="1" applyBorder="1" applyAlignment="1" applyProtection="1">
      <alignment horizontal="center" vertical="center"/>
    </xf>
    <xf numFmtId="169" fontId="88" fillId="10" borderId="233" xfId="0" applyNumberFormat="1" applyFont="1" applyFill="1" applyBorder="1" applyAlignment="1" applyProtection="1">
      <alignment horizontal="center" vertical="center"/>
      <protection locked="0"/>
    </xf>
    <xf numFmtId="169" fontId="88" fillId="10" borderId="234" xfId="0" applyNumberFormat="1" applyFont="1" applyFill="1" applyBorder="1" applyAlignment="1" applyProtection="1">
      <alignment horizontal="center" vertical="center"/>
      <protection locked="0"/>
    </xf>
    <xf numFmtId="169" fontId="88" fillId="10" borderId="208" xfId="0" applyNumberFormat="1" applyFont="1" applyFill="1" applyBorder="1" applyAlignment="1" applyProtection="1">
      <alignment horizontal="center" vertical="center"/>
      <protection locked="0"/>
    </xf>
    <xf numFmtId="169" fontId="88" fillId="10" borderId="209" xfId="0" applyNumberFormat="1" applyFont="1" applyFill="1" applyBorder="1" applyAlignment="1" applyProtection="1">
      <alignment horizontal="center" vertical="center"/>
      <protection locked="0"/>
    </xf>
    <xf numFmtId="0" fontId="38" fillId="6" borderId="234" xfId="0" applyFont="1" applyFill="1" applyBorder="1" applyAlignment="1" applyProtection="1">
      <alignment horizontal="center" vertical="center"/>
    </xf>
    <xf numFmtId="0" fontId="38" fillId="6" borderId="235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justify" vertical="center"/>
    </xf>
    <xf numFmtId="0" fontId="5" fillId="6" borderId="15" xfId="0" applyFont="1" applyFill="1" applyBorder="1" applyAlignment="1" applyProtection="1">
      <alignment horizontal="justify" vertical="center"/>
    </xf>
    <xf numFmtId="0" fontId="6" fillId="10" borderId="29" xfId="0" applyFont="1" applyFill="1" applyBorder="1" applyAlignment="1" applyProtection="1">
      <alignment horizontal="justify" vertical="center"/>
      <protection locked="0"/>
    </xf>
    <xf numFmtId="0" fontId="5" fillId="6" borderId="72" xfId="0" applyFont="1" applyFill="1" applyBorder="1" applyAlignment="1" applyProtection="1">
      <alignment horizontal="justify" vertical="center"/>
    </xf>
    <xf numFmtId="0" fontId="5" fillId="6" borderId="31" xfId="0" applyFont="1" applyFill="1" applyBorder="1" applyAlignment="1" applyProtection="1">
      <alignment horizontal="justify" vertical="center"/>
    </xf>
    <xf numFmtId="0" fontId="6" fillId="10" borderId="31" xfId="0" applyFont="1" applyFill="1" applyBorder="1" applyAlignment="1" applyProtection="1">
      <alignment horizontal="justify" vertical="center"/>
      <protection locked="0"/>
    </xf>
    <xf numFmtId="0" fontId="4" fillId="6" borderId="31" xfId="0" applyFont="1" applyFill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38" fillId="6" borderId="207" xfId="0" applyFont="1" applyFill="1" applyBorder="1" applyAlignment="1" applyProtection="1">
      <alignment horizontal="center" vertical="center"/>
    </xf>
    <xf numFmtId="0" fontId="38" fillId="6" borderId="208" xfId="0" applyFont="1" applyFill="1" applyBorder="1" applyAlignment="1" applyProtection="1">
      <alignment horizontal="center" vertical="center"/>
    </xf>
    <xf numFmtId="169" fontId="5" fillId="9" borderId="208" xfId="0" applyNumberFormat="1" applyFont="1" applyFill="1" applyBorder="1" applyAlignment="1" applyProtection="1">
      <alignment horizontal="center" vertical="center"/>
    </xf>
    <xf numFmtId="0" fontId="3" fillId="9" borderId="208" xfId="0" applyFont="1" applyFill="1" applyBorder="1" applyAlignment="1" applyProtection="1">
      <alignment horizontal="center" vertical="center"/>
    </xf>
    <xf numFmtId="169" fontId="3" fillId="19" borderId="208" xfId="0" applyNumberFormat="1" applyFont="1" applyFill="1" applyBorder="1" applyAlignment="1" applyProtection="1">
      <alignment horizontal="center" vertical="center"/>
      <protection locked="0"/>
    </xf>
    <xf numFmtId="169" fontId="3" fillId="19" borderId="419" xfId="0" applyNumberFormat="1" applyFont="1" applyFill="1" applyBorder="1" applyAlignment="1" applyProtection="1">
      <alignment horizontal="center" vertical="center"/>
      <protection locked="0"/>
    </xf>
    <xf numFmtId="169" fontId="5" fillId="10" borderId="385" xfId="0" applyNumberFormat="1" applyFont="1" applyFill="1" applyBorder="1" applyAlignment="1" applyProtection="1">
      <alignment horizontal="right" vertical="center"/>
      <protection locked="0"/>
    </xf>
    <xf numFmtId="169" fontId="5" fillId="10" borderId="147" xfId="0" applyNumberFormat="1" applyFont="1" applyFill="1" applyBorder="1" applyAlignment="1" applyProtection="1">
      <alignment horizontal="right" vertical="center"/>
      <protection locked="0"/>
    </xf>
    <xf numFmtId="0" fontId="3" fillId="17" borderId="230" xfId="0" applyFont="1" applyFill="1" applyBorder="1" applyAlignment="1" applyProtection="1">
      <alignment horizontal="center" vertical="center"/>
    </xf>
    <xf numFmtId="0" fontId="3" fillId="17" borderId="231" xfId="0" applyFont="1" applyFill="1" applyBorder="1" applyAlignment="1" applyProtection="1">
      <alignment horizontal="center" vertical="center"/>
    </xf>
    <xf numFmtId="0" fontId="3" fillId="17" borderId="232" xfId="0" applyFont="1" applyFill="1" applyBorder="1" applyAlignment="1" applyProtection="1">
      <alignment horizontal="center" vertical="center"/>
    </xf>
    <xf numFmtId="0" fontId="169" fillId="36" borderId="7" xfId="0" applyFont="1" applyFill="1" applyBorder="1" applyAlignment="1" applyProtection="1">
      <alignment horizontal="center" vertical="center"/>
    </xf>
    <xf numFmtId="0" fontId="169" fillId="36" borderId="9" xfId="0" applyFont="1" applyFill="1" applyBorder="1" applyAlignment="1" applyProtection="1">
      <alignment horizontal="center" vertical="center"/>
    </xf>
    <xf numFmtId="0" fontId="171" fillId="0" borderId="61" xfId="0" applyFont="1" applyFill="1" applyBorder="1" applyAlignment="1" applyProtection="1">
      <alignment horizontal="center" vertical="center"/>
    </xf>
    <xf numFmtId="0" fontId="171" fillId="0" borderId="128" xfId="0" applyFont="1" applyFill="1" applyBorder="1" applyAlignment="1" applyProtection="1">
      <alignment horizontal="center" vertical="center"/>
    </xf>
    <xf numFmtId="0" fontId="170" fillId="0" borderId="61" xfId="0" applyFont="1" applyFill="1" applyBorder="1" applyAlignment="1" applyProtection="1">
      <alignment horizontal="center" vertical="center"/>
    </xf>
    <xf numFmtId="0" fontId="170" fillId="0" borderId="128" xfId="0" applyFont="1" applyFill="1" applyBorder="1" applyAlignment="1" applyProtection="1">
      <alignment horizontal="center" vertical="center"/>
    </xf>
    <xf numFmtId="0" fontId="22" fillId="3" borderId="7" xfId="0" applyFont="1" applyFill="1" applyBorder="1" applyAlignment="1" applyProtection="1">
      <alignment horizontal="center" vertical="center"/>
    </xf>
    <xf numFmtId="0" fontId="22" fillId="3" borderId="8" xfId="0" applyFont="1" applyFill="1" applyBorder="1" applyAlignment="1" applyProtection="1">
      <alignment horizontal="center" vertical="center"/>
    </xf>
    <xf numFmtId="0" fontId="22" fillId="3" borderId="9" xfId="0" applyFont="1" applyFill="1" applyBorder="1" applyAlignment="1" applyProtection="1">
      <alignment horizontal="center" vertical="center"/>
    </xf>
    <xf numFmtId="0" fontId="22" fillId="10" borderId="491" xfId="0" applyFont="1" applyFill="1" applyBorder="1" applyAlignment="1" applyProtection="1">
      <alignment horizontal="center" vertical="center"/>
    </xf>
    <xf numFmtId="0" fontId="22" fillId="10" borderId="487" xfId="0" applyFont="1" applyFill="1" applyBorder="1" applyAlignment="1" applyProtection="1">
      <alignment horizontal="center" vertical="center"/>
    </xf>
    <xf numFmtId="0" fontId="22" fillId="3" borderId="63" xfId="0" applyFont="1" applyFill="1" applyBorder="1" applyAlignment="1" applyProtection="1">
      <alignment horizontal="center" vertical="center"/>
    </xf>
    <xf numFmtId="0" fontId="22" fillId="3" borderId="64" xfId="0" applyFont="1" applyFill="1" applyBorder="1" applyAlignment="1" applyProtection="1">
      <alignment horizontal="center" vertical="center"/>
    </xf>
    <xf numFmtId="0" fontId="22" fillId="3" borderId="154" xfId="0" applyFont="1" applyFill="1" applyBorder="1" applyAlignment="1" applyProtection="1">
      <alignment horizontal="center" vertical="center"/>
    </xf>
    <xf numFmtId="0" fontId="22" fillId="10" borderId="489" xfId="0" applyFont="1" applyFill="1" applyBorder="1" applyAlignment="1" applyProtection="1">
      <alignment horizontal="center" vertical="center"/>
      <protection locked="0"/>
    </xf>
    <xf numFmtId="0" fontId="22" fillId="10" borderId="490" xfId="0" applyFont="1" applyFill="1" applyBorder="1" applyAlignment="1" applyProtection="1">
      <alignment horizontal="center" vertical="center"/>
      <protection locked="0"/>
    </xf>
    <xf numFmtId="0" fontId="22" fillId="3" borderId="18" xfId="0" applyFont="1" applyFill="1" applyBorder="1" applyAlignment="1" applyProtection="1">
      <alignment horizontal="center"/>
    </xf>
    <xf numFmtId="0" fontId="22" fillId="3" borderId="19" xfId="0" applyFont="1" applyFill="1" applyBorder="1" applyAlignment="1" applyProtection="1">
      <alignment horizontal="center"/>
    </xf>
    <xf numFmtId="0" fontId="22" fillId="3" borderId="20" xfId="0" applyFont="1" applyFill="1" applyBorder="1" applyAlignment="1" applyProtection="1">
      <alignment horizontal="center"/>
    </xf>
    <xf numFmtId="0" fontId="22" fillId="10" borderId="491" xfId="0" applyFont="1" applyFill="1" applyBorder="1" applyAlignment="1" applyProtection="1">
      <alignment horizontal="center" vertical="center"/>
      <protection locked="0"/>
    </xf>
    <xf numFmtId="0" fontId="22" fillId="10" borderId="487" xfId="0" applyFont="1" applyFill="1" applyBorder="1" applyAlignment="1" applyProtection="1">
      <alignment horizontal="center" vertical="center"/>
      <protection locked="0"/>
    </xf>
    <xf numFmtId="0" fontId="22" fillId="3" borderId="63" xfId="0" applyFont="1" applyFill="1" applyBorder="1" applyAlignment="1" applyProtection="1">
      <alignment horizontal="center"/>
    </xf>
    <xf numFmtId="0" fontId="22" fillId="3" borderId="64" xfId="0" applyFont="1" applyFill="1" applyBorder="1" applyAlignment="1" applyProtection="1">
      <alignment horizontal="center"/>
    </xf>
    <xf numFmtId="0" fontId="22" fillId="3" borderId="154" xfId="0" applyFont="1" applyFill="1" applyBorder="1" applyAlignment="1" applyProtection="1">
      <alignment horizontal="center"/>
    </xf>
    <xf numFmtId="14" fontId="22" fillId="10" borderId="491" xfId="0" applyNumberFormat="1" applyFont="1" applyFill="1" applyBorder="1" applyAlignment="1" applyProtection="1">
      <alignment horizontal="center" vertical="center"/>
      <protection locked="0"/>
    </xf>
    <xf numFmtId="14" fontId="22" fillId="10" borderId="487" xfId="0" applyNumberFormat="1" applyFont="1" applyFill="1" applyBorder="1" applyAlignment="1" applyProtection="1">
      <alignment horizontal="center" vertical="center"/>
      <protection locked="0"/>
    </xf>
    <xf numFmtId="14" fontId="22" fillId="10" borderId="489" xfId="0" applyNumberFormat="1" applyFont="1" applyFill="1" applyBorder="1" applyAlignment="1" applyProtection="1">
      <alignment horizontal="center" vertical="center"/>
      <protection locked="0"/>
    </xf>
    <xf numFmtId="14" fontId="22" fillId="10" borderId="490" xfId="0" applyNumberFormat="1" applyFont="1" applyFill="1" applyBorder="1" applyAlignment="1" applyProtection="1">
      <alignment horizontal="center" vertical="center"/>
      <protection locked="0"/>
    </xf>
    <xf numFmtId="0" fontId="183" fillId="4" borderId="491" xfId="0" applyFont="1" applyFill="1" applyBorder="1" applyAlignment="1" applyProtection="1">
      <alignment horizontal="center" vertical="center"/>
    </xf>
    <xf numFmtId="0" fontId="183" fillId="4" borderId="492" xfId="0" applyFont="1" applyFill="1" applyBorder="1" applyAlignment="1" applyProtection="1">
      <alignment horizontal="center" vertical="center"/>
    </xf>
    <xf numFmtId="0" fontId="183" fillId="4" borderId="38" xfId="0" applyFont="1" applyFill="1" applyBorder="1" applyAlignment="1" applyProtection="1">
      <alignment horizontal="center" vertical="center"/>
    </xf>
    <xf numFmtId="0" fontId="125" fillId="0" borderId="416" xfId="0" applyFont="1" applyBorder="1" applyAlignment="1">
      <alignment horizontal="center" vertical="center"/>
    </xf>
    <xf numFmtId="173" fontId="5" fillId="5" borderId="8" xfId="0" applyNumberFormat="1" applyFont="1" applyFill="1" applyBorder="1" applyAlignment="1" applyProtection="1">
      <alignment horizontal="center" vertical="center"/>
    </xf>
    <xf numFmtId="168" fontId="33" fillId="5" borderId="430" xfId="0" applyNumberFormat="1" applyFont="1" applyFill="1" applyBorder="1" applyAlignment="1" applyProtection="1">
      <alignment horizontal="center" vertical="center"/>
    </xf>
    <xf numFmtId="168" fontId="33" fillId="5" borderId="431" xfId="0" applyNumberFormat="1" applyFont="1" applyFill="1" applyBorder="1" applyAlignment="1" applyProtection="1">
      <alignment horizontal="center" vertical="center"/>
    </xf>
    <xf numFmtId="0" fontId="33" fillId="4" borderId="7" xfId="0" applyFont="1" applyFill="1" applyBorder="1" applyAlignment="1" applyProtection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84" fillId="4" borderId="24" xfId="0" applyFont="1" applyFill="1" applyBorder="1" applyAlignment="1" applyProtection="1">
      <alignment horizontal="center" vertical="center"/>
    </xf>
    <xf numFmtId="0" fontId="184" fillId="4" borderId="15" xfId="0" applyFont="1" applyFill="1" applyBorder="1" applyAlignment="1" applyProtection="1">
      <alignment horizontal="center" vertical="center"/>
    </xf>
    <xf numFmtId="0" fontId="184" fillId="4" borderId="27" xfId="0" applyFont="1" applyFill="1" applyBorder="1" applyAlignment="1" applyProtection="1">
      <alignment horizontal="center" vertical="center"/>
    </xf>
    <xf numFmtId="167" fontId="5" fillId="5" borderId="432" xfId="0" applyNumberFormat="1" applyFont="1" applyFill="1" applyBorder="1" applyAlignment="1" applyProtection="1">
      <alignment horizontal="center" vertical="center"/>
    </xf>
    <xf numFmtId="167" fontId="5" fillId="5" borderId="431" xfId="0" applyNumberFormat="1" applyFont="1" applyFill="1" applyBorder="1" applyAlignment="1" applyProtection="1">
      <alignment horizontal="center" vertical="center"/>
    </xf>
    <xf numFmtId="167" fontId="5" fillId="5" borderId="403" xfId="0" applyNumberFormat="1" applyFont="1" applyFill="1" applyBorder="1" applyAlignment="1" applyProtection="1">
      <alignment horizontal="center" vertical="center"/>
    </xf>
    <xf numFmtId="167" fontId="5" fillId="5" borderId="402" xfId="0" applyNumberFormat="1" applyFont="1" applyFill="1" applyBorder="1" applyAlignment="1" applyProtection="1">
      <alignment horizontal="center" vertical="center"/>
    </xf>
    <xf numFmtId="0" fontId="33" fillId="4" borderId="244" xfId="0" applyFont="1" applyFill="1" applyBorder="1" applyAlignment="1" applyProtection="1">
      <alignment horizontal="center"/>
    </xf>
    <xf numFmtId="0" fontId="61" fillId="4" borderId="0" xfId="0" applyFont="1" applyFill="1" applyBorder="1" applyAlignment="1" applyProtection="1">
      <alignment horizontal="justify" vertical="center"/>
    </xf>
    <xf numFmtId="180" fontId="38" fillId="20" borderId="422" xfId="0" applyNumberFormat="1" applyFont="1" applyFill="1" applyBorder="1" applyAlignment="1">
      <alignment horizontal="center" vertical="center"/>
    </xf>
    <xf numFmtId="180" fontId="38" fillId="20" borderId="426" xfId="0" applyNumberFormat="1" applyFont="1" applyFill="1" applyBorder="1" applyAlignment="1">
      <alignment horizontal="center" vertical="center"/>
    </xf>
    <xf numFmtId="44" fontId="5" fillId="4" borderId="406" xfId="0" applyNumberFormat="1" applyFont="1" applyFill="1" applyBorder="1" applyAlignment="1" applyProtection="1">
      <alignment horizontal="right" vertical="center"/>
    </xf>
    <xf numFmtId="44" fontId="5" fillId="4" borderId="407" xfId="0" applyNumberFormat="1" applyFont="1" applyFill="1" applyBorder="1" applyAlignment="1" applyProtection="1">
      <alignment horizontal="right" vertical="center"/>
    </xf>
    <xf numFmtId="177" fontId="5" fillId="5" borderId="432" xfId="0" applyNumberFormat="1" applyFont="1" applyFill="1" applyBorder="1" applyAlignment="1" applyProtection="1">
      <alignment horizontal="center" vertical="center"/>
    </xf>
    <xf numFmtId="177" fontId="5" fillId="5" borderId="431" xfId="0" applyNumberFormat="1" applyFont="1" applyFill="1" applyBorder="1" applyAlignment="1" applyProtection="1">
      <alignment horizontal="center" vertical="center"/>
    </xf>
    <xf numFmtId="0" fontId="5" fillId="4" borderId="400" xfId="0" applyNumberFormat="1" applyFont="1" applyFill="1" applyBorder="1" applyAlignment="1" applyProtection="1">
      <alignment horizontal="justify" vertical="center"/>
    </xf>
    <xf numFmtId="0" fontId="5" fillId="4" borderId="401" xfId="0" applyNumberFormat="1" applyFont="1" applyFill="1" applyBorder="1" applyAlignment="1" applyProtection="1">
      <alignment horizontal="justify" vertical="center"/>
    </xf>
    <xf numFmtId="177" fontId="5" fillId="5" borderId="409" xfId="0" applyNumberFormat="1" applyFont="1" applyFill="1" applyBorder="1" applyAlignment="1" applyProtection="1">
      <alignment horizontal="center" vertical="center"/>
    </xf>
    <xf numFmtId="177" fontId="5" fillId="5" borderId="407" xfId="0" applyNumberFormat="1" applyFont="1" applyFill="1" applyBorder="1" applyAlignment="1" applyProtection="1">
      <alignment horizontal="center" vertical="center"/>
    </xf>
    <xf numFmtId="0" fontId="5" fillId="4" borderId="405" xfId="0" applyNumberFormat="1" applyFont="1" applyFill="1" applyBorder="1" applyAlignment="1" applyProtection="1">
      <alignment horizontal="justify" vertical="center"/>
    </xf>
    <xf numFmtId="0" fontId="5" fillId="4" borderId="406" xfId="0" applyNumberFormat="1" applyFont="1" applyFill="1" applyBorder="1" applyAlignment="1" applyProtection="1">
      <alignment horizontal="justify" vertical="center"/>
    </xf>
    <xf numFmtId="0" fontId="33" fillId="5" borderId="408" xfId="0" applyNumberFormat="1" applyFont="1" applyFill="1" applyBorder="1" applyAlignment="1" applyProtection="1">
      <alignment horizontal="center" vertical="center"/>
    </xf>
    <xf numFmtId="174" fontId="33" fillId="5" borderId="408" xfId="0" applyNumberFormat="1" applyFont="1" applyFill="1" applyBorder="1" applyAlignment="1" applyProtection="1">
      <alignment horizontal="center" vertical="center"/>
    </xf>
    <xf numFmtId="0" fontId="184" fillId="4" borderId="72" xfId="0" applyFont="1" applyFill="1" applyBorder="1" applyAlignment="1" applyProtection="1">
      <alignment horizontal="center" vertical="center"/>
    </xf>
    <xf numFmtId="0" fontId="184" fillId="4" borderId="31" xfId="0" applyFont="1" applyFill="1" applyBorder="1" applyAlignment="1" applyProtection="1">
      <alignment horizontal="center" vertical="center"/>
    </xf>
    <xf numFmtId="0" fontId="184" fillId="4" borderId="179" xfId="0" applyFont="1" applyFill="1" applyBorder="1" applyAlignment="1" applyProtection="1">
      <alignment horizontal="center" vertical="center"/>
    </xf>
    <xf numFmtId="0" fontId="33" fillId="4" borderId="0" xfId="0" applyFont="1" applyFill="1" applyBorder="1" applyAlignment="1" applyProtection="1">
      <alignment horizontal="justify" vertical="center"/>
    </xf>
    <xf numFmtId="0" fontId="33" fillId="4" borderId="244" xfId="0" applyFont="1" applyFill="1" applyBorder="1" applyAlignment="1" applyProtection="1">
      <alignment horizontal="center"/>
      <protection locked="0"/>
    </xf>
    <xf numFmtId="0" fontId="61" fillId="4" borderId="0" xfId="0" applyFont="1" applyFill="1" applyBorder="1" applyAlignment="1" applyProtection="1">
      <alignment horizontal="distributed" vertical="center"/>
    </xf>
    <xf numFmtId="0" fontId="62" fillId="4" borderId="0" xfId="0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center" vertical="center"/>
    </xf>
    <xf numFmtId="176" fontId="189" fillId="4" borderId="0" xfId="0" applyNumberFormat="1" applyFont="1" applyFill="1" applyBorder="1" applyAlignment="1" applyProtection="1">
      <alignment horizontal="distributed" vertical="center"/>
    </xf>
    <xf numFmtId="0" fontId="38" fillId="29" borderId="4" xfId="0" applyFont="1" applyFill="1" applyBorder="1" applyAlignment="1" applyProtection="1">
      <alignment horizontal="center" vertical="center"/>
    </xf>
    <xf numFmtId="0" fontId="38" fillId="29" borderId="5" xfId="0" applyFont="1" applyFill="1" applyBorder="1" applyAlignment="1" applyProtection="1">
      <alignment horizontal="center" vertical="center"/>
    </xf>
    <xf numFmtId="0" fontId="180" fillId="4" borderId="19" xfId="0" applyFont="1" applyFill="1" applyBorder="1" applyAlignment="1" applyProtection="1">
      <alignment horizontal="center"/>
    </xf>
    <xf numFmtId="0" fontId="33" fillId="20" borderId="7" xfId="0" applyFont="1" applyFill="1" applyBorder="1" applyAlignment="1" applyProtection="1">
      <alignment horizontal="distributed" vertical="center"/>
    </xf>
    <xf numFmtId="0" fontId="33" fillId="20" borderId="8" xfId="0" applyFont="1" applyFill="1" applyBorder="1" applyAlignment="1" applyProtection="1">
      <alignment horizontal="distributed" vertical="center"/>
    </xf>
    <xf numFmtId="0" fontId="33" fillId="20" borderId="8" xfId="0" applyNumberFormat="1" applyFont="1" applyFill="1" applyBorder="1" applyAlignment="1" applyProtection="1">
      <alignment horizontal="justify" vertical="center"/>
    </xf>
    <xf numFmtId="0" fontId="33" fillId="20" borderId="9" xfId="0" applyNumberFormat="1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indent="4"/>
    </xf>
    <xf numFmtId="174" fontId="33" fillId="4" borderId="406" xfId="0" applyNumberFormat="1" applyFont="1" applyFill="1" applyBorder="1" applyAlignment="1" applyProtection="1">
      <alignment horizontal="right" vertical="center" indent="4"/>
    </xf>
    <xf numFmtId="174" fontId="33" fillId="4" borderId="407" xfId="0" applyNumberFormat="1" applyFont="1" applyFill="1" applyBorder="1" applyAlignment="1" applyProtection="1">
      <alignment horizontal="right" vertical="center" indent="4"/>
    </xf>
    <xf numFmtId="0" fontId="184" fillId="4" borderId="19" xfId="0" applyFont="1" applyFill="1" applyBorder="1" applyAlignment="1" applyProtection="1">
      <alignment horizontal="center" vertical="center"/>
    </xf>
    <xf numFmtId="0" fontId="184" fillId="4" borderId="20" xfId="0" applyFont="1" applyFill="1" applyBorder="1" applyAlignment="1" applyProtection="1">
      <alignment horizontal="center" vertical="center"/>
    </xf>
    <xf numFmtId="0" fontId="33" fillId="4" borderId="411" xfId="0" applyFont="1" applyFill="1" applyBorder="1" applyAlignment="1" applyProtection="1">
      <alignment horizontal="center" vertical="center" wrapText="1"/>
    </xf>
    <xf numFmtId="0" fontId="33" fillId="4" borderId="412" xfId="0" applyFont="1" applyFill="1" applyBorder="1" applyAlignment="1" applyProtection="1">
      <alignment horizontal="center" vertical="center" wrapText="1"/>
    </xf>
    <xf numFmtId="0" fontId="33" fillId="4" borderId="414" xfId="0" applyFont="1" applyFill="1" applyBorder="1" applyAlignment="1" applyProtection="1">
      <alignment horizontal="center" vertical="center" wrapText="1"/>
    </xf>
    <xf numFmtId="0" fontId="33" fillId="4" borderId="415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justify" vertical="center"/>
    </xf>
    <xf numFmtId="0" fontId="33" fillId="4" borderId="416" xfId="0" applyFont="1" applyFill="1" applyBorder="1" applyAlignment="1" applyProtection="1">
      <alignment horizontal="center" vertical="center"/>
    </xf>
    <xf numFmtId="0" fontId="187" fillId="29" borderId="423" xfId="0" applyFont="1" applyFill="1" applyBorder="1" applyAlignment="1" applyProtection="1">
      <alignment horizontal="center" vertical="center"/>
    </xf>
    <xf numFmtId="0" fontId="187" fillId="29" borderId="424" xfId="0" applyFont="1" applyFill="1" applyBorder="1" applyAlignment="1" applyProtection="1">
      <alignment horizontal="center" vertical="center"/>
    </xf>
    <xf numFmtId="0" fontId="187" fillId="29" borderId="425" xfId="0" applyFont="1" applyFill="1" applyBorder="1" applyAlignment="1" applyProtection="1">
      <alignment horizontal="center" vertical="center"/>
    </xf>
    <xf numFmtId="0" fontId="180" fillId="2" borderId="2" xfId="0" applyFont="1" applyFill="1" applyBorder="1" applyAlignment="1" applyProtection="1">
      <alignment horizontal="right"/>
    </xf>
    <xf numFmtId="0" fontId="180" fillId="2" borderId="5" xfId="0" applyFont="1" applyFill="1" applyBorder="1" applyAlignment="1" applyProtection="1">
      <alignment horizontal="right"/>
    </xf>
    <xf numFmtId="0" fontId="33" fillId="4" borderId="2" xfId="0" applyFont="1" applyFill="1" applyBorder="1" applyAlignment="1" applyProtection="1">
      <alignment horizontal="center" vertical="center" wrapText="1"/>
    </xf>
    <xf numFmtId="16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justify" vertical="center"/>
    </xf>
    <xf numFmtId="0" fontId="33" fillId="4" borderId="18" xfId="0" applyFont="1" applyFill="1" applyBorder="1" applyAlignment="1" applyProtection="1">
      <alignment horizontal="center" vertical="center"/>
    </xf>
    <xf numFmtId="0" fontId="33" fillId="4" borderId="19" xfId="0" applyFont="1" applyFill="1" applyBorder="1" applyAlignment="1" applyProtection="1">
      <alignment horizontal="center" vertical="center"/>
    </xf>
    <xf numFmtId="0" fontId="184" fillId="4" borderId="19" xfId="0" applyFont="1" applyFill="1" applyBorder="1" applyAlignment="1" applyProtection="1">
      <alignment horizontal="center"/>
    </xf>
    <xf numFmtId="180" fontId="38" fillId="11" borderId="438" xfId="0" applyNumberFormat="1" applyFont="1" applyFill="1" applyBorder="1" applyAlignment="1" applyProtection="1">
      <alignment horizontal="right" vertical="center"/>
    </xf>
    <xf numFmtId="180" fontId="38" fillId="11" borderId="317" xfId="0" applyNumberFormat="1" applyFont="1" applyFill="1" applyBorder="1" applyAlignment="1" applyProtection="1">
      <alignment horizontal="right" vertical="center"/>
    </xf>
    <xf numFmtId="180" fontId="38" fillId="11" borderId="439" xfId="0" applyNumberFormat="1" applyFont="1" applyFill="1" applyBorder="1" applyAlignment="1" applyProtection="1">
      <alignment horizontal="right" vertical="center"/>
    </xf>
    <xf numFmtId="177" fontId="5" fillId="4" borderId="352" xfId="0" applyNumberFormat="1" applyFont="1" applyFill="1" applyBorder="1" applyAlignment="1" applyProtection="1">
      <alignment horizontal="center" vertical="center"/>
    </xf>
    <xf numFmtId="177" fontId="5" fillId="4" borderId="441" xfId="0" applyNumberFormat="1" applyFont="1" applyFill="1" applyBorder="1" applyAlignment="1" applyProtection="1">
      <alignment horizontal="center" vertical="center"/>
    </xf>
    <xf numFmtId="175" fontId="186" fillId="5" borderId="353" xfId="0" applyNumberFormat="1" applyFont="1" applyFill="1" applyBorder="1" applyAlignment="1" applyProtection="1">
      <alignment horizontal="center" vertical="center"/>
    </xf>
    <xf numFmtId="180" fontId="5" fillId="12" borderId="353" xfId="0" applyNumberFormat="1" applyFont="1" applyFill="1" applyBorder="1" applyAlignment="1" applyProtection="1">
      <alignment horizontal="right" vertical="center"/>
    </xf>
    <xf numFmtId="173" fontId="5" fillId="5" borderId="353" xfId="0" applyNumberFormat="1" applyFont="1" applyFill="1" applyBorder="1" applyAlignment="1" applyProtection="1">
      <alignment horizontal="center" vertical="center"/>
    </xf>
    <xf numFmtId="177" fontId="5" fillId="4" borderId="7" xfId="0" applyNumberFormat="1" applyFont="1" applyFill="1" applyBorder="1" applyAlignment="1" applyProtection="1">
      <alignment horizontal="center" vertical="center"/>
    </xf>
    <xf numFmtId="177" fontId="5" fillId="4" borderId="8" xfId="0" applyNumberFormat="1" applyFont="1" applyFill="1" applyBorder="1" applyAlignment="1" applyProtection="1">
      <alignment horizontal="center" vertical="center"/>
    </xf>
    <xf numFmtId="169" fontId="38" fillId="12" borderId="436" xfId="0" applyNumberFormat="1" applyFont="1" applyFill="1" applyBorder="1" applyAlignment="1" applyProtection="1">
      <alignment horizontal="center" vertical="center"/>
    </xf>
    <xf numFmtId="169" fontId="38" fillId="12" borderId="297" xfId="0" applyNumberFormat="1" applyFont="1" applyFill="1" applyBorder="1" applyAlignment="1" applyProtection="1">
      <alignment horizontal="center" vertical="center"/>
    </xf>
    <xf numFmtId="169" fontId="38" fillId="12" borderId="437" xfId="0" applyNumberFormat="1" applyFont="1" applyFill="1" applyBorder="1" applyAlignment="1" applyProtection="1">
      <alignment horizontal="center" vertical="center"/>
    </xf>
    <xf numFmtId="0" fontId="52" fillId="4" borderId="7" xfId="0" applyFont="1" applyFill="1" applyBorder="1" applyAlignment="1" applyProtection="1">
      <alignment horizontal="center" vertical="center"/>
    </xf>
    <xf numFmtId="0" fontId="52" fillId="4" borderId="8" xfId="0" applyFont="1" applyFill="1" applyBorder="1" applyAlignment="1" applyProtection="1">
      <alignment horizontal="center" vertical="center"/>
    </xf>
    <xf numFmtId="0" fontId="52" fillId="4" borderId="9" xfId="0" applyFont="1" applyFill="1" applyBorder="1" applyAlignment="1" applyProtection="1">
      <alignment horizontal="center" vertical="center"/>
    </xf>
    <xf numFmtId="0" fontId="184" fillId="4" borderId="65" xfId="0" applyFont="1" applyFill="1" applyBorder="1" applyAlignment="1" applyProtection="1">
      <alignment horizontal="center" vertical="center"/>
    </xf>
    <xf numFmtId="0" fontId="184" fillId="4" borderId="29" xfId="0" applyFont="1" applyFill="1" applyBorder="1" applyAlignment="1" applyProtection="1">
      <alignment horizontal="center" vertical="center"/>
    </xf>
    <xf numFmtId="0" fontId="184" fillId="4" borderId="30" xfId="0" applyFont="1" applyFill="1" applyBorder="1" applyAlignment="1" applyProtection="1">
      <alignment horizontal="center" vertical="center"/>
    </xf>
    <xf numFmtId="0" fontId="184" fillId="4" borderId="26" xfId="0" applyFont="1" applyFill="1" applyBorder="1" applyAlignment="1" applyProtection="1">
      <alignment horizontal="center" vertical="center"/>
    </xf>
    <xf numFmtId="0" fontId="184" fillId="4" borderId="16" xfId="0" applyFont="1" applyFill="1" applyBorder="1" applyAlignment="1" applyProtection="1">
      <alignment horizontal="center" vertical="center"/>
    </xf>
    <xf numFmtId="0" fontId="184" fillId="4" borderId="48" xfId="0" applyFont="1" applyFill="1" applyBorder="1" applyAlignment="1" applyProtection="1">
      <alignment horizontal="center" vertical="center"/>
    </xf>
    <xf numFmtId="0" fontId="184" fillId="4" borderId="32" xfId="0" applyFont="1" applyFill="1" applyBorder="1" applyAlignment="1" applyProtection="1">
      <alignment horizontal="center" vertical="center"/>
    </xf>
    <xf numFmtId="0" fontId="184" fillId="4" borderId="28" xfId="0" applyFont="1" applyFill="1" applyBorder="1" applyAlignment="1" applyProtection="1">
      <alignment horizontal="center" vertical="center"/>
    </xf>
    <xf numFmtId="0" fontId="184" fillId="4" borderId="161" xfId="0" applyFont="1" applyFill="1" applyBorder="1" applyAlignment="1" applyProtection="1">
      <alignment horizontal="center" vertical="center"/>
    </xf>
    <xf numFmtId="0" fontId="180" fillId="4" borderId="5" xfId="0" applyFont="1" applyFill="1" applyBorder="1" applyAlignment="1" applyProtection="1">
      <alignment horizontal="center"/>
    </xf>
    <xf numFmtId="175" fontId="5" fillId="10" borderId="8" xfId="0" applyNumberFormat="1" applyFont="1" applyFill="1" applyBorder="1" applyAlignment="1" applyProtection="1">
      <alignment horizontal="center" vertical="center"/>
      <protection locked="0"/>
    </xf>
    <xf numFmtId="173" fontId="5" fillId="5" borderId="29" xfId="0" applyNumberFormat="1" applyFont="1" applyFill="1" applyBorder="1" applyAlignment="1" applyProtection="1">
      <alignment horizontal="center" vertical="center"/>
    </xf>
    <xf numFmtId="175" fontId="186" fillId="5" borderId="29" xfId="0" applyNumberFormat="1" applyFont="1" applyFill="1" applyBorder="1" applyAlignment="1" applyProtection="1">
      <alignment horizontal="center" vertical="center"/>
    </xf>
    <xf numFmtId="180" fontId="5" fillId="12" borderId="29" xfId="0" applyNumberFormat="1" applyFont="1" applyFill="1" applyBorder="1" applyAlignment="1" applyProtection="1">
      <alignment horizontal="right" vertical="center"/>
    </xf>
    <xf numFmtId="177" fontId="5" fillId="4" borderId="65" xfId="0" applyNumberFormat="1" applyFont="1" applyFill="1" applyBorder="1" applyAlignment="1" applyProtection="1">
      <alignment horizontal="center" vertical="center"/>
    </xf>
    <xf numFmtId="177" fontId="5" fillId="4" borderId="440" xfId="0" applyNumberFormat="1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justify" vertical="center"/>
    </xf>
    <xf numFmtId="0" fontId="5" fillId="4" borderId="8" xfId="0" applyFont="1" applyFill="1" applyBorder="1" applyAlignment="1" applyProtection="1">
      <alignment horizontal="justify" vertical="center"/>
    </xf>
    <xf numFmtId="174" fontId="33" fillId="4" borderId="409" xfId="0" applyNumberFormat="1" applyFont="1" applyFill="1" applyBorder="1" applyAlignment="1" applyProtection="1">
      <alignment horizontal="right" vertical="center" wrapText="1" indent="4"/>
    </xf>
    <xf numFmtId="174" fontId="33" fillId="4" borderId="406" xfId="0" applyNumberFormat="1" applyFont="1" applyFill="1" applyBorder="1" applyAlignment="1" applyProtection="1">
      <alignment horizontal="right" vertical="center" wrapText="1" indent="4"/>
    </xf>
    <xf numFmtId="174" fontId="33" fillId="4" borderId="407" xfId="0" applyNumberFormat="1" applyFont="1" applyFill="1" applyBorder="1" applyAlignment="1" applyProtection="1">
      <alignment horizontal="right" vertical="center" wrapText="1" indent="4"/>
    </xf>
    <xf numFmtId="168" fontId="33" fillId="5" borderId="401" xfId="0" applyNumberFormat="1" applyFont="1" applyFill="1" applyBorder="1" applyAlignment="1" applyProtection="1">
      <alignment horizontal="center" vertical="center"/>
    </xf>
    <xf numFmtId="168" fontId="33" fillId="5" borderId="402" xfId="0" applyNumberFormat="1" applyFont="1" applyFill="1" applyBorder="1" applyAlignment="1" applyProtection="1">
      <alignment horizontal="center" vertical="center"/>
    </xf>
    <xf numFmtId="44" fontId="5" fillId="4" borderId="403" xfId="0" applyNumberFormat="1" applyFont="1" applyFill="1" applyBorder="1" applyAlignment="1" applyProtection="1">
      <alignment horizontal="right" vertical="center"/>
    </xf>
    <xf numFmtId="44" fontId="5" fillId="4" borderId="402" xfId="0" applyNumberFormat="1" applyFont="1" applyFill="1" applyBorder="1" applyAlignment="1" applyProtection="1">
      <alignment horizontal="right" vertical="center"/>
    </xf>
    <xf numFmtId="177" fontId="5" fillId="5" borderId="403" xfId="0" applyNumberFormat="1" applyFont="1" applyFill="1" applyBorder="1" applyAlignment="1" applyProtection="1">
      <alignment horizontal="center" vertical="center"/>
    </xf>
    <xf numFmtId="177" fontId="5" fillId="5" borderId="402" xfId="0" applyNumberFormat="1" applyFont="1" applyFill="1" applyBorder="1" applyAlignment="1" applyProtection="1">
      <alignment horizontal="center" vertical="center"/>
    </xf>
    <xf numFmtId="0" fontId="5" fillId="4" borderId="429" xfId="0" applyNumberFormat="1" applyFont="1" applyFill="1" applyBorder="1" applyAlignment="1" applyProtection="1">
      <alignment horizontal="justify" vertical="center"/>
    </xf>
    <xf numFmtId="0" fontId="5" fillId="4" borderId="430" xfId="0" applyNumberFormat="1" applyFont="1" applyFill="1" applyBorder="1" applyAlignment="1" applyProtection="1">
      <alignment horizontal="justify" vertical="center"/>
    </xf>
    <xf numFmtId="0" fontId="33" fillId="4" borderId="238" xfId="0" applyFont="1" applyFill="1" applyBorder="1" applyAlignment="1" applyProtection="1">
      <alignment horizontal="center" vertical="center"/>
      <protection locked="0"/>
    </xf>
    <xf numFmtId="0" fontId="33" fillId="4" borderId="241" xfId="0" applyFont="1" applyFill="1" applyBorder="1" applyAlignment="1" applyProtection="1">
      <alignment horizontal="center" vertical="center"/>
    </xf>
    <xf numFmtId="0" fontId="33" fillId="4" borderId="241" xfId="0" applyFont="1" applyFill="1" applyBorder="1" applyAlignment="1" applyProtection="1">
      <alignment horizontal="center" vertical="center"/>
      <protection locked="0"/>
    </xf>
    <xf numFmtId="0" fontId="33" fillId="5" borderId="397" xfId="0" applyNumberFormat="1" applyFont="1" applyFill="1" applyBorder="1" applyAlignment="1" applyProtection="1">
      <alignment horizontal="center" vertical="center"/>
    </xf>
    <xf numFmtId="174" fontId="33" fillId="5" borderId="397" xfId="0" applyNumberFormat="1" applyFont="1" applyFill="1" applyBorder="1" applyAlignment="1" applyProtection="1">
      <alignment horizontal="center" vertical="center"/>
    </xf>
    <xf numFmtId="167" fontId="5" fillId="5" borderId="398" xfId="0" applyNumberFormat="1" applyFont="1" applyFill="1" applyBorder="1" applyAlignment="1" applyProtection="1">
      <alignment horizontal="center" vertical="center"/>
    </xf>
    <xf numFmtId="167" fontId="5" fillId="5" borderId="396" xfId="0" applyNumberFormat="1" applyFont="1" applyFill="1" applyBorder="1" applyAlignment="1" applyProtection="1">
      <alignment horizontal="center" vertical="center"/>
    </xf>
    <xf numFmtId="167" fontId="5" fillId="5" borderId="409" xfId="0" applyNumberFormat="1" applyFont="1" applyFill="1" applyBorder="1" applyAlignment="1" applyProtection="1">
      <alignment horizontal="center" vertical="center"/>
    </xf>
    <xf numFmtId="167" fontId="5" fillId="5" borderId="407" xfId="0" applyNumberFormat="1" applyFont="1" applyFill="1" applyBorder="1" applyAlignment="1" applyProtection="1">
      <alignment horizontal="center" vertical="center"/>
    </xf>
    <xf numFmtId="177" fontId="5" fillId="5" borderId="398" xfId="0" applyNumberFormat="1" applyFont="1" applyFill="1" applyBorder="1" applyAlignment="1" applyProtection="1">
      <alignment horizontal="center" vertical="center"/>
    </xf>
    <xf numFmtId="177" fontId="5" fillId="5" borderId="396" xfId="0" applyNumberFormat="1" applyFont="1" applyFill="1" applyBorder="1" applyAlignment="1" applyProtection="1">
      <alignment horizontal="center" vertical="center"/>
    </xf>
    <xf numFmtId="44" fontId="5" fillId="4" borderId="432" xfId="0" applyNumberFormat="1" applyFont="1" applyFill="1" applyBorder="1" applyAlignment="1" applyProtection="1">
      <alignment horizontal="right" vertical="center"/>
    </xf>
    <xf numFmtId="44" fontId="5" fillId="4" borderId="431" xfId="0" applyNumberFormat="1" applyFont="1" applyFill="1" applyBorder="1" applyAlignment="1" applyProtection="1">
      <alignment horizontal="right" vertical="center"/>
    </xf>
    <xf numFmtId="44" fontId="5" fillId="4" borderId="395" xfId="0" applyNumberFormat="1" applyFont="1" applyFill="1" applyBorder="1" applyAlignment="1" applyProtection="1">
      <alignment horizontal="right" vertical="center"/>
    </xf>
    <xf numFmtId="44" fontId="5" fillId="4" borderId="396" xfId="0" applyNumberFormat="1" applyFont="1" applyFill="1" applyBorder="1" applyAlignment="1" applyProtection="1">
      <alignment horizontal="right" vertical="center"/>
    </xf>
    <xf numFmtId="0" fontId="33" fillId="4" borderId="238" xfId="0" applyFont="1" applyFill="1" applyBorder="1" applyAlignment="1" applyProtection="1">
      <alignment horizontal="center" vertical="center"/>
    </xf>
    <xf numFmtId="0" fontId="5" fillId="4" borderId="394" xfId="0" applyNumberFormat="1" applyFont="1" applyFill="1" applyBorder="1" applyAlignment="1" applyProtection="1">
      <alignment horizontal="justify" vertical="center"/>
    </xf>
    <xf numFmtId="0" fontId="5" fillId="4" borderId="395" xfId="0" applyNumberFormat="1" applyFont="1" applyFill="1" applyBorder="1" applyAlignment="1" applyProtection="1">
      <alignment horizontal="justify" vertical="center"/>
    </xf>
    <xf numFmtId="0" fontId="5" fillId="9" borderId="18" xfId="0" applyFont="1" applyFill="1" applyBorder="1" applyAlignment="1" applyProtection="1">
      <alignment horizontal="center" vertical="center"/>
    </xf>
    <xf numFmtId="0" fontId="5" fillId="9" borderId="19" xfId="0" applyFont="1" applyFill="1" applyBorder="1" applyAlignment="1" applyProtection="1">
      <alignment horizontal="center" vertical="center"/>
    </xf>
    <xf numFmtId="0" fontId="5" fillId="9" borderId="61" xfId="0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5" fillId="17" borderId="19" xfId="0" applyFont="1" applyFill="1" applyBorder="1" applyAlignment="1" applyProtection="1">
      <alignment horizontal="center" vertical="top" wrapText="1"/>
    </xf>
    <xf numFmtId="169" fontId="178" fillId="15" borderId="8" xfId="0" applyNumberFormat="1" applyFont="1" applyFill="1" applyBorder="1" applyAlignment="1" applyProtection="1">
      <alignment horizontal="center" vertical="center"/>
    </xf>
    <xf numFmtId="169" fontId="178" fillId="15" borderId="83" xfId="0" applyNumberFormat="1" applyFont="1" applyFill="1" applyBorder="1" applyAlignment="1" applyProtection="1">
      <alignment horizontal="center" vertical="center"/>
    </xf>
    <xf numFmtId="0" fontId="5" fillId="12" borderId="7" xfId="0" applyFont="1" applyFill="1" applyBorder="1" applyAlignment="1" applyProtection="1">
      <alignment horizontal="center" vertical="center"/>
    </xf>
    <xf numFmtId="0" fontId="5" fillId="12" borderId="8" xfId="0" applyFont="1" applyFill="1" applyBorder="1" applyAlignment="1" applyProtection="1">
      <alignment horizontal="center" vertical="center"/>
    </xf>
    <xf numFmtId="0" fontId="5" fillId="12" borderId="231" xfId="0" applyFont="1" applyFill="1" applyBorder="1" applyAlignment="1" applyProtection="1">
      <alignment horizontal="left" vertical="center"/>
    </xf>
    <xf numFmtId="0" fontId="5" fillId="12" borderId="236" xfId="0" applyFont="1" applyFill="1" applyBorder="1" applyAlignment="1" applyProtection="1">
      <alignment horizontal="left" vertical="center"/>
    </xf>
    <xf numFmtId="0" fontId="5" fillId="12" borderId="21" xfId="0" applyFont="1" applyFill="1" applyBorder="1" applyAlignment="1" applyProtection="1">
      <alignment horizontal="center" vertical="center"/>
    </xf>
    <xf numFmtId="0" fontId="5" fillId="12" borderId="60" xfId="0" applyFont="1" applyFill="1" applyBorder="1" applyAlignment="1" applyProtection="1">
      <alignment horizontal="center" vertical="center"/>
    </xf>
    <xf numFmtId="169" fontId="5" fillId="12" borderId="60" xfId="0" applyNumberFormat="1" applyFont="1" applyFill="1" applyBorder="1" applyAlignment="1" applyProtection="1">
      <alignment horizontal="center" vertical="center"/>
    </xf>
    <xf numFmtId="169" fontId="5" fillId="10" borderId="0" xfId="0" applyNumberFormat="1" applyFont="1" applyFill="1" applyBorder="1" applyAlignment="1" applyProtection="1">
      <alignment horizontal="right" vertical="center"/>
    </xf>
    <xf numFmtId="169" fontId="5" fillId="10" borderId="128" xfId="0" applyNumberFormat="1" applyFont="1" applyFill="1" applyBorder="1" applyAlignment="1" applyProtection="1">
      <alignment horizontal="right" vertical="center"/>
    </xf>
    <xf numFmtId="0" fontId="38" fillId="6" borderId="18" xfId="0" applyFont="1" applyFill="1" applyBorder="1" applyAlignment="1" applyProtection="1">
      <alignment horizontal="distributed" vertical="center"/>
    </xf>
    <xf numFmtId="0" fontId="38" fillId="6" borderId="19" xfId="0" applyFont="1" applyFill="1" applyBorder="1" applyAlignment="1" applyProtection="1">
      <alignment horizontal="distributed" vertical="center"/>
    </xf>
    <xf numFmtId="0" fontId="38" fillId="6" borderId="20" xfId="0" applyFont="1" applyFill="1" applyBorder="1" applyAlignment="1" applyProtection="1">
      <alignment horizontal="distributed" vertical="center"/>
    </xf>
    <xf numFmtId="169" fontId="191" fillId="6" borderId="61" xfId="0" applyNumberFormat="1" applyFont="1" applyFill="1" applyBorder="1" applyAlignment="1" applyProtection="1">
      <alignment horizontal="center" vertical="center"/>
    </xf>
    <xf numFmtId="169" fontId="191" fillId="6" borderId="21" xfId="0" applyNumberFormat="1" applyFont="1" applyFill="1" applyBorder="1" applyAlignment="1" applyProtection="1">
      <alignment horizontal="center" vertical="center"/>
    </xf>
    <xf numFmtId="49" fontId="191" fillId="6" borderId="0" xfId="0" applyNumberFormat="1" applyFont="1" applyFill="1" applyBorder="1" applyAlignment="1" applyProtection="1">
      <alignment horizontal="center" vertical="center"/>
    </xf>
    <xf numFmtId="49" fontId="191" fillId="6" borderId="60" xfId="0" applyNumberFormat="1" applyFont="1" applyFill="1" applyBorder="1" applyAlignment="1" applyProtection="1">
      <alignment horizontal="center" vertical="center"/>
    </xf>
    <xf numFmtId="0" fontId="177" fillId="9" borderId="0" xfId="0" applyFont="1" applyFill="1" applyBorder="1" applyProtection="1"/>
    <xf numFmtId="0" fontId="177" fillId="9" borderId="60" xfId="0" applyFont="1" applyFill="1" applyBorder="1" applyProtection="1"/>
    <xf numFmtId="0" fontId="5" fillId="4" borderId="9" xfId="0" applyFont="1" applyFill="1" applyBorder="1" applyAlignment="1" applyProtection="1">
      <alignment horizontal="justify" vertical="center"/>
    </xf>
    <xf numFmtId="0" fontId="178" fillId="10" borderId="249" xfId="0" applyFont="1" applyFill="1" applyBorder="1" applyAlignment="1" applyProtection="1">
      <alignment horizontal="center" vertical="center"/>
    </xf>
    <xf numFmtId="0" fontId="33" fillId="4" borderId="8" xfId="0" applyFont="1" applyFill="1" applyBorder="1" applyAlignment="1" applyProtection="1">
      <alignment horizontal="justify" vertical="center"/>
    </xf>
    <xf numFmtId="0" fontId="33" fillId="4" borderId="9" xfId="0" applyFont="1" applyFill="1" applyBorder="1" applyAlignment="1" applyProtection="1">
      <alignment horizontal="justify" vertical="center"/>
    </xf>
    <xf numFmtId="168" fontId="179" fillId="13" borderId="128" xfId="0" applyNumberFormat="1" applyFont="1" applyFill="1" applyBorder="1" applyAlignment="1" applyProtection="1">
      <alignment horizontal="center" vertical="center"/>
    </xf>
    <xf numFmtId="168" fontId="179" fillId="13" borderId="22" xfId="0" applyNumberFormat="1" applyFont="1" applyFill="1" applyBorder="1" applyAlignment="1" applyProtection="1">
      <alignment horizontal="center" vertical="center"/>
    </xf>
    <xf numFmtId="170" fontId="38" fillId="6" borderId="173" xfId="0" applyNumberFormat="1" applyFont="1" applyFill="1" applyBorder="1" applyAlignment="1" applyProtection="1">
      <alignment horizontal="center" vertical="center" wrapText="1"/>
    </xf>
    <xf numFmtId="0" fontId="177" fillId="0" borderId="173" xfId="0" applyFont="1" applyBorder="1" applyAlignment="1">
      <alignment wrapText="1"/>
    </xf>
    <xf numFmtId="0" fontId="177" fillId="0" borderId="67" xfId="0" applyFont="1" applyBorder="1" applyAlignment="1">
      <alignment wrapText="1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38" fillId="11" borderId="8" xfId="0" applyFont="1" applyFill="1" applyBorder="1" applyAlignment="1" applyProtection="1">
      <alignment horizontal="center" vertical="center"/>
    </xf>
    <xf numFmtId="0" fontId="38" fillId="11" borderId="83" xfId="0" applyFont="1" applyFill="1" applyBorder="1" applyAlignment="1" applyProtection="1">
      <alignment horizontal="center" vertical="center"/>
    </xf>
    <xf numFmtId="167" fontId="38" fillId="11" borderId="41" xfId="0" applyNumberFormat="1" applyFont="1" applyFill="1" applyBorder="1" applyAlignment="1" applyProtection="1">
      <alignment horizontal="center" vertical="center"/>
    </xf>
    <xf numFmtId="0" fontId="38" fillId="11" borderId="150" xfId="0" applyFont="1" applyFill="1" applyBorder="1" applyAlignment="1" applyProtection="1">
      <alignment horizontal="center" vertical="center"/>
    </xf>
    <xf numFmtId="0" fontId="38" fillId="11" borderId="151" xfId="0" applyFont="1" applyFill="1" applyBorder="1" applyAlignment="1" applyProtection="1">
      <alignment horizontal="center" vertical="center"/>
    </xf>
    <xf numFmtId="169" fontId="5" fillId="10" borderId="60" xfId="0" applyNumberFormat="1" applyFont="1" applyFill="1" applyBorder="1" applyAlignment="1" applyProtection="1">
      <alignment horizontal="right" vertical="center"/>
    </xf>
    <xf numFmtId="169" fontId="5" fillId="10" borderId="22" xfId="0" applyNumberFormat="1" applyFont="1" applyFill="1" applyBorder="1" applyAlignment="1" applyProtection="1">
      <alignment horizontal="right" vertical="center"/>
    </xf>
    <xf numFmtId="0" fontId="180" fillId="4" borderId="3" xfId="0" applyFont="1" applyFill="1" applyBorder="1" applyAlignment="1" applyProtection="1">
      <alignment horizontal="center"/>
    </xf>
    <xf numFmtId="0" fontId="180" fillId="4" borderId="44" xfId="0" applyFont="1" applyFill="1" applyBorder="1" applyAlignment="1" applyProtection="1">
      <alignment horizontal="center"/>
    </xf>
    <xf numFmtId="0" fontId="180" fillId="4" borderId="6" xfId="0" applyFont="1" applyFill="1" applyBorder="1" applyAlignment="1" applyProtection="1">
      <alignment horizontal="center"/>
    </xf>
    <xf numFmtId="0" fontId="52" fillId="4" borderId="66" xfId="0" applyFont="1" applyFill="1" applyBorder="1" applyAlignment="1" applyProtection="1">
      <alignment horizontal="center" vertical="center"/>
    </xf>
    <xf numFmtId="0" fontId="52" fillId="4" borderId="19" xfId="0" applyFont="1" applyFill="1" applyBorder="1" applyAlignment="1" applyProtection="1">
      <alignment horizontal="center" vertical="center"/>
    </xf>
    <xf numFmtId="0" fontId="52" fillId="4" borderId="20" xfId="0" applyFont="1" applyFill="1" applyBorder="1" applyAlignment="1" applyProtection="1">
      <alignment horizontal="center" vertical="center"/>
    </xf>
    <xf numFmtId="0" fontId="52" fillId="4" borderId="67" xfId="0" applyFont="1" applyFill="1" applyBorder="1" applyAlignment="1" applyProtection="1">
      <alignment horizontal="center" vertical="center"/>
    </xf>
    <xf numFmtId="0" fontId="52" fillId="4" borderId="60" xfId="0" applyFont="1" applyFill="1" applyBorder="1" applyAlignment="1" applyProtection="1">
      <alignment horizontal="center" vertical="center"/>
    </xf>
    <xf numFmtId="0" fontId="52" fillId="4" borderId="22" xfId="0" applyFont="1" applyFill="1" applyBorder="1" applyAlignment="1" applyProtection="1">
      <alignment horizontal="center" vertical="center"/>
    </xf>
    <xf numFmtId="1" fontId="184" fillId="4" borderId="65" xfId="0" applyNumberFormat="1" applyFont="1" applyFill="1" applyBorder="1" applyAlignment="1" applyProtection="1">
      <alignment horizontal="center" vertical="center"/>
    </xf>
    <xf numFmtId="1" fontId="184" fillId="4" borderId="29" xfId="0" applyNumberFormat="1" applyFont="1" applyFill="1" applyBorder="1" applyAlignment="1" applyProtection="1">
      <alignment horizontal="center" vertical="center"/>
    </xf>
    <xf numFmtId="1" fontId="184" fillId="4" borderId="30" xfId="0" applyNumberFormat="1" applyFont="1" applyFill="1" applyBorder="1" applyAlignment="1" applyProtection="1">
      <alignment horizontal="center" vertical="center"/>
    </xf>
    <xf numFmtId="1" fontId="184" fillId="4" borderId="26" xfId="0" applyNumberFormat="1" applyFont="1" applyFill="1" applyBorder="1" applyAlignment="1" applyProtection="1">
      <alignment horizontal="center" vertical="center"/>
    </xf>
    <xf numFmtId="1" fontId="184" fillId="4" borderId="15" xfId="0" applyNumberFormat="1" applyFont="1" applyFill="1" applyBorder="1" applyAlignment="1" applyProtection="1">
      <alignment horizontal="center" vertical="center"/>
    </xf>
    <xf numFmtId="1" fontId="184" fillId="4" borderId="16" xfId="0" applyNumberFormat="1" applyFont="1" applyFill="1" applyBorder="1" applyAlignment="1" applyProtection="1">
      <alignment horizontal="center" vertical="center"/>
    </xf>
    <xf numFmtId="1" fontId="184" fillId="4" borderId="88" xfId="0" applyNumberFormat="1" applyFont="1" applyFill="1" applyBorder="1" applyAlignment="1" applyProtection="1">
      <alignment horizontal="center" vertical="center"/>
    </xf>
    <xf numFmtId="1" fontId="184" fillId="4" borderId="74" xfId="0" applyNumberFormat="1" applyFont="1" applyFill="1" applyBorder="1" applyAlignment="1" applyProtection="1">
      <alignment horizontal="center" vertical="center"/>
    </xf>
    <xf numFmtId="1" fontId="184" fillId="4" borderId="89" xfId="0" applyNumberFormat="1" applyFont="1" applyFill="1" applyBorder="1" applyAlignment="1" applyProtection="1">
      <alignment horizontal="center" vertical="center"/>
    </xf>
    <xf numFmtId="1" fontId="184" fillId="4" borderId="70" xfId="0" applyNumberFormat="1" applyFont="1" applyFill="1" applyBorder="1" applyAlignment="1" applyProtection="1">
      <alignment horizontal="center" vertical="center"/>
    </xf>
    <xf numFmtId="1" fontId="184" fillId="4" borderId="23" xfId="0" applyNumberFormat="1" applyFont="1" applyFill="1" applyBorder="1" applyAlignment="1" applyProtection="1">
      <alignment horizontal="center" vertical="center"/>
    </xf>
    <xf numFmtId="1" fontId="184" fillId="4" borderId="71" xfId="0" applyNumberFormat="1" applyFont="1" applyFill="1" applyBorder="1" applyAlignment="1" applyProtection="1">
      <alignment horizontal="center" vertical="center"/>
    </xf>
    <xf numFmtId="1" fontId="184" fillId="4" borderId="24" xfId="0" applyNumberFormat="1" applyFont="1" applyFill="1" applyBorder="1" applyAlignment="1" applyProtection="1">
      <alignment horizontal="center" vertical="center"/>
    </xf>
    <xf numFmtId="169" fontId="184" fillId="4" borderId="26" xfId="0" applyNumberFormat="1" applyFont="1" applyFill="1" applyBorder="1" applyAlignment="1" applyProtection="1">
      <alignment horizontal="right" vertical="center"/>
    </xf>
    <xf numFmtId="169" fontId="184" fillId="4" borderId="15" xfId="0" applyNumberFormat="1" applyFont="1" applyFill="1" applyBorder="1" applyAlignment="1" applyProtection="1">
      <alignment horizontal="right" vertical="center"/>
    </xf>
    <xf numFmtId="169" fontId="184" fillId="4" borderId="27" xfId="0" applyNumberFormat="1" applyFont="1" applyFill="1" applyBorder="1" applyAlignment="1" applyProtection="1">
      <alignment horizontal="right" vertical="center"/>
    </xf>
    <xf numFmtId="1" fontId="184" fillId="4" borderId="14" xfId="0" applyNumberFormat="1" applyFont="1" applyFill="1" applyBorder="1" applyAlignment="1" applyProtection="1">
      <alignment horizontal="center" vertical="center"/>
    </xf>
    <xf numFmtId="0" fontId="184" fillId="4" borderId="25" xfId="0" applyFont="1" applyFill="1" applyBorder="1" applyAlignment="1" applyProtection="1">
      <alignment horizontal="center" vertical="center"/>
    </xf>
    <xf numFmtId="169" fontId="184" fillId="4" borderId="25" xfId="0" applyNumberFormat="1" applyFont="1" applyFill="1" applyBorder="1" applyAlignment="1" applyProtection="1">
      <alignment horizontal="right" vertical="center"/>
    </xf>
    <xf numFmtId="0" fontId="52" fillId="4" borderId="63" xfId="0" applyFont="1" applyFill="1" applyBorder="1" applyAlignment="1" applyProtection="1">
      <alignment horizontal="center" vertical="center"/>
    </xf>
    <xf numFmtId="0" fontId="52" fillId="4" borderId="64" xfId="0" applyFont="1" applyFill="1" applyBorder="1" applyAlignment="1" applyProtection="1">
      <alignment horizontal="center" vertical="center"/>
    </xf>
    <xf numFmtId="0" fontId="52" fillId="4" borderId="17" xfId="0" applyFont="1" applyFill="1" applyBorder="1" applyAlignment="1" applyProtection="1">
      <alignment horizontal="center" vertical="center"/>
    </xf>
    <xf numFmtId="0" fontId="52" fillId="4" borderId="35" xfId="0" applyFont="1" applyFill="1" applyBorder="1" applyAlignment="1" applyProtection="1">
      <alignment horizontal="center" vertical="center"/>
    </xf>
    <xf numFmtId="0" fontId="184" fillId="4" borderId="37" xfId="0" applyFont="1" applyFill="1" applyBorder="1" applyAlignment="1" applyProtection="1">
      <alignment horizontal="center" vertical="center"/>
    </xf>
    <xf numFmtId="0" fontId="184" fillId="4" borderId="38" xfId="0" applyFont="1" applyFill="1" applyBorder="1" applyAlignment="1" applyProtection="1">
      <alignment horizontal="center" vertical="center"/>
    </xf>
    <xf numFmtId="169" fontId="184" fillId="4" borderId="38" xfId="0" applyNumberFormat="1" applyFont="1" applyFill="1" applyBorder="1" applyAlignment="1" applyProtection="1">
      <alignment horizontal="right" vertical="center"/>
    </xf>
    <xf numFmtId="1" fontId="184" fillId="4" borderId="84" xfId="0" applyNumberFormat="1" applyFont="1" applyFill="1" applyBorder="1" applyAlignment="1" applyProtection="1">
      <alignment horizontal="center" vertical="center"/>
    </xf>
    <xf numFmtId="0" fontId="184" fillId="4" borderId="74" xfId="0" applyFont="1" applyFill="1" applyBorder="1" applyAlignment="1" applyProtection="1">
      <alignment horizontal="center" vertical="center"/>
    </xf>
    <xf numFmtId="0" fontId="184" fillId="4" borderId="85" xfId="0" applyFont="1" applyFill="1" applyBorder="1" applyAlignment="1" applyProtection="1">
      <alignment horizontal="center" vertical="center"/>
    </xf>
    <xf numFmtId="0" fontId="184" fillId="4" borderId="86" xfId="0" applyFont="1" applyFill="1" applyBorder="1" applyAlignment="1" applyProtection="1">
      <alignment horizontal="center" vertical="center"/>
    </xf>
    <xf numFmtId="0" fontId="184" fillId="4" borderId="23" xfId="0" applyFont="1" applyFill="1" applyBorder="1" applyAlignment="1" applyProtection="1">
      <alignment horizontal="center" vertical="center"/>
    </xf>
    <xf numFmtId="0" fontId="184" fillId="4" borderId="87" xfId="0" applyFont="1" applyFill="1" applyBorder="1" applyAlignment="1" applyProtection="1">
      <alignment horizontal="center" vertical="center"/>
    </xf>
    <xf numFmtId="169" fontId="184" fillId="4" borderId="88" xfId="0" applyNumberFormat="1" applyFont="1" applyFill="1" applyBorder="1" applyAlignment="1" applyProtection="1">
      <alignment horizontal="right" vertical="center"/>
    </xf>
    <xf numFmtId="169" fontId="184" fillId="4" borderId="74" xfId="0" applyNumberFormat="1" applyFont="1" applyFill="1" applyBorder="1" applyAlignment="1" applyProtection="1">
      <alignment horizontal="right" vertical="center"/>
    </xf>
    <xf numFmtId="169" fontId="184" fillId="4" borderId="85" xfId="0" applyNumberFormat="1" applyFont="1" applyFill="1" applyBorder="1" applyAlignment="1" applyProtection="1">
      <alignment horizontal="right" vertical="center"/>
    </xf>
    <xf numFmtId="169" fontId="184" fillId="4" borderId="70" xfId="0" applyNumberFormat="1" applyFont="1" applyFill="1" applyBorder="1" applyAlignment="1" applyProtection="1">
      <alignment horizontal="right" vertical="center"/>
    </xf>
    <xf numFmtId="169" fontId="184" fillId="4" borderId="23" xfId="0" applyNumberFormat="1" applyFont="1" applyFill="1" applyBorder="1" applyAlignment="1" applyProtection="1">
      <alignment horizontal="right" vertical="center"/>
    </xf>
    <xf numFmtId="169" fontId="184" fillId="4" borderId="87" xfId="0" applyNumberFormat="1" applyFont="1" applyFill="1" applyBorder="1" applyAlignment="1" applyProtection="1">
      <alignment horizontal="right" vertical="center"/>
    </xf>
    <xf numFmtId="0" fontId="33" fillId="4" borderId="246" xfId="0" applyFont="1" applyFill="1" applyBorder="1" applyAlignment="1" applyProtection="1">
      <alignment horizontal="center" vertical="center"/>
    </xf>
    <xf numFmtId="0" fontId="33" fillId="4" borderId="247" xfId="0" applyFont="1" applyFill="1" applyBorder="1" applyAlignment="1" applyProtection="1">
      <alignment horizontal="center" vertical="center"/>
    </xf>
    <xf numFmtId="169" fontId="33" fillId="4" borderId="247" xfId="0" applyNumberFormat="1" applyFont="1" applyFill="1" applyBorder="1" applyAlignment="1" applyProtection="1">
      <alignment horizontal="center" vertical="center"/>
    </xf>
    <xf numFmtId="0" fontId="180" fillId="0" borderId="1" xfId="0" applyFont="1" applyBorder="1" applyAlignment="1" applyProtection="1">
      <alignment horizontal="center" vertical="center"/>
    </xf>
    <xf numFmtId="0" fontId="180" fillId="0" borderId="2" xfId="0" applyFont="1" applyBorder="1" applyAlignment="1" applyProtection="1">
      <alignment horizontal="center" vertical="center"/>
    </xf>
    <xf numFmtId="0" fontId="180" fillId="0" borderId="3" xfId="0" applyFont="1" applyBorder="1" applyAlignment="1" applyProtection="1">
      <alignment horizontal="center" vertical="center"/>
    </xf>
    <xf numFmtId="0" fontId="180" fillId="0" borderId="11" xfId="0" applyFont="1" applyBorder="1" applyAlignment="1" applyProtection="1">
      <alignment horizontal="right"/>
    </xf>
    <xf numFmtId="0" fontId="180" fillId="0" borderId="10" xfId="0" applyFont="1" applyBorder="1" applyAlignment="1" applyProtection="1">
      <alignment horizontal="right"/>
    </xf>
    <xf numFmtId="0" fontId="180" fillId="0" borderId="13" xfId="0" applyFont="1" applyBorder="1" applyAlignment="1" applyProtection="1">
      <alignment horizontal="right"/>
    </xf>
    <xf numFmtId="0" fontId="180" fillId="0" borderId="12" xfId="0" applyFont="1" applyBorder="1" applyAlignment="1" applyProtection="1">
      <alignment horizontal="right"/>
    </xf>
    <xf numFmtId="0" fontId="180" fillId="0" borderId="44" xfId="0" applyFont="1" applyBorder="1" applyAlignment="1" applyProtection="1">
      <alignment horizontal="right"/>
    </xf>
    <xf numFmtId="0" fontId="5" fillId="6" borderId="29" xfId="0" applyFont="1" applyFill="1" applyBorder="1" applyAlignment="1" applyProtection="1">
      <alignment horizontal="center" vertical="center"/>
    </xf>
    <xf numFmtId="176" fontId="33" fillId="6" borderId="29" xfId="0" applyNumberFormat="1" applyFont="1" applyFill="1" applyBorder="1" applyAlignment="1" applyProtection="1">
      <alignment horizontal="right" vertical="center"/>
    </xf>
    <xf numFmtId="176" fontId="33" fillId="6" borderId="30" xfId="0" applyNumberFormat="1" applyFont="1" applyFill="1" applyBorder="1" applyAlignment="1" applyProtection="1">
      <alignment horizontal="right" vertical="center"/>
    </xf>
    <xf numFmtId="169" fontId="38" fillId="11" borderId="18" xfId="0" applyNumberFormat="1" applyFont="1" applyFill="1" applyBorder="1" applyAlignment="1" applyProtection="1">
      <alignment horizontal="right" vertical="center"/>
    </xf>
    <xf numFmtId="169" fontId="38" fillId="11" borderId="19" xfId="0" applyNumberFormat="1" applyFont="1" applyFill="1" applyBorder="1" applyAlignment="1" applyProtection="1">
      <alignment horizontal="right" vertical="center"/>
    </xf>
    <xf numFmtId="169" fontId="38" fillId="11" borderId="20" xfId="0" applyNumberFormat="1" applyFont="1" applyFill="1" applyBorder="1" applyAlignment="1" applyProtection="1">
      <alignment horizontal="right" vertical="center"/>
    </xf>
    <xf numFmtId="0" fontId="5" fillId="14" borderId="7" xfId="0" applyNumberFormat="1" applyFont="1" applyFill="1" applyBorder="1" applyAlignment="1" applyProtection="1">
      <alignment horizontal="center" vertical="center"/>
    </xf>
    <xf numFmtId="0" fontId="5" fillId="14" borderId="8" xfId="0" applyNumberFormat="1" applyFont="1" applyFill="1" applyBorder="1" applyAlignment="1" applyProtection="1">
      <alignment horizontal="center" vertical="center"/>
    </xf>
    <xf numFmtId="0" fontId="5" fillId="14" borderId="60" xfId="0" applyNumberFormat="1" applyFont="1" applyFill="1" applyBorder="1" applyAlignment="1" applyProtection="1">
      <alignment horizontal="center" vertical="center"/>
    </xf>
    <xf numFmtId="0" fontId="5" fillId="14" borderId="22" xfId="0" applyNumberFormat="1" applyFont="1" applyFill="1" applyBorder="1" applyAlignment="1" applyProtection="1">
      <alignment horizontal="center" vertical="center"/>
    </xf>
    <xf numFmtId="14" fontId="167" fillId="32" borderId="166" xfId="0" applyNumberFormat="1" applyFont="1" applyFill="1" applyBorder="1" applyAlignment="1" applyProtection="1">
      <alignment horizontal="center" vertical="center"/>
    </xf>
    <xf numFmtId="172" fontId="179" fillId="6" borderId="166" xfId="0" applyNumberFormat="1" applyFont="1" applyFill="1" applyBorder="1" applyAlignment="1" applyProtection="1">
      <alignment horizontal="center" vertical="center"/>
    </xf>
    <xf numFmtId="172" fontId="179" fillId="6" borderId="167" xfId="0" applyNumberFormat="1" applyFont="1" applyFill="1" applyBorder="1" applyAlignment="1" applyProtection="1">
      <alignment horizontal="center" vertical="center"/>
    </xf>
    <xf numFmtId="175" fontId="167" fillId="6" borderId="68" xfId="0" applyNumberFormat="1" applyFont="1" applyFill="1" applyBorder="1" applyAlignment="1" applyProtection="1">
      <alignment horizontal="center" vertical="center"/>
    </xf>
    <xf numFmtId="172" fontId="179" fillId="6" borderId="68" xfId="0" applyNumberFormat="1" applyFont="1" applyFill="1" applyBorder="1" applyAlignment="1" applyProtection="1">
      <alignment horizontal="center" vertical="center"/>
    </xf>
    <xf numFmtId="172" fontId="179" fillId="6" borderId="69" xfId="0" applyNumberFormat="1" applyFont="1" applyFill="1" applyBorder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182" fillId="3" borderId="8" xfId="0" applyNumberFormat="1" applyFont="1" applyFill="1" applyBorder="1" applyAlignment="1" applyProtection="1">
      <alignment horizontal="center" vertical="center"/>
    </xf>
    <xf numFmtId="0" fontId="33" fillId="6" borderId="29" xfId="0" applyFont="1" applyFill="1" applyBorder="1" applyAlignment="1" applyProtection="1">
      <alignment horizontal="justify" vertical="center"/>
    </xf>
    <xf numFmtId="174" fontId="33" fillId="4" borderId="398" xfId="0" applyNumberFormat="1" applyFont="1" applyFill="1" applyBorder="1" applyAlignment="1" applyProtection="1">
      <alignment horizontal="right" vertical="center" indent="4"/>
    </xf>
    <xf numFmtId="174" fontId="33" fillId="4" borderId="395" xfId="0" applyNumberFormat="1" applyFont="1" applyFill="1" applyBorder="1" applyAlignment="1" applyProtection="1">
      <alignment horizontal="right" vertical="center" indent="4"/>
    </xf>
    <xf numFmtId="174" fontId="33" fillId="4" borderId="396" xfId="0" applyNumberFormat="1" applyFont="1" applyFill="1" applyBorder="1" applyAlignment="1" applyProtection="1">
      <alignment horizontal="right" vertical="center" indent="4"/>
    </xf>
    <xf numFmtId="0" fontId="5" fillId="6" borderId="7" xfId="0" applyFont="1" applyFill="1" applyBorder="1" applyAlignment="1" applyProtection="1">
      <alignment horizontal="justify" vertical="center"/>
    </xf>
    <xf numFmtId="0" fontId="5" fillId="6" borderId="8" xfId="0" applyFont="1" applyFill="1" applyBorder="1" applyAlignment="1" applyProtection="1">
      <alignment horizontal="justify" vertical="center"/>
    </xf>
    <xf numFmtId="0" fontId="5" fillId="6" borderId="33" xfId="0" applyFont="1" applyFill="1" applyBorder="1" applyAlignment="1" applyProtection="1">
      <alignment horizontal="justify" vertical="center"/>
    </xf>
    <xf numFmtId="178" fontId="5" fillId="32" borderId="8" xfId="0" applyNumberFormat="1" applyFont="1" applyFill="1" applyBorder="1" applyAlignment="1" applyProtection="1">
      <alignment horizontal="center" vertical="center"/>
    </xf>
    <xf numFmtId="0" fontId="47" fillId="4" borderId="31" xfId="0" applyFont="1" applyFill="1" applyBorder="1" applyAlignment="1" applyProtection="1">
      <alignment horizontal="right" vertical="center"/>
    </xf>
    <xf numFmtId="0" fontId="178" fillId="4" borderId="72" xfId="0" applyFont="1" applyFill="1" applyBorder="1" applyAlignment="1" applyProtection="1">
      <alignment horizontal="justify" vertical="center"/>
    </xf>
    <xf numFmtId="0" fontId="178" fillId="4" borderId="31" xfId="0" applyFont="1" applyFill="1" applyBorder="1" applyAlignment="1" applyProtection="1">
      <alignment horizontal="justify" vertical="center"/>
    </xf>
    <xf numFmtId="0" fontId="47" fillId="4" borderId="31" xfId="0" applyFont="1" applyFill="1" applyBorder="1" applyAlignment="1" applyProtection="1">
      <alignment vertical="center"/>
    </xf>
    <xf numFmtId="0" fontId="47" fillId="4" borderId="32" xfId="0" applyFont="1" applyFill="1" applyBorder="1" applyAlignment="1" applyProtection="1">
      <alignment vertical="center"/>
    </xf>
    <xf numFmtId="173" fontId="5" fillId="12" borderId="8" xfId="0" applyNumberFormat="1" applyFont="1" applyFill="1" applyBorder="1" applyAlignment="1" applyProtection="1">
      <alignment horizontal="center" vertical="center"/>
    </xf>
    <xf numFmtId="173" fontId="5" fillId="12" borderId="9" xfId="0" applyNumberFormat="1" applyFont="1" applyFill="1" applyBorder="1" applyAlignment="1" applyProtection="1">
      <alignment horizontal="center" vertical="center"/>
    </xf>
    <xf numFmtId="173" fontId="61" fillId="4" borderId="0" xfId="0" applyNumberFormat="1" applyFont="1" applyFill="1" applyBorder="1" applyAlignment="1" applyProtection="1">
      <alignment horizontal="justify" vertical="center"/>
    </xf>
    <xf numFmtId="0" fontId="189" fillId="4" borderId="0" xfId="0" applyFont="1" applyFill="1" applyBorder="1" applyAlignment="1" applyProtection="1">
      <alignment horizontal="distributed" vertical="center"/>
    </xf>
    <xf numFmtId="0" fontId="61" fillId="4" borderId="0" xfId="0" applyNumberFormat="1" applyFont="1" applyFill="1" applyBorder="1" applyAlignment="1" applyProtection="1">
      <alignment horizontal="distributed" vertical="center"/>
    </xf>
    <xf numFmtId="190" fontId="61" fillId="4" borderId="0" xfId="0" applyNumberFormat="1" applyFont="1" applyFill="1" applyBorder="1" applyAlignment="1" applyProtection="1">
      <alignment horizontal="justify" vertical="center"/>
    </xf>
    <xf numFmtId="190" fontId="190" fillId="4" borderId="0" xfId="0" applyNumberFormat="1" applyFont="1" applyFill="1" applyBorder="1" applyAlignment="1" applyProtection="1">
      <alignment horizontal="justify" vertical="center"/>
    </xf>
    <xf numFmtId="0" fontId="47" fillId="4" borderId="0" xfId="0" applyFont="1" applyFill="1" applyBorder="1" applyAlignment="1" applyProtection="1">
      <alignment horizontal="justify" vertical="center"/>
    </xf>
    <xf numFmtId="164" fontId="62" fillId="4" borderId="0" xfId="0" applyNumberFormat="1" applyFont="1" applyFill="1" applyBorder="1" applyAlignment="1" applyProtection="1">
      <alignment horizontal="justify" vertical="center"/>
    </xf>
    <xf numFmtId="0" fontId="61" fillId="4" borderId="0" xfId="0" applyFont="1" applyFill="1" applyBorder="1" applyAlignment="1" applyProtection="1">
      <alignment horizontal="right" vertical="center"/>
    </xf>
    <xf numFmtId="0" fontId="62" fillId="4" borderId="0" xfId="0" applyFont="1" applyFill="1" applyBorder="1" applyAlignment="1" applyProtection="1">
      <alignment horizontal="center" vertical="center"/>
    </xf>
    <xf numFmtId="0" fontId="103" fillId="4" borderId="0" xfId="0" applyFont="1" applyFill="1" applyBorder="1" applyAlignment="1" applyProtection="1">
      <alignment horizontal="justify" vertical="center"/>
    </xf>
    <xf numFmtId="0" fontId="103" fillId="4" borderId="0" xfId="0" applyFont="1" applyFill="1" applyBorder="1" applyAlignment="1" applyProtection="1">
      <alignment horizontal="center" vertical="center"/>
    </xf>
    <xf numFmtId="176" fontId="61" fillId="4" borderId="0" xfId="0" applyNumberFormat="1" applyFont="1" applyFill="1" applyBorder="1" applyAlignment="1" applyProtection="1">
      <alignment horizontal="right" vertical="center"/>
    </xf>
    <xf numFmtId="0" fontId="61" fillId="4" borderId="0" xfId="0" applyFont="1" applyFill="1" applyBorder="1" applyAlignment="1" applyProtection="1">
      <alignment horizontal="left" vertical="center"/>
    </xf>
    <xf numFmtId="0" fontId="5" fillId="4" borderId="411" xfId="0" applyNumberFormat="1" applyFont="1" applyFill="1" applyBorder="1" applyAlignment="1" applyProtection="1">
      <alignment horizontal="justify" vertical="center"/>
    </xf>
    <xf numFmtId="0" fontId="5" fillId="4" borderId="412" xfId="0" applyNumberFormat="1" applyFont="1" applyFill="1" applyBorder="1" applyAlignment="1" applyProtection="1">
      <alignment horizontal="justify" vertical="center"/>
    </xf>
    <xf numFmtId="168" fontId="33" fillId="5" borderId="412" xfId="0" applyNumberFormat="1" applyFont="1" applyFill="1" applyBorder="1" applyAlignment="1" applyProtection="1">
      <alignment horizontal="center" vertical="center"/>
    </xf>
    <xf numFmtId="44" fontId="5" fillId="4" borderId="434" xfId="0" applyNumberFormat="1" applyFont="1" applyFill="1" applyBorder="1" applyAlignment="1" applyProtection="1">
      <alignment horizontal="right" vertical="center"/>
    </xf>
    <xf numFmtId="44" fontId="5" fillId="4" borderId="435" xfId="0" applyNumberFormat="1" applyFont="1" applyFill="1" applyBorder="1" applyAlignment="1" applyProtection="1">
      <alignment horizontal="right" vertical="center"/>
    </xf>
    <xf numFmtId="177" fontId="5" fillId="5" borderId="434" xfId="0" applyNumberFormat="1" applyFont="1" applyFill="1" applyBorder="1" applyAlignment="1" applyProtection="1">
      <alignment horizontal="center" vertical="center"/>
    </xf>
    <xf numFmtId="177" fontId="5" fillId="5" borderId="435" xfId="0" applyNumberFormat="1" applyFont="1" applyFill="1" applyBorder="1" applyAlignment="1" applyProtection="1">
      <alignment horizontal="center" vertical="center"/>
    </xf>
    <xf numFmtId="167" fontId="5" fillId="5" borderId="434" xfId="0" applyNumberFormat="1" applyFont="1" applyFill="1" applyBorder="1" applyAlignment="1" applyProtection="1">
      <alignment horizontal="center" vertical="center"/>
    </xf>
    <xf numFmtId="167" fontId="5" fillId="5" borderId="435" xfId="0" applyNumberFormat="1" applyFont="1" applyFill="1" applyBorder="1" applyAlignment="1" applyProtection="1">
      <alignment horizontal="center" vertical="center"/>
    </xf>
    <xf numFmtId="44" fontId="5" fillId="4" borderId="430" xfId="0" applyNumberFormat="1" applyFont="1" applyFill="1" applyBorder="1" applyAlignment="1" applyProtection="1">
      <alignment horizontal="right" vertical="center"/>
    </xf>
    <xf numFmtId="1" fontId="5" fillId="4" borderId="0" xfId="0" applyNumberFormat="1" applyFont="1" applyFill="1" applyBorder="1" applyAlignment="1" applyProtection="1">
      <alignment horizontal="center" vertical="center"/>
    </xf>
    <xf numFmtId="177" fontId="5" fillId="4" borderId="0" xfId="0" applyNumberFormat="1" applyFont="1" applyFill="1" applyBorder="1" applyAlignment="1" applyProtection="1">
      <alignment horizontal="center" vertical="center"/>
    </xf>
    <xf numFmtId="180" fontId="5" fillId="4" borderId="60" xfId="0" applyNumberFormat="1" applyFont="1" applyFill="1" applyBorder="1" applyAlignment="1" applyProtection="1">
      <alignment horizontal="center" vertical="center"/>
    </xf>
    <xf numFmtId="169" fontId="186" fillId="0" borderId="422" xfId="0" applyNumberFormat="1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0" borderId="43" xfId="0" applyFont="1" applyBorder="1" applyAlignment="1" applyProtection="1">
      <alignment horizontal="right"/>
    </xf>
    <xf numFmtId="0" fontId="3" fillId="12" borderId="8" xfId="0" applyFont="1" applyFill="1" applyBorder="1" applyAlignment="1" applyProtection="1">
      <alignment horizontal="center" vertical="center"/>
    </xf>
    <xf numFmtId="0" fontId="22" fillId="19" borderId="8" xfId="0" applyNumberFormat="1" applyFont="1" applyFill="1" applyBorder="1" applyAlignment="1" applyProtection="1">
      <alignment horizontal="center" vertical="center"/>
      <protection locked="0"/>
    </xf>
    <xf numFmtId="0" fontId="22" fillId="19" borderId="9" xfId="0" applyNumberFormat="1" applyFont="1" applyFill="1" applyBorder="1" applyAlignment="1" applyProtection="1">
      <alignment horizontal="center" vertical="center"/>
      <protection locked="0"/>
    </xf>
    <xf numFmtId="0" fontId="2" fillId="9" borderId="29" xfId="0" applyFont="1" applyFill="1" applyBorder="1" applyAlignment="1" applyProtection="1">
      <alignment horizontal="justify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center" vertical="center"/>
    </xf>
    <xf numFmtId="0" fontId="22" fillId="0" borderId="8" xfId="0" applyNumberFormat="1" applyFont="1" applyFill="1" applyBorder="1" applyAlignment="1" applyProtection="1">
      <alignment horizontal="center" vertical="center"/>
    </xf>
    <xf numFmtId="0" fontId="22" fillId="0" borderId="9" xfId="0" applyNumberFormat="1" applyFont="1" applyFill="1" applyBorder="1" applyAlignment="1" applyProtection="1">
      <alignment horizontal="center" vertical="center"/>
    </xf>
    <xf numFmtId="0" fontId="35" fillId="12" borderId="230" xfId="0" applyFont="1" applyFill="1" applyBorder="1" applyAlignment="1" applyProtection="1">
      <alignment horizontal="center" vertical="center"/>
    </xf>
    <xf numFmtId="0" fontId="35" fillId="12" borderId="231" xfId="0" applyFont="1" applyFill="1" applyBorder="1" applyAlignment="1" applyProtection="1">
      <alignment horizontal="center" vertical="center"/>
    </xf>
    <xf numFmtId="0" fontId="35" fillId="12" borderId="232" xfId="0" applyFont="1" applyFill="1" applyBorder="1" applyAlignment="1" applyProtection="1">
      <alignment horizontal="center" vertical="center"/>
    </xf>
    <xf numFmtId="169" fontId="74" fillId="15" borderId="7" xfId="0" applyNumberFormat="1" applyFont="1" applyFill="1" applyBorder="1" applyAlignment="1" applyProtection="1">
      <alignment horizontal="center" vertical="center"/>
    </xf>
    <xf numFmtId="169" fontId="74" fillId="15" borderId="8" xfId="0" applyNumberFormat="1" applyFont="1" applyFill="1" applyBorder="1" applyAlignment="1" applyProtection="1">
      <alignment horizontal="center" vertical="center"/>
    </xf>
    <xf numFmtId="177" fontId="75" fillId="10" borderId="210" xfId="0" applyNumberFormat="1" applyFont="1" applyFill="1" applyBorder="1" applyAlignment="1" applyProtection="1">
      <alignment horizontal="center" vertical="center"/>
      <protection locked="0"/>
    </xf>
    <xf numFmtId="177" fontId="75" fillId="10" borderId="216" xfId="0" applyNumberFormat="1" applyFont="1" applyFill="1" applyBorder="1" applyAlignment="1" applyProtection="1">
      <alignment horizontal="center" vertical="center"/>
      <protection locked="0"/>
    </xf>
    <xf numFmtId="177" fontId="101" fillId="12" borderId="7" xfId="0" applyNumberFormat="1" applyFont="1" applyFill="1" applyBorder="1" applyAlignment="1" applyProtection="1">
      <alignment horizontal="center" vertical="center"/>
    </xf>
    <xf numFmtId="177" fontId="101" fillId="12" borderId="8" xfId="0" applyNumberFormat="1" applyFont="1" applyFill="1" applyBorder="1" applyAlignment="1" applyProtection="1">
      <alignment horizontal="center" vertical="center"/>
    </xf>
    <xf numFmtId="177" fontId="101" fillId="12" borderId="217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 vertical="center"/>
    </xf>
    <xf numFmtId="177" fontId="75" fillId="26" borderId="8" xfId="0" applyNumberFormat="1" applyFont="1" applyFill="1" applyBorder="1" applyAlignment="1" applyProtection="1">
      <alignment horizontal="center" vertical="center"/>
    </xf>
    <xf numFmtId="177" fontId="75" fillId="26" borderId="216" xfId="0" applyNumberFormat="1" applyFont="1" applyFill="1" applyBorder="1" applyAlignment="1" applyProtection="1">
      <alignment horizontal="center"/>
    </xf>
    <xf numFmtId="177" fontId="75" fillId="26" borderId="8" xfId="0" applyNumberFormat="1" applyFont="1" applyFill="1" applyBorder="1" applyAlignment="1" applyProtection="1">
      <alignment horizontal="center"/>
    </xf>
    <xf numFmtId="176" fontId="33" fillId="30" borderId="29" xfId="0" applyNumberFormat="1" applyFont="1" applyFill="1" applyBorder="1" applyAlignment="1" applyProtection="1">
      <alignment horizontal="right" vertical="center"/>
    </xf>
    <xf numFmtId="176" fontId="33" fillId="30" borderId="30" xfId="0" applyNumberFormat="1" applyFont="1" applyFill="1" applyBorder="1" applyAlignment="1" applyProtection="1">
      <alignment horizontal="right" vertical="center"/>
    </xf>
    <xf numFmtId="0" fontId="3" fillId="6" borderId="464" xfId="0" applyFont="1" applyFill="1" applyBorder="1" applyAlignment="1" applyProtection="1">
      <alignment horizontal="justify" vertical="center"/>
    </xf>
    <xf numFmtId="0" fontId="3" fillId="6" borderId="465" xfId="0" applyFont="1" applyFill="1" applyBorder="1" applyAlignment="1" applyProtection="1">
      <alignment horizontal="justify" vertical="center"/>
    </xf>
    <xf numFmtId="0" fontId="3" fillId="6" borderId="21" xfId="0" applyFont="1" applyFill="1" applyBorder="1" applyAlignment="1" applyProtection="1">
      <alignment horizontal="justify" vertical="center"/>
    </xf>
    <xf numFmtId="0" fontId="3" fillId="6" borderId="60" xfId="0" applyFont="1" applyFill="1" applyBorder="1" applyAlignment="1" applyProtection="1">
      <alignment horizontal="justify" vertical="center"/>
    </xf>
    <xf numFmtId="168" fontId="2" fillId="30" borderId="466" xfId="0" applyNumberFormat="1" applyFont="1" applyFill="1" applyBorder="1" applyAlignment="1" applyProtection="1">
      <alignment horizontal="center" vertical="center"/>
    </xf>
    <xf numFmtId="168" fontId="2" fillId="30" borderId="22" xfId="0" applyNumberFormat="1" applyFont="1" applyFill="1" applyBorder="1" applyAlignment="1" applyProtection="1">
      <alignment horizontal="center" vertical="center"/>
    </xf>
    <xf numFmtId="0" fontId="22" fillId="9" borderId="464" xfId="0" applyFont="1" applyFill="1" applyBorder="1" applyAlignment="1" applyProtection="1">
      <alignment horizontal="center" vertical="center"/>
    </xf>
    <xf numFmtId="0" fontId="22" fillId="9" borderId="465" xfId="0" applyFont="1" applyFill="1" applyBorder="1" applyAlignment="1" applyProtection="1">
      <alignment horizontal="center" vertical="center"/>
    </xf>
    <xf numFmtId="178" fontId="22" fillId="9" borderId="465" xfId="0" applyNumberFormat="1" applyFont="1" applyFill="1" applyBorder="1" applyAlignment="1" applyProtection="1">
      <alignment horizontal="center" vertical="center"/>
    </xf>
    <xf numFmtId="0" fontId="73" fillId="4" borderId="207" xfId="0" applyFont="1" applyFill="1" applyBorder="1" applyAlignment="1" applyProtection="1">
      <alignment horizontal="center" vertical="center"/>
    </xf>
    <xf numFmtId="0" fontId="73" fillId="4" borderId="208" xfId="0" applyFont="1" applyFill="1" applyBorder="1" applyAlignment="1" applyProtection="1">
      <alignment horizontal="center" vertical="center"/>
    </xf>
    <xf numFmtId="0" fontId="73" fillId="4" borderId="209" xfId="0" applyFont="1" applyFill="1" applyBorder="1" applyAlignment="1" applyProtection="1">
      <alignment horizontal="center" vertical="center"/>
    </xf>
    <xf numFmtId="0" fontId="22" fillId="12" borderId="21" xfId="0" applyNumberFormat="1" applyFont="1" applyFill="1" applyBorder="1" applyAlignment="1" applyProtection="1">
      <alignment horizontal="center" vertical="center" wrapText="1"/>
    </xf>
    <xf numFmtId="0" fontId="22" fillId="12" borderId="60" xfId="0" applyNumberFormat="1" applyFont="1" applyFill="1" applyBorder="1" applyAlignment="1" applyProtection="1">
      <alignment horizontal="center" vertical="center" wrapText="1"/>
    </xf>
    <xf numFmtId="0" fontId="22" fillId="12" borderId="162" xfId="0" applyNumberFormat="1" applyFont="1" applyFill="1" applyBorder="1" applyAlignment="1" applyProtection="1">
      <alignment horizontal="center" vertical="center" wrapText="1"/>
    </xf>
    <xf numFmtId="169" fontId="101" fillId="12" borderId="18" xfId="0" applyNumberFormat="1" applyFont="1" applyFill="1" applyBorder="1" applyAlignment="1" applyProtection="1">
      <alignment horizontal="center" vertical="center"/>
    </xf>
    <xf numFmtId="169" fontId="101" fillId="12" borderId="19" xfId="0" applyNumberFormat="1" applyFont="1" applyFill="1" applyBorder="1" applyAlignment="1" applyProtection="1">
      <alignment horizontal="center" vertical="center"/>
    </xf>
    <xf numFmtId="169" fontId="101" fillId="12" borderId="21" xfId="0" applyNumberFormat="1" applyFont="1" applyFill="1" applyBorder="1" applyAlignment="1" applyProtection="1">
      <alignment horizontal="center" vertical="center"/>
    </xf>
    <xf numFmtId="169" fontId="101" fillId="12" borderId="60" xfId="0" applyNumberFormat="1" applyFont="1" applyFill="1" applyBorder="1" applyAlignment="1" applyProtection="1">
      <alignment horizontal="center" vertical="center"/>
    </xf>
    <xf numFmtId="180" fontId="74" fillId="10" borderId="19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60" xfId="0" applyNumberFormat="1" applyFont="1" applyFill="1" applyBorder="1" applyAlignment="1" applyProtection="1">
      <alignment horizontal="center" vertical="center" wrapText="1"/>
      <protection locked="0"/>
    </xf>
    <xf numFmtId="180" fontId="74" fillId="10" borderId="2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right"/>
    </xf>
    <xf numFmtId="0" fontId="1" fillId="0" borderId="5" xfId="0" applyFont="1" applyBorder="1" applyAlignment="1" applyProtection="1">
      <alignment horizontal="right"/>
    </xf>
    <xf numFmtId="0" fontId="1" fillId="0" borderId="6" xfId="0" applyFont="1" applyBorder="1" applyAlignment="1" applyProtection="1">
      <alignment horizontal="right"/>
    </xf>
    <xf numFmtId="0" fontId="12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center"/>
    </xf>
    <xf numFmtId="0" fontId="12" fillId="4" borderId="20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justify" vertical="center"/>
    </xf>
    <xf numFmtId="169" fontId="34" fillId="27" borderId="61" xfId="0" applyNumberFormat="1" applyFont="1" applyFill="1" applyBorder="1" applyAlignment="1" applyProtection="1">
      <alignment horizontal="center" vertical="center"/>
    </xf>
    <xf numFmtId="169" fontId="34" fillId="27" borderId="0" xfId="0" applyNumberFormat="1" applyFont="1" applyFill="1" applyBorder="1" applyAlignment="1" applyProtection="1">
      <alignment horizontal="center" vertical="center"/>
    </xf>
    <xf numFmtId="169" fontId="34" fillId="27" borderId="128" xfId="0" applyNumberFormat="1" applyFont="1" applyFill="1" applyBorder="1" applyAlignment="1" applyProtection="1">
      <alignment horizontal="center" vertical="center"/>
    </xf>
    <xf numFmtId="169" fontId="102" fillId="15" borderId="18" xfId="0" applyNumberFormat="1" applyFont="1" applyFill="1" applyBorder="1" applyAlignment="1" applyProtection="1">
      <alignment horizontal="center" vertical="center"/>
    </xf>
    <xf numFmtId="169" fontId="102" fillId="15" borderId="19" xfId="0" applyNumberFormat="1" applyFont="1" applyFill="1" applyBorder="1" applyAlignment="1" applyProtection="1">
      <alignment horizontal="center" vertical="center"/>
    </xf>
    <xf numFmtId="0" fontId="22" fillId="12" borderId="19" xfId="0" applyNumberFormat="1" applyFont="1" applyFill="1" applyBorder="1" applyAlignment="1" applyProtection="1">
      <alignment horizontal="center" vertical="center" wrapText="1"/>
    </xf>
    <xf numFmtId="0" fontId="22" fillId="12" borderId="280" xfId="0" applyNumberFormat="1" applyFont="1" applyFill="1" applyBorder="1" applyAlignment="1" applyProtection="1">
      <alignment horizontal="center" vertical="center" wrapText="1"/>
    </xf>
    <xf numFmtId="0" fontId="22" fillId="12" borderId="0" xfId="0" applyNumberFormat="1" applyFont="1" applyFill="1" applyBorder="1" applyAlignment="1" applyProtection="1">
      <alignment horizontal="center" vertical="center" wrapText="1"/>
    </xf>
    <xf numFmtId="0" fontId="22" fillId="12" borderId="174" xfId="0" applyNumberFormat="1" applyFont="1" applyFill="1" applyBorder="1" applyAlignment="1" applyProtection="1">
      <alignment horizontal="center" vertical="center" wrapText="1"/>
    </xf>
    <xf numFmtId="0" fontId="101" fillId="22" borderId="66" xfId="0" applyNumberFormat="1" applyFont="1" applyFill="1" applyBorder="1" applyAlignment="1" applyProtection="1">
      <alignment horizontal="center" vertical="center" wrapText="1"/>
    </xf>
    <xf numFmtId="0" fontId="101" fillId="22" borderId="19" xfId="0" applyNumberFormat="1" applyFont="1" applyFill="1" applyBorder="1" applyAlignment="1" applyProtection="1">
      <alignment horizontal="center" vertical="center" wrapText="1"/>
    </xf>
    <xf numFmtId="0" fontId="101" fillId="22" borderId="20" xfId="0" applyNumberFormat="1" applyFont="1" applyFill="1" applyBorder="1" applyAlignment="1" applyProtection="1">
      <alignment horizontal="center" vertical="center" wrapText="1"/>
    </xf>
    <xf numFmtId="0" fontId="101" fillId="22" borderId="173" xfId="0" applyNumberFormat="1" applyFont="1" applyFill="1" applyBorder="1" applyAlignment="1" applyProtection="1">
      <alignment horizontal="center" vertical="center" wrapText="1"/>
    </xf>
    <xf numFmtId="0" fontId="101" fillId="22" borderId="0" xfId="0" applyNumberFormat="1" applyFont="1" applyFill="1" applyBorder="1" applyAlignment="1" applyProtection="1">
      <alignment horizontal="center" vertical="center" wrapText="1"/>
    </xf>
    <xf numFmtId="0" fontId="101" fillId="22" borderId="128" xfId="0" applyNumberFormat="1" applyFont="1" applyFill="1" applyBorder="1" applyAlignment="1" applyProtection="1">
      <alignment horizontal="center" vertical="center" wrapText="1"/>
    </xf>
    <xf numFmtId="0" fontId="101" fillId="22" borderId="67" xfId="0" applyNumberFormat="1" applyFont="1" applyFill="1" applyBorder="1" applyAlignment="1" applyProtection="1">
      <alignment horizontal="center" vertical="center" wrapText="1"/>
    </xf>
    <xf numFmtId="0" fontId="101" fillId="22" borderId="60" xfId="0" applyNumberFormat="1" applyFont="1" applyFill="1" applyBorder="1" applyAlignment="1" applyProtection="1">
      <alignment horizontal="center" vertical="center" wrapText="1"/>
    </xf>
    <xf numFmtId="0" fontId="101" fillId="22" borderId="22" xfId="0" applyNumberFormat="1" applyFont="1" applyFill="1" applyBorder="1" applyAlignment="1" applyProtection="1">
      <alignment horizontal="center" vertical="center" wrapText="1"/>
    </xf>
    <xf numFmtId="185" fontId="34" fillId="30" borderId="61" xfId="0" applyNumberFormat="1" applyFont="1" applyFill="1" applyBorder="1" applyAlignment="1" applyProtection="1">
      <alignment horizontal="center" vertical="center"/>
    </xf>
    <xf numFmtId="185" fontId="34" fillId="30" borderId="0" xfId="0" applyNumberFormat="1" applyFont="1" applyFill="1" applyBorder="1" applyAlignment="1" applyProtection="1">
      <alignment horizontal="center" vertical="center"/>
    </xf>
    <xf numFmtId="185" fontId="34" fillId="30" borderId="128" xfId="0" applyNumberFormat="1" applyFont="1" applyFill="1" applyBorder="1" applyAlignment="1" applyProtection="1">
      <alignment horizontal="center" vertical="center"/>
    </xf>
    <xf numFmtId="169" fontId="77" fillId="15" borderId="61" xfId="0" applyNumberFormat="1" applyFont="1" applyFill="1" applyBorder="1" applyAlignment="1" applyProtection="1">
      <alignment horizontal="center" vertical="center"/>
    </xf>
    <xf numFmtId="169" fontId="77" fillId="15" borderId="0" xfId="0" applyNumberFormat="1" applyFont="1" applyFill="1" applyBorder="1" applyAlignment="1" applyProtection="1">
      <alignment horizontal="center" vertical="center"/>
    </xf>
    <xf numFmtId="169" fontId="77" fillId="15" borderId="21" xfId="0" applyNumberFormat="1" applyFont="1" applyFill="1" applyBorder="1" applyAlignment="1" applyProtection="1">
      <alignment horizontal="center" vertical="center"/>
    </xf>
    <xf numFmtId="169" fontId="77" fillId="15" borderId="60" xfId="0" applyNumberFormat="1" applyFont="1" applyFill="1" applyBorder="1" applyAlignment="1" applyProtection="1">
      <alignment horizontal="center" vertical="center"/>
    </xf>
    <xf numFmtId="169" fontId="34" fillId="30" borderId="21" xfId="0" applyNumberFormat="1" applyFont="1" applyFill="1" applyBorder="1" applyAlignment="1" applyProtection="1">
      <alignment horizontal="center" vertical="center"/>
    </xf>
    <xf numFmtId="169" fontId="34" fillId="30" borderId="60" xfId="0" applyNumberFormat="1" applyFont="1" applyFill="1" applyBorder="1" applyAlignment="1" applyProtection="1">
      <alignment horizontal="center" vertical="center"/>
    </xf>
    <xf numFmtId="169" fontId="34" fillId="30" borderId="22" xfId="0" applyNumberFormat="1" applyFont="1" applyFill="1" applyBorder="1" applyAlignment="1" applyProtection="1">
      <alignment horizontal="center" vertical="center"/>
    </xf>
    <xf numFmtId="175" fontId="74" fillId="10" borderId="275" xfId="0" applyNumberFormat="1" applyFont="1" applyFill="1" applyBorder="1" applyAlignment="1" applyProtection="1">
      <alignment horizontal="center" vertical="center"/>
      <protection locked="0"/>
    </xf>
    <xf numFmtId="169" fontId="74" fillId="12" borderId="275" xfId="0" applyNumberFormat="1" applyFont="1" applyFill="1" applyBorder="1" applyAlignment="1" applyProtection="1">
      <alignment horizontal="center" vertical="center"/>
    </xf>
    <xf numFmtId="169" fontId="74" fillId="12" borderId="276" xfId="0" applyNumberFormat="1" applyFont="1" applyFill="1" applyBorder="1" applyAlignment="1" applyProtection="1">
      <alignment horizontal="center" vertical="center"/>
    </xf>
    <xf numFmtId="169" fontId="74" fillId="12" borderId="278" xfId="0" applyNumberFormat="1" applyFont="1" applyFill="1" applyBorder="1" applyAlignment="1" applyProtection="1">
      <alignment horizontal="center" vertical="center"/>
    </xf>
    <xf numFmtId="169" fontId="74" fillId="12" borderId="279" xfId="0" applyNumberFormat="1" applyFont="1" applyFill="1" applyBorder="1" applyAlignment="1" applyProtection="1">
      <alignment horizontal="center" vertical="center"/>
    </xf>
    <xf numFmtId="173" fontId="78" fillId="12" borderId="277" xfId="0" applyNumberFormat="1" applyFont="1" applyFill="1" applyBorder="1" applyAlignment="1" applyProtection="1">
      <alignment horizontal="center" vertical="center"/>
    </xf>
    <xf numFmtId="173" fontId="78" fillId="12" borderId="278" xfId="0" applyNumberFormat="1" applyFont="1" applyFill="1" applyBorder="1" applyAlignment="1" applyProtection="1">
      <alignment horizontal="center" vertical="center"/>
    </xf>
    <xf numFmtId="0" fontId="61" fillId="4" borderId="467" xfId="0" applyFont="1" applyFill="1" applyBorder="1" applyAlignment="1" applyProtection="1">
      <alignment horizontal="justify" vertical="center"/>
    </xf>
    <xf numFmtId="0" fontId="61" fillId="4" borderId="468" xfId="0" applyFont="1" applyFill="1" applyBorder="1" applyAlignment="1" applyProtection="1">
      <alignment horizontal="justify" vertical="center"/>
    </xf>
    <xf numFmtId="0" fontId="62" fillId="4" borderId="468" xfId="0" applyFont="1" applyFill="1" applyBorder="1" applyAlignment="1" applyProtection="1">
      <alignment horizontal="left" vertical="center"/>
    </xf>
    <xf numFmtId="0" fontId="4" fillId="4" borderId="469" xfId="0" applyFont="1" applyFill="1" applyBorder="1" applyAlignment="1" applyProtection="1">
      <alignment horizontal="center" vertical="center"/>
    </xf>
    <xf numFmtId="0" fontId="4" fillId="4" borderId="465" xfId="0" applyFont="1" applyFill="1" applyBorder="1" applyAlignment="1" applyProtection="1">
      <alignment horizontal="center" vertical="center"/>
    </xf>
    <xf numFmtId="0" fontId="4" fillId="4" borderId="466" xfId="0" applyFont="1" applyFill="1" applyBorder="1" applyAlignment="1" applyProtection="1">
      <alignment horizontal="center" vertical="center"/>
    </xf>
    <xf numFmtId="0" fontId="2" fillId="4" borderId="159" xfId="0" applyFont="1" applyFill="1" applyBorder="1" applyAlignment="1" applyProtection="1">
      <alignment horizontal="center" vertical="center" wrapText="1"/>
    </xf>
    <xf numFmtId="0" fontId="26" fillId="4" borderId="467" xfId="0" applyFont="1" applyFill="1" applyBorder="1" applyAlignment="1" applyProtection="1">
      <alignment horizontal="justify" vertical="center"/>
    </xf>
    <xf numFmtId="0" fontId="26" fillId="4" borderId="468" xfId="0" applyFont="1" applyFill="1" applyBorder="1" applyAlignment="1" applyProtection="1">
      <alignment horizontal="justify" vertical="center"/>
    </xf>
    <xf numFmtId="0" fontId="122" fillId="0" borderId="468" xfId="0" applyFont="1" applyFill="1" applyBorder="1" applyAlignment="1" applyProtection="1">
      <alignment horizontal="center" vertical="center"/>
    </xf>
    <xf numFmtId="0" fontId="62" fillId="4" borderId="468" xfId="0" applyFont="1" applyFill="1" applyBorder="1" applyAlignment="1" applyProtection="1">
      <alignment horizontal="right" vertical="center"/>
    </xf>
    <xf numFmtId="0" fontId="12" fillId="4" borderId="0" xfId="0" applyFont="1" applyFill="1" applyBorder="1" applyAlignment="1" applyProtection="1">
      <alignment horizontal="distributed" vertical="center"/>
    </xf>
    <xf numFmtId="0" fontId="12" fillId="4" borderId="128" xfId="0" applyFont="1" applyFill="1" applyBorder="1" applyAlignment="1" applyProtection="1">
      <alignment horizontal="justify" vertical="center"/>
    </xf>
    <xf numFmtId="0" fontId="11" fillId="4" borderId="61" xfId="0" applyFont="1" applyFill="1" applyBorder="1" applyAlignment="1" applyProtection="1">
      <alignment horizontal="center" vertical="center"/>
    </xf>
    <xf numFmtId="0" fontId="11" fillId="4" borderId="128" xfId="0" applyFont="1" applyFill="1" applyBorder="1" applyAlignment="1" applyProtection="1">
      <alignment horizontal="center" vertical="center"/>
    </xf>
    <xf numFmtId="0" fontId="12" fillId="4" borderId="7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9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justify" vertical="center"/>
    </xf>
    <xf numFmtId="0" fontId="62" fillId="4" borderId="23" xfId="0" applyFont="1" applyFill="1" applyBorder="1" applyAlignment="1" applyProtection="1">
      <alignment horizontal="justify" vertical="center"/>
    </xf>
    <xf numFmtId="0" fontId="61" fillId="4" borderId="23" xfId="0" applyFont="1" applyFill="1" applyBorder="1" applyAlignment="1" applyProtection="1">
      <alignment horizontal="right" vertical="center"/>
    </xf>
    <xf numFmtId="176" fontId="62" fillId="4" borderId="23" xfId="0" applyNumberFormat="1" applyFont="1" applyFill="1" applyBorder="1" applyAlignment="1" applyProtection="1">
      <alignment horizontal="center" vertical="center"/>
    </xf>
    <xf numFmtId="176" fontId="62" fillId="4" borderId="71" xfId="0" applyNumberFormat="1" applyFont="1" applyFill="1" applyBorder="1" applyAlignment="1" applyProtection="1">
      <alignment horizontal="center" vertical="center"/>
    </xf>
    <xf numFmtId="175" fontId="62" fillId="0" borderId="468" xfId="0" applyNumberFormat="1" applyFont="1" applyFill="1" applyBorder="1" applyAlignment="1" applyProtection="1">
      <alignment horizontal="center" vertical="center"/>
    </xf>
    <xf numFmtId="14" fontId="26" fillId="0" borderId="472" xfId="0" applyNumberFormat="1" applyFont="1" applyFill="1" applyBorder="1" applyAlignment="1" applyProtection="1">
      <alignment horizontal="right" vertical="center"/>
    </xf>
    <xf numFmtId="14" fontId="26" fillId="0" borderId="468" xfId="0" applyNumberFormat="1" applyFont="1" applyFill="1" applyBorder="1" applyAlignment="1" applyProtection="1">
      <alignment horizontal="right" vertical="center"/>
    </xf>
    <xf numFmtId="0" fontId="98" fillId="4" borderId="300" xfId="0" applyFont="1" applyFill="1" applyBorder="1" applyAlignment="1" applyProtection="1">
      <alignment horizontal="center" vertical="center"/>
    </xf>
    <xf numFmtId="0" fontId="98" fillId="4" borderId="297" xfId="0" applyFont="1" applyFill="1" applyBorder="1" applyAlignment="1" applyProtection="1">
      <alignment horizontal="center" vertical="center"/>
    </xf>
    <xf numFmtId="0" fontId="62" fillId="4" borderId="299" xfId="0" applyFont="1" applyFill="1" applyBorder="1" applyAlignment="1" applyProtection="1">
      <alignment horizontal="center" vertical="center"/>
      <protection locked="0"/>
    </xf>
    <xf numFmtId="0" fontId="62" fillId="4" borderId="468" xfId="0" applyFont="1" applyFill="1" applyBorder="1" applyAlignment="1" applyProtection="1">
      <alignment horizontal="center" vertical="center"/>
    </xf>
    <xf numFmtId="0" fontId="62" fillId="4" borderId="463" xfId="0" applyFont="1" applyFill="1" applyBorder="1" applyAlignment="1" applyProtection="1">
      <alignment horizontal="center" vertical="center"/>
    </xf>
    <xf numFmtId="168" fontId="61" fillId="0" borderId="468" xfId="0" applyNumberFormat="1" applyFont="1" applyFill="1" applyBorder="1" applyAlignment="1" applyProtection="1">
      <alignment horizontal="center" vertical="center"/>
    </xf>
    <xf numFmtId="0" fontId="26" fillId="4" borderId="468" xfId="0" applyFont="1" applyFill="1" applyBorder="1" applyAlignment="1" applyProtection="1">
      <alignment horizontal="center" vertical="center"/>
    </xf>
    <xf numFmtId="0" fontId="61" fillId="4" borderId="468" xfId="0" applyNumberFormat="1" applyFont="1" applyFill="1" applyBorder="1" applyAlignment="1" applyProtection="1">
      <alignment horizontal="center" vertical="center"/>
    </xf>
    <xf numFmtId="0" fontId="62" fillId="4" borderId="465" xfId="0" applyFont="1" applyFill="1" applyBorder="1" applyAlignment="1" applyProtection="1">
      <alignment horizontal="center" vertical="center"/>
    </xf>
    <xf numFmtId="0" fontId="62" fillId="4" borderId="471" xfId="0" applyFont="1" applyFill="1" applyBorder="1" applyAlignment="1" applyProtection="1">
      <alignment horizontal="center" vertical="center"/>
    </xf>
    <xf numFmtId="173" fontId="33" fillId="4" borderId="467" xfId="0" applyNumberFormat="1" applyFont="1" applyFill="1" applyBorder="1" applyAlignment="1" applyProtection="1">
      <alignment horizontal="right" vertical="center"/>
    </xf>
    <xf numFmtId="173" fontId="33" fillId="4" borderId="468" xfId="0" applyNumberFormat="1" applyFont="1" applyFill="1" applyBorder="1" applyAlignment="1" applyProtection="1">
      <alignment horizontal="right" vertical="center"/>
    </xf>
    <xf numFmtId="173" fontId="54" fillId="0" borderId="468" xfId="0" applyNumberFormat="1" applyFont="1" applyFill="1" applyBorder="1" applyAlignment="1" applyProtection="1">
      <alignment horizontal="right" vertical="center"/>
    </xf>
    <xf numFmtId="14" fontId="62" fillId="20" borderId="468" xfId="0" applyNumberFormat="1" applyFont="1" applyFill="1" applyBorder="1" applyAlignment="1" applyProtection="1">
      <alignment horizontal="center" vertical="center"/>
    </xf>
    <xf numFmtId="0" fontId="98" fillId="2" borderId="469" xfId="0" applyFont="1" applyFill="1" applyBorder="1" applyAlignment="1" applyProtection="1">
      <alignment horizontal="center" vertical="center"/>
    </xf>
    <xf numFmtId="0" fontId="98" fillId="2" borderId="465" xfId="0" applyFont="1" applyFill="1" applyBorder="1" applyAlignment="1" applyProtection="1">
      <alignment horizontal="center" vertical="center"/>
    </xf>
    <xf numFmtId="0" fontId="62" fillId="2" borderId="473" xfId="0" applyFont="1" applyFill="1" applyBorder="1" applyAlignment="1" applyProtection="1">
      <alignment horizontal="center" vertical="center"/>
    </xf>
    <xf numFmtId="173" fontId="155" fillId="0" borderId="464" xfId="0" applyNumberFormat="1" applyFont="1" applyFill="1" applyBorder="1" applyAlignment="1" applyProtection="1">
      <alignment horizontal="justify" wrapText="1"/>
    </xf>
    <xf numFmtId="173" fontId="155" fillId="0" borderId="465" xfId="0" applyNumberFormat="1" applyFont="1" applyFill="1" applyBorder="1" applyAlignment="1" applyProtection="1">
      <alignment horizontal="justify" wrapText="1"/>
    </xf>
    <xf numFmtId="173" fontId="155" fillId="0" borderId="466" xfId="0" applyNumberFormat="1" applyFont="1" applyFill="1" applyBorder="1" applyAlignment="1" applyProtection="1">
      <alignment horizontal="justify" wrapText="1"/>
    </xf>
    <xf numFmtId="173" fontId="155" fillId="0" borderId="21" xfId="0" applyNumberFormat="1" applyFont="1" applyFill="1" applyBorder="1" applyAlignment="1" applyProtection="1">
      <alignment horizontal="justify" wrapText="1"/>
    </xf>
    <xf numFmtId="173" fontId="155" fillId="0" borderId="60" xfId="0" applyNumberFormat="1" applyFont="1" applyFill="1" applyBorder="1" applyAlignment="1" applyProtection="1">
      <alignment horizontal="justify" wrapText="1"/>
    </xf>
    <xf numFmtId="173" fontId="155" fillId="0" borderId="22" xfId="0" applyNumberFormat="1" applyFont="1" applyFill="1" applyBorder="1" applyAlignment="1" applyProtection="1">
      <alignment horizontal="justify" wrapText="1"/>
    </xf>
    <xf numFmtId="0" fontId="62" fillId="4" borderId="65" xfId="0" applyFont="1" applyFill="1" applyBorder="1" applyAlignment="1" applyProtection="1">
      <alignment horizontal="center" vertical="center"/>
    </xf>
    <xf numFmtId="0" fontId="62" fillId="4" borderId="29" xfId="0" applyFont="1" applyFill="1" applyBorder="1" applyAlignment="1" applyProtection="1">
      <alignment horizontal="center" vertical="center"/>
    </xf>
    <xf numFmtId="0" fontId="62" fillId="4" borderId="64" xfId="0" applyFont="1" applyFill="1" applyBorder="1" applyAlignment="1" applyProtection="1">
      <alignment horizontal="center" vertical="center"/>
      <protection locked="0"/>
    </xf>
    <xf numFmtId="0" fontId="62" fillId="4" borderId="474" xfId="0" applyFont="1" applyFill="1" applyBorder="1" applyAlignment="1" applyProtection="1">
      <alignment horizontal="center" vertical="center"/>
    </xf>
    <xf numFmtId="0" fontId="62" fillId="4" borderId="475" xfId="0" applyFont="1" applyFill="1" applyBorder="1" applyAlignment="1" applyProtection="1">
      <alignment horizontal="center" vertical="center"/>
    </xf>
    <xf numFmtId="0" fontId="62" fillId="4" borderId="476" xfId="0" applyFont="1" applyFill="1" applyBorder="1" applyAlignment="1" applyProtection="1">
      <alignment horizontal="center" vertical="center"/>
    </xf>
    <xf numFmtId="0" fontId="61" fillId="4" borderId="86" xfId="0" applyFont="1" applyFill="1" applyBorder="1" applyAlignment="1" applyProtection="1">
      <alignment horizontal="justify" vertical="top"/>
    </xf>
    <xf numFmtId="0" fontId="61" fillId="4" borderId="23" xfId="0" applyFont="1" applyFill="1" applyBorder="1" applyAlignment="1" applyProtection="1">
      <alignment horizontal="justify" vertical="top"/>
    </xf>
    <xf numFmtId="44" fontId="61" fillId="5" borderId="70" xfId="0" applyNumberFormat="1" applyFont="1" applyFill="1" applyBorder="1" applyAlignment="1" applyProtection="1">
      <alignment horizontal="right" vertical="top"/>
      <protection locked="0"/>
    </xf>
    <xf numFmtId="44" fontId="61" fillId="5" borderId="23" xfId="0" applyNumberFormat="1" applyFont="1" applyFill="1" applyBorder="1" applyAlignment="1" applyProtection="1">
      <alignment horizontal="right" vertical="top"/>
      <protection locked="0"/>
    </xf>
    <xf numFmtId="44" fontId="61" fillId="5" borderId="71" xfId="0" applyNumberFormat="1" applyFont="1" applyFill="1" applyBorder="1" applyAlignment="1" applyProtection="1">
      <alignment horizontal="right" vertical="top"/>
      <protection locked="0"/>
    </xf>
    <xf numFmtId="0" fontId="61" fillId="4" borderId="472" xfId="0" applyFont="1" applyFill="1" applyBorder="1" applyAlignment="1" applyProtection="1">
      <alignment horizontal="right" vertical="center"/>
    </xf>
    <xf numFmtId="0" fontId="61" fillId="4" borderId="468" xfId="0" applyFont="1" applyFill="1" applyBorder="1" applyAlignment="1" applyProtection="1">
      <alignment horizontal="right" vertical="center"/>
    </xf>
    <xf numFmtId="0" fontId="61" fillId="4" borderId="477" xfId="0" applyFont="1" applyFill="1" applyBorder="1" applyAlignment="1" applyProtection="1">
      <alignment horizontal="right" vertical="center"/>
    </xf>
    <xf numFmtId="180" fontId="97" fillId="4" borderId="280" xfId="0" applyNumberFormat="1" applyFont="1" applyFill="1" applyBorder="1" applyAlignment="1" applyProtection="1">
      <alignment horizontal="right"/>
    </xf>
    <xf numFmtId="180" fontId="97" fillId="4" borderId="132" xfId="0" applyNumberFormat="1" applyFont="1" applyFill="1" applyBorder="1" applyAlignment="1" applyProtection="1">
      <alignment horizontal="right"/>
    </xf>
    <xf numFmtId="0" fontId="62" fillId="4" borderId="40" xfId="0" applyFont="1" applyFill="1" applyBorder="1" applyAlignment="1" applyProtection="1">
      <alignment horizontal="center" vertical="center"/>
    </xf>
    <xf numFmtId="0" fontId="62" fillId="4" borderId="41" xfId="0" applyFont="1" applyFill="1" applyBorder="1" applyAlignment="1" applyProtection="1">
      <alignment horizontal="center" vertical="center"/>
    </xf>
    <xf numFmtId="0" fontId="62" fillId="4" borderId="42" xfId="0" applyFont="1" applyFill="1" applyBorder="1" applyAlignment="1" applyProtection="1">
      <alignment horizontal="center" vertical="center"/>
    </xf>
    <xf numFmtId="0" fontId="62" fillId="4" borderId="38" xfId="0" applyFont="1" applyFill="1" applyBorder="1" applyAlignment="1" applyProtection="1">
      <alignment horizontal="center" vertical="center"/>
    </xf>
    <xf numFmtId="0" fontId="96" fillId="4" borderId="162" xfId="0" applyFont="1" applyFill="1" applyBorder="1" applyAlignment="1" applyProtection="1">
      <alignment horizontal="center" vertical="center"/>
    </xf>
    <xf numFmtId="0" fontId="96" fillId="4" borderId="143" xfId="0" applyFont="1" applyFill="1" applyBorder="1" applyAlignment="1" applyProtection="1">
      <alignment horizontal="center" vertical="center"/>
    </xf>
    <xf numFmtId="180" fontId="97" fillId="4" borderId="66" xfId="0" applyNumberFormat="1" applyFont="1" applyFill="1" applyBorder="1" applyAlignment="1" applyProtection="1">
      <alignment horizontal="right"/>
    </xf>
    <xf numFmtId="0" fontId="0" fillId="0" borderId="19" xfId="0" applyBorder="1" applyAlignment="1">
      <alignment horizontal="right"/>
    </xf>
    <xf numFmtId="0" fontId="0" fillId="0" borderId="280" xfId="0" applyBorder="1" applyAlignment="1">
      <alignment horizontal="right"/>
    </xf>
    <xf numFmtId="180" fontId="97" fillId="4" borderId="66" xfId="0" applyNumberFormat="1" applyFont="1" applyFill="1" applyBorder="1" applyAlignment="1" applyProtection="1">
      <alignment horizontal="center"/>
    </xf>
    <xf numFmtId="180" fontId="97" fillId="4" borderId="19" xfId="0" applyNumberFormat="1" applyFont="1" applyFill="1" applyBorder="1" applyAlignment="1" applyProtection="1">
      <alignment horizontal="center"/>
    </xf>
    <xf numFmtId="180" fontId="97" fillId="4" borderId="280" xfId="0" applyNumberFormat="1" applyFont="1" applyFill="1" applyBorder="1" applyAlignment="1" applyProtection="1">
      <alignment horizontal="center"/>
    </xf>
    <xf numFmtId="180" fontId="96" fillId="4" borderId="132" xfId="0" applyNumberFormat="1" applyFont="1" applyFill="1" applyBorder="1" applyAlignment="1" applyProtection="1">
      <alignment horizontal="right"/>
    </xf>
    <xf numFmtId="180" fontId="96" fillId="4" borderId="66" xfId="0" applyNumberFormat="1" applyFont="1" applyFill="1" applyBorder="1" applyAlignment="1" applyProtection="1">
      <alignment horizontal="right"/>
    </xf>
    <xf numFmtId="180" fontId="62" fillId="2" borderId="0" xfId="0" applyNumberFormat="1" applyFont="1" applyFill="1" applyBorder="1" applyAlignment="1" applyProtection="1">
      <alignment horizontal="right"/>
    </xf>
    <xf numFmtId="0" fontId="96" fillId="4" borderId="67" xfId="0" applyFont="1" applyFill="1" applyBorder="1" applyAlignment="1" applyProtection="1">
      <alignment horizontal="center" vertical="center"/>
    </xf>
    <xf numFmtId="0" fontId="96" fillId="4" borderId="60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121" fillId="4" borderId="67" xfId="0" applyFont="1" applyFill="1" applyBorder="1" applyAlignment="1" applyProtection="1">
      <alignment horizontal="center" vertical="center"/>
    </xf>
    <xf numFmtId="0" fontId="156" fillId="0" borderId="60" xfId="0" applyFont="1" applyBorder="1" applyAlignment="1">
      <alignment horizontal="center" vertical="center"/>
    </xf>
    <xf numFmtId="0" fontId="156" fillId="0" borderId="162" xfId="0" applyFont="1" applyBorder="1" applyAlignment="1">
      <alignment horizontal="center" vertical="center"/>
    </xf>
    <xf numFmtId="0" fontId="62" fillId="2" borderId="0" xfId="0" applyFont="1" applyFill="1" applyBorder="1" applyAlignment="1" applyProtection="1">
      <alignment horizontal="center" vertical="center"/>
    </xf>
    <xf numFmtId="0" fontId="61" fillId="4" borderId="463" xfId="0" applyFont="1" applyFill="1" applyBorder="1" applyAlignment="1" applyProtection="1">
      <alignment horizontal="right" vertical="center"/>
    </xf>
    <xf numFmtId="0" fontId="61" fillId="4" borderId="467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justify" vertical="top"/>
    </xf>
    <xf numFmtId="0" fontId="61" fillId="4" borderId="468" xfId="0" applyFont="1" applyFill="1" applyBorder="1" applyAlignment="1" applyProtection="1">
      <alignment horizontal="center" vertical="top"/>
    </xf>
    <xf numFmtId="44" fontId="61" fillId="4" borderId="472" xfId="0" applyNumberFormat="1" applyFont="1" applyFill="1" applyBorder="1" applyAlignment="1" applyProtection="1">
      <alignment horizontal="right" vertical="top"/>
    </xf>
    <xf numFmtId="44" fontId="61" fillId="4" borderId="468" xfId="0" applyNumberFormat="1" applyFont="1" applyFill="1" applyBorder="1" applyAlignment="1" applyProtection="1">
      <alignment horizontal="right" vertical="top"/>
    </xf>
    <xf numFmtId="44" fontId="61" fillId="4" borderId="470" xfId="0" applyNumberFormat="1" applyFont="1" applyFill="1" applyBorder="1" applyAlignment="1" applyProtection="1">
      <alignment horizontal="right" vertical="top"/>
    </xf>
    <xf numFmtId="180" fontId="61" fillId="2" borderId="135" xfId="0" applyNumberFormat="1" applyFont="1" applyFill="1" applyBorder="1" applyAlignment="1" applyProtection="1">
      <alignment horizontal="right"/>
    </xf>
    <xf numFmtId="180" fontId="62" fillId="2" borderId="135" xfId="0" applyNumberFormat="1" applyFont="1" applyFill="1" applyBorder="1" applyAlignment="1" applyProtection="1">
      <alignment horizontal="right"/>
    </xf>
    <xf numFmtId="180" fontId="62" fillId="2" borderId="173" xfId="0" applyNumberFormat="1" applyFont="1" applyFill="1" applyBorder="1" applyAlignment="1" applyProtection="1">
      <alignment horizontal="right"/>
    </xf>
    <xf numFmtId="180" fontId="61" fillId="2" borderId="174" xfId="0" applyNumberFormat="1" applyFont="1" applyFill="1" applyBorder="1" applyAlignment="1" applyProtection="1">
      <alignment horizontal="right"/>
    </xf>
    <xf numFmtId="0" fontId="26" fillId="4" borderId="467" xfId="0" applyFont="1" applyFill="1" applyBorder="1" applyAlignment="1" applyProtection="1">
      <alignment horizontal="justify" vertical="top"/>
    </xf>
    <xf numFmtId="0" fontId="26" fillId="4" borderId="468" xfId="0" applyFont="1" applyFill="1" applyBorder="1" applyAlignment="1" applyProtection="1">
      <alignment horizontal="justify" vertical="top"/>
    </xf>
    <xf numFmtId="182" fontId="62" fillId="4" borderId="70" xfId="0" applyNumberFormat="1" applyFont="1" applyFill="1" applyBorder="1" applyAlignment="1" applyProtection="1">
      <alignment horizontal="center" vertical="center" wrapText="1"/>
    </xf>
    <xf numFmtId="182" fontId="62" fillId="4" borderId="23" xfId="0" applyNumberFormat="1" applyFont="1" applyFill="1" applyBorder="1" applyAlignment="1" applyProtection="1">
      <alignment horizontal="center" vertical="center" wrapText="1"/>
    </xf>
    <xf numFmtId="180" fontId="97" fillId="4" borderId="23" xfId="0" applyNumberFormat="1" applyFont="1" applyFill="1" applyBorder="1" applyAlignment="1" applyProtection="1">
      <alignment horizontal="right" vertical="center"/>
    </xf>
    <xf numFmtId="180" fontId="97" fillId="4" borderId="87" xfId="0" applyNumberFormat="1" applyFont="1" applyFill="1" applyBorder="1" applyAlignment="1" applyProtection="1">
      <alignment horizontal="right" vertical="center"/>
    </xf>
    <xf numFmtId="180" fontId="97" fillId="4" borderId="70" xfId="0" applyNumberFormat="1" applyFont="1" applyFill="1" applyBorder="1" applyAlignment="1" applyProtection="1">
      <alignment horizontal="right" vertical="center"/>
    </xf>
    <xf numFmtId="44" fontId="97" fillId="4" borderId="472" xfId="0" applyNumberFormat="1" applyFont="1" applyFill="1" applyBorder="1" applyAlignment="1" applyProtection="1">
      <alignment horizontal="right" vertical="center"/>
    </xf>
    <xf numFmtId="7" fontId="97" fillId="4" borderId="468" xfId="0" applyNumberFormat="1" applyFont="1" applyFill="1" applyBorder="1" applyAlignment="1" applyProtection="1">
      <alignment horizontal="right" vertical="center"/>
    </xf>
    <xf numFmtId="7" fontId="97" fillId="4" borderId="477" xfId="0" applyNumberFormat="1" applyFont="1" applyFill="1" applyBorder="1" applyAlignment="1" applyProtection="1">
      <alignment horizontal="right" vertical="center"/>
    </xf>
    <xf numFmtId="44" fontId="97" fillId="4" borderId="70" xfId="0" applyNumberFormat="1" applyFont="1" applyFill="1" applyBorder="1" applyAlignment="1" applyProtection="1">
      <alignment horizontal="right" vertical="center"/>
    </xf>
    <xf numFmtId="7" fontId="97" fillId="4" borderId="23" xfId="0" applyNumberFormat="1" applyFont="1" applyFill="1" applyBorder="1" applyAlignment="1" applyProtection="1">
      <alignment horizontal="right" vertical="center"/>
    </xf>
    <xf numFmtId="7" fontId="97" fillId="4" borderId="87" xfId="0" applyNumberFormat="1" applyFont="1" applyFill="1" applyBorder="1" applyAlignment="1" applyProtection="1">
      <alignment horizontal="right" vertical="center"/>
    </xf>
    <xf numFmtId="7" fontId="96" fillId="4" borderId="38" xfId="0" applyNumberFormat="1" applyFont="1" applyFill="1" applyBorder="1" applyAlignment="1" applyProtection="1">
      <alignment horizontal="right" vertical="center"/>
    </xf>
    <xf numFmtId="182" fontId="62" fillId="4" borderId="472" xfId="0" applyNumberFormat="1" applyFont="1" applyFill="1" applyBorder="1" applyAlignment="1" applyProtection="1">
      <alignment horizontal="center" vertical="center" wrapText="1"/>
    </xf>
    <xf numFmtId="182" fontId="62" fillId="4" borderId="468" xfId="0" applyNumberFormat="1" applyFont="1" applyFill="1" applyBorder="1" applyAlignment="1" applyProtection="1">
      <alignment horizontal="center" vertical="center" wrapText="1"/>
    </xf>
    <xf numFmtId="0" fontId="26" fillId="4" borderId="480" xfId="0" applyFont="1" applyFill="1" applyBorder="1" applyAlignment="1" applyProtection="1">
      <alignment horizontal="justify" vertical="top"/>
    </xf>
    <xf numFmtId="0" fontId="26" fillId="4" borderId="475" xfId="0" applyFont="1" applyFill="1" applyBorder="1" applyAlignment="1" applyProtection="1">
      <alignment horizontal="justify" vertical="top"/>
    </xf>
    <xf numFmtId="0" fontId="61" fillId="4" borderId="475" xfId="0" applyFont="1" applyFill="1" applyBorder="1" applyAlignment="1" applyProtection="1">
      <alignment horizontal="center" vertical="top"/>
    </xf>
    <xf numFmtId="44" fontId="61" fillId="4" borderId="474" xfId="0" applyNumberFormat="1" applyFont="1" applyFill="1" applyBorder="1" applyAlignment="1" applyProtection="1">
      <alignment horizontal="right" vertical="top"/>
    </xf>
    <xf numFmtId="44" fontId="61" fillId="4" borderId="475" xfId="0" applyNumberFormat="1" applyFont="1" applyFill="1" applyBorder="1" applyAlignment="1" applyProtection="1">
      <alignment horizontal="right" vertical="top"/>
    </xf>
    <xf numFmtId="44" fontId="61" fillId="4" borderId="482" xfId="0" applyNumberFormat="1" applyFont="1" applyFill="1" applyBorder="1" applyAlignment="1" applyProtection="1">
      <alignment horizontal="right" vertical="top"/>
    </xf>
    <xf numFmtId="7" fontId="97" fillId="4" borderId="471" xfId="0" applyNumberFormat="1" applyFont="1" applyFill="1" applyBorder="1" applyAlignment="1" applyProtection="1">
      <alignment horizontal="right" vertical="center"/>
    </xf>
    <xf numFmtId="7" fontId="97" fillId="4" borderId="473" xfId="0" applyNumberFormat="1" applyFont="1" applyFill="1" applyBorder="1" applyAlignment="1" applyProtection="1">
      <alignment horizontal="right" vertical="center"/>
    </xf>
    <xf numFmtId="44" fontId="97" fillId="4" borderId="469" xfId="0" applyNumberFormat="1" applyFont="1" applyFill="1" applyBorder="1" applyAlignment="1" applyProtection="1">
      <alignment horizontal="right" vertical="center"/>
    </xf>
    <xf numFmtId="7" fontId="97" fillId="4" borderId="465" xfId="0" applyNumberFormat="1" applyFont="1" applyFill="1" applyBorder="1" applyAlignment="1" applyProtection="1">
      <alignment horizontal="right" vertical="center"/>
    </xf>
    <xf numFmtId="7" fontId="96" fillId="4" borderId="463" xfId="0" applyNumberFormat="1" applyFont="1" applyFill="1" applyBorder="1" applyAlignment="1" applyProtection="1">
      <alignment horizontal="right" vertical="center"/>
    </xf>
    <xf numFmtId="7" fontId="96" fillId="4" borderId="472" xfId="0" applyNumberFormat="1" applyFont="1" applyFill="1" applyBorder="1" applyAlignment="1" applyProtection="1">
      <alignment horizontal="right" vertical="center"/>
    </xf>
    <xf numFmtId="182" fontId="62" fillId="4" borderId="469" xfId="0" applyNumberFormat="1" applyFont="1" applyFill="1" applyBorder="1" applyAlignment="1" applyProtection="1">
      <alignment horizontal="center" vertical="center" wrapText="1"/>
    </xf>
    <xf numFmtId="182" fontId="62" fillId="4" borderId="465" xfId="0" applyNumberFormat="1" applyFont="1" applyFill="1" applyBorder="1" applyAlignment="1" applyProtection="1">
      <alignment horizontal="center" vertical="center" wrapText="1"/>
    </xf>
    <xf numFmtId="0" fontId="61" fillId="4" borderId="296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justify" vertical="top"/>
    </xf>
    <xf numFmtId="0" fontId="61" fillId="4" borderId="297" xfId="0" applyFont="1" applyFill="1" applyBorder="1" applyAlignment="1" applyProtection="1">
      <alignment horizontal="center" vertical="top"/>
    </xf>
    <xf numFmtId="44" fontId="61" fillId="4" borderId="300" xfId="0" applyNumberFormat="1" applyFont="1" applyFill="1" applyBorder="1" applyAlignment="1" applyProtection="1">
      <alignment horizontal="right" vertical="top"/>
    </xf>
    <xf numFmtId="44" fontId="61" fillId="4" borderId="297" xfId="0" applyNumberFormat="1" applyFont="1" applyFill="1" applyBorder="1" applyAlignment="1" applyProtection="1">
      <alignment horizontal="right" vertical="top"/>
    </xf>
    <xf numFmtId="44" fontId="61" fillId="4" borderId="298" xfId="0" applyNumberFormat="1" applyFont="1" applyFill="1" applyBorder="1" applyAlignment="1" applyProtection="1">
      <alignment horizontal="right" vertical="top"/>
    </xf>
    <xf numFmtId="49" fontId="96" fillId="4" borderId="29" xfId="0" applyNumberFormat="1" applyFont="1" applyFill="1" applyBorder="1" applyAlignment="1" applyProtection="1">
      <alignment horizontal="center" vertical="center"/>
    </xf>
    <xf numFmtId="49" fontId="96" fillId="4" borderId="161" xfId="0" applyNumberFormat="1" applyFont="1" applyFill="1" applyBorder="1" applyAlignment="1" applyProtection="1">
      <alignment horizontal="center" vertical="center"/>
    </xf>
    <xf numFmtId="49" fontId="96" fillId="4" borderId="65" xfId="0" applyNumberFormat="1" applyFont="1" applyFill="1" applyBorder="1" applyAlignment="1" applyProtection="1">
      <alignment horizontal="center" vertical="center"/>
    </xf>
    <xf numFmtId="49" fontId="121" fillId="4" borderId="65" xfId="0" applyNumberFormat="1" applyFont="1" applyFill="1" applyBorder="1" applyAlignment="1" applyProtection="1">
      <alignment horizontal="center" vertical="center"/>
    </xf>
    <xf numFmtId="49" fontId="121" fillId="4" borderId="29" xfId="0" applyNumberFormat="1" applyFont="1" applyFill="1" applyBorder="1" applyAlignment="1" applyProtection="1">
      <alignment horizontal="center" vertical="center"/>
    </xf>
    <xf numFmtId="49" fontId="121" fillId="4" borderId="161" xfId="0" applyNumberFormat="1" applyFont="1" applyFill="1" applyBorder="1" applyAlignment="1" applyProtection="1">
      <alignment horizontal="center" vertical="center"/>
    </xf>
    <xf numFmtId="7" fontId="96" fillId="4" borderId="473" xfId="0" applyNumberFormat="1" applyFont="1" applyFill="1" applyBorder="1" applyAlignment="1" applyProtection="1">
      <alignment horizontal="right" vertical="center"/>
    </xf>
    <xf numFmtId="7" fontId="96" fillId="4" borderId="469" xfId="0" applyNumberFormat="1" applyFont="1" applyFill="1" applyBorder="1" applyAlignment="1" applyProtection="1">
      <alignment horizontal="right" vertical="center"/>
    </xf>
    <xf numFmtId="0" fontId="62" fillId="4" borderId="66" xfId="0" applyFont="1" applyFill="1" applyBorder="1" applyAlignment="1" applyProtection="1">
      <alignment horizontal="center" vertical="center" wrapText="1"/>
    </xf>
    <xf numFmtId="0" fontId="62" fillId="4" borderId="19" xfId="0" applyFont="1" applyFill="1" applyBorder="1" applyAlignment="1" applyProtection="1">
      <alignment horizontal="center" vertical="center" wrapText="1"/>
    </xf>
    <xf numFmtId="0" fontId="105" fillId="4" borderId="468" xfId="0" applyFont="1" applyFill="1" applyBorder="1" applyAlignment="1" applyProtection="1">
      <alignment horizontal="center" vertical="center"/>
    </xf>
    <xf numFmtId="0" fontId="62" fillId="4" borderId="472" xfId="0" applyFont="1" applyFill="1" applyBorder="1" applyAlignment="1" applyProtection="1">
      <alignment horizontal="center" vertical="center"/>
    </xf>
    <xf numFmtId="0" fontId="62" fillId="4" borderId="477" xfId="0" applyFont="1" applyFill="1" applyBorder="1" applyAlignment="1" applyProtection="1">
      <alignment horizontal="center" vertical="center"/>
    </xf>
    <xf numFmtId="0" fontId="105" fillId="2" borderId="468" xfId="0" applyFont="1" applyFill="1" applyBorder="1" applyAlignment="1" applyProtection="1">
      <alignment horizontal="center" vertical="center"/>
    </xf>
    <xf numFmtId="0" fontId="62" fillId="2" borderId="472" xfId="0" applyFont="1" applyFill="1" applyBorder="1" applyAlignment="1" applyProtection="1">
      <alignment horizontal="center" vertical="center"/>
    </xf>
    <xf numFmtId="0" fontId="62" fillId="2" borderId="468" xfId="0" applyFont="1" applyFill="1" applyBorder="1" applyAlignment="1" applyProtection="1">
      <alignment horizontal="center" vertical="center"/>
    </xf>
    <xf numFmtId="0" fontId="62" fillId="2" borderId="477" xfId="0" applyFont="1" applyFill="1" applyBorder="1" applyAlignment="1" applyProtection="1">
      <alignment horizontal="center" vertical="center"/>
    </xf>
    <xf numFmtId="0" fontId="166" fillId="4" borderId="467" xfId="0" applyFont="1" applyFill="1" applyBorder="1" applyAlignment="1" applyProtection="1">
      <alignment horizontal="justify" vertical="center"/>
    </xf>
    <xf numFmtId="0" fontId="166" fillId="4" borderId="468" xfId="0" applyFont="1" applyFill="1" applyBorder="1" applyAlignment="1" applyProtection="1">
      <alignment horizontal="justify" vertical="center"/>
    </xf>
    <xf numFmtId="0" fontId="168" fillId="16" borderId="468" xfId="0" applyFont="1" applyFill="1" applyBorder="1" applyAlignment="1" applyProtection="1">
      <alignment horizontal="center" vertical="center"/>
    </xf>
    <xf numFmtId="180" fontId="38" fillId="31" borderId="468" xfId="0" applyNumberFormat="1" applyFont="1" applyFill="1" applyBorder="1" applyAlignment="1" applyProtection="1">
      <alignment horizontal="right" vertical="top"/>
      <protection locked="0"/>
    </xf>
    <xf numFmtId="0" fontId="84" fillId="4" borderId="467" xfId="0" applyFont="1" applyFill="1" applyBorder="1" applyAlignment="1" applyProtection="1">
      <alignment horizontal="justify" vertical="top"/>
    </xf>
    <xf numFmtId="0" fontId="84" fillId="4" borderId="468" xfId="0" applyFont="1" applyFill="1" applyBorder="1" applyAlignment="1" applyProtection="1">
      <alignment horizontal="justify" vertical="top"/>
    </xf>
    <xf numFmtId="0" fontId="121" fillId="4" borderId="468" xfId="0" applyFont="1" applyFill="1" applyBorder="1" applyAlignment="1" applyProtection="1">
      <alignment horizontal="center" vertical="center"/>
    </xf>
    <xf numFmtId="44" fontId="61" fillId="10" borderId="472" xfId="0" applyNumberFormat="1" applyFont="1" applyFill="1" applyBorder="1" applyAlignment="1" applyProtection="1">
      <alignment horizontal="right" vertical="top"/>
      <protection locked="0"/>
    </xf>
    <xf numFmtId="44" fontId="61" fillId="10" borderId="468" xfId="0" applyNumberFormat="1" applyFont="1" applyFill="1" applyBorder="1" applyAlignment="1" applyProtection="1">
      <alignment horizontal="right" vertical="top"/>
      <protection locked="0"/>
    </xf>
    <xf numFmtId="44" fontId="61" fillId="10" borderId="470" xfId="0" applyNumberFormat="1" applyFont="1" applyFill="1" applyBorder="1" applyAlignment="1" applyProtection="1">
      <alignment horizontal="right" vertical="top"/>
      <protection locked="0"/>
    </xf>
    <xf numFmtId="0" fontId="105" fillId="2" borderId="472" xfId="0" applyFont="1" applyFill="1" applyBorder="1" applyAlignment="1" applyProtection="1">
      <alignment horizontal="center" vertical="center"/>
    </xf>
    <xf numFmtId="44" fontId="61" fillId="0" borderId="472" xfId="0" applyNumberFormat="1" applyFont="1" applyFill="1" applyBorder="1" applyAlignment="1" applyProtection="1">
      <alignment horizontal="right" vertical="top"/>
    </xf>
    <xf numFmtId="44" fontId="61" fillId="0" borderId="468" xfId="0" applyNumberFormat="1" applyFont="1" applyFill="1" applyBorder="1" applyAlignment="1" applyProtection="1">
      <alignment horizontal="right" vertical="top"/>
    </xf>
    <xf numFmtId="44" fontId="61" fillId="0" borderId="470" xfId="0" applyNumberFormat="1" applyFont="1" applyFill="1" applyBorder="1" applyAlignment="1" applyProtection="1">
      <alignment horizontal="right" vertical="top"/>
    </xf>
    <xf numFmtId="0" fontId="108" fillId="4" borderId="468" xfId="0" applyFont="1" applyFill="1" applyBorder="1" applyAlignment="1" applyProtection="1">
      <alignment horizontal="center" vertical="top"/>
    </xf>
    <xf numFmtId="0" fontId="106" fillId="4" borderId="468" xfId="0" applyFont="1" applyFill="1" applyBorder="1" applyAlignment="1" applyProtection="1">
      <alignment horizontal="center" vertical="top"/>
    </xf>
    <xf numFmtId="0" fontId="19" fillId="16" borderId="468" xfId="0" applyFont="1" applyFill="1" applyBorder="1" applyAlignment="1" applyProtection="1">
      <alignment horizontal="justify" vertical="top"/>
    </xf>
    <xf numFmtId="0" fontId="109" fillId="4" borderId="468" xfId="0" applyFont="1" applyFill="1" applyBorder="1" applyAlignment="1" applyProtection="1">
      <alignment horizontal="center" vertical="top"/>
    </xf>
    <xf numFmtId="0" fontId="61" fillId="4" borderId="464" xfId="0" applyFont="1" applyFill="1" applyBorder="1" applyAlignment="1" applyProtection="1">
      <alignment horizontal="justify" vertical="top"/>
    </xf>
    <xf numFmtId="0" fontId="61" fillId="4" borderId="465" xfId="0" applyFont="1" applyFill="1" applyBorder="1" applyAlignment="1" applyProtection="1">
      <alignment horizontal="justify" vertical="top"/>
    </xf>
    <xf numFmtId="0" fontId="61" fillId="19" borderId="465" xfId="0" applyFont="1" applyFill="1" applyBorder="1" applyAlignment="1" applyProtection="1">
      <alignment horizontal="justify" vertical="top"/>
      <protection locked="0"/>
    </xf>
    <xf numFmtId="0" fontId="61" fillId="4" borderId="465" xfId="0" applyFont="1" applyFill="1" applyBorder="1" applyAlignment="1" applyProtection="1">
      <alignment horizontal="center" vertical="top"/>
    </xf>
    <xf numFmtId="44" fontId="61" fillId="10" borderId="469" xfId="0" applyNumberFormat="1" applyFont="1" applyFill="1" applyBorder="1" applyAlignment="1" applyProtection="1">
      <alignment horizontal="right" vertical="top"/>
      <protection locked="0"/>
    </xf>
    <xf numFmtId="44" fontId="61" fillId="10" borderId="465" xfId="0" applyNumberFormat="1" applyFont="1" applyFill="1" applyBorder="1" applyAlignment="1" applyProtection="1">
      <alignment horizontal="right" vertical="top"/>
      <protection locked="0"/>
    </xf>
    <xf numFmtId="44" fontId="61" fillId="10" borderId="466" xfId="0" applyNumberFormat="1" applyFont="1" applyFill="1" applyBorder="1" applyAlignment="1" applyProtection="1">
      <alignment horizontal="right" vertical="top"/>
      <protection locked="0"/>
    </xf>
    <xf numFmtId="180" fontId="26" fillId="4" borderId="61" xfId="0" applyNumberFormat="1" applyFont="1" applyFill="1" applyBorder="1" applyAlignment="1" applyProtection="1">
      <alignment horizontal="justify" vertical="center"/>
    </xf>
    <xf numFmtId="180" fontId="26" fillId="4" borderId="0" xfId="0" applyNumberFormat="1" applyFont="1" applyFill="1" applyBorder="1" applyAlignment="1" applyProtection="1">
      <alignment horizontal="justify" vertical="center"/>
    </xf>
    <xf numFmtId="180" fontId="26" fillId="4" borderId="23" xfId="0" applyNumberFormat="1" applyFont="1" applyFill="1" applyBorder="1" applyAlignment="1" applyProtection="1">
      <alignment horizontal="justify" vertical="center"/>
    </xf>
    <xf numFmtId="14" fontId="62" fillId="4" borderId="0" xfId="0" applyNumberFormat="1" applyFont="1" applyFill="1" applyBorder="1" applyAlignment="1" applyProtection="1">
      <alignment horizontal="center" vertical="center"/>
    </xf>
    <xf numFmtId="14" fontId="62" fillId="4" borderId="128" xfId="0" applyNumberFormat="1" applyFont="1" applyFill="1" applyBorder="1" applyAlignment="1" applyProtection="1">
      <alignment horizontal="center" vertical="center"/>
    </xf>
    <xf numFmtId="0" fontId="62" fillId="4" borderId="7" xfId="0" applyFont="1" applyFill="1" applyBorder="1" applyAlignment="1" applyProtection="1">
      <alignment horizontal="center" vertical="top"/>
    </xf>
    <xf numFmtId="0" fontId="62" fillId="4" borderId="8" xfId="0" applyFont="1" applyFill="1" applyBorder="1" applyAlignment="1" applyProtection="1">
      <alignment horizontal="center" vertical="top"/>
    </xf>
    <xf numFmtId="0" fontId="62" fillId="4" borderId="83" xfId="0" applyFont="1" applyFill="1" applyBorder="1" applyAlignment="1" applyProtection="1">
      <alignment horizontal="center" vertical="top"/>
    </xf>
    <xf numFmtId="44" fontId="100" fillId="3" borderId="157" xfId="0" applyNumberFormat="1" applyFont="1" applyFill="1" applyBorder="1" applyAlignment="1" applyProtection="1">
      <alignment horizontal="right" vertical="top"/>
    </xf>
    <xf numFmtId="44" fontId="100" fillId="3" borderId="8" xfId="0" applyNumberFormat="1" applyFont="1" applyFill="1" applyBorder="1" applyAlignment="1" applyProtection="1">
      <alignment horizontal="right" vertical="top"/>
    </xf>
    <xf numFmtId="44" fontId="100" fillId="3" borderId="9" xfId="0" applyNumberFormat="1" applyFont="1" applyFill="1" applyBorder="1" applyAlignment="1" applyProtection="1">
      <alignment horizontal="right" vertical="top"/>
    </xf>
    <xf numFmtId="0" fontId="61" fillId="4" borderId="61" xfId="0" applyFont="1" applyFill="1" applyBorder="1" applyAlignment="1" applyProtection="1">
      <alignment horizontal="justify" vertical="center"/>
    </xf>
    <xf numFmtId="0" fontId="62" fillId="4" borderId="128" xfId="0" applyFont="1" applyFill="1" applyBorder="1" applyAlignment="1" applyProtection="1">
      <alignment horizontal="justify" vertical="center"/>
    </xf>
    <xf numFmtId="180" fontId="61" fillId="4" borderId="61" xfId="0" applyNumberFormat="1" applyFont="1" applyFill="1" applyBorder="1" applyAlignment="1" applyProtection="1">
      <alignment horizontal="justify" vertical="center"/>
    </xf>
    <xf numFmtId="180" fontId="61" fillId="4" borderId="0" xfId="0" applyNumberFormat="1" applyFont="1" applyFill="1" applyBorder="1" applyAlignment="1" applyProtection="1">
      <alignment horizontal="justify" vertical="center"/>
    </xf>
    <xf numFmtId="176" fontId="62" fillId="4" borderId="0" xfId="0" applyNumberFormat="1" applyFont="1" applyFill="1" applyBorder="1" applyAlignment="1" applyProtection="1">
      <alignment horizontal="center" vertical="center"/>
    </xf>
    <xf numFmtId="176" fontId="62" fillId="4" borderId="128" xfId="0" applyNumberFormat="1" applyFont="1" applyFill="1" applyBorder="1" applyAlignment="1" applyProtection="1">
      <alignment horizontal="center" vertical="center"/>
    </xf>
    <xf numFmtId="0" fontId="62" fillId="4" borderId="470" xfId="0" applyFont="1" applyFill="1" applyBorder="1" applyAlignment="1" applyProtection="1">
      <alignment horizontal="left" vertical="center"/>
    </xf>
    <xf numFmtId="0" fontId="103" fillId="0" borderId="468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/>
    </xf>
    <xf numFmtId="0" fontId="12" fillId="17" borderId="8" xfId="0" applyFont="1" applyFill="1" applyBorder="1" applyAlignment="1" applyProtection="1">
      <alignment horizontal="center" vertical="center"/>
    </xf>
    <xf numFmtId="0" fontId="12" fillId="17" borderId="9" xfId="0" applyFont="1" applyFill="1" applyBorder="1" applyAlignment="1" applyProtection="1">
      <alignment horizontal="center" vertical="center"/>
    </xf>
    <xf numFmtId="14" fontId="61" fillId="4" borderId="467" xfId="0" applyNumberFormat="1" applyFont="1" applyFill="1" applyBorder="1" applyAlignment="1" applyProtection="1">
      <alignment horizontal="justify" vertical="center"/>
    </xf>
    <xf numFmtId="14" fontId="61" fillId="4" borderId="468" xfId="0" applyNumberFormat="1" applyFont="1" applyFill="1" applyBorder="1" applyAlignment="1" applyProtection="1">
      <alignment horizontal="justify" vertical="center"/>
    </xf>
    <xf numFmtId="14" fontId="62" fillId="0" borderId="485" xfId="0" applyNumberFormat="1" applyFont="1" applyFill="1" applyBorder="1" applyAlignment="1" applyProtection="1">
      <alignment horizontal="justify" vertical="center"/>
    </xf>
    <xf numFmtId="14" fontId="26" fillId="0" borderId="485" xfId="0" applyNumberFormat="1" applyFont="1" applyFill="1" applyBorder="1" applyAlignment="1" applyProtection="1">
      <alignment horizontal="right" vertical="center"/>
    </xf>
    <xf numFmtId="0" fontId="98" fillId="2" borderId="300" xfId="0" applyFont="1" applyFill="1" applyBorder="1" applyAlignment="1" applyProtection="1">
      <alignment horizontal="center" vertical="center"/>
    </xf>
    <xf numFmtId="0" fontId="98" fillId="2" borderId="297" xfId="0" applyFont="1" applyFill="1" applyBorder="1" applyAlignment="1" applyProtection="1">
      <alignment horizontal="center" vertical="center"/>
    </xf>
    <xf numFmtId="0" fontId="62" fillId="2" borderId="299" xfId="0" applyFont="1" applyFill="1" applyBorder="1" applyAlignment="1" applyProtection="1">
      <alignment horizontal="center" vertical="center"/>
    </xf>
    <xf numFmtId="0" fontId="62" fillId="2" borderId="463" xfId="0" applyFont="1" applyFill="1" applyBorder="1" applyAlignment="1" applyProtection="1">
      <alignment horizontal="center" vertical="center"/>
    </xf>
    <xf numFmtId="0" fontId="62" fillId="2" borderId="469" xfId="0" applyFont="1" applyFill="1" applyBorder="1" applyAlignment="1" applyProtection="1">
      <alignment horizontal="center" vertical="center"/>
    </xf>
    <xf numFmtId="0" fontId="62" fillId="2" borderId="465" xfId="0" applyFont="1" applyFill="1" applyBorder="1" applyAlignment="1" applyProtection="1">
      <alignment horizontal="center" vertical="center"/>
    </xf>
    <xf numFmtId="0" fontId="62" fillId="2" borderId="471" xfId="0" applyFont="1" applyFill="1" applyBorder="1" applyAlignment="1" applyProtection="1">
      <alignment horizontal="center" vertical="center"/>
    </xf>
    <xf numFmtId="0" fontId="96" fillId="2" borderId="143" xfId="0" applyFont="1" applyFill="1" applyBorder="1" applyAlignment="1" applyProtection="1">
      <alignment horizontal="center" vertical="center"/>
    </xf>
    <xf numFmtId="0" fontId="96" fillId="2" borderId="67" xfId="0" applyFont="1" applyFill="1" applyBorder="1" applyAlignment="1" applyProtection="1">
      <alignment horizontal="center" vertical="center"/>
    </xf>
    <xf numFmtId="0" fontId="61" fillId="6" borderId="86" xfId="0" applyFont="1" applyFill="1" applyBorder="1" applyAlignment="1" applyProtection="1">
      <alignment horizontal="justify" vertical="top"/>
    </xf>
    <xf numFmtId="0" fontId="61" fillId="6" borderId="23" xfId="0" applyFont="1" applyFill="1" applyBorder="1" applyAlignment="1" applyProtection="1">
      <alignment horizontal="justify" vertical="top"/>
    </xf>
    <xf numFmtId="0" fontId="61" fillId="6" borderId="29" xfId="0" applyFont="1" applyFill="1" applyBorder="1" applyAlignment="1" applyProtection="1">
      <alignment horizontal="justify" vertical="top"/>
    </xf>
    <xf numFmtId="9" fontId="61" fillId="6" borderId="65" xfId="0" applyNumberFormat="1" applyFont="1" applyFill="1" applyBorder="1" applyAlignment="1" applyProtection="1">
      <alignment horizontal="center" vertical="top"/>
    </xf>
    <xf numFmtId="9" fontId="61" fillId="6" borderId="161" xfId="0" applyNumberFormat="1" applyFont="1" applyFill="1" applyBorder="1" applyAlignment="1" applyProtection="1">
      <alignment horizontal="center" vertical="top"/>
    </xf>
    <xf numFmtId="44" fontId="61" fillId="6" borderId="65" xfId="0" applyNumberFormat="1" applyFont="1" applyFill="1" applyBorder="1" applyAlignment="1" applyProtection="1">
      <alignment horizontal="right" vertical="top"/>
    </xf>
    <xf numFmtId="44" fontId="61" fillId="6" borderId="29" xfId="0" applyNumberFormat="1" applyFont="1" applyFill="1" applyBorder="1" applyAlignment="1" applyProtection="1">
      <alignment horizontal="right" vertical="top"/>
    </xf>
    <xf numFmtId="44" fontId="61" fillId="6" borderId="30" xfId="0" applyNumberFormat="1" applyFont="1" applyFill="1" applyBorder="1" applyAlignment="1" applyProtection="1">
      <alignment horizontal="right" vertical="top"/>
    </xf>
    <xf numFmtId="0" fontId="61" fillId="2" borderId="0" xfId="0" applyFont="1" applyFill="1" applyBorder="1" applyAlignment="1" applyProtection="1">
      <alignment horizontal="right" vertical="center"/>
    </xf>
    <xf numFmtId="180" fontId="97" fillId="2" borderId="280" xfId="0" applyNumberFormat="1" applyFont="1" applyFill="1" applyBorder="1" applyAlignment="1" applyProtection="1">
      <alignment horizontal="right"/>
    </xf>
    <xf numFmtId="180" fontId="97" fillId="2" borderId="132" xfId="0" applyNumberFormat="1" applyFont="1" applyFill="1" applyBorder="1" applyAlignment="1" applyProtection="1">
      <alignment horizontal="right"/>
    </xf>
    <xf numFmtId="0" fontId="62" fillId="17" borderId="40" xfId="0" applyFont="1" applyFill="1" applyBorder="1" applyAlignment="1" applyProtection="1">
      <alignment horizontal="center" vertical="center"/>
    </xf>
    <xf numFmtId="0" fontId="62" fillId="17" borderId="41" xfId="0" applyFont="1" applyFill="1" applyBorder="1" applyAlignment="1" applyProtection="1">
      <alignment horizontal="center" vertical="center"/>
    </xf>
    <xf numFmtId="0" fontId="62" fillId="17" borderId="157" xfId="0" applyFont="1" applyFill="1" applyBorder="1" applyAlignment="1" applyProtection="1">
      <alignment horizontal="center" vertical="center"/>
    </xf>
    <xf numFmtId="0" fontId="62" fillId="17" borderId="83" xfId="0" applyFont="1" applyFill="1" applyBorder="1" applyAlignment="1" applyProtection="1">
      <alignment horizontal="center" vertical="center"/>
    </xf>
    <xf numFmtId="0" fontId="62" fillId="17" borderId="42" xfId="0" applyFont="1" applyFill="1" applyBorder="1" applyAlignment="1" applyProtection="1">
      <alignment horizontal="center" vertical="center"/>
    </xf>
    <xf numFmtId="0" fontId="62" fillId="2" borderId="135" xfId="0" applyFont="1" applyFill="1" applyBorder="1" applyAlignment="1" applyProtection="1">
      <alignment horizontal="center" vertical="center"/>
    </xf>
    <xf numFmtId="0" fontId="96" fillId="2" borderId="162" xfId="0" applyFont="1" applyFill="1" applyBorder="1" applyAlignment="1" applyProtection="1">
      <alignment horizontal="center" vertical="center"/>
    </xf>
    <xf numFmtId="180" fontId="96" fillId="2" borderId="132" xfId="0" applyNumberFormat="1" applyFont="1" applyFill="1" applyBorder="1" applyAlignment="1" applyProtection="1">
      <alignment horizontal="right"/>
    </xf>
    <xf numFmtId="180" fontId="96" fillId="2" borderId="66" xfId="0" applyNumberFormat="1" applyFont="1" applyFill="1" applyBorder="1" applyAlignment="1" applyProtection="1">
      <alignment horizontal="right"/>
    </xf>
    <xf numFmtId="0" fontId="61" fillId="6" borderId="468" xfId="0" applyFont="1" applyFill="1" applyBorder="1" applyAlignment="1" applyProtection="1">
      <alignment horizontal="center" vertical="top"/>
    </xf>
    <xf numFmtId="9" fontId="61" fillId="6" borderId="472" xfId="0" applyNumberFormat="1" applyFont="1" applyFill="1" applyBorder="1" applyAlignment="1" applyProtection="1">
      <alignment horizontal="center" vertical="top"/>
    </xf>
    <xf numFmtId="9" fontId="61" fillId="6" borderId="477" xfId="0" applyNumberFormat="1" applyFont="1" applyFill="1" applyBorder="1" applyAlignment="1" applyProtection="1">
      <alignment horizontal="center" vertical="top"/>
    </xf>
    <xf numFmtId="44" fontId="61" fillId="6" borderId="472" xfId="0" applyNumberFormat="1" applyFont="1" applyFill="1" applyBorder="1" applyAlignment="1" applyProtection="1">
      <alignment horizontal="right" vertical="top"/>
    </xf>
    <xf numFmtId="44" fontId="61" fillId="6" borderId="468" xfId="0" applyNumberFormat="1" applyFont="1" applyFill="1" applyBorder="1" applyAlignment="1" applyProtection="1">
      <alignment horizontal="right" vertical="top"/>
    </xf>
    <xf numFmtId="44" fontId="61" fillId="6" borderId="470" xfId="0" applyNumberFormat="1" applyFont="1" applyFill="1" applyBorder="1" applyAlignment="1" applyProtection="1">
      <alignment horizontal="right" vertical="top"/>
    </xf>
    <xf numFmtId="0" fontId="26" fillId="9" borderId="467" xfId="0" applyFont="1" applyFill="1" applyBorder="1" applyAlignment="1" applyProtection="1">
      <alignment horizontal="justify" vertical="top"/>
    </xf>
    <xf numFmtId="0" fontId="26" fillId="9" borderId="468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center" vertical="top"/>
    </xf>
    <xf numFmtId="9" fontId="61" fillId="9" borderId="472" xfId="0" applyNumberFormat="1" applyFont="1" applyFill="1" applyBorder="1" applyAlignment="1" applyProtection="1">
      <alignment horizontal="center" vertical="top"/>
    </xf>
    <xf numFmtId="9" fontId="61" fillId="9" borderId="477" xfId="0" applyNumberFormat="1" applyFont="1" applyFill="1" applyBorder="1" applyAlignment="1" applyProtection="1">
      <alignment horizontal="center" vertical="top"/>
    </xf>
    <xf numFmtId="44" fontId="61" fillId="9" borderId="472" xfId="0" applyNumberFormat="1" applyFont="1" applyFill="1" applyBorder="1" applyAlignment="1" applyProtection="1">
      <alignment horizontal="right" vertical="top"/>
    </xf>
    <xf numFmtId="44" fontId="61" fillId="9" borderId="468" xfId="0" applyNumberFormat="1" applyFont="1" applyFill="1" applyBorder="1" applyAlignment="1" applyProtection="1">
      <alignment horizontal="right" vertical="top"/>
    </xf>
    <xf numFmtId="44" fontId="61" fillId="9" borderId="470" xfId="0" applyNumberFormat="1" applyFont="1" applyFill="1" applyBorder="1" applyAlignment="1" applyProtection="1">
      <alignment horizontal="right" vertical="top"/>
    </xf>
    <xf numFmtId="9" fontId="61" fillId="4" borderId="472" xfId="0" applyNumberFormat="1" applyFont="1" applyFill="1" applyBorder="1" applyAlignment="1" applyProtection="1">
      <alignment horizontal="center" vertical="top"/>
    </xf>
    <xf numFmtId="9" fontId="61" fillId="4" borderId="477" xfId="0" applyNumberFormat="1" applyFont="1" applyFill="1" applyBorder="1" applyAlignment="1" applyProtection="1">
      <alignment horizontal="center" vertical="top"/>
    </xf>
    <xf numFmtId="182" fontId="62" fillId="2" borderId="472" xfId="0" applyNumberFormat="1" applyFont="1" applyFill="1" applyBorder="1" applyAlignment="1" applyProtection="1">
      <alignment horizontal="center" vertical="center" wrapText="1"/>
    </xf>
    <xf numFmtId="182" fontId="62" fillId="2" borderId="468" xfId="0" applyNumberFormat="1" applyFont="1" applyFill="1" applyBorder="1" applyAlignment="1" applyProtection="1">
      <alignment horizontal="center" vertical="center" wrapText="1"/>
    </xf>
    <xf numFmtId="7" fontId="96" fillId="2" borderId="38" xfId="0" applyNumberFormat="1" applyFont="1" applyFill="1" applyBorder="1" applyAlignment="1" applyProtection="1">
      <alignment horizontal="right" vertical="center"/>
    </xf>
    <xf numFmtId="182" fontId="62" fillId="2" borderId="70" xfId="0" applyNumberFormat="1" applyFont="1" applyFill="1" applyBorder="1" applyAlignment="1" applyProtection="1">
      <alignment horizontal="center" vertical="center" wrapText="1"/>
    </xf>
    <xf numFmtId="182" fontId="62" fillId="2" borderId="23" xfId="0" applyNumberFormat="1" applyFont="1" applyFill="1" applyBorder="1" applyAlignment="1" applyProtection="1">
      <alignment horizontal="center" vertical="center" wrapText="1"/>
    </xf>
    <xf numFmtId="180" fontId="97" fillId="2" borderId="0" xfId="0" applyNumberFormat="1" applyFont="1" applyFill="1" applyBorder="1" applyAlignment="1" applyProtection="1">
      <alignment horizontal="right" vertical="center"/>
    </xf>
    <xf numFmtId="44" fontId="97" fillId="2" borderId="468" xfId="0" applyNumberFormat="1" applyFont="1" applyFill="1" applyBorder="1" applyAlignment="1" applyProtection="1">
      <alignment horizontal="right" vertical="center"/>
    </xf>
    <xf numFmtId="7" fontId="97" fillId="2" borderId="468" xfId="0" applyNumberFormat="1" applyFont="1" applyFill="1" applyBorder="1" applyAlignment="1" applyProtection="1">
      <alignment horizontal="right" vertical="center"/>
    </xf>
    <xf numFmtId="7" fontId="97" fillId="2" borderId="477" xfId="0" applyNumberFormat="1" applyFont="1" applyFill="1" applyBorder="1" applyAlignment="1" applyProtection="1">
      <alignment horizontal="right" vertical="center"/>
    </xf>
    <xf numFmtId="44" fontId="97" fillId="2" borderId="23" xfId="0" applyNumberFormat="1" applyFont="1" applyFill="1" applyBorder="1" applyAlignment="1" applyProtection="1">
      <alignment horizontal="right" vertical="center"/>
    </xf>
    <xf numFmtId="7" fontId="97" fillId="2" borderId="23" xfId="0" applyNumberFormat="1" applyFont="1" applyFill="1" applyBorder="1" applyAlignment="1" applyProtection="1">
      <alignment horizontal="right" vertical="center"/>
    </xf>
    <xf numFmtId="7" fontId="97" fillId="2" borderId="87" xfId="0" applyNumberFormat="1" applyFont="1" applyFill="1" applyBorder="1" applyAlignment="1" applyProtection="1">
      <alignment horizontal="right" vertical="center"/>
    </xf>
    <xf numFmtId="44" fontId="97" fillId="2" borderId="70" xfId="0" applyNumberFormat="1" applyFont="1" applyFill="1" applyBorder="1" applyAlignment="1" applyProtection="1">
      <alignment horizontal="right" vertical="center"/>
    </xf>
    <xf numFmtId="9" fontId="61" fillId="9" borderId="474" xfId="0" applyNumberFormat="1" applyFont="1" applyFill="1" applyBorder="1" applyAlignment="1" applyProtection="1">
      <alignment horizontal="center" vertical="top"/>
    </xf>
    <xf numFmtId="9" fontId="61" fillId="9" borderId="476" xfId="0" applyNumberFormat="1" applyFont="1" applyFill="1" applyBorder="1" applyAlignment="1" applyProtection="1">
      <alignment horizontal="center" vertical="top"/>
    </xf>
    <xf numFmtId="44" fontId="61" fillId="9" borderId="474" xfId="0" applyNumberFormat="1" applyFont="1" applyFill="1" applyBorder="1" applyAlignment="1" applyProtection="1">
      <alignment horizontal="right" vertical="top"/>
    </xf>
    <xf numFmtId="44" fontId="61" fillId="9" borderId="475" xfId="0" applyNumberFormat="1" applyFont="1" applyFill="1" applyBorder="1" applyAlignment="1" applyProtection="1">
      <alignment horizontal="right" vertical="top"/>
    </xf>
    <xf numFmtId="44" fontId="61" fillId="9" borderId="482" xfId="0" applyNumberFormat="1" applyFont="1" applyFill="1" applyBorder="1" applyAlignment="1" applyProtection="1">
      <alignment horizontal="right" vertical="top"/>
    </xf>
    <xf numFmtId="7" fontId="97" fillId="2" borderId="0" xfId="0" applyNumberFormat="1" applyFont="1" applyFill="1" applyBorder="1" applyAlignment="1" applyProtection="1">
      <alignment horizontal="right" vertical="center"/>
    </xf>
    <xf numFmtId="44" fontId="97" fillId="2" borderId="472" xfId="0" applyNumberFormat="1" applyFont="1" applyFill="1" applyBorder="1" applyAlignment="1" applyProtection="1">
      <alignment horizontal="right" vertical="center"/>
    </xf>
    <xf numFmtId="7" fontId="96" fillId="2" borderId="463" xfId="0" applyNumberFormat="1" applyFont="1" applyFill="1" applyBorder="1" applyAlignment="1" applyProtection="1">
      <alignment horizontal="right" vertical="center"/>
    </xf>
    <xf numFmtId="7" fontId="96" fillId="2" borderId="472" xfId="0" applyNumberFormat="1" applyFont="1" applyFill="1" applyBorder="1" applyAlignment="1" applyProtection="1">
      <alignment horizontal="right" vertical="center"/>
    </xf>
    <xf numFmtId="49" fontId="96" fillId="2" borderId="65" xfId="0" applyNumberFormat="1" applyFont="1" applyFill="1" applyBorder="1" applyAlignment="1" applyProtection="1">
      <alignment horizontal="center" vertical="center"/>
    </xf>
    <xf numFmtId="49" fontId="96" fillId="2" borderId="29" xfId="0" applyNumberFormat="1" applyFont="1" applyFill="1" applyBorder="1" applyAlignment="1" applyProtection="1">
      <alignment horizontal="center" vertical="center"/>
    </xf>
    <xf numFmtId="49" fontId="96" fillId="2" borderId="161" xfId="0" applyNumberFormat="1" applyFont="1" applyFill="1" applyBorder="1" applyAlignment="1" applyProtection="1">
      <alignment horizontal="center" vertical="center"/>
    </xf>
    <xf numFmtId="0" fontId="62" fillId="2" borderId="66" xfId="0" applyFont="1" applyFill="1" applyBorder="1" applyAlignment="1" applyProtection="1">
      <alignment horizontal="center" vertical="center" wrapText="1"/>
    </xf>
    <xf numFmtId="0" fontId="62" fillId="2" borderId="19" xfId="0" applyFont="1" applyFill="1" applyBorder="1" applyAlignment="1" applyProtection="1">
      <alignment horizontal="center" vertical="center" wrapText="1"/>
    </xf>
    <xf numFmtId="7" fontId="96" fillId="2" borderId="473" xfId="0" applyNumberFormat="1" applyFont="1" applyFill="1" applyBorder="1" applyAlignment="1" applyProtection="1">
      <alignment horizontal="right" vertical="center"/>
    </xf>
    <xf numFmtId="7" fontId="96" fillId="2" borderId="469" xfId="0" applyNumberFormat="1" applyFont="1" applyFill="1" applyBorder="1" applyAlignment="1" applyProtection="1">
      <alignment horizontal="right" vertical="center"/>
    </xf>
    <xf numFmtId="182" fontId="62" fillId="2" borderId="469" xfId="0" applyNumberFormat="1" applyFont="1" applyFill="1" applyBorder="1" applyAlignment="1" applyProtection="1">
      <alignment horizontal="center" vertical="center" wrapText="1"/>
    </xf>
    <xf numFmtId="182" fontId="62" fillId="2" borderId="465" xfId="0" applyNumberFormat="1" applyFont="1" applyFill="1" applyBorder="1" applyAlignment="1" applyProtection="1">
      <alignment horizontal="center" vertical="center" wrapText="1"/>
    </xf>
    <xf numFmtId="44" fontId="97" fillId="2" borderId="469" xfId="0" applyNumberFormat="1" applyFont="1" applyFill="1" applyBorder="1" applyAlignment="1" applyProtection="1">
      <alignment horizontal="right" vertical="center"/>
    </xf>
    <xf numFmtId="7" fontId="97" fillId="2" borderId="465" xfId="0" applyNumberFormat="1" applyFont="1" applyFill="1" applyBorder="1" applyAlignment="1" applyProtection="1">
      <alignment horizontal="right" vertical="center"/>
    </xf>
    <xf numFmtId="7" fontId="97" fillId="2" borderId="471" xfId="0" applyNumberFormat="1" applyFont="1" applyFill="1" applyBorder="1" applyAlignment="1" applyProtection="1">
      <alignment horizontal="right" vertical="center"/>
    </xf>
    <xf numFmtId="9" fontId="61" fillId="4" borderId="300" xfId="0" applyNumberFormat="1" applyFont="1" applyFill="1" applyBorder="1" applyAlignment="1" applyProtection="1">
      <alignment horizontal="center" vertical="top"/>
    </xf>
    <xf numFmtId="9" fontId="61" fillId="4" borderId="301" xfId="0" applyNumberFormat="1" applyFont="1" applyFill="1" applyBorder="1" applyAlignment="1" applyProtection="1">
      <alignment horizontal="center" vertical="top"/>
    </xf>
    <xf numFmtId="49" fontId="96" fillId="2" borderId="0" xfId="0" applyNumberFormat="1" applyFont="1" applyFill="1" applyBorder="1" applyAlignment="1" applyProtection="1">
      <alignment horizontal="center" vertical="center"/>
    </xf>
    <xf numFmtId="44" fontId="97" fillId="2" borderId="465" xfId="0" applyNumberFormat="1" applyFont="1" applyFill="1" applyBorder="1" applyAlignment="1" applyProtection="1">
      <alignment horizontal="right" vertical="center"/>
    </xf>
    <xf numFmtId="0" fontId="61" fillId="9" borderId="467" xfId="0" applyFont="1" applyFill="1" applyBorder="1" applyAlignment="1" applyProtection="1">
      <alignment horizontal="justify" vertical="top"/>
    </xf>
    <xf numFmtId="0" fontId="61" fillId="9" borderId="468" xfId="0" applyFont="1" applyFill="1" applyBorder="1" applyAlignment="1" applyProtection="1">
      <alignment horizontal="justify" vertical="top"/>
    </xf>
    <xf numFmtId="9" fontId="61" fillId="0" borderId="472" xfId="0" applyNumberFormat="1" applyFont="1" applyFill="1" applyBorder="1" applyAlignment="1" applyProtection="1">
      <alignment horizontal="center" vertical="top"/>
    </xf>
    <xf numFmtId="9" fontId="61" fillId="0" borderId="477" xfId="0" applyNumberFormat="1" applyFont="1" applyFill="1" applyBorder="1" applyAlignment="1" applyProtection="1">
      <alignment horizontal="center" vertical="top"/>
    </xf>
    <xf numFmtId="0" fontId="61" fillId="9" borderId="86" xfId="0" applyFont="1" applyFill="1" applyBorder="1" applyAlignment="1" applyProtection="1">
      <alignment horizontal="justify" vertical="top"/>
    </xf>
    <xf numFmtId="0" fontId="61" fillId="9" borderId="23" xfId="0" applyFont="1" applyFill="1" applyBorder="1" applyAlignment="1" applyProtection="1">
      <alignment horizontal="justify" vertical="top"/>
    </xf>
    <xf numFmtId="0" fontId="105" fillId="2" borderId="0" xfId="0" applyFont="1" applyFill="1" applyBorder="1" applyAlignment="1" applyProtection="1">
      <alignment horizontal="center" vertical="center"/>
    </xf>
    <xf numFmtId="0" fontId="84" fillId="9" borderId="468" xfId="0" applyFont="1" applyFill="1" applyBorder="1" applyAlignment="1" applyProtection="1">
      <alignment horizontal="justify" vertical="top"/>
    </xf>
    <xf numFmtId="0" fontId="106" fillId="9" borderId="468" xfId="0" applyFont="1" applyFill="1" applyBorder="1" applyAlignment="1" applyProtection="1">
      <alignment horizontal="center" vertical="top"/>
    </xf>
    <xf numFmtId="0" fontId="61" fillId="0" borderId="464" xfId="0" applyFont="1" applyFill="1" applyBorder="1" applyAlignment="1" applyProtection="1">
      <alignment horizontal="justify" vertical="top"/>
    </xf>
    <xf numFmtId="0" fontId="61" fillId="0" borderId="465" xfId="0" applyFont="1" applyFill="1" applyBorder="1" applyAlignment="1" applyProtection="1">
      <alignment horizontal="justify" vertical="top"/>
    </xf>
    <xf numFmtId="0" fontId="61" fillId="0" borderId="485" xfId="0" applyFont="1" applyFill="1" applyBorder="1" applyAlignment="1" applyProtection="1">
      <alignment horizontal="center" vertical="top"/>
    </xf>
    <xf numFmtId="0" fontId="62" fillId="17" borderId="7" xfId="0" applyFont="1" applyFill="1" applyBorder="1" applyAlignment="1" applyProtection="1">
      <alignment horizontal="center" vertical="top"/>
    </xf>
    <xf numFmtId="0" fontId="62" fillId="17" borderId="8" xfId="0" applyFont="1" applyFill="1" applyBorder="1" applyAlignment="1" applyProtection="1">
      <alignment horizontal="center" vertical="top"/>
    </xf>
    <xf numFmtId="0" fontId="62" fillId="17" borderId="83" xfId="0" applyFont="1" applyFill="1" applyBorder="1" applyAlignment="1" applyProtection="1">
      <alignment horizontal="center" vertical="top"/>
    </xf>
    <xf numFmtId="0" fontId="61" fillId="0" borderId="467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justify" vertical="top"/>
    </xf>
    <xf numFmtId="0" fontId="61" fillId="0" borderId="468" xfId="0" applyFont="1" applyFill="1" applyBorder="1" applyAlignment="1" applyProtection="1">
      <alignment horizontal="center" vertical="top"/>
    </xf>
    <xf numFmtId="0" fontId="67" fillId="4" borderId="61" xfId="0" applyFont="1" applyFill="1" applyBorder="1" applyAlignment="1" applyProtection="1">
      <alignment horizontal="distributed" vertical="center"/>
    </xf>
    <xf numFmtId="0" fontId="80" fillId="4" borderId="0" xfId="0" applyFont="1" applyFill="1" applyBorder="1" applyAlignment="1" applyProtection="1">
      <alignment horizontal="distributed" vertical="center"/>
    </xf>
    <xf numFmtId="0" fontId="80" fillId="4" borderId="128" xfId="0" applyFont="1" applyFill="1" applyBorder="1" applyAlignment="1" applyProtection="1">
      <alignment horizontal="distributed" vertical="center"/>
    </xf>
    <xf numFmtId="0" fontId="129" fillId="4" borderId="61" xfId="0" applyFont="1" applyFill="1" applyBorder="1" applyAlignment="1" applyProtection="1">
      <alignment horizontal="distributed" vertical="top"/>
    </xf>
    <xf numFmtId="0" fontId="129" fillId="4" borderId="0" xfId="0" applyFont="1" applyFill="1" applyBorder="1" applyAlignment="1" applyProtection="1">
      <alignment horizontal="distributed" vertical="top"/>
    </xf>
    <xf numFmtId="0" fontId="130" fillId="4" borderId="0" xfId="0" applyFont="1" applyFill="1" applyBorder="1" applyAlignment="1" applyProtection="1">
      <alignment horizontal="justify" vertical="top"/>
    </xf>
    <xf numFmtId="0" fontId="130" fillId="4" borderId="128" xfId="0" applyFont="1" applyFill="1" applyBorder="1" applyAlignment="1" applyProtection="1">
      <alignment horizontal="justify" vertical="top"/>
    </xf>
    <xf numFmtId="0" fontId="129" fillId="4" borderId="61" xfId="0" applyFont="1" applyFill="1" applyBorder="1" applyAlignment="1" applyProtection="1">
      <alignment horizontal="right" vertical="center"/>
    </xf>
    <xf numFmtId="0" fontId="129" fillId="4" borderId="0" xfId="0" applyFont="1" applyFill="1" applyBorder="1" applyAlignment="1" applyProtection="1">
      <alignment horizontal="right" vertical="center"/>
    </xf>
    <xf numFmtId="0" fontId="129" fillId="4" borderId="61" xfId="0" applyFont="1" applyFill="1" applyBorder="1" applyAlignment="1" applyProtection="1">
      <alignment horizontal="right" vertical="top"/>
    </xf>
    <xf numFmtId="0" fontId="129" fillId="4" borderId="0" xfId="0" applyFont="1" applyFill="1" applyBorder="1" applyAlignment="1" applyProtection="1">
      <alignment horizontal="right" vertical="top"/>
    </xf>
    <xf numFmtId="176" fontId="130" fillId="4" borderId="0" xfId="0" applyNumberFormat="1" applyFont="1" applyFill="1" applyBorder="1" applyAlignment="1" applyProtection="1">
      <alignment horizontal="justify" vertical="top"/>
    </xf>
    <xf numFmtId="168" fontId="130" fillId="4" borderId="0" xfId="0" applyNumberFormat="1" applyFont="1" applyFill="1" applyBorder="1" applyAlignment="1" applyProtection="1">
      <alignment horizontal="justify" vertical="top"/>
    </xf>
    <xf numFmtId="0" fontId="11" fillId="4" borderId="19" xfId="0" applyFont="1" applyFill="1" applyBorder="1" applyAlignment="1" applyProtection="1">
      <alignment horizontal="justify" vertical="center"/>
    </xf>
    <xf numFmtId="0" fontId="11" fillId="4" borderId="20" xfId="0" applyFont="1" applyFill="1" applyBorder="1" applyAlignment="1" applyProtection="1">
      <alignment horizontal="justify" vertical="center"/>
    </xf>
    <xf numFmtId="0" fontId="11" fillId="4" borderId="60" xfId="0" applyFont="1" applyFill="1" applyBorder="1" applyAlignment="1" applyProtection="1">
      <alignment horizontal="justify" vertical="center"/>
    </xf>
    <xf numFmtId="0" fontId="11" fillId="4" borderId="22" xfId="0" applyFont="1" applyFill="1" applyBorder="1" applyAlignment="1" applyProtection="1">
      <alignment horizontal="justify" vertical="center"/>
    </xf>
    <xf numFmtId="0" fontId="127" fillId="4" borderId="18" xfId="0" applyFont="1" applyFill="1" applyBorder="1" applyAlignment="1" applyProtection="1">
      <alignment horizontal="center" vertical="center" wrapText="1"/>
    </xf>
    <xf numFmtId="0" fontId="127" fillId="4" borderId="19" xfId="0" applyFont="1" applyFill="1" applyBorder="1" applyAlignment="1" applyProtection="1">
      <alignment horizontal="center" vertical="center" wrapText="1"/>
    </xf>
    <xf numFmtId="0" fontId="127" fillId="4" borderId="20" xfId="0" applyFont="1" applyFill="1" applyBorder="1" applyAlignment="1" applyProtection="1">
      <alignment horizontal="center" vertical="center" wrapText="1"/>
    </xf>
    <xf numFmtId="0" fontId="127" fillId="4" borderId="61" xfId="0" applyFont="1" applyFill="1" applyBorder="1" applyAlignment="1" applyProtection="1">
      <alignment horizontal="center" vertical="center" wrapText="1"/>
    </xf>
    <xf numFmtId="0" fontId="127" fillId="4" borderId="0" xfId="0" applyFont="1" applyFill="1" applyBorder="1" applyAlignment="1" applyProtection="1">
      <alignment horizontal="center" vertical="center" wrapText="1"/>
    </xf>
    <xf numFmtId="0" fontId="127" fillId="4" borderId="128" xfId="0" applyFont="1" applyFill="1" applyBorder="1" applyAlignment="1" applyProtection="1">
      <alignment horizontal="center" vertical="center" wrapText="1"/>
    </xf>
    <xf numFmtId="0" fontId="127" fillId="4" borderId="21" xfId="0" applyFont="1" applyFill="1" applyBorder="1" applyAlignment="1" applyProtection="1">
      <alignment horizontal="center" vertical="center" wrapText="1"/>
    </xf>
    <xf numFmtId="0" fontId="127" fillId="4" borderId="60" xfId="0" applyFont="1" applyFill="1" applyBorder="1" applyAlignment="1" applyProtection="1">
      <alignment horizontal="center" vertical="center" wrapText="1"/>
    </xf>
    <xf numFmtId="0" fontId="127" fillId="4" borderId="22" xfId="0" applyFont="1" applyFill="1" applyBorder="1" applyAlignment="1" applyProtection="1">
      <alignment horizontal="center" vertical="center" wrapText="1"/>
    </xf>
    <xf numFmtId="0" fontId="129" fillId="4" borderId="486" xfId="0" applyFont="1" applyFill="1" applyBorder="1" applyAlignment="1" applyProtection="1">
      <alignment horizontal="center" vertical="center"/>
    </xf>
    <xf numFmtId="0" fontId="129" fillId="4" borderId="463" xfId="0" applyFont="1" applyFill="1" applyBorder="1" applyAlignment="1" applyProtection="1">
      <alignment horizontal="center" vertical="center"/>
    </xf>
    <xf numFmtId="176" fontId="130" fillId="4" borderId="0" xfId="0" applyNumberFormat="1" applyFont="1" applyFill="1" applyBorder="1" applyAlignment="1" applyProtection="1">
      <alignment horizontal="distributed" vertical="top"/>
    </xf>
    <xf numFmtId="176" fontId="130" fillId="4" borderId="128" xfId="0" applyNumberFormat="1" applyFont="1" applyFill="1" applyBorder="1" applyAlignment="1" applyProtection="1">
      <alignment horizontal="distributed" vertical="top"/>
    </xf>
    <xf numFmtId="0" fontId="129" fillId="4" borderId="60" xfId="0" applyFont="1" applyFill="1" applyBorder="1" applyAlignment="1" applyProtection="1">
      <alignment horizontal="center" vertical="center"/>
    </xf>
    <xf numFmtId="0" fontId="129" fillId="4" borderId="63" xfId="0" applyFont="1" applyFill="1" applyBorder="1" applyAlignment="1" applyProtection="1">
      <alignment horizontal="center" vertical="center"/>
    </xf>
    <xf numFmtId="0" fontId="129" fillId="4" borderId="64" xfId="0" applyFont="1" applyFill="1" applyBorder="1" applyAlignment="1" applyProtection="1">
      <alignment horizontal="center" vertical="center"/>
    </xf>
    <xf numFmtId="0" fontId="129" fillId="4" borderId="154" xfId="0" applyFont="1" applyFill="1" applyBorder="1" applyAlignment="1" applyProtection="1">
      <alignment horizontal="center" vertical="center"/>
    </xf>
    <xf numFmtId="0" fontId="129" fillId="4" borderId="37" xfId="0" applyFont="1" applyFill="1" applyBorder="1" applyAlignment="1" applyProtection="1">
      <alignment horizontal="center" vertical="center"/>
    </xf>
    <xf numFmtId="0" fontId="129" fillId="4" borderId="38" xfId="0" applyFont="1" applyFill="1" applyBorder="1" applyAlignment="1" applyProtection="1">
      <alignment horizontal="center" vertical="center"/>
    </xf>
    <xf numFmtId="0" fontId="129" fillId="4" borderId="39" xfId="0" applyFont="1" applyFill="1" applyBorder="1" applyAlignment="1" applyProtection="1">
      <alignment horizontal="center" vertical="center"/>
    </xf>
    <xf numFmtId="0" fontId="129" fillId="4" borderId="487" xfId="0" applyFont="1" applyFill="1" applyBorder="1" applyAlignment="1" applyProtection="1">
      <alignment horizontal="center" vertical="center"/>
    </xf>
    <xf numFmtId="0" fontId="129" fillId="4" borderId="488" xfId="0" applyFont="1" applyFill="1" applyBorder="1" applyAlignment="1" applyProtection="1">
      <alignment horizontal="center" vertical="center"/>
    </xf>
    <xf numFmtId="0" fontId="129" fillId="4" borderId="489" xfId="0" applyFont="1" applyFill="1" applyBorder="1" applyAlignment="1" applyProtection="1">
      <alignment horizontal="center" vertical="center"/>
    </xf>
    <xf numFmtId="0" fontId="129" fillId="4" borderId="490" xfId="0" applyFont="1" applyFill="1" applyBorder="1" applyAlignment="1" applyProtection="1">
      <alignment horizontal="center" vertical="center"/>
    </xf>
    <xf numFmtId="0" fontId="131" fillId="4" borderId="23" xfId="0" applyFont="1" applyFill="1" applyBorder="1" applyAlignment="1" applyProtection="1">
      <alignment horizontal="center" vertical="center"/>
    </xf>
    <xf numFmtId="0" fontId="80" fillId="4" borderId="0" xfId="0" applyFont="1" applyFill="1" applyBorder="1" applyAlignment="1" applyProtection="1">
      <alignment horizontal="center" vertical="top"/>
    </xf>
    <xf numFmtId="0" fontId="85" fillId="4" borderId="0" xfId="0" applyFont="1" applyFill="1" applyBorder="1" applyAlignment="1" applyProtection="1">
      <alignment horizontal="distributed" vertical="center"/>
    </xf>
    <xf numFmtId="0" fontId="81" fillId="4" borderId="0" xfId="0" applyFont="1" applyFill="1" applyBorder="1" applyAlignment="1" applyProtection="1">
      <alignment horizontal="distributed" vertical="center"/>
    </xf>
    <xf numFmtId="180" fontId="72" fillId="4" borderId="0" xfId="0" applyNumberFormat="1" applyFont="1" applyFill="1" applyBorder="1" applyAlignment="1" applyProtection="1">
      <alignment horizontal="distributed" vertical="center"/>
    </xf>
    <xf numFmtId="180" fontId="85" fillId="4" borderId="0" xfId="0" applyNumberFormat="1" applyFont="1" applyFill="1" applyBorder="1" applyAlignment="1" applyProtection="1">
      <alignment horizontal="distributed" vertical="center"/>
    </xf>
    <xf numFmtId="0" fontId="67" fillId="4" borderId="0" xfId="0" applyFont="1" applyFill="1" applyBorder="1" applyAlignment="1" applyProtection="1">
      <alignment horizontal="right" vertical="center"/>
    </xf>
    <xf numFmtId="173" fontId="67" fillId="4" borderId="0" xfId="0" applyNumberFormat="1" applyFont="1" applyFill="1" applyBorder="1" applyAlignment="1" applyProtection="1">
      <alignment horizontal="justify" vertical="center"/>
    </xf>
    <xf numFmtId="0" fontId="11" fillId="4" borderId="23" xfId="0" applyFont="1" applyFill="1" applyBorder="1" applyAlignment="1" applyProtection="1">
      <alignment horizontal="right" vertical="center"/>
    </xf>
    <xf numFmtId="0" fontId="67" fillId="4" borderId="0" xfId="0" applyFont="1" applyFill="1" applyBorder="1" applyAlignment="1" applyProtection="1">
      <alignment horizontal="justify" vertical="center"/>
    </xf>
    <xf numFmtId="0" fontId="67" fillId="4" borderId="0" xfId="0" applyFont="1" applyFill="1" applyBorder="1" applyAlignment="1" applyProtection="1">
      <alignment horizontal="center" vertical="center"/>
    </xf>
    <xf numFmtId="176" fontId="72" fillId="4" borderId="0" xfId="0" applyNumberFormat="1" applyFont="1" applyFill="1" applyBorder="1" applyAlignment="1" applyProtection="1">
      <alignment horizontal="distributed" vertical="center"/>
    </xf>
    <xf numFmtId="176" fontId="85" fillId="4" borderId="0" xfId="0" applyNumberFormat="1" applyFont="1" applyFill="1" applyBorder="1" applyAlignment="1" applyProtection="1">
      <alignment horizontal="distributed" vertical="center"/>
    </xf>
    <xf numFmtId="176" fontId="72" fillId="4" borderId="0" xfId="0" applyNumberFormat="1" applyFont="1" applyFill="1" applyBorder="1" applyAlignment="1" applyProtection="1">
      <alignment horizontal="right" vertical="center"/>
    </xf>
    <xf numFmtId="176" fontId="85" fillId="4" borderId="0" xfId="0" applyNumberFormat="1" applyFont="1" applyFill="1" applyBorder="1" applyAlignment="1" applyProtection="1">
      <alignment horizontal="justify" vertical="center"/>
    </xf>
    <xf numFmtId="0" fontId="67" fillId="4" borderId="23" xfId="0" applyFont="1" applyFill="1" applyBorder="1" applyAlignment="1" applyProtection="1">
      <alignment horizontal="justify" vertical="center"/>
    </xf>
    <xf numFmtId="0" fontId="67" fillId="4" borderId="465" xfId="0" applyFont="1" applyFill="1" applyBorder="1" applyAlignment="1" applyProtection="1">
      <alignment horizontal="justify" vertical="center"/>
    </xf>
    <xf numFmtId="49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distributed" vertical="center"/>
    </xf>
    <xf numFmtId="0" fontId="11" fillId="4" borderId="23" xfId="0" applyFont="1" applyFill="1" applyBorder="1" applyAlignment="1" applyProtection="1">
      <alignment horizontal="justify" vertical="center"/>
    </xf>
    <xf numFmtId="176" fontId="11" fillId="4" borderId="23" xfId="0" applyNumberFormat="1" applyFont="1" applyFill="1" applyBorder="1" applyAlignment="1" applyProtection="1">
      <alignment horizontal="right" vertical="center"/>
    </xf>
    <xf numFmtId="0" fontId="25" fillId="4" borderId="0" xfId="0" applyFont="1" applyFill="1" applyBorder="1" applyAlignment="1" applyProtection="1">
      <alignment horizontal="justify" vertical="center"/>
    </xf>
    <xf numFmtId="14" fontId="11" fillId="4" borderId="23" xfId="0" applyNumberFormat="1" applyFont="1" applyFill="1" applyBorder="1" applyAlignment="1" applyProtection="1">
      <alignment horizontal="right" vertical="center"/>
    </xf>
    <xf numFmtId="14" fontId="11" fillId="4" borderId="0" xfId="0" applyNumberFormat="1" applyFont="1" applyFill="1" applyBorder="1" applyAlignment="1" applyProtection="1">
      <alignment horizontal="right" vertical="center"/>
    </xf>
    <xf numFmtId="0" fontId="193" fillId="38" borderId="502" xfId="0" applyFont="1" applyFill="1" applyBorder="1" applyAlignment="1" applyProtection="1">
      <alignment horizontal="center" vertical="center"/>
    </xf>
    <xf numFmtId="0" fontId="193" fillId="38" borderId="503" xfId="0" applyFont="1" applyFill="1" applyBorder="1" applyAlignment="1" applyProtection="1">
      <alignment horizontal="center" vertical="center"/>
    </xf>
    <xf numFmtId="0" fontId="193" fillId="38" borderId="504" xfId="0" applyFont="1" applyFill="1" applyBorder="1" applyAlignment="1" applyProtection="1">
      <alignment horizontal="center" vertical="center"/>
    </xf>
    <xf numFmtId="0" fontId="0" fillId="37" borderId="0" xfId="0" applyFill="1" applyBorder="1" applyAlignment="1" applyProtection="1">
      <alignment horizontal="center"/>
    </xf>
    <xf numFmtId="0" fontId="193" fillId="38" borderId="502" xfId="0" applyFont="1" applyFill="1" applyBorder="1" applyAlignment="1">
      <alignment horizontal="center" vertical="center"/>
    </xf>
    <xf numFmtId="0" fontId="193" fillId="38" borderId="503" xfId="0" applyFont="1" applyFill="1" applyBorder="1" applyAlignment="1">
      <alignment horizontal="center" vertical="center"/>
    </xf>
    <xf numFmtId="0" fontId="193" fillId="38" borderId="504" xfId="0" applyFont="1" applyFill="1" applyBorder="1" applyAlignment="1">
      <alignment horizontal="center" vertical="center"/>
    </xf>
    <xf numFmtId="0" fontId="35" fillId="38" borderId="502" xfId="0" applyFont="1" applyFill="1" applyBorder="1" applyAlignment="1">
      <alignment horizontal="center" vertical="center"/>
    </xf>
    <xf numFmtId="0" fontId="35" fillId="38" borderId="503" xfId="0" applyFont="1" applyFill="1" applyBorder="1" applyAlignment="1">
      <alignment horizontal="center" vertical="center"/>
    </xf>
    <xf numFmtId="0" fontId="35" fillId="38" borderId="504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3" fillId="9" borderId="507" xfId="0" applyFont="1" applyFill="1" applyBorder="1" applyAlignment="1">
      <alignment horizontal="center"/>
    </xf>
    <xf numFmtId="0" fontId="3" fillId="39" borderId="502" xfId="0" applyFont="1" applyFill="1" applyBorder="1" applyAlignment="1">
      <alignment horizontal="center" vertical="center"/>
    </xf>
    <xf numFmtId="0" fontId="3" fillId="39" borderId="50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39" borderId="504" xfId="0" applyFont="1" applyFill="1" applyBorder="1" applyAlignment="1">
      <alignment horizontal="center" vertical="center"/>
    </xf>
    <xf numFmtId="0" fontId="4" fillId="4" borderId="60" xfId="0" applyFont="1" applyFill="1" applyBorder="1" applyAlignment="1" applyProtection="1">
      <alignment horizontal="center" vertical="center"/>
    </xf>
    <xf numFmtId="0" fontId="4" fillId="4" borderId="339" xfId="0" applyFont="1" applyFill="1" applyBorder="1" applyAlignment="1" applyProtection="1">
      <alignment horizontal="center" vertical="center"/>
    </xf>
    <xf numFmtId="0" fontId="5" fillId="4" borderId="18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left" vertical="center"/>
    </xf>
    <xf numFmtId="177" fontId="35" fillId="28" borderId="8" xfId="0" applyNumberFormat="1" applyFont="1" applyFill="1" applyBorder="1" applyAlignment="1" applyProtection="1">
      <alignment horizontal="center" vertical="center"/>
    </xf>
    <xf numFmtId="0" fontId="35" fillId="3" borderId="8" xfId="0" applyFont="1" applyFill="1" applyBorder="1" applyAlignment="1" applyProtection="1">
      <alignment horizontal="left" vertical="center"/>
    </xf>
    <xf numFmtId="0" fontId="16" fillId="4" borderId="72" xfId="0" applyFont="1" applyFill="1" applyBorder="1" applyAlignment="1" applyProtection="1">
      <alignment horizontal="center" vertical="center"/>
    </xf>
    <xf numFmtId="0" fontId="16" fillId="4" borderId="31" xfId="0" applyFont="1" applyFill="1" applyBorder="1" applyAlignment="1" applyProtection="1">
      <alignment horizontal="center" vertical="center"/>
    </xf>
    <xf numFmtId="0" fontId="16" fillId="4" borderId="179" xfId="0" applyFont="1" applyFill="1" applyBorder="1" applyAlignment="1" applyProtection="1">
      <alignment horizontal="center" vertical="center"/>
    </xf>
    <xf numFmtId="0" fontId="16" fillId="4" borderId="48" xfId="0" applyFont="1" applyFill="1" applyBorder="1" applyAlignment="1" applyProtection="1">
      <alignment horizontal="center" vertical="center"/>
    </xf>
    <xf numFmtId="0" fontId="16" fillId="4" borderId="32" xfId="0" applyFont="1" applyFill="1" applyBorder="1" applyAlignment="1" applyProtection="1">
      <alignment horizontal="center" vertical="center"/>
    </xf>
    <xf numFmtId="0" fontId="16" fillId="4" borderId="24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27" xfId="0" applyFont="1" applyFill="1" applyBorder="1" applyAlignment="1" applyProtection="1">
      <alignment horizontal="center" vertical="center"/>
    </xf>
    <xf numFmtId="0" fontId="16" fillId="4" borderId="26" xfId="0" applyFont="1" applyFill="1" applyBorder="1" applyAlignment="1" applyProtection="1">
      <alignment horizontal="center" vertical="center"/>
    </xf>
    <xf numFmtId="0" fontId="16" fillId="4" borderId="16" xfId="0" applyFont="1" applyFill="1" applyBorder="1" applyAlignment="1" applyProtection="1">
      <alignment horizontal="center" vertical="center"/>
    </xf>
    <xf numFmtId="0" fontId="16" fillId="4" borderId="65" xfId="0" applyFont="1" applyFill="1" applyBorder="1" applyAlignment="1" applyProtection="1">
      <alignment horizontal="center" vertical="center"/>
    </xf>
    <xf numFmtId="0" fontId="16" fillId="4" borderId="30" xfId="0" applyFont="1" applyFill="1" applyBorder="1" applyAlignment="1" applyProtection="1">
      <alignment horizontal="center" vertical="center"/>
    </xf>
    <xf numFmtId="0" fontId="3" fillId="14" borderId="21" xfId="0" applyNumberFormat="1" applyFont="1" applyFill="1" applyBorder="1" applyAlignment="1" applyProtection="1">
      <alignment horizontal="center" vertical="center"/>
    </xf>
    <xf numFmtId="0" fontId="2" fillId="4" borderId="163" xfId="0" applyFont="1" applyFill="1" applyBorder="1" applyAlignment="1" applyProtection="1">
      <alignment horizontal="center" vertical="center" wrapText="1"/>
    </xf>
    <xf numFmtId="0" fontId="2" fillId="4" borderId="164" xfId="0" applyFont="1" applyFill="1" applyBorder="1" applyAlignment="1" applyProtection="1">
      <alignment horizontal="center" vertical="center" wrapText="1"/>
    </xf>
    <xf numFmtId="0" fontId="2" fillId="4" borderId="165" xfId="0" applyFont="1" applyFill="1" applyBorder="1" applyAlignment="1" applyProtection="1">
      <alignment horizontal="center" vertical="center" wrapText="1"/>
    </xf>
    <xf numFmtId="0" fontId="2" fillId="4" borderId="6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 vertical="center" wrapText="1"/>
    </xf>
    <xf numFmtId="0" fontId="2" fillId="4" borderId="128" xfId="0" applyFont="1" applyFill="1" applyBorder="1" applyAlignment="1" applyProtection="1">
      <alignment horizontal="center" vertical="center" wrapText="1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4" borderId="60" xfId="0" applyFont="1" applyFill="1" applyBorder="1" applyAlignment="1" applyProtection="1">
      <alignment horizontal="center" vertical="center" wrapText="1"/>
    </xf>
    <xf numFmtId="0" fontId="2" fillId="4" borderId="22" xfId="0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distributed" vertical="center"/>
    </xf>
    <xf numFmtId="0" fontId="2" fillId="9" borderId="83" xfId="0" applyFont="1" applyFill="1" applyBorder="1" applyAlignment="1" applyProtection="1">
      <alignment horizontal="distributed" vertical="center"/>
    </xf>
    <xf numFmtId="0" fontId="2" fillId="10" borderId="157" xfId="0" applyNumberFormat="1" applyFont="1" applyFill="1" applyBorder="1" applyAlignment="1" applyProtection="1">
      <alignment horizontal="justify" vertical="center"/>
    </xf>
    <xf numFmtId="0" fontId="2" fillId="10" borderId="8" xfId="0" applyNumberFormat="1" applyFont="1" applyFill="1" applyBorder="1" applyAlignment="1" applyProtection="1">
      <alignment horizontal="justify" vertical="center"/>
    </xf>
    <xf numFmtId="0" fontId="2" fillId="10" borderId="9" xfId="0" applyNumberFormat="1" applyFont="1" applyFill="1" applyBorder="1" applyAlignment="1" applyProtection="1">
      <alignment horizontal="justify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175" fontId="3" fillId="10" borderId="8" xfId="0" applyNumberFormat="1" applyFont="1" applyFill="1" applyBorder="1" applyAlignment="1" applyProtection="1">
      <alignment horizontal="center" vertical="center"/>
    </xf>
    <xf numFmtId="1" fontId="3" fillId="4" borderId="72" xfId="0" applyNumberFormat="1" applyFont="1" applyFill="1" applyBorder="1" applyAlignment="1" applyProtection="1">
      <alignment horizontal="center" vertical="center"/>
    </xf>
    <xf numFmtId="1" fontId="3" fillId="4" borderId="179" xfId="0" applyNumberFormat="1" applyFont="1" applyFill="1" applyBorder="1" applyAlignment="1" applyProtection="1">
      <alignment horizontal="center" vertical="center"/>
    </xf>
    <xf numFmtId="169" fontId="3" fillId="11" borderId="48" xfId="0" applyNumberFormat="1" applyFont="1" applyFill="1" applyBorder="1" applyAlignment="1" applyProtection="1">
      <alignment horizontal="center" vertical="center"/>
    </xf>
    <xf numFmtId="169" fontId="3" fillId="11" borderId="31" xfId="0" applyNumberFormat="1" applyFont="1" applyFill="1" applyBorder="1" applyAlignment="1" applyProtection="1">
      <alignment horizontal="center" vertical="center"/>
    </xf>
    <xf numFmtId="169" fontId="3" fillId="11" borderId="32" xfId="0" applyNumberFormat="1" applyFont="1" applyFill="1" applyBorder="1" applyAlignment="1" applyProtection="1">
      <alignment horizontal="center" vertical="center"/>
    </xf>
    <xf numFmtId="0" fontId="3" fillId="4" borderId="84" xfId="0" applyNumberFormat="1" applyFont="1" applyFill="1" applyBorder="1" applyAlignment="1" applyProtection="1">
      <alignment horizontal="justify" vertical="center"/>
    </xf>
    <xf numFmtId="0" fontId="3" fillId="4" borderId="187" xfId="0" applyNumberFormat="1" applyFont="1" applyFill="1" applyBorder="1" applyAlignment="1" applyProtection="1">
      <alignment horizontal="justify" vertical="center"/>
    </xf>
    <xf numFmtId="0" fontId="2" fillId="5" borderId="206" xfId="0" applyNumberFormat="1" applyFont="1" applyFill="1" applyBorder="1" applyAlignment="1" applyProtection="1">
      <alignment horizontal="center" vertical="center"/>
    </xf>
    <xf numFmtId="174" fontId="2" fillId="5" borderId="206" xfId="0" applyNumberFormat="1" applyFont="1" applyFill="1" applyBorder="1" applyAlignment="1" applyProtection="1">
      <alignment horizontal="center" vertical="center"/>
    </xf>
    <xf numFmtId="174" fontId="2" fillId="4" borderId="48" xfId="0" applyNumberFormat="1" applyFont="1" applyFill="1" applyBorder="1" applyAlignment="1" applyProtection="1">
      <alignment horizontal="right" vertical="center" wrapText="1" indent="4"/>
    </xf>
    <xf numFmtId="174" fontId="2" fillId="4" borderId="31" xfId="0" applyNumberFormat="1" applyFont="1" applyFill="1" applyBorder="1" applyAlignment="1" applyProtection="1">
      <alignment horizontal="right" vertical="center" wrapText="1" indent="4"/>
    </xf>
    <xf numFmtId="174" fontId="2" fillId="4" borderId="179" xfId="0" applyNumberFormat="1" applyFont="1" applyFill="1" applyBorder="1" applyAlignment="1" applyProtection="1">
      <alignment horizontal="right" vertical="center" wrapText="1" indent="4"/>
    </xf>
    <xf numFmtId="164" fontId="38" fillId="4" borderId="31" xfId="0" applyNumberFormat="1" applyFont="1" applyFill="1" applyBorder="1" applyAlignment="1" applyProtection="1">
      <alignment horizontal="right" vertical="center"/>
    </xf>
    <xf numFmtId="164" fontId="38" fillId="4" borderId="179" xfId="0" applyNumberFormat="1" applyFont="1" applyFill="1" applyBorder="1" applyAlignment="1" applyProtection="1">
      <alignment horizontal="right" vertical="center"/>
    </xf>
    <xf numFmtId="169" fontId="3" fillId="5" borderId="262" xfId="0" applyNumberFormat="1" applyFont="1" applyFill="1" applyBorder="1" applyAlignment="1" applyProtection="1">
      <alignment horizontal="center" vertical="center"/>
    </xf>
    <xf numFmtId="169" fontId="3" fillId="5" borderId="264" xfId="0" applyNumberFormat="1" applyFont="1" applyFill="1" applyBorder="1" applyAlignment="1" applyProtection="1">
      <alignment horizontal="center" vertical="center"/>
    </xf>
    <xf numFmtId="167" fontId="3" fillId="5" borderId="224" xfId="0" applyNumberFormat="1" applyFont="1" applyFill="1" applyBorder="1" applyAlignment="1" applyProtection="1">
      <alignment horizontal="center" vertical="center"/>
    </xf>
    <xf numFmtId="167" fontId="3" fillId="5" borderId="225" xfId="0" applyNumberFormat="1" applyFont="1" applyFill="1" applyBorder="1" applyAlignment="1" applyProtection="1">
      <alignment horizontal="center" vertical="center"/>
    </xf>
    <xf numFmtId="0" fontId="3" fillId="4" borderId="24" xfId="0" applyNumberFormat="1" applyFont="1" applyFill="1" applyBorder="1" applyAlignment="1" applyProtection="1">
      <alignment horizontal="justify" vertical="center"/>
    </xf>
    <xf numFmtId="0" fontId="3" fillId="4" borderId="15" xfId="0" applyNumberFormat="1" applyFont="1" applyFill="1" applyBorder="1" applyAlignment="1" applyProtection="1">
      <alignment horizontal="justify" vertical="center"/>
    </xf>
    <xf numFmtId="0" fontId="2" fillId="5" borderId="25" xfId="0" applyNumberFormat="1" applyFont="1" applyFill="1" applyBorder="1" applyAlignment="1" applyProtection="1">
      <alignment horizontal="center" vertical="center"/>
    </xf>
    <xf numFmtId="174" fontId="2" fillId="5" borderId="25" xfId="0" applyNumberFormat="1" applyFont="1" applyFill="1" applyBorder="1" applyAlignment="1" applyProtection="1">
      <alignment horizontal="center" vertical="center"/>
    </xf>
    <xf numFmtId="174" fontId="2" fillId="4" borderId="224" xfId="0" applyNumberFormat="1" applyFont="1" applyFill="1" applyBorder="1" applyAlignment="1" applyProtection="1">
      <alignment horizontal="right" vertical="center" indent="4"/>
    </xf>
    <xf numFmtId="174" fontId="2" fillId="4" borderId="222" xfId="0" applyNumberFormat="1" applyFont="1" applyFill="1" applyBorder="1" applyAlignment="1" applyProtection="1">
      <alignment horizontal="right" vertical="center" indent="4"/>
    </xf>
    <xf numFmtId="174" fontId="2" fillId="4" borderId="225" xfId="0" applyNumberFormat="1" applyFont="1" applyFill="1" applyBorder="1" applyAlignment="1" applyProtection="1">
      <alignment horizontal="right" vertical="center" indent="4"/>
    </xf>
    <xf numFmtId="164" fontId="38" fillId="4" borderId="222" xfId="0" applyNumberFormat="1" applyFont="1" applyFill="1" applyBorder="1" applyAlignment="1" applyProtection="1">
      <alignment horizontal="right" vertical="center"/>
    </xf>
    <xf numFmtId="164" fontId="38" fillId="4" borderId="225" xfId="0" applyNumberFormat="1" applyFont="1" applyFill="1" applyBorder="1" applyAlignment="1" applyProtection="1">
      <alignment horizontal="right" vertical="center"/>
    </xf>
    <xf numFmtId="169" fontId="3" fillId="5" borderId="70" xfId="0" applyNumberFormat="1" applyFont="1" applyFill="1" applyBorder="1" applyAlignment="1" applyProtection="1">
      <alignment horizontal="center" vertical="center"/>
    </xf>
    <xf numFmtId="169" fontId="3" fillId="5" borderId="87" xfId="0" applyNumberFormat="1" applyFont="1" applyFill="1" applyBorder="1" applyAlignment="1" applyProtection="1">
      <alignment horizontal="center" vertical="center"/>
    </xf>
    <xf numFmtId="0" fontId="3" fillId="4" borderId="86" xfId="0" applyNumberFormat="1" applyFont="1" applyFill="1" applyBorder="1" applyAlignment="1" applyProtection="1">
      <alignment horizontal="justify" vertical="center"/>
    </xf>
    <xf numFmtId="0" fontId="3" fillId="4" borderId="23" xfId="0" applyNumberFormat="1" applyFont="1" applyFill="1" applyBorder="1" applyAlignment="1" applyProtection="1">
      <alignment horizontal="justify" vertical="center"/>
    </xf>
    <xf numFmtId="0" fontId="2" fillId="5" borderId="38" xfId="0" applyNumberFormat="1" applyFont="1" applyFill="1" applyBorder="1" applyAlignment="1" applyProtection="1">
      <alignment horizontal="center" vertical="center"/>
    </xf>
    <xf numFmtId="174" fontId="2" fillId="5" borderId="38" xfId="0" applyNumberFormat="1" applyFont="1" applyFill="1" applyBorder="1" applyAlignment="1" applyProtection="1">
      <alignment horizontal="center" vertical="center"/>
    </xf>
    <xf numFmtId="174" fontId="2" fillId="4" borderId="65" xfId="0" applyNumberFormat="1" applyFont="1" applyFill="1" applyBorder="1" applyAlignment="1" applyProtection="1">
      <alignment horizontal="right" vertical="center" indent="4"/>
    </xf>
    <xf numFmtId="174" fontId="2" fillId="4" borderId="29" xfId="0" applyNumberFormat="1" applyFont="1" applyFill="1" applyBorder="1" applyAlignment="1" applyProtection="1">
      <alignment horizontal="right" vertical="center" indent="4"/>
    </xf>
    <xf numFmtId="174" fontId="2" fillId="4" borderId="161" xfId="0" applyNumberFormat="1" applyFont="1" applyFill="1" applyBorder="1" applyAlignment="1" applyProtection="1">
      <alignment horizontal="right" vertical="center" indent="4"/>
    </xf>
    <xf numFmtId="164" fontId="38" fillId="4" borderId="29" xfId="0" applyNumberFormat="1" applyFont="1" applyFill="1" applyBorder="1" applyAlignment="1" applyProtection="1">
      <alignment horizontal="right" vertical="center"/>
    </xf>
    <xf numFmtId="164" fontId="38" fillId="4" borderId="161" xfId="0" applyNumberFormat="1" applyFont="1" applyFill="1" applyBorder="1" applyAlignment="1" applyProtection="1">
      <alignment horizontal="right" vertical="center"/>
    </xf>
    <xf numFmtId="169" fontId="3" fillId="5" borderId="65" xfId="0" applyNumberFormat="1" applyFont="1" applyFill="1" applyBorder="1" applyAlignment="1" applyProtection="1">
      <alignment horizontal="center" vertical="center"/>
    </xf>
    <xf numFmtId="169" fontId="3" fillId="5" borderId="161" xfId="0" applyNumberFormat="1" applyFont="1" applyFill="1" applyBorder="1" applyAlignment="1" applyProtection="1">
      <alignment horizontal="center" vertical="center"/>
    </xf>
    <xf numFmtId="167" fontId="3" fillId="5" borderId="65" xfId="0" applyNumberFormat="1" applyFont="1" applyFill="1" applyBorder="1" applyAlignment="1" applyProtection="1">
      <alignment horizontal="center" vertical="center"/>
    </xf>
    <xf numFmtId="167" fontId="3" fillId="5" borderId="161" xfId="0" applyNumberFormat="1" applyFont="1" applyFill="1" applyBorder="1" applyAlignment="1" applyProtection="1">
      <alignment horizontal="center" vertical="center"/>
    </xf>
    <xf numFmtId="169" fontId="38" fillId="10" borderId="0" xfId="0" applyNumberFormat="1" applyFont="1" applyFill="1" applyBorder="1" applyAlignment="1" applyProtection="1">
      <alignment horizontal="right" vertical="center"/>
    </xf>
    <xf numFmtId="169" fontId="38" fillId="10" borderId="128" xfId="0" applyNumberFormat="1" applyFont="1" applyFill="1" applyBorder="1" applyAlignment="1" applyProtection="1">
      <alignment horizontal="right" vertical="center"/>
    </xf>
    <xf numFmtId="169" fontId="16" fillId="4" borderId="26" xfId="0" applyNumberFormat="1" applyFont="1" applyFill="1" applyBorder="1" applyAlignment="1" applyProtection="1">
      <alignment horizontal="right" vertical="center"/>
    </xf>
    <xf numFmtId="169" fontId="16" fillId="4" borderId="15" xfId="0" applyNumberFormat="1" applyFont="1" applyFill="1" applyBorder="1" applyAlignment="1" applyProtection="1">
      <alignment horizontal="right" vertical="center"/>
    </xf>
    <xf numFmtId="169" fontId="16" fillId="4" borderId="27" xfId="0" applyNumberFormat="1" applyFont="1" applyFill="1" applyBorder="1" applyAlignment="1" applyProtection="1">
      <alignment horizontal="right" vertical="center"/>
    </xf>
    <xf numFmtId="1" fontId="16" fillId="4" borderId="26" xfId="0" applyNumberFormat="1" applyFont="1" applyFill="1" applyBorder="1" applyAlignment="1" applyProtection="1">
      <alignment horizontal="center" vertical="center"/>
    </xf>
    <xf numFmtId="1" fontId="16" fillId="4" borderId="15" xfId="0" applyNumberFormat="1" applyFont="1" applyFill="1" applyBorder="1" applyAlignment="1" applyProtection="1">
      <alignment horizontal="center" vertical="center"/>
    </xf>
    <xf numFmtId="1" fontId="16" fillId="4" borderId="16" xfId="0" applyNumberFormat="1" applyFont="1" applyFill="1" applyBorder="1" applyAlignment="1" applyProtection="1">
      <alignment horizontal="center" vertical="center"/>
    </xf>
    <xf numFmtId="0" fontId="36" fillId="0" borderId="173" xfId="0" applyFont="1" applyBorder="1" applyAlignment="1" applyProtection="1">
      <alignment wrapText="1"/>
    </xf>
    <xf numFmtId="0" fontId="36" fillId="0" borderId="67" xfId="0" applyFont="1" applyBorder="1" applyAlignment="1" applyProtection="1">
      <alignment wrapText="1"/>
    </xf>
    <xf numFmtId="169" fontId="38" fillId="10" borderId="60" xfId="0" applyNumberFormat="1" applyFont="1" applyFill="1" applyBorder="1" applyAlignment="1" applyProtection="1">
      <alignment horizontal="right" vertical="center"/>
    </xf>
    <xf numFmtId="169" fontId="38" fillId="10" borderId="22" xfId="0" applyNumberFormat="1" applyFont="1" applyFill="1" applyBorder="1" applyAlignment="1" applyProtection="1">
      <alignment horizontal="right" vertical="center"/>
    </xf>
    <xf numFmtId="1" fontId="16" fillId="4" borderId="24" xfId="0" applyNumberFormat="1" applyFont="1" applyFill="1" applyBorder="1" applyAlignment="1" applyProtection="1">
      <alignment horizontal="center" vertical="center"/>
    </xf>
    <xf numFmtId="1" fontId="16" fillId="4" borderId="88" xfId="0" applyNumberFormat="1" applyFont="1" applyFill="1" applyBorder="1" applyAlignment="1" applyProtection="1">
      <alignment horizontal="center" vertical="center"/>
    </xf>
    <xf numFmtId="1" fontId="16" fillId="4" borderId="74" xfId="0" applyNumberFormat="1" applyFont="1" applyFill="1" applyBorder="1" applyAlignment="1" applyProtection="1">
      <alignment horizontal="center" vertical="center"/>
    </xf>
    <xf numFmtId="1" fontId="16" fillId="4" borderId="89" xfId="0" applyNumberFormat="1" applyFont="1" applyFill="1" applyBorder="1" applyAlignment="1" applyProtection="1">
      <alignment horizontal="center" vertical="center"/>
    </xf>
    <xf numFmtId="175" fontId="6" fillId="10" borderId="166" xfId="0" applyNumberFormat="1" applyFont="1" applyFill="1" applyBorder="1" applyAlignment="1" applyProtection="1">
      <alignment horizontal="center" vertical="center"/>
    </xf>
    <xf numFmtId="1" fontId="16" fillId="4" borderId="14" xfId="0" applyNumberFormat="1" applyFont="1" applyFill="1" applyBorder="1" applyAlignment="1" applyProtection="1">
      <alignment horizontal="center" vertical="center"/>
    </xf>
    <xf numFmtId="0" fontId="16" fillId="4" borderId="25" xfId="0" applyFont="1" applyFill="1" applyBorder="1" applyAlignment="1" applyProtection="1">
      <alignment horizontal="center" vertical="center"/>
    </xf>
    <xf numFmtId="169" fontId="16" fillId="4" borderId="25" xfId="0" applyNumberFormat="1" applyFont="1" applyFill="1" applyBorder="1" applyAlignment="1" applyProtection="1">
      <alignment horizontal="right" vertical="center"/>
    </xf>
    <xf numFmtId="178" fontId="3" fillId="10" borderId="8" xfId="0" applyNumberFormat="1" applyFont="1" applyFill="1" applyBorder="1" applyAlignment="1" applyProtection="1">
      <alignment horizontal="center" vertical="center"/>
    </xf>
    <xf numFmtId="1" fontId="16" fillId="4" borderId="84" xfId="0" applyNumberFormat="1" applyFont="1" applyFill="1" applyBorder="1" applyAlignment="1" applyProtection="1">
      <alignment horizontal="center" vertical="center"/>
    </xf>
    <xf numFmtId="0" fontId="16" fillId="4" borderId="74" xfId="0" applyFont="1" applyFill="1" applyBorder="1" applyAlignment="1" applyProtection="1">
      <alignment horizontal="center" vertical="center"/>
    </xf>
    <xf numFmtId="0" fontId="16" fillId="4" borderId="85" xfId="0" applyFont="1" applyFill="1" applyBorder="1" applyAlignment="1" applyProtection="1">
      <alignment horizontal="center" vertical="center"/>
    </xf>
    <xf numFmtId="169" fontId="16" fillId="4" borderId="88" xfId="0" applyNumberFormat="1" applyFont="1" applyFill="1" applyBorder="1" applyAlignment="1" applyProtection="1">
      <alignment horizontal="right" vertical="center"/>
    </xf>
    <xf numFmtId="169" fontId="16" fillId="4" borderId="74" xfId="0" applyNumberFormat="1" applyFont="1" applyFill="1" applyBorder="1" applyAlignment="1" applyProtection="1">
      <alignment horizontal="right" vertical="center"/>
    </xf>
    <xf numFmtId="169" fontId="16" fillId="4" borderId="85" xfId="0" applyNumberFormat="1" applyFont="1" applyFill="1" applyBorder="1" applyAlignment="1" applyProtection="1">
      <alignment horizontal="right" vertical="center"/>
    </xf>
    <xf numFmtId="0" fontId="39" fillId="10" borderId="249" xfId="0" applyFont="1" applyFill="1" applyBorder="1" applyAlignment="1" applyProtection="1">
      <alignment horizontal="center" vertical="center"/>
    </xf>
    <xf numFmtId="0" fontId="17" fillId="4" borderId="17" xfId="0" applyFont="1" applyFill="1" applyBorder="1" applyAlignment="1" applyProtection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</xf>
    <xf numFmtId="1" fontId="16" fillId="4" borderId="65" xfId="0" applyNumberFormat="1" applyFont="1" applyFill="1" applyBorder="1" applyAlignment="1" applyProtection="1">
      <alignment horizontal="center" vertical="center"/>
    </xf>
    <xf numFmtId="1" fontId="16" fillId="4" borderId="29" xfId="0" applyNumberFormat="1" applyFont="1" applyFill="1" applyBorder="1" applyAlignment="1" applyProtection="1">
      <alignment horizontal="center" vertical="center"/>
    </xf>
    <xf numFmtId="1" fontId="16" fillId="4" borderId="30" xfId="0" applyNumberFormat="1" applyFont="1" applyFill="1" applyBorder="1" applyAlignment="1" applyProtection="1">
      <alignment horizontal="center" vertical="center"/>
    </xf>
    <xf numFmtId="0" fontId="3" fillId="6" borderId="72" xfId="0" applyFont="1" applyFill="1" applyBorder="1" applyAlignment="1" applyProtection="1">
      <alignment horizontal="justify" vertical="center"/>
    </xf>
    <xf numFmtId="0" fontId="3" fillId="6" borderId="31" xfId="0" applyFont="1" applyFill="1" applyBorder="1" applyAlignment="1" applyProtection="1">
      <alignment horizontal="justify" vertical="center"/>
    </xf>
    <xf numFmtId="0" fontId="46" fillId="4" borderId="72" xfId="0" applyFont="1" applyFill="1" applyBorder="1" applyAlignment="1" applyProtection="1">
      <alignment horizontal="justify" vertical="center"/>
    </xf>
    <xf numFmtId="0" fontId="46" fillId="4" borderId="31" xfId="0" applyFont="1" applyFill="1" applyBorder="1" applyAlignment="1" applyProtection="1">
      <alignment horizontal="justify" vertical="center"/>
    </xf>
    <xf numFmtId="0" fontId="43" fillId="4" borderId="31" xfId="0" applyFont="1" applyFill="1" applyBorder="1" applyAlignment="1" applyProtection="1">
      <alignment horizontal="right" vertical="center"/>
    </xf>
    <xf numFmtId="0" fontId="43" fillId="4" borderId="31" xfId="0" applyFont="1" applyFill="1" applyBorder="1" applyAlignment="1" applyProtection="1">
      <alignment vertical="center"/>
    </xf>
    <xf numFmtId="0" fontId="43" fillId="4" borderId="32" xfId="0" applyFont="1" applyFill="1" applyBorder="1" applyAlignment="1" applyProtection="1">
      <alignment vertical="center"/>
    </xf>
    <xf numFmtId="0" fontId="2" fillId="10" borderId="29" xfId="0" applyFont="1" applyFill="1" applyBorder="1" applyAlignment="1" applyProtection="1">
      <alignment horizontal="justify" vertical="center"/>
    </xf>
    <xf numFmtId="176" fontId="6" fillId="10" borderId="29" xfId="0" applyNumberFormat="1" applyFont="1" applyFill="1" applyBorder="1" applyAlignment="1" applyProtection="1">
      <alignment horizontal="right" vertical="center"/>
    </xf>
    <xf numFmtId="176" fontId="6" fillId="10" borderId="30" xfId="0" applyNumberFormat="1" applyFont="1" applyFill="1" applyBorder="1" applyAlignment="1" applyProtection="1">
      <alignment horizontal="right" vertical="center"/>
    </xf>
    <xf numFmtId="175" fontId="6" fillId="10" borderId="68" xfId="0" applyNumberFormat="1" applyFont="1" applyFill="1" applyBorder="1" applyAlignment="1" applyProtection="1">
      <alignment horizontal="center" vertical="center"/>
    </xf>
    <xf numFmtId="169" fontId="11" fillId="4" borderId="0" xfId="0" applyNumberFormat="1" applyFont="1" applyFill="1" applyBorder="1" applyAlignment="1" applyProtection="1">
      <alignment horizontal="justify" vertical="center"/>
    </xf>
    <xf numFmtId="0" fontId="16" fillId="4" borderId="182" xfId="0" applyFont="1" applyFill="1" applyBorder="1" applyAlignment="1" applyProtection="1">
      <alignment horizontal="center" vertical="center"/>
    </xf>
    <xf numFmtId="0" fontId="16" fillId="4" borderId="183" xfId="0" applyFont="1" applyFill="1" applyBorder="1" applyAlignment="1" applyProtection="1">
      <alignment horizontal="center" vertical="center"/>
    </xf>
    <xf numFmtId="0" fontId="16" fillId="4" borderId="181" xfId="0" applyFont="1" applyFill="1" applyBorder="1" applyAlignment="1" applyProtection="1">
      <alignment horizontal="center" vertical="center"/>
    </xf>
    <xf numFmtId="169" fontId="34" fillId="15" borderId="18" xfId="0" applyNumberFormat="1" applyFont="1" applyFill="1" applyBorder="1" applyAlignment="1" applyProtection="1">
      <alignment horizontal="center" vertical="center"/>
    </xf>
    <xf numFmtId="169" fontId="34" fillId="15" borderId="19" xfId="0" applyNumberFormat="1" applyFont="1" applyFill="1" applyBorder="1" applyAlignment="1" applyProtection="1">
      <alignment horizontal="center" vertical="center"/>
    </xf>
    <xf numFmtId="169" fontId="34" fillId="15" borderId="213" xfId="0" applyNumberFormat="1" applyFont="1" applyFill="1" applyBorder="1" applyAlignment="1" applyProtection="1">
      <alignment horizontal="center" vertical="center"/>
    </xf>
    <xf numFmtId="169" fontId="34" fillId="15" borderId="214" xfId="0" applyNumberFormat="1" applyFont="1" applyFill="1" applyBorder="1" applyAlignment="1" applyProtection="1">
      <alignment horizontal="center" vertical="center"/>
    </xf>
    <xf numFmtId="49" fontId="76" fillId="10" borderId="166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167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229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8" xfId="0" applyNumberFormat="1" applyFont="1" applyFill="1" applyBorder="1" applyAlignment="1" applyProtection="1">
      <alignment horizontal="justify" vertical="top" wrapText="1"/>
      <protection locked="0"/>
    </xf>
    <xf numFmtId="49" fontId="76" fillId="10" borderId="69" xfId="0" applyNumberFormat="1" applyFont="1" applyFill="1" applyBorder="1" applyAlignment="1" applyProtection="1">
      <alignment horizontal="justify" vertical="top" wrapText="1"/>
      <protection locked="0"/>
    </xf>
    <xf numFmtId="169" fontId="34" fillId="10" borderId="61" xfId="0" applyNumberFormat="1" applyFont="1" applyFill="1" applyBorder="1" applyAlignment="1" applyProtection="1">
      <alignment horizontal="center" vertical="center"/>
      <protection locked="0"/>
    </xf>
    <xf numFmtId="169" fontId="34" fillId="10" borderId="0" xfId="0" applyNumberFormat="1" applyFont="1" applyFill="1" applyBorder="1" applyAlignment="1" applyProtection="1">
      <alignment horizontal="center" vertical="center"/>
      <protection locked="0"/>
    </xf>
    <xf numFmtId="169" fontId="34" fillId="10" borderId="128" xfId="0" applyNumberFormat="1" applyFont="1" applyFill="1" applyBorder="1" applyAlignment="1" applyProtection="1">
      <alignment horizontal="center" vertical="center"/>
      <protection locked="0"/>
    </xf>
    <xf numFmtId="169" fontId="34" fillId="10" borderId="21" xfId="0" applyNumberFormat="1" applyFont="1" applyFill="1" applyBorder="1" applyAlignment="1" applyProtection="1">
      <alignment horizontal="center" vertical="center"/>
      <protection locked="0"/>
    </xf>
    <xf numFmtId="169" fontId="34" fillId="10" borderId="60" xfId="0" applyNumberFormat="1" applyFont="1" applyFill="1" applyBorder="1" applyAlignment="1" applyProtection="1">
      <alignment horizontal="center" vertical="center"/>
      <protection locked="0"/>
    </xf>
    <xf numFmtId="169" fontId="34" fillId="10" borderId="22" xfId="0" applyNumberFormat="1" applyFont="1" applyFill="1" applyBorder="1" applyAlignment="1" applyProtection="1">
      <alignment horizontal="center" vertical="center"/>
      <protection locked="0"/>
    </xf>
    <xf numFmtId="173" fontId="78" fillId="12" borderId="21" xfId="0" applyNumberFormat="1" applyFont="1" applyFill="1" applyBorder="1" applyAlignment="1" applyProtection="1">
      <alignment horizontal="center" vertical="center"/>
    </xf>
    <xf numFmtId="173" fontId="78" fillId="12" borderId="60" xfId="0" applyNumberFormat="1" applyFont="1" applyFill="1" applyBorder="1" applyAlignment="1" applyProtection="1">
      <alignment horizontal="center" vertical="center"/>
    </xf>
    <xf numFmtId="173" fontId="78" fillId="12" borderId="22" xfId="0" applyNumberFormat="1" applyFont="1" applyFill="1" applyBorder="1" applyAlignment="1" applyProtection="1">
      <alignment horizontal="center" vertical="center"/>
    </xf>
    <xf numFmtId="175" fontId="74" fillId="10" borderId="19" xfId="0" applyNumberFormat="1" applyFont="1" applyFill="1" applyBorder="1" applyAlignment="1" applyProtection="1">
      <alignment horizontal="center" vertical="center"/>
      <protection locked="0"/>
    </xf>
    <xf numFmtId="175" fontId="74" fillId="10" borderId="20" xfId="0" applyNumberFormat="1" applyFont="1" applyFill="1" applyBorder="1" applyAlignment="1" applyProtection="1">
      <alignment horizontal="center" vertical="center"/>
      <protection locked="0"/>
    </xf>
    <xf numFmtId="169" fontId="74" fillId="12" borderId="18" xfId="0" applyNumberFormat="1" applyFont="1" applyFill="1" applyBorder="1" applyAlignment="1" applyProtection="1">
      <alignment horizontal="center" vertical="center"/>
    </xf>
    <xf numFmtId="169" fontId="74" fillId="12" borderId="19" xfId="0" applyNumberFormat="1" applyFont="1" applyFill="1" applyBorder="1" applyAlignment="1" applyProtection="1">
      <alignment horizontal="center" vertical="center"/>
    </xf>
    <xf numFmtId="169" fontId="74" fillId="12" borderId="20" xfId="0" applyNumberFormat="1" applyFont="1" applyFill="1" applyBorder="1" applyAlignment="1" applyProtection="1">
      <alignment horizontal="center" vertical="center"/>
    </xf>
    <xf numFmtId="169" fontId="74" fillId="12" borderId="21" xfId="0" applyNumberFormat="1" applyFont="1" applyFill="1" applyBorder="1" applyAlignment="1" applyProtection="1">
      <alignment horizontal="center" vertical="center"/>
    </xf>
    <xf numFmtId="169" fontId="74" fillId="12" borderId="60" xfId="0" applyNumberFormat="1" applyFont="1" applyFill="1" applyBorder="1" applyAlignment="1" applyProtection="1">
      <alignment horizontal="center" vertical="center"/>
    </xf>
    <xf numFmtId="169" fontId="74" fillId="12" borderId="22" xfId="0" applyNumberFormat="1" applyFont="1" applyFill="1" applyBorder="1" applyAlignment="1" applyProtection="1">
      <alignment horizontal="center" vertical="center"/>
    </xf>
    <xf numFmtId="169" fontId="74" fillId="15" borderId="215" xfId="0" applyNumberFormat="1" applyFont="1" applyFill="1" applyBorder="1" applyAlignment="1" applyProtection="1">
      <alignment horizontal="center" vertical="center"/>
    </xf>
    <xf numFmtId="169" fontId="74" fillId="15" borderId="0" xfId="0" applyNumberFormat="1" applyFont="1" applyFill="1" applyBorder="1" applyAlignment="1" applyProtection="1">
      <alignment horizontal="center" vertical="center"/>
    </xf>
    <xf numFmtId="169" fontId="74" fillId="15" borderId="60" xfId="0" applyNumberFormat="1" applyFont="1" applyFill="1" applyBorder="1" applyAlignment="1" applyProtection="1">
      <alignment horizontal="center" vertical="center"/>
    </xf>
    <xf numFmtId="0" fontId="76" fillId="12" borderId="60" xfId="0" applyNumberFormat="1" applyFont="1" applyFill="1" applyBorder="1" applyAlignment="1" applyProtection="1">
      <alignment horizontal="justify" vertical="center" wrapText="1"/>
    </xf>
    <xf numFmtId="0" fontId="76" fillId="12" borderId="22" xfId="0" applyNumberFormat="1" applyFont="1" applyFill="1" applyBorder="1" applyAlignment="1" applyProtection="1">
      <alignment horizontal="justify" vertical="center" wrapText="1"/>
    </xf>
    <xf numFmtId="0" fontId="35" fillId="12" borderId="18" xfId="0" applyFont="1" applyFill="1" applyBorder="1" applyAlignment="1" applyProtection="1">
      <alignment horizontal="center" vertical="center"/>
    </xf>
    <xf numFmtId="0" fontId="35" fillId="12" borderId="19" xfId="0" applyFont="1" applyFill="1" applyBorder="1" applyAlignment="1" applyProtection="1">
      <alignment horizontal="center" vertical="center"/>
    </xf>
    <xf numFmtId="0" fontId="3" fillId="6" borderId="84" xfId="0" applyFont="1" applyFill="1" applyBorder="1" applyAlignment="1" applyProtection="1">
      <alignment horizontal="justify" vertical="center"/>
    </xf>
    <xf numFmtId="0" fontId="3" fillId="6" borderId="187" xfId="0" applyFont="1" applyFill="1" applyBorder="1" applyAlignment="1" applyProtection="1">
      <alignment horizontal="justify" vertical="center"/>
    </xf>
    <xf numFmtId="168" fontId="2" fillId="10" borderId="187" xfId="0" applyNumberFormat="1" applyFont="1" applyFill="1" applyBorder="1" applyAlignment="1" applyProtection="1">
      <alignment horizontal="center" vertical="center"/>
      <protection locked="0"/>
    </xf>
    <xf numFmtId="168" fontId="2" fillId="10" borderId="60" xfId="0" applyNumberFormat="1" applyFont="1" applyFill="1" applyBorder="1" applyAlignment="1" applyProtection="1">
      <alignment horizontal="center" vertical="center"/>
      <protection locked="0"/>
    </xf>
    <xf numFmtId="0" fontId="22" fillId="9" borderId="84" xfId="0" applyFont="1" applyFill="1" applyBorder="1" applyAlignment="1" applyProtection="1">
      <alignment horizontal="center" vertical="center"/>
    </xf>
    <xf numFmtId="0" fontId="22" fillId="9" borderId="187" xfId="0" applyFont="1" applyFill="1" applyBorder="1" applyAlignment="1" applyProtection="1">
      <alignment horizontal="center" vertical="center"/>
    </xf>
    <xf numFmtId="178" fontId="22" fillId="10" borderId="187" xfId="0" applyNumberFormat="1" applyFont="1" applyFill="1" applyBorder="1" applyAlignment="1" applyProtection="1">
      <alignment horizontal="center" vertical="center"/>
      <protection locked="0"/>
    </xf>
    <xf numFmtId="0" fontId="16" fillId="4" borderId="187" xfId="0" applyFont="1" applyFill="1" applyBorder="1" applyAlignment="1" applyProtection="1">
      <alignment horizontal="center" vertical="center"/>
    </xf>
    <xf numFmtId="0" fontId="16" fillId="4" borderId="191" xfId="0" applyFont="1" applyFill="1" applyBorder="1" applyAlignment="1" applyProtection="1">
      <alignment horizontal="center" vertical="center"/>
    </xf>
    <xf numFmtId="1" fontId="16" fillId="4" borderId="61" xfId="0" applyNumberFormat="1" applyFont="1" applyFill="1" applyBorder="1" applyAlignment="1" applyProtection="1">
      <alignment horizontal="center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174" xfId="0" applyFont="1" applyFill="1" applyBorder="1" applyAlignment="1" applyProtection="1">
      <alignment horizontal="center" vertical="center"/>
    </xf>
    <xf numFmtId="169" fontId="16" fillId="4" borderId="186" xfId="0" applyNumberFormat="1" applyFont="1" applyFill="1" applyBorder="1" applyAlignment="1" applyProtection="1">
      <alignment horizontal="right" vertical="center"/>
    </xf>
    <xf numFmtId="169" fontId="16" fillId="4" borderId="187" xfId="0" applyNumberFormat="1" applyFont="1" applyFill="1" applyBorder="1" applyAlignment="1" applyProtection="1">
      <alignment horizontal="right" vertical="center"/>
    </xf>
    <xf numFmtId="169" fontId="16" fillId="4" borderId="191" xfId="0" applyNumberFormat="1" applyFont="1" applyFill="1" applyBorder="1" applyAlignment="1" applyProtection="1">
      <alignment horizontal="right" vertical="center"/>
    </xf>
    <xf numFmtId="169" fontId="16" fillId="4" borderId="173" xfId="0" applyNumberFormat="1" applyFont="1" applyFill="1" applyBorder="1" applyAlignment="1" applyProtection="1">
      <alignment horizontal="right" vertical="center"/>
    </xf>
    <xf numFmtId="169" fontId="16" fillId="4" borderId="0" xfId="0" applyNumberFormat="1" applyFont="1" applyFill="1" applyBorder="1" applyAlignment="1" applyProtection="1">
      <alignment horizontal="right" vertical="center"/>
    </xf>
    <xf numFmtId="169" fontId="16" fillId="4" borderId="174" xfId="0" applyNumberFormat="1" applyFont="1" applyFill="1" applyBorder="1" applyAlignment="1" applyProtection="1">
      <alignment horizontal="right" vertical="center"/>
    </xf>
    <xf numFmtId="1" fontId="16" fillId="4" borderId="186" xfId="0" applyNumberFormat="1" applyFont="1" applyFill="1" applyBorder="1" applyAlignment="1" applyProtection="1">
      <alignment horizontal="center" vertical="center"/>
    </xf>
    <xf numFmtId="1" fontId="16" fillId="4" borderId="187" xfId="0" applyNumberFormat="1" applyFont="1" applyFill="1" applyBorder="1" applyAlignment="1" applyProtection="1">
      <alignment horizontal="center" vertical="center"/>
    </xf>
    <xf numFmtId="1" fontId="16" fillId="4" borderId="173" xfId="0" applyNumberFormat="1" applyFont="1" applyFill="1" applyBorder="1" applyAlignment="1" applyProtection="1">
      <alignment horizontal="center" vertical="center"/>
    </xf>
    <xf numFmtId="1" fontId="16" fillId="4" borderId="0" xfId="0" applyNumberFormat="1" applyFont="1" applyFill="1" applyBorder="1" applyAlignment="1" applyProtection="1">
      <alignment horizontal="center" vertical="center"/>
    </xf>
    <xf numFmtId="1" fontId="16" fillId="4" borderId="128" xfId="0" applyNumberFormat="1" applyFont="1" applyFill="1" applyBorder="1" applyAlignment="1" applyProtection="1">
      <alignment horizontal="center" vertical="center"/>
    </xf>
    <xf numFmtId="176" fontId="6" fillId="10" borderId="29" xfId="0" applyNumberFormat="1" applyFont="1" applyFill="1" applyBorder="1" applyAlignment="1" applyProtection="1">
      <alignment horizontal="right" vertical="center"/>
      <protection locked="0"/>
    </xf>
    <xf numFmtId="176" fontId="6" fillId="10" borderId="30" xfId="0" applyNumberFormat="1" applyFont="1" applyFill="1" applyBorder="1" applyAlignment="1" applyProtection="1">
      <alignment horizontal="right" vertical="center"/>
      <protection locked="0"/>
    </xf>
    <xf numFmtId="0" fontId="54" fillId="0" borderId="70" xfId="0" applyFont="1" applyBorder="1" applyAlignment="1" applyProtection="1">
      <alignment horizontal="center"/>
    </xf>
    <xf numFmtId="0" fontId="54" fillId="0" borderId="23" xfId="0" applyFont="1" applyBorder="1" applyAlignment="1" applyProtection="1">
      <alignment horizontal="center"/>
    </xf>
    <xf numFmtId="0" fontId="54" fillId="0" borderId="87" xfId="0" applyFont="1" applyBorder="1" applyAlignment="1" applyProtection="1">
      <alignment horizontal="center"/>
    </xf>
    <xf numFmtId="0" fontId="53" fillId="0" borderId="138" xfId="0" applyFont="1" applyBorder="1" applyAlignment="1" applyProtection="1">
      <alignment horizontal="justify" vertical="top"/>
    </xf>
    <xf numFmtId="0" fontId="53" fillId="0" borderId="137" xfId="0" applyFont="1" applyBorder="1" applyAlignment="1" applyProtection="1">
      <alignment horizontal="justify" vertical="top"/>
    </xf>
    <xf numFmtId="0" fontId="53" fillId="0" borderId="194" xfId="0" applyFont="1" applyBorder="1" applyAlignment="1" applyProtection="1">
      <alignment horizontal="justify" vertical="top"/>
    </xf>
    <xf numFmtId="0" fontId="54" fillId="0" borderId="4" xfId="0" applyFont="1" applyBorder="1" applyAlignment="1" applyProtection="1">
      <alignment horizontal="right"/>
    </xf>
    <xf numFmtId="0" fontId="54" fillId="0" borderId="5" xfId="0" applyFont="1" applyBorder="1" applyAlignment="1" applyProtection="1">
      <alignment horizontal="right"/>
    </xf>
    <xf numFmtId="0" fontId="54" fillId="0" borderId="6" xfId="0" applyFont="1" applyBorder="1" applyAlignment="1" applyProtection="1">
      <alignment horizontal="right"/>
    </xf>
    <xf numFmtId="49" fontId="33" fillId="0" borderId="181" xfId="0" applyNumberFormat="1" applyFont="1" applyFill="1" applyBorder="1" applyAlignment="1" applyProtection="1">
      <alignment horizontal="justify"/>
    </xf>
    <xf numFmtId="49" fontId="33" fillId="0" borderId="182" xfId="0" applyNumberFormat="1" applyFont="1" applyFill="1" applyBorder="1" applyAlignment="1" applyProtection="1">
      <alignment horizontal="justify"/>
    </xf>
    <xf numFmtId="49" fontId="33" fillId="0" borderId="183" xfId="0" applyNumberFormat="1" applyFont="1" applyFill="1" applyBorder="1" applyAlignment="1" applyProtection="1">
      <alignment horizontal="justify"/>
    </xf>
    <xf numFmtId="1" fontId="33" fillId="0" borderId="180" xfId="0" applyNumberFormat="1" applyFont="1" applyFill="1" applyBorder="1" applyAlignment="1" applyProtection="1">
      <alignment horizontal="center"/>
    </xf>
    <xf numFmtId="0" fontId="56" fillId="0" borderId="174" xfId="0" applyFont="1" applyBorder="1" applyAlignment="1" applyProtection="1">
      <alignment horizontal="right" textRotation="90"/>
    </xf>
    <xf numFmtId="0" fontId="54" fillId="0" borderId="173" xfId="0" applyFont="1" applyBorder="1" applyAlignment="1" applyProtection="1">
      <alignment horizontal="center"/>
    </xf>
    <xf numFmtId="0" fontId="54" fillId="0" borderId="0" xfId="0" applyFont="1" applyBorder="1" applyAlignment="1" applyProtection="1">
      <alignment horizontal="center"/>
    </xf>
    <xf numFmtId="0" fontId="54" fillId="0" borderId="174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/>
    </xf>
    <xf numFmtId="0" fontId="58" fillId="0" borderId="182" xfId="0" applyFont="1" applyFill="1" applyBorder="1" applyAlignment="1" applyProtection="1">
      <alignment horizontal="center" vertical="center"/>
    </xf>
    <xf numFmtId="0" fontId="58" fillId="0" borderId="183" xfId="0" applyFont="1" applyFill="1" applyBorder="1" applyAlignment="1" applyProtection="1">
      <alignment horizontal="center" vertical="center"/>
    </xf>
    <xf numFmtId="0" fontId="55" fillId="0" borderId="181" xfId="0" applyFont="1" applyFill="1" applyBorder="1" applyAlignment="1" applyProtection="1">
      <alignment horizontal="center" vertical="top"/>
    </xf>
    <xf numFmtId="0" fontId="55" fillId="0" borderId="182" xfId="0" applyFont="1" applyFill="1" applyBorder="1" applyAlignment="1" applyProtection="1">
      <alignment horizontal="center" vertical="top"/>
    </xf>
    <xf numFmtId="0" fontId="55" fillId="0" borderId="183" xfId="0" applyFont="1" applyFill="1" applyBorder="1" applyAlignment="1" applyProtection="1">
      <alignment horizontal="center" vertical="top"/>
    </xf>
    <xf numFmtId="0" fontId="55" fillId="0" borderId="180" xfId="0" applyFont="1" applyFill="1" applyBorder="1" applyAlignment="1" applyProtection="1">
      <alignment horizontal="center" vertical="top"/>
    </xf>
    <xf numFmtId="1" fontId="55" fillId="0" borderId="180" xfId="0" applyNumberFormat="1" applyFont="1" applyFill="1" applyBorder="1" applyAlignment="1" applyProtection="1">
      <alignment horizontal="center" vertical="top"/>
    </xf>
    <xf numFmtId="0" fontId="33" fillId="0" borderId="181" xfId="0" applyNumberFormat="1" applyFont="1" applyFill="1" applyBorder="1" applyAlignment="1" applyProtection="1">
      <alignment horizontal="center"/>
    </xf>
    <xf numFmtId="0" fontId="33" fillId="0" borderId="182" xfId="0" applyNumberFormat="1" applyFont="1" applyFill="1" applyBorder="1" applyAlignment="1" applyProtection="1">
      <alignment horizontal="center"/>
    </xf>
    <xf numFmtId="0" fontId="33" fillId="0" borderId="183" xfId="0" applyNumberFormat="1" applyFont="1" applyFill="1" applyBorder="1" applyAlignment="1" applyProtection="1">
      <alignment horizontal="center"/>
    </xf>
    <xf numFmtId="14" fontId="33" fillId="0" borderId="180" xfId="0" applyNumberFormat="1" applyFont="1" applyFill="1" applyBorder="1" applyAlignment="1" applyProtection="1">
      <alignment horizontal="center"/>
    </xf>
    <xf numFmtId="49" fontId="33" fillId="0" borderId="180" xfId="0" applyNumberFormat="1" applyFont="1" applyFill="1" applyBorder="1" applyAlignment="1" applyProtection="1">
      <alignment horizontal="justify"/>
    </xf>
    <xf numFmtId="0" fontId="54" fillId="0" borderId="135" xfId="0" applyFont="1" applyBorder="1" applyAlignment="1" applyProtection="1">
      <alignment horizontal="right"/>
    </xf>
    <xf numFmtId="1" fontId="54" fillId="0" borderId="193" xfId="0" applyNumberFormat="1" applyFont="1" applyFill="1" applyBorder="1" applyAlignment="1" applyProtection="1">
      <alignment horizontal="center"/>
    </xf>
    <xf numFmtId="1" fontId="54" fillId="0" borderId="135" xfId="0" applyNumberFormat="1" applyFont="1" applyFill="1" applyBorder="1" applyAlignment="1" applyProtection="1">
      <alignment horizontal="center"/>
    </xf>
    <xf numFmtId="1" fontId="54" fillId="0" borderId="189" xfId="0" applyNumberFormat="1" applyFont="1" applyFill="1" applyBorder="1" applyAlignment="1" applyProtection="1">
      <alignment horizontal="center"/>
    </xf>
    <xf numFmtId="0" fontId="54" fillId="0" borderId="181" xfId="0" applyFont="1" applyFill="1" applyBorder="1" applyAlignment="1" applyProtection="1">
      <alignment horizontal="distributed"/>
    </xf>
    <xf numFmtId="0" fontId="54" fillId="0" borderId="182" xfId="0" applyFont="1" applyFill="1" applyBorder="1" applyAlignment="1" applyProtection="1">
      <alignment horizontal="distributed"/>
    </xf>
    <xf numFmtId="0" fontId="54" fillId="0" borderId="183" xfId="0" applyFont="1" applyFill="1" applyBorder="1" applyAlignment="1" applyProtection="1">
      <alignment horizontal="distributed"/>
    </xf>
    <xf numFmtId="1" fontId="55" fillId="0" borderId="181" xfId="0" applyNumberFormat="1" applyFont="1" applyFill="1" applyBorder="1" applyAlignment="1" applyProtection="1">
      <alignment horizontal="center" vertical="top"/>
    </xf>
    <xf numFmtId="1" fontId="55" fillId="0" borderId="182" xfId="0" applyNumberFormat="1" applyFont="1" applyFill="1" applyBorder="1" applyAlignment="1" applyProtection="1">
      <alignment horizontal="center" vertical="top"/>
    </xf>
    <xf numFmtId="1" fontId="55" fillId="0" borderId="183" xfId="0" applyNumberFormat="1" applyFont="1" applyFill="1" applyBorder="1" applyAlignment="1" applyProtection="1">
      <alignment horizontal="center" vertical="top"/>
    </xf>
    <xf numFmtId="168" fontId="33" fillId="0" borderId="180" xfId="0" applyNumberFormat="1" applyFont="1" applyFill="1" applyBorder="1" applyAlignment="1" applyProtection="1">
      <alignment horizontal="center"/>
    </xf>
    <xf numFmtId="177" fontId="33" fillId="0" borderId="180" xfId="0" applyNumberFormat="1" applyFont="1" applyFill="1" applyBorder="1" applyAlignment="1" applyProtection="1">
      <alignment horizontal="center"/>
    </xf>
    <xf numFmtId="169" fontId="33" fillId="0" borderId="181" xfId="0" applyNumberFormat="1" applyFont="1" applyFill="1" applyBorder="1" applyAlignment="1" applyProtection="1">
      <alignment horizontal="right"/>
    </xf>
    <xf numFmtId="169" fontId="33" fillId="0" borderId="182" xfId="0" applyNumberFormat="1" applyFont="1" applyFill="1" applyBorder="1" applyAlignment="1" applyProtection="1">
      <alignment horizontal="right"/>
    </xf>
    <xf numFmtId="169" fontId="33" fillId="0" borderId="183" xfId="0" applyNumberFormat="1" applyFont="1" applyFill="1" applyBorder="1" applyAlignment="1" applyProtection="1">
      <alignment horizontal="right"/>
    </xf>
    <xf numFmtId="169" fontId="59" fillId="0" borderId="181" xfId="0" applyNumberFormat="1" applyFont="1" applyFill="1" applyBorder="1" applyAlignment="1" applyProtection="1">
      <alignment horizontal="right"/>
    </xf>
    <xf numFmtId="169" fontId="59" fillId="0" borderId="182" xfId="0" applyNumberFormat="1" applyFont="1" applyFill="1" applyBorder="1" applyAlignment="1" applyProtection="1">
      <alignment horizontal="right"/>
    </xf>
    <xf numFmtId="169" fontId="59" fillId="0" borderId="183" xfId="0" applyNumberFormat="1" applyFont="1" applyFill="1" applyBorder="1" applyAlignment="1" applyProtection="1">
      <alignment horizontal="right"/>
    </xf>
    <xf numFmtId="0" fontId="54" fillId="0" borderId="135" xfId="0" applyFont="1" applyBorder="1" applyAlignment="1" applyProtection="1">
      <alignment horizontal="center"/>
    </xf>
    <xf numFmtId="0" fontId="58" fillId="0" borderId="181" xfId="0" applyFont="1" applyFill="1" applyBorder="1" applyAlignment="1" applyProtection="1">
      <alignment horizontal="center" vertical="center" wrapText="1"/>
    </xf>
    <xf numFmtId="0" fontId="58" fillId="0" borderId="182" xfId="0" applyFont="1" applyFill="1" applyBorder="1" applyAlignment="1" applyProtection="1">
      <alignment horizontal="center" vertical="center" wrapText="1"/>
    </xf>
    <xf numFmtId="0" fontId="58" fillId="0" borderId="183" xfId="0" applyFont="1" applyFill="1" applyBorder="1" applyAlignment="1" applyProtection="1">
      <alignment horizontal="center" vertical="center" wrapText="1"/>
    </xf>
    <xf numFmtId="1" fontId="54" fillId="0" borderId="135" xfId="0" applyNumberFormat="1" applyFont="1" applyFill="1" applyBorder="1" applyAlignment="1" applyProtection="1">
      <alignment horizontal="center" vertical="top"/>
    </xf>
    <xf numFmtId="1" fontId="54" fillId="0" borderId="189" xfId="0" applyNumberFormat="1" applyFont="1" applyFill="1" applyBorder="1" applyAlignment="1" applyProtection="1">
      <alignment horizontal="center" vertical="top"/>
    </xf>
    <xf numFmtId="0" fontId="55" fillId="0" borderId="181" xfId="0" applyFont="1" applyFill="1" applyBorder="1" applyAlignment="1" applyProtection="1">
      <alignment horizontal="center" vertical="center" wrapText="1"/>
    </xf>
    <xf numFmtId="0" fontId="55" fillId="0" borderId="183" xfId="0" applyFont="1" applyFill="1" applyBorder="1" applyAlignment="1" applyProtection="1">
      <alignment horizontal="center" vertical="center" wrapText="1"/>
    </xf>
    <xf numFmtId="168" fontId="55" fillId="0" borderId="181" xfId="0" applyNumberFormat="1" applyFont="1" applyFill="1" applyBorder="1" applyAlignment="1" applyProtection="1">
      <alignment horizontal="center" vertical="center" wrapText="1"/>
    </xf>
    <xf numFmtId="168" fontId="55" fillId="0" borderId="182" xfId="0" applyNumberFormat="1" applyFont="1" applyFill="1" applyBorder="1" applyAlignment="1" applyProtection="1">
      <alignment horizontal="center" vertical="center" wrapText="1"/>
    </xf>
    <xf numFmtId="168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center" wrapText="1"/>
    </xf>
    <xf numFmtId="169" fontId="55" fillId="0" borderId="182" xfId="0" applyNumberFormat="1" applyFont="1" applyFill="1" applyBorder="1" applyAlignment="1" applyProtection="1">
      <alignment horizontal="center" vertical="center" wrapText="1"/>
    </xf>
    <xf numFmtId="169" fontId="55" fillId="0" borderId="183" xfId="0" applyNumberFormat="1" applyFont="1" applyFill="1" applyBorder="1" applyAlignment="1" applyProtection="1">
      <alignment horizontal="center" vertical="center" wrapText="1"/>
    </xf>
    <xf numFmtId="169" fontId="55" fillId="0" borderId="180" xfId="0" applyNumberFormat="1" applyFont="1" applyFill="1" applyBorder="1" applyAlignment="1" applyProtection="1">
      <alignment horizontal="center" vertical="center" wrapText="1"/>
    </xf>
    <xf numFmtId="169" fontId="55" fillId="0" borderId="181" xfId="0" applyNumberFormat="1" applyFont="1" applyFill="1" applyBorder="1" applyAlignment="1" applyProtection="1">
      <alignment horizontal="center" vertical="top" wrapText="1"/>
    </xf>
    <xf numFmtId="169" fontId="55" fillId="0" borderId="182" xfId="0" applyNumberFormat="1" applyFont="1" applyFill="1" applyBorder="1" applyAlignment="1" applyProtection="1">
      <alignment horizontal="center" vertical="top" wrapText="1"/>
    </xf>
    <xf numFmtId="169" fontId="55" fillId="0" borderId="183" xfId="0" applyNumberFormat="1" applyFont="1" applyFill="1" applyBorder="1" applyAlignment="1" applyProtection="1">
      <alignment horizontal="center" vertical="top" wrapText="1"/>
    </xf>
    <xf numFmtId="1" fontId="55" fillId="0" borderId="181" xfId="0" applyNumberFormat="1" applyFont="1" applyFill="1" applyBorder="1" applyAlignment="1" applyProtection="1">
      <alignment horizontal="center" vertical="center"/>
    </xf>
    <xf numFmtId="1" fontId="55" fillId="0" borderId="182" xfId="0" applyNumberFormat="1" applyFont="1" applyFill="1" applyBorder="1" applyAlignment="1" applyProtection="1">
      <alignment horizontal="center" vertical="center"/>
    </xf>
    <xf numFmtId="1" fontId="55" fillId="0" borderId="183" xfId="0" applyNumberFormat="1" applyFont="1" applyFill="1" applyBorder="1" applyAlignment="1" applyProtection="1">
      <alignment horizontal="center" vertical="center"/>
    </xf>
    <xf numFmtId="49" fontId="33" fillId="0" borderId="181" xfId="0" applyNumberFormat="1" applyFont="1" applyFill="1" applyBorder="1" applyAlignment="1" applyProtection="1">
      <alignment horizontal="distributed"/>
    </xf>
    <xf numFmtId="49" fontId="33" fillId="0" borderId="182" xfId="0" applyNumberFormat="1" applyFont="1" applyFill="1" applyBorder="1" applyAlignment="1" applyProtection="1">
      <alignment horizontal="distributed"/>
    </xf>
    <xf numFmtId="49" fontId="33" fillId="0" borderId="183" xfId="0" applyNumberFormat="1" applyFont="1" applyFill="1" applyBorder="1" applyAlignment="1" applyProtection="1">
      <alignment horizontal="distributed"/>
    </xf>
    <xf numFmtId="168" fontId="33" fillId="0" borderId="180" xfId="0" applyNumberFormat="1" applyFont="1" applyFill="1" applyBorder="1" applyAlignment="1" applyProtection="1">
      <alignment horizontal="center" wrapText="1"/>
    </xf>
    <xf numFmtId="177" fontId="33" fillId="0" borderId="180" xfId="0" applyNumberFormat="1" applyFont="1" applyFill="1" applyBorder="1" applyAlignment="1" applyProtection="1">
      <alignment horizontal="center" wrapText="1"/>
    </xf>
    <xf numFmtId="169" fontId="33" fillId="0" borderId="181" xfId="0" applyNumberFormat="1" applyFont="1" applyFill="1" applyBorder="1" applyAlignment="1" applyProtection="1">
      <alignment horizontal="right" wrapText="1"/>
    </xf>
    <xf numFmtId="169" fontId="33" fillId="0" borderId="182" xfId="0" applyNumberFormat="1" applyFont="1" applyFill="1" applyBorder="1" applyAlignment="1" applyProtection="1">
      <alignment horizontal="right" wrapText="1"/>
    </xf>
    <xf numFmtId="169" fontId="33" fillId="0" borderId="183" xfId="0" applyNumberFormat="1" applyFont="1" applyFill="1" applyBorder="1" applyAlignment="1" applyProtection="1">
      <alignment horizontal="right" wrapText="1"/>
    </xf>
    <xf numFmtId="49" fontId="33" fillId="0" borderId="181" xfId="0" applyNumberFormat="1" applyFont="1" applyFill="1" applyBorder="1" applyAlignment="1" applyProtection="1">
      <alignment horizontal="justify" wrapText="1"/>
    </xf>
    <xf numFmtId="49" fontId="33" fillId="0" borderId="182" xfId="0" applyNumberFormat="1" applyFont="1" applyFill="1" applyBorder="1" applyAlignment="1" applyProtection="1">
      <alignment horizontal="justify" wrapText="1"/>
    </xf>
    <xf numFmtId="49" fontId="33" fillId="0" borderId="183" xfId="0" applyNumberFormat="1" applyFont="1" applyFill="1" applyBorder="1" applyAlignment="1" applyProtection="1">
      <alignment horizontal="justify" wrapText="1"/>
    </xf>
    <xf numFmtId="0" fontId="54" fillId="0" borderId="1" xfId="0" applyFont="1" applyBorder="1" applyAlignment="1" applyProtection="1">
      <alignment horizontal="right"/>
    </xf>
    <xf numFmtId="0" fontId="54" fillId="0" borderId="2" xfId="0" applyFont="1" applyBorder="1" applyAlignment="1" applyProtection="1">
      <alignment horizontal="right"/>
    </xf>
    <xf numFmtId="0" fontId="54" fillId="0" borderId="3" xfId="0" applyFont="1" applyBorder="1" applyAlignment="1" applyProtection="1">
      <alignment horizontal="right"/>
    </xf>
    <xf numFmtId="0" fontId="54" fillId="0" borderId="184" xfId="0" applyFont="1" applyBorder="1" applyAlignment="1" applyProtection="1">
      <alignment horizontal="right"/>
    </xf>
    <xf numFmtId="0" fontId="54" fillId="0" borderId="43" xfId="0" applyFont="1" applyBorder="1" applyAlignment="1" applyProtection="1">
      <alignment horizontal="right"/>
    </xf>
    <xf numFmtId="0" fontId="54" fillId="0" borderId="186" xfId="0" applyFont="1" applyBorder="1" applyAlignment="1" applyProtection="1">
      <alignment horizontal="right"/>
    </xf>
    <xf numFmtId="0" fontId="54" fillId="0" borderId="187" xfId="0" applyFont="1" applyBorder="1" applyAlignment="1" applyProtection="1">
      <alignment horizontal="right"/>
    </xf>
    <xf numFmtId="0" fontId="54" fillId="0" borderId="173" xfId="0" applyFont="1" applyBorder="1" applyAlignment="1" applyProtection="1">
      <alignment horizontal="right"/>
    </xf>
    <xf numFmtId="0" fontId="54" fillId="0" borderId="0" xfId="0" applyFont="1" applyBorder="1" applyAlignment="1" applyProtection="1">
      <alignment horizontal="right"/>
    </xf>
    <xf numFmtId="0" fontId="57" fillId="0" borderId="187" xfId="0" applyFont="1" applyFill="1" applyBorder="1" applyAlignment="1" applyProtection="1">
      <alignment horizontal="distributed" vertical="center" wrapText="1" indent="1"/>
    </xf>
    <xf numFmtId="0" fontId="57" fillId="0" borderId="0" xfId="0" applyFont="1" applyFill="1" applyBorder="1" applyAlignment="1" applyProtection="1">
      <alignment horizontal="distributed" vertical="center" wrapText="1" indent="1"/>
    </xf>
    <xf numFmtId="0" fontId="50" fillId="0" borderId="186" xfId="0" applyFont="1" applyFill="1" applyBorder="1" applyAlignment="1" applyProtection="1">
      <alignment horizontal="center" vertical="center" wrapText="1"/>
    </xf>
    <xf numFmtId="0" fontId="50" fillId="0" borderId="187" xfId="0" applyFont="1" applyFill="1" applyBorder="1" applyAlignment="1" applyProtection="1">
      <alignment horizontal="center" vertical="center" wrapText="1"/>
    </xf>
    <xf numFmtId="0" fontId="50" fillId="0" borderId="191" xfId="0" applyFont="1" applyFill="1" applyBorder="1" applyAlignment="1" applyProtection="1">
      <alignment horizontal="center" vertical="center" wrapText="1"/>
    </xf>
    <xf numFmtId="0" fontId="50" fillId="0" borderId="173" xfId="0" applyFont="1" applyFill="1" applyBorder="1" applyAlignment="1" applyProtection="1">
      <alignment horizontal="center" vertical="center" wrapText="1"/>
    </xf>
    <xf numFmtId="0" fontId="50" fillId="0" borderId="0" xfId="0" applyFont="1" applyFill="1" applyBorder="1" applyAlignment="1" applyProtection="1">
      <alignment horizontal="center" vertical="center" wrapText="1"/>
    </xf>
    <xf numFmtId="0" fontId="50" fillId="0" borderId="174" xfId="0" applyFont="1" applyFill="1" applyBorder="1" applyAlignment="1" applyProtection="1">
      <alignment horizontal="center" vertical="center" wrapText="1"/>
    </xf>
    <xf numFmtId="0" fontId="16" fillId="0" borderId="187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51" fillId="4" borderId="138" xfId="0" applyFont="1" applyFill="1" applyBorder="1" applyAlignment="1" applyProtection="1">
      <alignment horizontal="justify" vertical="top"/>
    </xf>
    <xf numFmtId="0" fontId="51" fillId="4" borderId="137" xfId="0" applyFont="1" applyFill="1" applyBorder="1" applyAlignment="1" applyProtection="1">
      <alignment horizontal="justify" vertical="top"/>
    </xf>
    <xf numFmtId="0" fontId="51" fillId="4" borderId="188" xfId="0" applyFont="1" applyFill="1" applyBorder="1" applyAlignment="1" applyProtection="1">
      <alignment horizontal="justify" vertical="top"/>
    </xf>
    <xf numFmtId="0" fontId="54" fillId="0" borderId="185" xfId="0" applyFont="1" applyBorder="1" applyAlignment="1" applyProtection="1">
      <alignment horizontal="right"/>
    </xf>
    <xf numFmtId="0" fontId="54" fillId="0" borderId="44" xfId="0" applyFont="1" applyBorder="1" applyAlignment="1" applyProtection="1">
      <alignment horizontal="right"/>
    </xf>
    <xf numFmtId="0" fontId="49" fillId="4" borderId="141" xfId="0" applyFont="1" applyFill="1" applyBorder="1" applyAlignment="1" applyProtection="1">
      <alignment horizontal="center"/>
    </xf>
    <xf numFmtId="176" fontId="17" fillId="0" borderId="181" xfId="0" applyNumberFormat="1" applyFont="1" applyFill="1" applyBorder="1" applyAlignment="1" applyProtection="1">
      <alignment horizontal="center"/>
    </xf>
    <xf numFmtId="176" fontId="17" fillId="0" borderId="182" xfId="0" applyNumberFormat="1" applyFont="1" applyFill="1" applyBorder="1" applyAlignment="1" applyProtection="1">
      <alignment horizontal="center"/>
    </xf>
    <xf numFmtId="176" fontId="17" fillId="0" borderId="183" xfId="0" applyNumberFormat="1" applyFont="1" applyFill="1" applyBorder="1" applyAlignment="1" applyProtection="1">
      <alignment horizontal="center"/>
    </xf>
    <xf numFmtId="0" fontId="54" fillId="0" borderId="182" xfId="0" applyFont="1" applyBorder="1" applyAlignment="1" applyProtection="1">
      <alignment horizontal="right"/>
    </xf>
    <xf numFmtId="0" fontId="54" fillId="0" borderId="191" xfId="0" applyFont="1" applyBorder="1" applyAlignment="1" applyProtection="1">
      <alignment horizontal="right"/>
    </xf>
    <xf numFmtId="0" fontId="51" fillId="0" borderId="181" xfId="0" applyFont="1" applyFill="1" applyBorder="1" applyAlignment="1" applyProtection="1">
      <alignment horizontal="justify" vertical="center"/>
    </xf>
    <xf numFmtId="0" fontId="51" fillId="0" borderId="182" xfId="0" applyFont="1" applyFill="1" applyBorder="1" applyAlignment="1" applyProtection="1">
      <alignment horizontal="justify" vertical="center"/>
    </xf>
    <xf numFmtId="0" fontId="52" fillId="0" borderId="182" xfId="0" applyFont="1" applyFill="1" applyBorder="1" applyAlignment="1" applyProtection="1">
      <alignment horizontal="justify" vertical="center"/>
    </xf>
    <xf numFmtId="0" fontId="52" fillId="0" borderId="183" xfId="0" applyFont="1" applyFill="1" applyBorder="1" applyAlignment="1" applyProtection="1">
      <alignment horizontal="justify" vertical="center"/>
    </xf>
    <xf numFmtId="167" fontId="38" fillId="0" borderId="135" xfId="0" applyNumberFormat="1" applyFont="1" applyFill="1" applyBorder="1" applyAlignment="1" applyProtection="1">
      <alignment horizontal="center" vertical="center"/>
    </xf>
    <xf numFmtId="49" fontId="33" fillId="10" borderId="181" xfId="0" applyNumberFormat="1" applyFont="1" applyFill="1" applyBorder="1" applyAlignment="1" applyProtection="1">
      <alignment horizontal="justify"/>
      <protection locked="0"/>
    </xf>
    <xf numFmtId="49" fontId="33" fillId="10" borderId="182" xfId="0" applyNumberFormat="1" applyFont="1" applyFill="1" applyBorder="1" applyAlignment="1" applyProtection="1">
      <alignment horizontal="justify"/>
      <protection locked="0"/>
    </xf>
    <xf numFmtId="49" fontId="33" fillId="10" borderId="183" xfId="0" applyNumberFormat="1" applyFont="1" applyFill="1" applyBorder="1" applyAlignment="1" applyProtection="1">
      <alignment horizontal="justify"/>
      <protection locked="0"/>
    </xf>
    <xf numFmtId="14" fontId="33" fillId="10" borderId="180" xfId="0" applyNumberFormat="1" applyFont="1" applyFill="1" applyBorder="1" applyAlignment="1" applyProtection="1">
      <alignment horizontal="center"/>
      <protection locked="0"/>
    </xf>
    <xf numFmtId="49" fontId="33" fillId="10" borderId="180" xfId="0" applyNumberFormat="1" applyFont="1" applyFill="1" applyBorder="1" applyAlignment="1" applyProtection="1">
      <alignment horizontal="justify"/>
      <protection locked="0"/>
    </xf>
    <xf numFmtId="49" fontId="33" fillId="10" borderId="181" xfId="0" applyNumberFormat="1" applyFont="1" applyFill="1" applyBorder="1" applyAlignment="1" applyProtection="1">
      <alignment horizontal="center"/>
      <protection locked="0"/>
    </xf>
    <xf numFmtId="49" fontId="33" fillId="10" borderId="182" xfId="0" applyNumberFormat="1" applyFont="1" applyFill="1" applyBorder="1" applyAlignment="1" applyProtection="1">
      <alignment horizontal="center"/>
      <protection locked="0"/>
    </xf>
    <xf numFmtId="49" fontId="33" fillId="10" borderId="183" xfId="0" applyNumberFormat="1" applyFont="1" applyFill="1" applyBorder="1" applyAlignment="1" applyProtection="1">
      <alignment horizontal="center"/>
      <protection locked="0"/>
    </xf>
    <xf numFmtId="168" fontId="33" fillId="10" borderId="180" xfId="0" applyNumberFormat="1" applyFont="1" applyFill="1" applyBorder="1" applyAlignment="1" applyProtection="1">
      <alignment horizontal="center"/>
      <protection locked="0"/>
    </xf>
    <xf numFmtId="177" fontId="33" fillId="10" borderId="180" xfId="0" applyNumberFormat="1" applyFont="1" applyFill="1" applyBorder="1" applyAlignment="1" applyProtection="1">
      <alignment horizontal="center"/>
      <protection locked="0"/>
    </xf>
    <xf numFmtId="169" fontId="33" fillId="10" borderId="180" xfId="0" applyNumberFormat="1" applyFont="1" applyFill="1" applyBorder="1" applyAlignment="1" applyProtection="1">
      <protection locked="0"/>
    </xf>
    <xf numFmtId="169" fontId="59" fillId="5" borderId="181" xfId="0" applyNumberFormat="1" applyFont="1" applyFill="1" applyBorder="1" applyAlignment="1" applyProtection="1">
      <alignment horizontal="right"/>
    </xf>
    <xf numFmtId="169" fontId="59" fillId="5" borderId="182" xfId="0" applyNumberFormat="1" applyFont="1" applyFill="1" applyBorder="1" applyAlignment="1" applyProtection="1">
      <alignment horizontal="right"/>
    </xf>
    <xf numFmtId="169" fontId="59" fillId="5" borderId="183" xfId="0" applyNumberFormat="1" applyFont="1" applyFill="1" applyBorder="1" applyAlignment="1" applyProtection="1">
      <alignment horizontal="right"/>
    </xf>
    <xf numFmtId="169" fontId="33" fillId="10" borderId="181" xfId="0" applyNumberFormat="1" applyFont="1" applyFill="1" applyBorder="1" applyAlignment="1" applyProtection="1">
      <protection locked="0"/>
    </xf>
    <xf numFmtId="169" fontId="33" fillId="10" borderId="182" xfId="0" applyNumberFormat="1" applyFont="1" applyFill="1" applyBorder="1" applyAlignment="1" applyProtection="1">
      <protection locked="0"/>
    </xf>
    <xf numFmtId="169" fontId="33" fillId="10" borderId="183" xfId="0" applyNumberFormat="1" applyFont="1" applyFill="1" applyBorder="1" applyAlignment="1" applyProtection="1">
      <protection locked="0"/>
    </xf>
    <xf numFmtId="168" fontId="33" fillId="10" borderId="180" xfId="0" applyNumberFormat="1" applyFont="1" applyFill="1" applyBorder="1" applyAlignment="1" applyProtection="1">
      <alignment horizontal="center" wrapText="1"/>
      <protection locked="0"/>
    </xf>
    <xf numFmtId="177" fontId="33" fillId="10" borderId="180" xfId="0" applyNumberFormat="1" applyFont="1" applyFill="1" applyBorder="1" applyAlignment="1" applyProtection="1">
      <alignment horizontal="center" wrapText="1"/>
      <protection locked="0"/>
    </xf>
    <xf numFmtId="169" fontId="33" fillId="10" borderId="181" xfId="0" applyNumberFormat="1" applyFont="1" applyFill="1" applyBorder="1" applyAlignment="1" applyProtection="1">
      <alignment horizontal="right" wrapText="1"/>
      <protection locked="0"/>
    </xf>
    <xf numFmtId="169" fontId="33" fillId="10" borderId="182" xfId="0" applyNumberFormat="1" applyFont="1" applyFill="1" applyBorder="1" applyAlignment="1" applyProtection="1">
      <alignment horizontal="right" wrapText="1"/>
      <protection locked="0"/>
    </xf>
    <xf numFmtId="169" fontId="33" fillId="10" borderId="183" xfId="0" applyNumberFormat="1" applyFont="1" applyFill="1" applyBorder="1" applyAlignment="1" applyProtection="1">
      <alignment horizontal="right" wrapText="1"/>
      <protection locked="0"/>
    </xf>
    <xf numFmtId="49" fontId="33" fillId="10" borderId="181" xfId="0" applyNumberFormat="1" applyFont="1" applyFill="1" applyBorder="1" applyAlignment="1" applyProtection="1">
      <alignment horizontal="justify" wrapText="1"/>
      <protection locked="0"/>
    </xf>
    <xf numFmtId="49" fontId="33" fillId="10" borderId="182" xfId="0" applyNumberFormat="1" applyFont="1" applyFill="1" applyBorder="1" applyAlignment="1" applyProtection="1">
      <alignment horizontal="justify" wrapText="1"/>
      <protection locked="0"/>
    </xf>
    <xf numFmtId="49" fontId="33" fillId="10" borderId="183" xfId="0" applyNumberFormat="1" applyFont="1" applyFill="1" applyBorder="1" applyAlignment="1" applyProtection="1">
      <alignment horizontal="justify" wrapText="1"/>
      <protection locked="0"/>
    </xf>
    <xf numFmtId="176" fontId="17" fillId="10" borderId="181" xfId="0" applyNumberFormat="1" applyFont="1" applyFill="1" applyBorder="1" applyAlignment="1" applyProtection="1">
      <alignment horizontal="center"/>
      <protection locked="0"/>
    </xf>
    <xf numFmtId="176" fontId="17" fillId="10" borderId="182" xfId="0" applyNumberFormat="1" applyFont="1" applyFill="1" applyBorder="1" applyAlignment="1" applyProtection="1">
      <alignment horizontal="center"/>
      <protection locked="0"/>
    </xf>
    <xf numFmtId="176" fontId="17" fillId="10" borderId="183" xfId="0" applyNumberFormat="1" applyFont="1" applyFill="1" applyBorder="1" applyAlignment="1" applyProtection="1">
      <alignment horizontal="center"/>
      <protection locked="0"/>
    </xf>
    <xf numFmtId="0" fontId="52" fillId="10" borderId="182" xfId="0" applyFont="1" applyFill="1" applyBorder="1" applyAlignment="1" applyProtection="1">
      <alignment horizontal="justify" vertical="center"/>
      <protection locked="0"/>
    </xf>
    <xf numFmtId="0" fontId="52" fillId="10" borderId="183" xfId="0" applyFont="1" applyFill="1" applyBorder="1" applyAlignment="1" applyProtection="1">
      <alignment horizontal="justify" vertical="center"/>
      <protection locked="0"/>
    </xf>
    <xf numFmtId="180" fontId="43" fillId="0" borderId="173" xfId="0" applyNumberFormat="1" applyFont="1" applyBorder="1" applyAlignment="1" applyProtection="1">
      <alignment horizontal="left" wrapText="1"/>
    </xf>
    <xf numFmtId="180" fontId="43" fillId="0" borderId="0" xfId="0" applyNumberFormat="1" applyFont="1" applyBorder="1" applyAlignment="1" applyProtection="1">
      <alignment horizontal="left" wrapText="1"/>
    </xf>
    <xf numFmtId="180" fontId="43" fillId="0" borderId="128" xfId="0" applyNumberFormat="1" applyFont="1" applyBorder="1" applyAlignment="1" applyProtection="1">
      <alignment horizontal="left" wrapText="1"/>
    </xf>
    <xf numFmtId="17" fontId="2" fillId="6" borderId="7" xfId="0" applyNumberFormat="1" applyFont="1" applyFill="1" applyBorder="1" applyAlignment="1" applyProtection="1">
      <alignment horizontal="center" wrapText="1"/>
    </xf>
    <xf numFmtId="17" fontId="2" fillId="6" borderId="8" xfId="0" applyNumberFormat="1" applyFont="1" applyFill="1" applyBorder="1" applyAlignment="1" applyProtection="1">
      <alignment horizontal="center" wrapText="1"/>
    </xf>
    <xf numFmtId="17" fontId="2" fillId="6" borderId="9" xfId="0" applyNumberFormat="1" applyFont="1" applyFill="1" applyBorder="1" applyAlignment="1" applyProtection="1">
      <alignment horizontal="center" wrapText="1"/>
    </xf>
    <xf numFmtId="177" fontId="3" fillId="33" borderId="132" xfId="0" applyNumberFormat="1" applyFont="1" applyFill="1" applyBorder="1" applyAlignment="1" applyProtection="1">
      <alignment horizontal="center" wrapText="1"/>
    </xf>
    <xf numFmtId="0" fontId="3" fillId="33" borderId="132" xfId="0" applyFont="1" applyFill="1" applyBorder="1" applyAlignment="1" applyProtection="1">
      <alignment horizontal="center" wrapText="1"/>
    </xf>
    <xf numFmtId="0" fontId="3" fillId="33" borderId="133" xfId="0" applyFont="1" applyFill="1" applyBorder="1" applyAlignment="1" applyProtection="1">
      <alignment horizontal="center" wrapText="1"/>
    </xf>
    <xf numFmtId="177" fontId="2" fillId="0" borderId="312" xfId="0" applyNumberFormat="1" applyFont="1" applyBorder="1" applyAlignment="1" applyProtection="1">
      <alignment horizontal="center" wrapText="1"/>
    </xf>
    <xf numFmtId="177" fontId="2" fillId="0" borderId="327" xfId="0" applyNumberFormat="1" applyFont="1" applyBorder="1" applyAlignment="1" applyProtection="1">
      <alignment horizontal="center" wrapText="1"/>
    </xf>
    <xf numFmtId="1" fontId="2" fillId="0" borderId="325" xfId="0" applyNumberFormat="1" applyFont="1" applyBorder="1" applyAlignment="1" applyProtection="1">
      <alignment horizontal="center" wrapText="1"/>
    </xf>
    <xf numFmtId="1" fontId="2" fillId="0" borderId="326" xfId="0" applyNumberFormat="1" applyFont="1" applyBorder="1" applyAlignment="1" applyProtection="1">
      <alignment horizontal="center" wrapText="1"/>
    </xf>
    <xf numFmtId="180" fontId="3" fillId="0" borderId="347" xfId="0" applyNumberFormat="1" applyFont="1" applyBorder="1" applyAlignment="1" applyProtection="1">
      <alignment horizontal="right" wrapText="1"/>
    </xf>
    <xf numFmtId="180" fontId="3" fillId="0" borderId="335" xfId="0" applyNumberFormat="1" applyFont="1" applyBorder="1" applyAlignment="1" applyProtection="1">
      <alignment horizontal="right" wrapText="1"/>
    </xf>
    <xf numFmtId="180" fontId="3" fillId="0" borderId="348" xfId="0" applyNumberFormat="1" applyFont="1" applyBorder="1" applyAlignment="1" applyProtection="1">
      <alignment horizontal="right" wrapText="1"/>
    </xf>
    <xf numFmtId="180" fontId="43" fillId="0" borderId="349" xfId="0" applyNumberFormat="1" applyFont="1" applyBorder="1" applyAlignment="1" applyProtection="1">
      <alignment horizontal="left" wrapText="1"/>
    </xf>
    <xf numFmtId="180" fontId="43" fillId="0" borderId="350" xfId="0" applyNumberFormat="1" applyFont="1" applyBorder="1" applyAlignment="1" applyProtection="1">
      <alignment horizontal="left" wrapText="1"/>
    </xf>
    <xf numFmtId="180" fontId="43" fillId="0" borderId="351" xfId="0" applyNumberFormat="1" applyFont="1" applyBorder="1" applyAlignment="1" applyProtection="1">
      <alignment horizontal="left" wrapText="1"/>
    </xf>
    <xf numFmtId="17" fontId="2" fillId="0" borderId="330" xfId="0" applyNumberFormat="1" applyFont="1" applyBorder="1" applyAlignment="1" applyProtection="1">
      <alignment horizontal="center" wrapText="1"/>
    </xf>
    <xf numFmtId="17" fontId="2" fillId="0" borderId="331" xfId="0" applyNumberFormat="1" applyFont="1" applyBorder="1" applyAlignment="1" applyProtection="1">
      <alignment horizontal="center" wrapText="1"/>
    </xf>
    <xf numFmtId="17" fontId="2" fillId="0" borderId="292" xfId="0" applyNumberFormat="1" applyFont="1" applyBorder="1" applyAlignment="1" applyProtection="1">
      <alignment horizontal="center" wrapText="1"/>
    </xf>
    <xf numFmtId="177" fontId="2" fillId="0" borderId="86" xfId="0" applyNumberFormat="1" applyFont="1" applyBorder="1" applyAlignment="1" applyProtection="1">
      <alignment horizontal="center" wrapText="1"/>
    </xf>
    <xf numFmtId="177" fontId="2" fillId="0" borderId="87" xfId="0" applyNumberFormat="1" applyFont="1" applyBorder="1" applyAlignment="1" applyProtection="1">
      <alignment horizontal="center" wrapText="1"/>
    </xf>
    <xf numFmtId="180" fontId="2" fillId="0" borderId="38" xfId="0" applyNumberFormat="1" applyFont="1" applyBorder="1" applyAlignment="1" applyProtection="1">
      <alignment horizontal="right" wrapText="1"/>
    </xf>
    <xf numFmtId="180" fontId="43" fillId="0" borderId="70" xfId="0" applyNumberFormat="1" applyFont="1" applyBorder="1" applyAlignment="1" applyProtection="1">
      <alignment horizontal="left" wrapText="1"/>
    </xf>
    <xf numFmtId="180" fontId="43" fillId="0" borderId="23" xfId="0" applyNumberFormat="1" applyFont="1" applyBorder="1" applyAlignment="1" applyProtection="1">
      <alignment horizontal="left" wrapText="1"/>
    </xf>
    <xf numFmtId="180" fontId="43" fillId="0" borderId="71" xfId="0" applyNumberFormat="1" applyFont="1" applyBorder="1" applyAlignment="1" applyProtection="1">
      <alignment horizontal="left" wrapText="1"/>
    </xf>
    <xf numFmtId="0" fontId="3" fillId="17" borderId="18" xfId="0" applyFont="1" applyFill="1" applyBorder="1" applyAlignment="1" applyProtection="1">
      <alignment horizontal="center" vertical="center" wrapText="1"/>
    </xf>
    <xf numFmtId="0" fontId="3" fillId="17" borderId="20" xfId="0" applyFont="1" applyFill="1" applyBorder="1" applyAlignment="1" applyProtection="1">
      <alignment horizontal="center" vertical="center" wrapText="1"/>
    </xf>
    <xf numFmtId="0" fontId="3" fillId="17" borderId="21" xfId="0" applyFont="1" applyFill="1" applyBorder="1" applyAlignment="1" applyProtection="1">
      <alignment horizontal="center" vertical="center" wrapText="1"/>
    </xf>
    <xf numFmtId="0" fontId="3" fillId="17" borderId="22" xfId="0" applyFont="1" applyFill="1" applyBorder="1" applyAlignment="1" applyProtection="1">
      <alignment horizontal="center" vertical="center" wrapText="1"/>
    </xf>
    <xf numFmtId="0" fontId="3" fillId="6" borderId="131" xfId="0" applyFont="1" applyFill="1" applyBorder="1" applyAlignment="1" applyProtection="1">
      <alignment horizontal="center" vertical="center" wrapText="1"/>
    </xf>
    <xf numFmtId="0" fontId="3" fillId="6" borderId="132" xfId="0" applyFont="1" applyFill="1" applyBorder="1" applyAlignment="1" applyProtection="1">
      <alignment horizontal="center" vertical="center" wrapText="1"/>
    </xf>
    <xf numFmtId="0" fontId="3" fillId="6" borderId="142" xfId="0" applyFont="1" applyFill="1" applyBorder="1" applyAlignment="1" applyProtection="1">
      <alignment horizontal="center" vertical="center" wrapText="1"/>
    </xf>
    <xf numFmtId="0" fontId="3" fillId="6" borderId="143" xfId="0" applyFont="1" applyFill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wrapText="1"/>
    </xf>
    <xf numFmtId="180" fontId="3" fillId="0" borderId="361" xfId="0" applyNumberFormat="1" applyFont="1" applyBorder="1" applyAlignment="1" applyProtection="1">
      <alignment horizontal="right" wrapText="1"/>
    </xf>
    <xf numFmtId="177" fontId="3" fillId="6" borderId="18" xfId="0" applyNumberFormat="1" applyFont="1" applyFill="1" applyBorder="1" applyAlignment="1" applyProtection="1">
      <alignment horizontal="center" vertical="center" wrapText="1"/>
    </xf>
    <xf numFmtId="177" fontId="3" fillId="6" borderId="19" xfId="0" applyNumberFormat="1" applyFont="1" applyFill="1" applyBorder="1" applyAlignment="1" applyProtection="1">
      <alignment horizontal="center" vertical="center" wrapText="1"/>
    </xf>
    <xf numFmtId="177" fontId="3" fillId="6" borderId="280" xfId="0" applyNumberFormat="1" applyFont="1" applyFill="1" applyBorder="1" applyAlignment="1" applyProtection="1">
      <alignment horizontal="center" vertical="center" wrapText="1"/>
    </xf>
    <xf numFmtId="177" fontId="3" fillId="6" borderId="21" xfId="0" applyNumberFormat="1" applyFont="1" applyFill="1" applyBorder="1" applyAlignment="1" applyProtection="1">
      <alignment horizontal="center" vertical="center" wrapText="1"/>
    </xf>
    <xf numFmtId="177" fontId="3" fillId="6" borderId="60" xfId="0" applyNumberFormat="1" applyFont="1" applyFill="1" applyBorder="1" applyAlignment="1" applyProtection="1">
      <alignment horizontal="center" vertical="center" wrapText="1"/>
    </xf>
    <xf numFmtId="177" fontId="3" fillId="6" borderId="162" xfId="0" applyNumberFormat="1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wrapText="1"/>
    </xf>
    <xf numFmtId="0" fontId="2" fillId="0" borderId="366" xfId="0" applyFont="1" applyBorder="1" applyAlignment="1" applyProtection="1">
      <alignment horizontal="center" wrapText="1"/>
    </xf>
    <xf numFmtId="0" fontId="2" fillId="0" borderId="367" xfId="0" applyFont="1" applyBorder="1" applyAlignment="1" applyProtection="1">
      <alignment horizontal="center" wrapText="1"/>
    </xf>
    <xf numFmtId="0" fontId="2" fillId="0" borderId="368" xfId="0" applyFont="1" applyBorder="1" applyAlignment="1" applyProtection="1">
      <alignment horizontal="center" wrapText="1"/>
    </xf>
    <xf numFmtId="0" fontId="2" fillId="0" borderId="369" xfId="0" applyFont="1" applyBorder="1" applyAlignment="1" applyProtection="1">
      <alignment horizontal="center" wrapText="1"/>
    </xf>
    <xf numFmtId="0" fontId="2" fillId="0" borderId="370" xfId="0" applyFont="1" applyBorder="1" applyAlignment="1" applyProtection="1">
      <alignment horizontal="center" wrapText="1"/>
    </xf>
    <xf numFmtId="177" fontId="2" fillId="0" borderId="355" xfId="0" applyNumberFormat="1" applyFont="1" applyBorder="1" applyAlignment="1" applyProtection="1">
      <alignment horizontal="center" wrapText="1"/>
    </xf>
    <xf numFmtId="177" fontId="2" fillId="0" borderId="363" xfId="0" applyNumberFormat="1" applyFont="1" applyBorder="1" applyAlignment="1" applyProtection="1">
      <alignment horizontal="center" wrapText="1"/>
    </xf>
    <xf numFmtId="180" fontId="2" fillId="0" borderId="358" xfId="0" applyNumberFormat="1" applyFont="1" applyBorder="1" applyAlignment="1" applyProtection="1">
      <alignment horizontal="right" wrapText="1"/>
    </xf>
    <xf numFmtId="180" fontId="54" fillId="0" borderId="283" xfId="0" applyNumberFormat="1" applyFont="1" applyBorder="1" applyAlignment="1" applyProtection="1">
      <alignment horizontal="right" wrapText="1"/>
    </xf>
    <xf numFmtId="180" fontId="54" fillId="0" borderId="284" xfId="0" applyNumberFormat="1" applyFont="1" applyBorder="1" applyAlignment="1" applyProtection="1">
      <alignment horizontal="right" wrapText="1"/>
    </xf>
    <xf numFmtId="180" fontId="2" fillId="0" borderId="352" xfId="0" applyNumberFormat="1" applyFont="1" applyBorder="1" applyAlignment="1" applyProtection="1">
      <alignment horizontal="right" wrapText="1"/>
    </xf>
    <xf numFmtId="180" fontId="2" fillId="0" borderId="353" xfId="0" applyNumberFormat="1" applyFont="1" applyBorder="1" applyAlignment="1" applyProtection="1">
      <alignment horizontal="right" wrapText="1"/>
    </xf>
    <xf numFmtId="180" fontId="2" fillId="0" borderId="354" xfId="0" applyNumberFormat="1" applyFont="1" applyBorder="1" applyAlignment="1" applyProtection="1">
      <alignment horizontal="right" wrapText="1"/>
    </xf>
    <xf numFmtId="177" fontId="2" fillId="0" borderId="330" xfId="0" applyNumberFormat="1" applyFont="1" applyBorder="1" applyAlignment="1" applyProtection="1">
      <alignment horizontal="center" wrapText="1"/>
    </xf>
    <xf numFmtId="177" fontId="2" fillId="0" borderId="284" xfId="0" applyNumberFormat="1" applyFont="1" applyBorder="1" applyAlignment="1" applyProtection="1">
      <alignment horizontal="center" wrapText="1"/>
    </xf>
    <xf numFmtId="1" fontId="2" fillId="0" borderId="283" xfId="0" applyNumberFormat="1" applyFont="1" applyBorder="1" applyAlignment="1" applyProtection="1">
      <alignment horizontal="center" wrapText="1"/>
    </xf>
    <xf numFmtId="1" fontId="2" fillId="0" borderId="292" xfId="0" applyNumberFormat="1" applyFont="1" applyBorder="1" applyAlignment="1" applyProtection="1">
      <alignment horizontal="center" wrapText="1"/>
    </xf>
    <xf numFmtId="180" fontId="3" fillId="6" borderId="7" xfId="0" applyNumberFormat="1" applyFont="1" applyFill="1" applyBorder="1" applyAlignment="1" applyProtection="1">
      <alignment horizontal="right" wrapText="1"/>
    </xf>
    <xf numFmtId="180" fontId="3" fillId="6" borderId="8" xfId="0" applyNumberFormat="1" applyFont="1" applyFill="1" applyBorder="1" applyAlignment="1" applyProtection="1">
      <alignment horizontal="right" wrapText="1"/>
    </xf>
    <xf numFmtId="180" fontId="3" fillId="6" borderId="9" xfId="0" applyNumberFormat="1" applyFont="1" applyFill="1" applyBorder="1" applyAlignment="1" applyProtection="1">
      <alignment horizontal="right" wrapText="1"/>
    </xf>
    <xf numFmtId="180" fontId="2" fillId="0" borderId="7" xfId="0" applyNumberFormat="1" applyFont="1" applyBorder="1" applyAlignment="1" applyProtection="1">
      <alignment horizontal="right" wrapText="1"/>
    </xf>
    <xf numFmtId="180" fontId="2" fillId="0" borderId="8" xfId="0" applyNumberFormat="1" applyFont="1" applyBorder="1" applyAlignment="1" applyProtection="1">
      <alignment horizontal="right" wrapText="1"/>
    </xf>
    <xf numFmtId="180" fontId="2" fillId="0" borderId="9" xfId="0" applyNumberFormat="1" applyFont="1" applyBorder="1" applyAlignment="1" applyProtection="1">
      <alignment horizontal="right" wrapText="1"/>
    </xf>
    <xf numFmtId="180" fontId="2" fillId="0" borderId="48" xfId="0" applyNumberFormat="1" applyFont="1" applyBorder="1" applyAlignment="1" applyProtection="1">
      <alignment horizontal="right" wrapText="1"/>
    </xf>
    <xf numFmtId="180" fontId="2" fillId="0" borderId="31" xfId="0" applyNumberFormat="1" applyFont="1" applyBorder="1" applyAlignment="1" applyProtection="1">
      <alignment horizontal="right" wrapText="1"/>
    </xf>
    <xf numFmtId="180" fontId="54" fillId="0" borderId="70" xfId="0" applyNumberFormat="1" applyFont="1" applyBorder="1" applyAlignment="1" applyProtection="1">
      <alignment horizontal="right" wrapText="1"/>
    </xf>
    <xf numFmtId="180" fontId="54" fillId="0" borderId="87" xfId="0" applyNumberFormat="1" applyFont="1" applyBorder="1" applyAlignment="1" applyProtection="1">
      <alignment horizontal="right" wrapText="1"/>
    </xf>
    <xf numFmtId="180" fontId="2" fillId="0" borderId="70" xfId="0" applyNumberFormat="1" applyFont="1" applyBorder="1" applyAlignment="1" applyProtection="1">
      <alignment horizontal="right" wrapText="1"/>
    </xf>
    <xf numFmtId="180" fontId="2" fillId="0" borderId="23" xfId="0" applyNumberFormat="1" applyFont="1" applyBorder="1" applyAlignment="1" applyProtection="1">
      <alignment horizontal="right" wrapText="1"/>
    </xf>
    <xf numFmtId="180" fontId="2" fillId="0" borderId="71" xfId="0" applyNumberFormat="1" applyFont="1" applyBorder="1" applyAlignment="1" applyProtection="1">
      <alignment horizontal="right" wrapText="1"/>
    </xf>
    <xf numFmtId="180" fontId="2" fillId="0" borderId="283" xfId="0" applyNumberFormat="1" applyFont="1" applyBorder="1" applyAlignment="1" applyProtection="1">
      <alignment horizontal="right" wrapText="1"/>
    </xf>
    <xf numFmtId="180" fontId="2" fillId="0" borderId="331" xfId="0" applyNumberFormat="1" applyFont="1" applyBorder="1" applyAlignment="1" applyProtection="1">
      <alignment horizontal="right" wrapText="1"/>
    </xf>
    <xf numFmtId="0" fontId="2" fillId="0" borderId="65" xfId="0" applyNumberFormat="1" applyFont="1" applyFill="1" applyBorder="1" applyAlignment="1" applyProtection="1">
      <alignment horizontal="center" wrapText="1"/>
    </xf>
    <xf numFmtId="0" fontId="2" fillId="0" borderId="161" xfId="0" applyNumberFormat="1" applyFont="1" applyFill="1" applyBorder="1" applyAlignment="1" applyProtection="1">
      <alignment horizontal="center" wrapText="1"/>
    </xf>
    <xf numFmtId="187" fontId="5" fillId="32" borderId="65" xfId="0" applyNumberFormat="1" applyFont="1" applyFill="1" applyBorder="1" applyAlignment="1" applyProtection="1">
      <alignment horizontal="center" wrapText="1"/>
    </xf>
    <xf numFmtId="187" fontId="5" fillId="32" borderId="161" xfId="0" applyNumberFormat="1" applyFont="1" applyFill="1" applyBorder="1" applyAlignment="1" applyProtection="1">
      <alignment horizontal="center" wrapText="1"/>
    </xf>
    <xf numFmtId="0" fontId="2" fillId="6" borderId="357" xfId="0" applyFont="1" applyFill="1" applyBorder="1" applyAlignment="1" applyProtection="1">
      <alignment horizontal="left"/>
    </xf>
    <xf numFmtId="0" fontId="2" fillId="6" borderId="350" xfId="0" applyFont="1" applyFill="1" applyBorder="1" applyAlignment="1" applyProtection="1">
      <alignment horizontal="left"/>
    </xf>
    <xf numFmtId="177" fontId="112" fillId="10" borderId="350" xfId="0" applyNumberFormat="1" applyFont="1" applyFill="1" applyBorder="1" applyAlignment="1" applyProtection="1">
      <alignment horizontal="center"/>
      <protection locked="0"/>
    </xf>
    <xf numFmtId="177" fontId="112" fillId="10" borderId="371" xfId="0" applyNumberFormat="1" applyFont="1" applyFill="1" applyBorder="1" applyAlignment="1" applyProtection="1">
      <alignment horizontal="center"/>
      <protection locked="0"/>
    </xf>
    <xf numFmtId="0" fontId="118" fillId="0" borderId="349" xfId="0" applyFont="1" applyFill="1" applyBorder="1" applyAlignment="1" applyProtection="1">
      <alignment horizontal="center"/>
    </xf>
    <xf numFmtId="0" fontId="118" fillId="0" borderId="371" xfId="0" applyFont="1" applyFill="1" applyBorder="1" applyAlignment="1" applyProtection="1">
      <alignment horizontal="center"/>
    </xf>
    <xf numFmtId="0" fontId="119" fillId="0" borderId="349" xfId="0" applyFont="1" applyBorder="1" applyAlignment="1" applyProtection="1">
      <alignment horizontal="center"/>
    </xf>
    <xf numFmtId="0" fontId="119" fillId="0" borderId="350" xfId="0" applyFont="1" applyBorder="1" applyAlignment="1" applyProtection="1">
      <alignment horizontal="center"/>
    </xf>
    <xf numFmtId="0" fontId="2" fillId="6" borderId="350" xfId="0" applyFont="1" applyFill="1" applyBorder="1" applyAlignment="1" applyProtection="1">
      <alignment horizontal="center"/>
    </xf>
    <xf numFmtId="0" fontId="2" fillId="6" borderId="371" xfId="0" applyFont="1" applyFill="1" applyBorder="1" applyAlignment="1" applyProtection="1">
      <alignment horizontal="center"/>
    </xf>
    <xf numFmtId="168" fontId="112" fillId="0" borderId="349" xfId="0" applyNumberFormat="1" applyFont="1" applyFill="1" applyBorder="1" applyAlignment="1" applyProtection="1">
      <alignment horizontal="center"/>
    </xf>
    <xf numFmtId="168" fontId="112" fillId="0" borderId="371" xfId="0" applyNumberFormat="1" applyFont="1" applyFill="1" applyBorder="1" applyAlignment="1" applyProtection="1">
      <alignment horizontal="center"/>
    </xf>
    <xf numFmtId="168" fontId="112" fillId="0" borderId="349" xfId="0" applyNumberFormat="1" applyFont="1" applyBorder="1" applyAlignment="1" applyProtection="1">
      <alignment horizontal="center"/>
    </xf>
    <xf numFmtId="168" fontId="112" fillId="0" borderId="350" xfId="0" applyNumberFormat="1" applyFont="1" applyBorder="1" applyAlignment="1" applyProtection="1">
      <alignment horizontal="center"/>
    </xf>
    <xf numFmtId="0" fontId="3" fillId="0" borderId="72" xfId="0" applyFont="1" applyBorder="1" applyAlignment="1" applyProtection="1">
      <alignment horizontal="center"/>
    </xf>
    <xf numFmtId="0" fontId="3" fillId="0" borderId="31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0" fontId="3" fillId="9" borderId="18" xfId="0" applyFont="1" applyFill="1" applyBorder="1" applyAlignment="1" applyProtection="1">
      <alignment horizontal="center" vertical="center" wrapText="1"/>
    </xf>
    <xf numFmtId="0" fontId="3" fillId="9" borderId="280" xfId="0" applyFont="1" applyFill="1" applyBorder="1" applyAlignment="1" applyProtection="1">
      <alignment horizontal="center" vertical="center" wrapText="1"/>
    </xf>
    <xf numFmtId="0" fontId="3" fillId="9" borderId="21" xfId="0" applyFont="1" applyFill="1" applyBorder="1" applyAlignment="1" applyProtection="1">
      <alignment horizontal="center" vertical="center" wrapText="1"/>
    </xf>
    <xf numFmtId="0" fontId="3" fillId="9" borderId="162" xfId="0" applyFont="1" applyFill="1" applyBorder="1" applyAlignment="1" applyProtection="1">
      <alignment horizontal="center" vertical="center" wrapText="1"/>
    </xf>
    <xf numFmtId="0" fontId="3" fillId="9" borderId="132" xfId="0" applyFont="1" applyFill="1" applyBorder="1" applyAlignment="1" applyProtection="1">
      <alignment horizontal="center" vertical="center" wrapText="1"/>
    </xf>
    <xf numFmtId="0" fontId="3" fillId="9" borderId="143" xfId="0" applyFont="1" applyFill="1" applyBorder="1" applyAlignment="1" applyProtection="1">
      <alignment horizontal="center" vertical="center" wrapText="1"/>
    </xf>
    <xf numFmtId="0" fontId="4" fillId="9" borderId="66" xfId="0" applyFont="1" applyFill="1" applyBorder="1" applyAlignment="1" applyProtection="1">
      <alignment horizontal="center" wrapText="1"/>
    </xf>
    <xf numFmtId="0" fontId="4" fillId="9" borderId="19" xfId="0" applyFont="1" applyFill="1" applyBorder="1" applyAlignment="1" applyProtection="1">
      <alignment horizontal="center" wrapText="1"/>
    </xf>
    <xf numFmtId="0" fontId="3" fillId="9" borderId="341" xfId="0" applyFont="1" applyFill="1" applyBorder="1" applyAlignment="1" applyProtection="1">
      <alignment horizontal="center" wrapText="1"/>
    </xf>
    <xf numFmtId="0" fontId="3" fillId="9" borderId="342" xfId="0" applyFont="1" applyFill="1" applyBorder="1" applyAlignment="1" applyProtection="1">
      <alignment horizontal="center" wrapText="1"/>
    </xf>
    <xf numFmtId="0" fontId="3" fillId="9" borderId="343" xfId="0" applyFont="1" applyFill="1" applyBorder="1" applyAlignment="1" applyProtection="1">
      <alignment horizontal="center" wrapText="1"/>
    </xf>
    <xf numFmtId="0" fontId="4" fillId="9" borderId="67" xfId="0" applyFont="1" applyFill="1" applyBorder="1" applyAlignment="1" applyProtection="1">
      <alignment horizontal="center" vertical="top" wrapText="1"/>
    </xf>
    <xf numFmtId="0" fontId="4" fillId="9" borderId="60" xfId="0" applyFont="1" applyFill="1" applyBorder="1" applyAlignment="1" applyProtection="1">
      <alignment horizontal="center" vertical="top" wrapText="1"/>
    </xf>
    <xf numFmtId="0" fontId="3" fillId="9" borderId="344" xfId="0" applyFont="1" applyFill="1" applyBorder="1" applyAlignment="1" applyProtection="1">
      <alignment horizontal="center" vertical="top" wrapText="1"/>
    </xf>
    <xf numFmtId="0" fontId="3" fillId="9" borderId="345" xfId="0" applyFont="1" applyFill="1" applyBorder="1" applyAlignment="1" applyProtection="1">
      <alignment horizontal="center" vertical="top" wrapText="1"/>
    </xf>
    <xf numFmtId="0" fontId="3" fillId="9" borderId="346" xfId="0" applyFont="1" applyFill="1" applyBorder="1" applyAlignment="1" applyProtection="1">
      <alignment horizontal="center" vertical="top" wrapText="1"/>
    </xf>
    <xf numFmtId="0" fontId="33" fillId="6" borderId="86" xfId="0" applyFont="1" applyFill="1" applyBorder="1" applyAlignment="1" applyProtection="1">
      <alignment horizontal="left"/>
    </xf>
    <xf numFmtId="0" fontId="33" fillId="6" borderId="23" xfId="0" applyFont="1" applyFill="1" applyBorder="1" applyAlignment="1" applyProtection="1">
      <alignment horizontal="left"/>
    </xf>
    <xf numFmtId="177" fontId="112" fillId="10" borderId="23" xfId="0" applyNumberFormat="1" applyFont="1" applyFill="1" applyBorder="1" applyAlignment="1" applyProtection="1">
      <alignment horizontal="center"/>
      <protection locked="0"/>
    </xf>
    <xf numFmtId="177" fontId="112" fillId="10" borderId="87" xfId="0" applyNumberFormat="1" applyFont="1" applyFill="1" applyBorder="1" applyAlignment="1" applyProtection="1">
      <alignment horizontal="center"/>
      <protection locked="0"/>
    </xf>
    <xf numFmtId="0" fontId="115" fillId="0" borderId="23" xfId="0" applyFont="1" applyBorder="1" applyAlignment="1" applyProtection="1">
      <alignment horizontal="left"/>
    </xf>
    <xf numFmtId="0" fontId="2" fillId="6" borderId="23" xfId="0" applyFont="1" applyFill="1" applyBorder="1" applyAlignment="1" applyProtection="1">
      <alignment horizontal="right"/>
    </xf>
    <xf numFmtId="0" fontId="112" fillId="10" borderId="23" xfId="0" applyFont="1" applyFill="1" applyBorder="1" applyAlignment="1" applyProtection="1">
      <alignment horizontal="left" indent="1"/>
      <protection locked="0"/>
    </xf>
    <xf numFmtId="0" fontId="2" fillId="9" borderId="23" xfId="0" applyFont="1" applyFill="1" applyBorder="1" applyAlignment="1" applyProtection="1">
      <alignment horizontal="center"/>
    </xf>
    <xf numFmtId="180" fontId="112" fillId="10" borderId="23" xfId="0" applyNumberFormat="1" applyFont="1" applyFill="1" applyBorder="1" applyAlignment="1" applyProtection="1">
      <alignment horizontal="center"/>
      <protection locked="0"/>
    </xf>
    <xf numFmtId="180" fontId="112" fillId="10" borderId="87" xfId="0" applyNumberFormat="1" applyFont="1" applyFill="1" applyBorder="1" applyAlignment="1" applyProtection="1">
      <alignment horizontal="center"/>
      <protection locked="0"/>
    </xf>
    <xf numFmtId="0" fontId="3" fillId="9" borderId="70" xfId="0" applyFont="1" applyFill="1" applyBorder="1" applyAlignment="1" applyProtection="1">
      <alignment horizontal="center"/>
    </xf>
    <xf numFmtId="0" fontId="3" fillId="9" borderId="87" xfId="0" applyFont="1" applyFill="1" applyBorder="1" applyAlignment="1" applyProtection="1">
      <alignment horizontal="center"/>
    </xf>
    <xf numFmtId="180" fontId="112" fillId="0" borderId="70" xfId="0" applyNumberFormat="1" applyFont="1" applyFill="1" applyBorder="1" applyAlignment="1" applyProtection="1">
      <alignment horizontal="center"/>
    </xf>
    <xf numFmtId="180" fontId="112" fillId="0" borderId="23" xfId="0" applyNumberFormat="1" applyFont="1" applyFill="1" applyBorder="1" applyAlignment="1" applyProtection="1">
      <alignment horizontal="center"/>
    </xf>
    <xf numFmtId="180" fontId="112" fillId="0" borderId="71" xfId="0" applyNumberFormat="1" applyFont="1" applyFill="1" applyBorder="1" applyAlignment="1" applyProtection="1">
      <alignment horizontal="center"/>
    </xf>
    <xf numFmtId="0" fontId="3" fillId="0" borderId="362" xfId="0" applyFont="1" applyBorder="1" applyAlignment="1" applyProtection="1">
      <alignment horizontal="center"/>
    </xf>
    <xf numFmtId="0" fontId="3" fillId="0" borderId="353" xfId="0" applyFont="1" applyBorder="1" applyAlignment="1" applyProtection="1">
      <alignment horizontal="center"/>
    </xf>
    <xf numFmtId="0" fontId="3" fillId="0" borderId="354" xfId="0" applyFont="1" applyBorder="1" applyAlignment="1" applyProtection="1">
      <alignment horizontal="center"/>
    </xf>
    <xf numFmtId="177" fontId="2" fillId="0" borderId="362" xfId="0" applyNumberFormat="1" applyFont="1" applyBorder="1" applyAlignment="1" applyProtection="1">
      <alignment horizontal="center" wrapText="1"/>
    </xf>
    <xf numFmtId="177" fontId="2" fillId="0" borderId="364" xfId="0" applyNumberFormat="1" applyFont="1" applyBorder="1" applyAlignment="1" applyProtection="1">
      <alignment horizontal="center" wrapText="1"/>
    </xf>
    <xf numFmtId="180" fontId="2" fillId="0" borderId="360" xfId="0" applyNumberFormat="1" applyFont="1" applyBorder="1" applyAlignment="1" applyProtection="1">
      <alignment horizontal="right" wrapText="1"/>
    </xf>
    <xf numFmtId="180" fontId="43" fillId="0" borderId="67" xfId="0" applyNumberFormat="1" applyFont="1" applyBorder="1" applyAlignment="1" applyProtection="1">
      <alignment horizontal="left" wrapText="1"/>
    </xf>
    <xf numFmtId="180" fontId="43" fillId="0" borderId="60" xfId="0" applyNumberFormat="1" applyFont="1" applyBorder="1" applyAlignment="1" applyProtection="1">
      <alignment horizontal="left" wrapText="1"/>
    </xf>
    <xf numFmtId="180" fontId="43" fillId="0" borderId="22" xfId="0" applyNumberFormat="1" applyFont="1" applyBorder="1" applyAlignment="1" applyProtection="1">
      <alignment horizontal="left" wrapText="1"/>
    </xf>
    <xf numFmtId="17" fontId="2" fillId="6" borderId="61" xfId="0" applyNumberFormat="1" applyFont="1" applyFill="1" applyBorder="1" applyAlignment="1" applyProtection="1">
      <alignment horizontal="center" wrapText="1"/>
    </xf>
    <xf numFmtId="17" fontId="2" fillId="6" borderId="0" xfId="0" applyNumberFormat="1" applyFont="1" applyFill="1" applyBorder="1" applyAlignment="1" applyProtection="1">
      <alignment horizontal="center" wrapText="1"/>
    </xf>
    <xf numFmtId="17" fontId="2" fillId="6" borderId="128" xfId="0" applyNumberFormat="1" applyFont="1" applyFill="1" applyBorder="1" applyAlignment="1" applyProtection="1">
      <alignment horizontal="center" wrapText="1"/>
    </xf>
    <xf numFmtId="0" fontId="33" fillId="6" borderId="28" xfId="0" applyFont="1" applyFill="1" applyBorder="1" applyAlignment="1" applyProtection="1">
      <alignment horizontal="left"/>
    </xf>
    <xf numFmtId="0" fontId="33" fillId="6" borderId="29" xfId="0" applyFont="1" applyFill="1" applyBorder="1" applyAlignment="1" applyProtection="1">
      <alignment horizontal="left"/>
    </xf>
    <xf numFmtId="177" fontId="112" fillId="10" borderId="29" xfId="0" applyNumberFormat="1" applyFont="1" applyFill="1" applyBorder="1" applyAlignment="1" applyProtection="1">
      <alignment horizontal="center"/>
      <protection locked="0"/>
    </xf>
    <xf numFmtId="177" fontId="112" fillId="10" borderId="161" xfId="0" applyNumberFormat="1" applyFont="1" applyFill="1" applyBorder="1" applyAlignment="1" applyProtection="1">
      <alignment horizontal="center"/>
      <protection locked="0"/>
    </xf>
    <xf numFmtId="0" fontId="115" fillId="0" borderId="29" xfId="0" applyFont="1" applyBorder="1" applyAlignment="1" applyProtection="1">
      <alignment horizontal="left"/>
    </xf>
    <xf numFmtId="0" fontId="2" fillId="6" borderId="29" xfId="0" applyFont="1" applyFill="1" applyBorder="1" applyAlignment="1" applyProtection="1">
      <alignment horizontal="right"/>
    </xf>
    <xf numFmtId="0" fontId="112" fillId="10" borderId="29" xfId="0" applyFont="1" applyFill="1" applyBorder="1" applyAlignment="1" applyProtection="1">
      <alignment horizontal="left" indent="1"/>
      <protection locked="0"/>
    </xf>
    <xf numFmtId="0" fontId="2" fillId="9" borderId="29" xfId="0" applyFont="1" applyFill="1" applyBorder="1" applyAlignment="1" applyProtection="1">
      <alignment horizontal="center"/>
    </xf>
    <xf numFmtId="180" fontId="112" fillId="10" borderId="29" xfId="0" applyNumberFormat="1" applyFont="1" applyFill="1" applyBorder="1" applyAlignment="1" applyProtection="1">
      <alignment horizontal="center"/>
      <protection locked="0"/>
    </xf>
    <xf numFmtId="180" fontId="112" fillId="10" borderId="161" xfId="0" applyNumberFormat="1" applyFont="1" applyFill="1" applyBorder="1" applyAlignment="1" applyProtection="1">
      <alignment horizontal="center"/>
      <protection locked="0"/>
    </xf>
    <xf numFmtId="0" fontId="3" fillId="9" borderId="65" xfId="0" applyFont="1" applyFill="1" applyBorder="1" applyAlignment="1" applyProtection="1">
      <alignment horizontal="center"/>
    </xf>
    <xf numFmtId="0" fontId="3" fillId="9" borderId="161" xfId="0" applyFont="1" applyFill="1" applyBorder="1" applyAlignment="1" applyProtection="1">
      <alignment horizontal="center"/>
    </xf>
    <xf numFmtId="180" fontId="112" fillId="0" borderId="65" xfId="0" applyNumberFormat="1" applyFont="1" applyFill="1" applyBorder="1" applyAlignment="1" applyProtection="1">
      <alignment horizontal="center"/>
    </xf>
    <xf numFmtId="180" fontId="112" fillId="0" borderId="29" xfId="0" applyNumberFormat="1" applyFont="1" applyFill="1" applyBorder="1" applyAlignment="1" applyProtection="1">
      <alignment horizontal="center"/>
    </xf>
    <xf numFmtId="180" fontId="112" fillId="0" borderId="30" xfId="0" applyNumberFormat="1" applyFont="1" applyFill="1" applyBorder="1" applyAlignment="1" applyProtection="1">
      <alignment horizontal="center"/>
    </xf>
    <xf numFmtId="17" fontId="2" fillId="0" borderId="357" xfId="0" applyNumberFormat="1" applyFont="1" applyBorder="1" applyAlignment="1" applyProtection="1">
      <alignment horizontal="center" wrapText="1"/>
    </xf>
    <xf numFmtId="17" fontId="2" fillId="0" borderId="350" xfId="0" applyNumberFormat="1" applyFont="1" applyBorder="1" applyAlignment="1" applyProtection="1">
      <alignment horizontal="center" wrapText="1"/>
    </xf>
    <xf numFmtId="17" fontId="2" fillId="0" borderId="351" xfId="0" applyNumberFormat="1" applyFont="1" applyBorder="1" applyAlignment="1" applyProtection="1">
      <alignment horizontal="center" wrapText="1"/>
    </xf>
    <xf numFmtId="180" fontId="54" fillId="0" borderId="349" xfId="0" applyNumberFormat="1" applyFont="1" applyBorder="1" applyAlignment="1" applyProtection="1">
      <alignment horizontal="right" wrapText="1"/>
    </xf>
    <xf numFmtId="180" fontId="54" fillId="0" borderId="371" xfId="0" applyNumberFormat="1" applyFont="1" applyBorder="1" applyAlignment="1" applyProtection="1">
      <alignment horizontal="right" wrapText="1"/>
    </xf>
    <xf numFmtId="177" fontId="2" fillId="0" borderId="357" xfId="0" applyNumberFormat="1" applyFont="1" applyBorder="1" applyAlignment="1" applyProtection="1">
      <alignment horizontal="center" wrapText="1"/>
    </xf>
    <xf numFmtId="177" fontId="2" fillId="0" borderId="371" xfId="0" applyNumberFormat="1" applyFont="1" applyBorder="1" applyAlignment="1" applyProtection="1">
      <alignment horizontal="center" wrapText="1"/>
    </xf>
    <xf numFmtId="1" fontId="2" fillId="0" borderId="349" xfId="0" applyNumberFormat="1" applyFont="1" applyBorder="1" applyAlignment="1" applyProtection="1">
      <alignment horizontal="center" wrapText="1"/>
    </xf>
    <xf numFmtId="1" fontId="2" fillId="0" borderId="351" xfId="0" applyNumberFormat="1" applyFont="1" applyBorder="1" applyAlignment="1" applyProtection="1">
      <alignment horizontal="center" wrapText="1"/>
    </xf>
    <xf numFmtId="1" fontId="2" fillId="0" borderId="359" xfId="0" applyNumberFormat="1" applyFont="1" applyBorder="1" applyAlignment="1" applyProtection="1">
      <alignment horizontal="center" wrapText="1"/>
    </xf>
    <xf numFmtId="1" fontId="2" fillId="0" borderId="356" xfId="0" applyNumberFormat="1" applyFont="1" applyBorder="1" applyAlignment="1" applyProtection="1">
      <alignment horizontal="center" wrapText="1"/>
    </xf>
    <xf numFmtId="180" fontId="2" fillId="0" borderId="349" xfId="0" applyNumberFormat="1" applyFont="1" applyBorder="1" applyAlignment="1" applyProtection="1">
      <alignment horizontal="right" wrapText="1"/>
    </xf>
    <xf numFmtId="180" fontId="2" fillId="0" borderId="350" xfId="0" applyNumberFormat="1" applyFont="1" applyBorder="1" applyAlignment="1" applyProtection="1">
      <alignment horizontal="right" wrapText="1"/>
    </xf>
    <xf numFmtId="180" fontId="2" fillId="0" borderId="351" xfId="0" applyNumberFormat="1" applyFont="1" applyBorder="1" applyAlignment="1" applyProtection="1">
      <alignment horizontal="right" wrapText="1"/>
    </xf>
    <xf numFmtId="49" fontId="2" fillId="10" borderId="65" xfId="0" applyNumberFormat="1" applyFont="1" applyFill="1" applyBorder="1" applyAlignment="1" applyProtection="1">
      <alignment horizontal="center" wrapText="1"/>
      <protection locked="0"/>
    </xf>
    <xf numFmtId="49" fontId="2" fillId="10" borderId="161" xfId="0" applyNumberFormat="1" applyFont="1" applyFill="1" applyBorder="1" applyAlignment="1" applyProtection="1">
      <alignment horizontal="center" wrapText="1"/>
      <protection locked="0"/>
    </xf>
    <xf numFmtId="0" fontId="6" fillId="4" borderId="286" xfId="0" applyFont="1" applyFill="1" applyBorder="1" applyAlignment="1" applyProtection="1">
      <alignment horizontal="center"/>
    </xf>
    <xf numFmtId="168" fontId="112" fillId="31" borderId="349" xfId="0" applyNumberFormat="1" applyFont="1" applyFill="1" applyBorder="1" applyAlignment="1" applyProtection="1">
      <alignment horizontal="center"/>
      <protection locked="0"/>
    </xf>
    <xf numFmtId="168" fontId="112" fillId="31" borderId="371" xfId="0" applyNumberFormat="1" applyFont="1" applyFill="1" applyBorder="1" applyAlignment="1" applyProtection="1">
      <alignment horizontal="center"/>
      <protection locked="0"/>
    </xf>
    <xf numFmtId="0" fontId="6" fillId="4" borderId="286" xfId="0" applyFont="1" applyFill="1" applyBorder="1" applyProtection="1"/>
    <xf numFmtId="0" fontId="3" fillId="6" borderId="61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/>
    </xf>
    <xf numFmtId="0" fontId="3" fillId="6" borderId="128" xfId="0" applyFont="1" applyFill="1" applyBorder="1" applyAlignment="1" applyProtection="1">
      <alignment horizontal="center"/>
    </xf>
    <xf numFmtId="0" fontId="110" fillId="9" borderId="7" xfId="0" applyFont="1" applyFill="1" applyBorder="1" applyAlignment="1" applyProtection="1">
      <alignment horizontal="center" vertical="center"/>
    </xf>
    <xf numFmtId="0" fontId="110" fillId="9" borderId="8" xfId="0" applyFont="1" applyFill="1" applyBorder="1" applyAlignment="1" applyProtection="1">
      <alignment horizontal="center" vertical="center"/>
    </xf>
    <xf numFmtId="0" fontId="110" fillId="9" borderId="9" xfId="0" applyFont="1" applyFill="1" applyBorder="1" applyAlignment="1" applyProtection="1">
      <alignment horizontal="center" vertical="center"/>
    </xf>
    <xf numFmtId="0" fontId="110" fillId="0" borderId="61" xfId="0" applyFont="1" applyFill="1" applyBorder="1" applyAlignment="1" applyProtection="1">
      <alignment horizontal="center"/>
    </xf>
    <xf numFmtId="0" fontId="110" fillId="0" borderId="0" xfId="0" applyFont="1" applyFill="1" applyBorder="1" applyAlignment="1" applyProtection="1">
      <alignment horizontal="center"/>
    </xf>
    <xf numFmtId="0" fontId="110" fillId="0" borderId="128" xfId="0" applyFont="1" applyFill="1" applyBorder="1" applyAlignment="1" applyProtection="1">
      <alignment horizontal="center"/>
    </xf>
    <xf numFmtId="0" fontId="2" fillId="9" borderId="28" xfId="0" applyFont="1" applyFill="1" applyBorder="1" applyAlignment="1" applyProtection="1">
      <alignment horizontal="left"/>
    </xf>
    <xf numFmtId="0" fontId="2" fillId="9" borderId="29" xfId="0" applyFont="1" applyFill="1" applyBorder="1" applyAlignment="1" applyProtection="1">
      <alignment horizontal="left"/>
    </xf>
    <xf numFmtId="0" fontId="111" fillId="10" borderId="29" xfId="0" applyFont="1" applyFill="1" applyBorder="1" applyAlignment="1" applyProtection="1">
      <alignment horizontal="left"/>
      <protection locked="0"/>
    </xf>
    <xf numFmtId="176" fontId="20" fillId="10" borderId="29" xfId="0" applyNumberFormat="1" applyFont="1" applyFill="1" applyBorder="1" applyAlignment="1" applyProtection="1">
      <alignment horizontal="center"/>
      <protection locked="0"/>
    </xf>
    <xf numFmtId="0" fontId="2" fillId="9" borderId="29" xfId="0" applyFont="1" applyFill="1" applyBorder="1" applyAlignment="1" applyProtection="1">
      <alignment horizontal="right"/>
    </xf>
    <xf numFmtId="168" fontId="112" fillId="10" borderId="29" xfId="0" applyNumberFormat="1" applyFont="1" applyFill="1" applyBorder="1" applyAlignment="1" applyProtection="1">
      <alignment horizontal="center"/>
      <protection locked="0"/>
    </xf>
    <xf numFmtId="168" fontId="112" fillId="10" borderId="30" xfId="0" applyNumberFormat="1" applyFont="1" applyFill="1" applyBorder="1" applyAlignment="1" applyProtection="1">
      <alignment horizontal="center"/>
      <protection locked="0"/>
    </xf>
    <xf numFmtId="0" fontId="2" fillId="9" borderId="362" xfId="0" applyFont="1" applyFill="1" applyBorder="1" applyAlignment="1" applyProtection="1">
      <alignment horizontal="left"/>
    </xf>
    <xf numFmtId="0" fontId="2" fillId="9" borderId="353" xfId="0" applyFont="1" applyFill="1" applyBorder="1" applyAlignment="1" applyProtection="1">
      <alignment horizontal="left"/>
    </xf>
    <xf numFmtId="0" fontId="111" fillId="10" borderId="353" xfId="0" applyFont="1" applyFill="1" applyBorder="1" applyAlignment="1" applyProtection="1">
      <alignment horizontal="left"/>
      <protection locked="0"/>
    </xf>
    <xf numFmtId="0" fontId="111" fillId="10" borderId="353" xfId="0" applyFont="1" applyFill="1" applyBorder="1" applyAlignment="1" applyProtection="1">
      <alignment horizontal="left" indent="1"/>
      <protection locked="0"/>
    </xf>
    <xf numFmtId="0" fontId="111" fillId="10" borderId="354" xfId="0" applyFont="1" applyFill="1" applyBorder="1" applyAlignment="1" applyProtection="1">
      <alignment horizontal="left" indent="1"/>
      <protection locked="0"/>
    </xf>
    <xf numFmtId="176" fontId="31" fillId="0" borderId="131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4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35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7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38" xfId="0" applyNumberFormat="1" applyFont="1" applyFill="1" applyBorder="1" applyAlignment="1" applyProtection="1">
      <alignment horizontal="right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32" xfId="0" applyNumberFormat="1" applyFont="1" applyFill="1" applyBorder="1" applyAlignment="1" applyProtection="1">
      <alignment horizontal="justify" vertical="top"/>
      <protection locked="0"/>
    </xf>
    <xf numFmtId="1" fontId="11" fillId="0" borderId="133" xfId="0" applyNumberFormat="1" applyFont="1" applyFill="1" applyBorder="1" applyAlignment="1" applyProtection="1">
      <alignment horizontal="justify" vertical="top"/>
      <protection locked="0"/>
    </xf>
    <xf numFmtId="1" fontId="11" fillId="0" borderId="135" xfId="0" applyNumberFormat="1" applyFont="1" applyFill="1" applyBorder="1" applyAlignment="1" applyProtection="1">
      <alignment horizontal="justify" vertical="top"/>
      <protection locked="0"/>
    </xf>
    <xf numFmtId="1" fontId="11" fillId="0" borderId="136" xfId="0" applyNumberFormat="1" applyFont="1" applyFill="1" applyBorder="1" applyAlignment="1" applyProtection="1">
      <alignment horizontal="justify" vertical="top"/>
      <protection locked="0"/>
    </xf>
    <xf numFmtId="1" fontId="11" fillId="0" borderId="38" xfId="0" applyNumberFormat="1" applyFont="1" applyFill="1" applyBorder="1" applyAlignment="1" applyProtection="1">
      <alignment horizontal="justify" vertical="top"/>
      <protection locked="0"/>
    </xf>
    <xf numFmtId="1" fontId="11" fillId="0" borderId="39" xfId="0" applyNumberFormat="1" applyFont="1" applyFill="1" applyBorder="1" applyAlignment="1" applyProtection="1">
      <alignment horizontal="justify" vertical="top"/>
      <protection locked="0"/>
    </xf>
    <xf numFmtId="0" fontId="12" fillId="0" borderId="52" xfId="0" applyFont="1" applyFill="1" applyBorder="1" applyAlignment="1" applyProtection="1">
      <alignment horizontal="center" vertical="top"/>
    </xf>
    <xf numFmtId="0" fontId="12" fillId="0" borderId="54" xfId="0" applyFont="1" applyFill="1" applyBorder="1" applyAlignment="1" applyProtection="1">
      <alignment horizontal="center" vertical="top"/>
    </xf>
    <xf numFmtId="0" fontId="11" fillId="0" borderId="1" xfId="0" applyFont="1" applyBorder="1" applyAlignment="1" applyProtection="1">
      <alignment horizontal="right"/>
    </xf>
    <xf numFmtId="0" fontId="11" fillId="0" borderId="2" xfId="0" applyFont="1" applyBorder="1" applyAlignment="1" applyProtection="1">
      <alignment horizontal="right"/>
    </xf>
    <xf numFmtId="0" fontId="11" fillId="0" borderId="3" xfId="0" applyFont="1" applyBorder="1" applyAlignment="1" applyProtection="1">
      <alignment horizontal="right"/>
    </xf>
    <xf numFmtId="0" fontId="11" fillId="0" borderId="11" xfId="0" applyFont="1" applyBorder="1" applyAlignment="1" applyProtection="1">
      <alignment horizontal="right"/>
    </xf>
    <xf numFmtId="0" fontId="11" fillId="0" borderId="10" xfId="0" applyFont="1" applyBorder="1" applyAlignment="1" applyProtection="1">
      <alignment horizontal="right"/>
    </xf>
    <xf numFmtId="0" fontId="11" fillId="0" borderId="13" xfId="0" applyFont="1" applyBorder="1" applyAlignment="1" applyProtection="1">
      <alignment horizontal="right"/>
    </xf>
    <xf numFmtId="0" fontId="11" fillId="0" borderId="12" xfId="0" applyFont="1" applyBorder="1" applyAlignment="1" applyProtection="1">
      <alignment horizontal="right"/>
    </xf>
    <xf numFmtId="177" fontId="12" fillId="10" borderId="56" xfId="0" applyNumberFormat="1" applyFont="1" applyFill="1" applyBorder="1" applyAlignment="1" applyProtection="1">
      <alignment horizontal="center" vertical="top"/>
      <protection locked="0"/>
    </xf>
    <xf numFmtId="177" fontId="12" fillId="10" borderId="59" xfId="0" applyNumberFormat="1" applyFont="1" applyFill="1" applyBorder="1" applyAlignment="1" applyProtection="1">
      <alignment horizontal="center" vertical="top"/>
      <protection locked="0"/>
    </xf>
    <xf numFmtId="0" fontId="11" fillId="0" borderId="56" xfId="0" applyFont="1" applyFill="1" applyBorder="1" applyAlignment="1" applyProtection="1">
      <alignment horizontal="center" vertical="center"/>
    </xf>
    <xf numFmtId="0" fontId="11" fillId="0" borderId="57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center" vertical="center"/>
    </xf>
    <xf numFmtId="0" fontId="11" fillId="0" borderId="58" xfId="0" applyFont="1" applyFill="1" applyBorder="1" applyAlignment="1" applyProtection="1">
      <alignment horizontal="justify" vertical="center"/>
    </xf>
    <xf numFmtId="0" fontId="11" fillId="0" borderId="57" xfId="0" applyFont="1" applyFill="1" applyBorder="1" applyAlignment="1" applyProtection="1">
      <alignment horizontal="justify" vertical="center"/>
    </xf>
    <xf numFmtId="0" fontId="11" fillId="0" borderId="55" xfId="0" applyFont="1" applyFill="1" applyBorder="1" applyAlignment="1" applyProtection="1">
      <alignment horizontal="justify" vertical="center"/>
    </xf>
    <xf numFmtId="0" fontId="14" fillId="0" borderId="56" xfId="0" applyFont="1" applyFill="1" applyBorder="1" applyAlignment="1" applyProtection="1">
      <alignment horizontal="justify" vertical="center"/>
    </xf>
    <xf numFmtId="0" fontId="14" fillId="0" borderId="57" xfId="0" applyFont="1" applyFill="1" applyBorder="1" applyAlignment="1" applyProtection="1">
      <alignment horizontal="justify" vertical="center"/>
    </xf>
    <xf numFmtId="0" fontId="14" fillId="0" borderId="55" xfId="0" applyFont="1" applyFill="1" applyBorder="1" applyAlignment="1" applyProtection="1">
      <alignment horizontal="justify" vertical="center"/>
    </xf>
    <xf numFmtId="0" fontId="11" fillId="0" borderId="52" xfId="0" applyFont="1" applyFill="1" applyBorder="1" applyAlignment="1" applyProtection="1">
      <alignment horizontal="justify"/>
    </xf>
    <xf numFmtId="0" fontId="11" fillId="0" borderId="53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justify"/>
    </xf>
    <xf numFmtId="0" fontId="11" fillId="0" borderId="57" xfId="0" applyFont="1" applyFill="1" applyBorder="1" applyAlignment="1" applyProtection="1">
      <alignment horizontal="justify"/>
    </xf>
    <xf numFmtId="0" fontId="11" fillId="0" borderId="55" xfId="0" applyFont="1" applyFill="1" applyBorder="1" applyAlignment="1" applyProtection="1">
      <alignment horizontal="center" vertical="center"/>
    </xf>
    <xf numFmtId="0" fontId="27" fillId="0" borderId="53" xfId="0" applyFont="1" applyFill="1" applyBorder="1" applyAlignment="1" applyProtection="1">
      <alignment horizontal="center" vertical="center"/>
    </xf>
    <xf numFmtId="0" fontId="27" fillId="0" borderId="54" xfId="0" applyFont="1" applyFill="1" applyBorder="1" applyAlignment="1" applyProtection="1">
      <alignment horizontal="center" vertical="center"/>
    </xf>
    <xf numFmtId="0" fontId="12" fillId="0" borderId="40" xfId="0" applyFont="1" applyFill="1" applyBorder="1" applyAlignment="1" applyProtection="1">
      <alignment horizontal="center" vertical="center"/>
    </xf>
    <xf numFmtId="0" fontId="12" fillId="0" borderId="41" xfId="0" applyFont="1" applyFill="1" applyBorder="1" applyAlignment="1" applyProtection="1">
      <alignment horizontal="center" vertical="center"/>
    </xf>
    <xf numFmtId="0" fontId="11" fillId="0" borderId="59" xfId="0" applyFont="1" applyFill="1" applyBorder="1" applyAlignment="1" applyProtection="1">
      <alignment horizontal="justify"/>
    </xf>
    <xf numFmtId="0" fontId="11" fillId="0" borderId="56" xfId="0" applyFont="1" applyFill="1" applyBorder="1" applyAlignment="1" applyProtection="1">
      <alignment horizontal="right" vertical="center"/>
    </xf>
    <xf numFmtId="0" fontId="11" fillId="0" borderId="57" xfId="0" applyFont="1" applyFill="1" applyBorder="1" applyAlignment="1" applyProtection="1">
      <alignment horizontal="right" vertical="center"/>
    </xf>
    <xf numFmtId="0" fontId="11" fillId="0" borderId="55" xfId="0" applyFont="1" applyFill="1" applyBorder="1" applyAlignment="1" applyProtection="1">
      <alignment horizontal="right" vertical="center"/>
    </xf>
    <xf numFmtId="166" fontId="11" fillId="0" borderId="124" xfId="0" applyNumberFormat="1" applyFont="1" applyFill="1" applyBorder="1" applyAlignment="1" applyProtection="1">
      <alignment horizontal="justify" wrapText="1"/>
    </xf>
    <xf numFmtId="166" fontId="11" fillId="0" borderId="98" xfId="0" applyNumberFormat="1" applyFont="1" applyFill="1" applyBorder="1" applyAlignment="1" applyProtection="1">
      <alignment horizontal="justify" wrapText="1"/>
    </xf>
    <xf numFmtId="166" fontId="11" fillId="0" borderId="125" xfId="0" applyNumberFormat="1" applyFont="1" applyFill="1" applyBorder="1" applyAlignment="1" applyProtection="1">
      <alignment horizontal="justify" wrapText="1"/>
    </xf>
    <xf numFmtId="166" fontId="11" fillId="0" borderId="126" xfId="0" applyNumberFormat="1" applyFont="1" applyFill="1" applyBorder="1" applyAlignment="1" applyProtection="1">
      <alignment horizontal="justify" wrapText="1"/>
    </xf>
    <xf numFmtId="166" fontId="11" fillId="0" borderId="97" xfId="0" applyNumberFormat="1" applyFont="1" applyFill="1" applyBorder="1" applyAlignment="1" applyProtection="1">
      <alignment horizontal="justify" wrapText="1"/>
    </xf>
    <xf numFmtId="166" fontId="11" fillId="0" borderId="127" xfId="0" applyNumberFormat="1" applyFont="1" applyFill="1" applyBorder="1" applyAlignment="1" applyProtection="1">
      <alignment horizontal="justify" wrapText="1"/>
    </xf>
    <xf numFmtId="167" fontId="32" fillId="0" borderId="56" xfId="0" applyNumberFormat="1" applyFont="1" applyFill="1" applyBorder="1" applyAlignment="1" applyProtection="1">
      <alignment horizontal="right" vertical="top"/>
    </xf>
    <xf numFmtId="167" fontId="32" fillId="0" borderId="57" xfId="0" applyNumberFormat="1" applyFont="1" applyFill="1" applyBorder="1" applyAlignment="1" applyProtection="1">
      <alignment horizontal="right" vertical="top"/>
    </xf>
    <xf numFmtId="167" fontId="32" fillId="0" borderId="55" xfId="0" applyNumberFormat="1" applyFont="1" applyFill="1" applyBorder="1" applyAlignment="1" applyProtection="1">
      <alignment horizontal="right" vertical="top"/>
    </xf>
    <xf numFmtId="1" fontId="12" fillId="10" borderId="56" xfId="0" applyNumberFormat="1" applyFont="1" applyFill="1" applyBorder="1" applyAlignment="1" applyProtection="1">
      <alignment horizontal="center" vertical="center" wrapText="1"/>
      <protection locked="0"/>
    </xf>
    <xf numFmtId="1" fontId="12" fillId="10" borderId="55" xfId="0" applyNumberFormat="1" applyFont="1" applyFill="1" applyBorder="1" applyAlignment="1" applyProtection="1">
      <alignment horizontal="center" vertical="center" wrapText="1"/>
      <protection locked="0"/>
    </xf>
    <xf numFmtId="166" fontId="11" fillId="0" borderId="58" xfId="0" applyNumberFormat="1" applyFont="1" applyFill="1" applyBorder="1" applyAlignment="1" applyProtection="1">
      <alignment horizontal="center" wrapText="1"/>
    </xf>
    <xf numFmtId="166" fontId="11" fillId="0" borderId="57" xfId="0" applyNumberFormat="1" applyFont="1" applyFill="1" applyBorder="1" applyAlignment="1" applyProtection="1">
      <alignment horizontal="center" wrapText="1"/>
    </xf>
    <xf numFmtId="166" fontId="11" fillId="0" borderId="59" xfId="0" applyNumberFormat="1" applyFont="1" applyFill="1" applyBorder="1" applyAlignment="1" applyProtection="1">
      <alignment horizontal="center" wrapText="1"/>
    </xf>
    <xf numFmtId="0" fontId="12" fillId="0" borderId="58" xfId="0" applyFont="1" applyFill="1" applyBorder="1" applyAlignment="1" applyProtection="1">
      <alignment horizontal="justify" vertical="center"/>
    </xf>
    <xf numFmtId="0" fontId="12" fillId="0" borderId="57" xfId="0" applyFont="1" applyFill="1" applyBorder="1" applyAlignment="1" applyProtection="1">
      <alignment horizontal="justify" vertical="center"/>
    </xf>
    <xf numFmtId="0" fontId="12" fillId="0" borderId="55" xfId="0" applyFont="1" applyFill="1" applyBorder="1" applyAlignment="1" applyProtection="1">
      <alignment horizontal="justify" vertical="center"/>
    </xf>
    <xf numFmtId="178" fontId="12" fillId="10" borderId="56" xfId="0" applyNumberFormat="1" applyFont="1" applyFill="1" applyBorder="1" applyAlignment="1" applyProtection="1">
      <alignment horizontal="center" vertical="center"/>
      <protection locked="0"/>
    </xf>
    <xf numFmtId="178" fontId="12" fillId="10" borderId="57" xfId="0" applyNumberFormat="1" applyFont="1" applyFill="1" applyBorder="1" applyAlignment="1" applyProtection="1">
      <alignment horizontal="center" vertical="center"/>
      <protection locked="0"/>
    </xf>
    <xf numFmtId="1" fontId="11" fillId="0" borderId="141" xfId="0" applyNumberFormat="1" applyFont="1" applyFill="1" applyBorder="1" applyAlignment="1" applyProtection="1">
      <alignment horizontal="center"/>
    </xf>
    <xf numFmtId="176" fontId="14" fillId="0" borderId="98" xfId="0" applyNumberFormat="1" applyFont="1" applyFill="1" applyBorder="1" applyAlignment="1" applyProtection="1">
      <alignment horizontal="right"/>
    </xf>
    <xf numFmtId="0" fontId="14" fillId="0" borderId="58" xfId="0" applyFont="1" applyFill="1" applyBorder="1" applyAlignment="1" applyProtection="1">
      <alignment horizontal="justify"/>
    </xf>
    <xf numFmtId="0" fontId="14" fillId="0" borderId="57" xfId="0" applyFont="1" applyFill="1" applyBorder="1" applyAlignment="1" applyProtection="1">
      <alignment horizontal="justify"/>
    </xf>
    <xf numFmtId="0" fontId="11" fillId="0" borderId="126" xfId="0" applyFont="1" applyFill="1" applyBorder="1" applyAlignment="1" applyProtection="1">
      <alignment horizontal="justify"/>
    </xf>
    <xf numFmtId="0" fontId="11" fillId="0" borderId="97" xfId="0" applyFont="1" applyFill="1" applyBorder="1" applyAlignment="1" applyProtection="1">
      <alignment horizontal="justify"/>
    </xf>
    <xf numFmtId="0" fontId="11" fillId="0" borderId="130" xfId="0" applyFont="1" applyFill="1" applyBorder="1" applyAlignment="1" applyProtection="1">
      <alignment horizontal="justify"/>
    </xf>
    <xf numFmtId="168" fontId="31" fillId="0" borderId="132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135" xfId="0" applyNumberFormat="1" applyFont="1" applyFill="1" applyBorder="1" applyAlignment="1" applyProtection="1">
      <alignment horizontal="center" vertical="top" wrapText="1"/>
      <protection locked="0"/>
    </xf>
    <xf numFmtId="168" fontId="31" fillId="0" borderId="38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32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135" xfId="0" applyNumberFormat="1" applyFont="1" applyFill="1" applyBorder="1" applyAlignment="1" applyProtection="1">
      <alignment horizontal="justify" vertical="top" wrapText="1"/>
      <protection locked="0"/>
    </xf>
    <xf numFmtId="169" fontId="11" fillId="0" borderId="38" xfId="0" applyNumberFormat="1" applyFont="1" applyFill="1" applyBorder="1" applyAlignment="1" applyProtection="1">
      <alignment horizontal="justify" vertical="top" wrapText="1"/>
      <protection locked="0"/>
    </xf>
    <xf numFmtId="167" fontId="12" fillId="0" borderId="41" xfId="0" applyNumberFormat="1" applyFont="1" applyFill="1" applyBorder="1" applyAlignment="1" applyProtection="1">
      <alignment horizontal="center" vertical="center"/>
    </xf>
    <xf numFmtId="167" fontId="12" fillId="0" borderId="42" xfId="0" applyNumberFormat="1" applyFont="1" applyFill="1" applyBorder="1" applyAlignment="1" applyProtection="1">
      <alignment horizontal="center" vertical="center"/>
    </xf>
    <xf numFmtId="1" fontId="11" fillId="0" borderId="132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35" xfId="0" applyNumberFormat="1" applyFont="1" applyFill="1" applyBorder="1" applyAlignment="1" applyProtection="1">
      <alignment horizontal="center" vertical="top" wrapText="1"/>
      <protection locked="0"/>
    </xf>
    <xf numFmtId="1" fontId="11" fillId="0" borderId="38" xfId="0" applyNumberFormat="1" applyFont="1" applyFill="1" applyBorder="1" applyAlignment="1" applyProtection="1">
      <alignment horizontal="center" vertical="top" wrapText="1"/>
      <protection locked="0"/>
    </xf>
    <xf numFmtId="1" fontId="11" fillId="0" borderId="56" xfId="0" applyNumberFormat="1" applyFont="1" applyFill="1" applyBorder="1" applyAlignment="1" applyProtection="1"/>
    <xf numFmtId="1" fontId="11" fillId="0" borderId="57" xfId="0" applyNumberFormat="1" applyFont="1" applyFill="1" applyBorder="1" applyAlignment="1" applyProtection="1"/>
    <xf numFmtId="1" fontId="11" fillId="0" borderId="59" xfId="0" applyNumberFormat="1" applyFont="1" applyFill="1" applyBorder="1" applyAlignment="1" applyProtection="1"/>
    <xf numFmtId="1" fontId="11" fillId="0" borderId="56" xfId="0" applyNumberFormat="1" applyFont="1" applyFill="1" applyBorder="1" applyAlignment="1" applyProtection="1">
      <alignment horizontal="center"/>
    </xf>
    <xf numFmtId="1" fontId="11" fillId="0" borderId="57" xfId="0" applyNumberFormat="1" applyFont="1" applyFill="1" applyBorder="1" applyAlignment="1" applyProtection="1">
      <alignment horizontal="center"/>
    </xf>
    <xf numFmtId="1" fontId="11" fillId="0" borderId="55" xfId="0" applyNumberFormat="1" applyFont="1" applyFill="1" applyBorder="1" applyAlignment="1" applyProtection="1">
      <alignment horizontal="center"/>
    </xf>
    <xf numFmtId="1" fontId="11" fillId="0" borderId="121" xfId="0" applyNumberFormat="1" applyFont="1" applyFill="1" applyBorder="1" applyAlignment="1" applyProtection="1">
      <alignment horizontal="right"/>
    </xf>
    <xf numFmtId="1" fontId="11" fillId="0" borderId="97" xfId="0" applyNumberFormat="1" applyFont="1" applyFill="1" applyBorder="1" applyAlignment="1" applyProtection="1">
      <alignment horizontal="right"/>
    </xf>
    <xf numFmtId="1" fontId="11" fillId="0" borderId="127" xfId="0" applyNumberFormat="1" applyFont="1" applyFill="1" applyBorder="1" applyAlignment="1" applyProtection="1">
      <alignment horizontal="right"/>
    </xf>
    <xf numFmtId="176" fontId="31" fillId="0" borderId="142" xfId="0" applyNumberFormat="1" applyFont="1" applyFill="1" applyBorder="1" applyAlignment="1" applyProtection="1">
      <alignment horizontal="right" vertical="top" wrapText="1"/>
      <protection locked="0"/>
    </xf>
    <xf numFmtId="176" fontId="31" fillId="0" borderId="143" xfId="0" applyNumberFormat="1" applyFont="1" applyFill="1" applyBorder="1" applyAlignment="1" applyProtection="1">
      <alignment horizontal="right" vertical="top" wrapText="1"/>
      <protection locked="0"/>
    </xf>
    <xf numFmtId="168" fontId="31" fillId="0" borderId="143" xfId="0" applyNumberFormat="1" applyFont="1" applyFill="1" applyBorder="1" applyAlignment="1" applyProtection="1">
      <alignment horizontal="center" vertical="top" wrapText="1"/>
      <protection locked="0"/>
    </xf>
    <xf numFmtId="169" fontId="11" fillId="0" borderId="143" xfId="0" applyNumberFormat="1" applyFont="1" applyFill="1" applyBorder="1" applyAlignment="1" applyProtection="1">
      <alignment horizontal="justify" vertical="top" wrapText="1"/>
      <protection locked="0"/>
    </xf>
    <xf numFmtId="1" fontId="11" fillId="0" borderId="143" xfId="0" applyNumberFormat="1" applyFont="1" applyFill="1" applyBorder="1" applyAlignment="1" applyProtection="1">
      <alignment horizontal="center" vertical="top" wrapText="1"/>
      <protection locked="0"/>
    </xf>
    <xf numFmtId="1" fontId="11" fillId="0" borderId="143" xfId="0" applyNumberFormat="1" applyFont="1" applyFill="1" applyBorder="1" applyAlignment="1" applyProtection="1">
      <alignment horizontal="justify" vertical="top"/>
      <protection locked="0"/>
    </xf>
    <xf numFmtId="1" fontId="11" fillId="0" borderId="144" xfId="0" applyNumberFormat="1" applyFont="1" applyFill="1" applyBorder="1" applyAlignment="1" applyProtection="1">
      <alignment horizontal="justify" vertical="top"/>
      <protection locked="0"/>
    </xf>
    <xf numFmtId="1" fontId="11" fillId="0" borderId="52" xfId="0" applyNumberFormat="1" applyFont="1" applyFill="1" applyBorder="1" applyAlignment="1" applyProtection="1">
      <alignment horizontal="center"/>
    </xf>
    <xf numFmtId="1" fontId="11" fillId="0" borderId="53" xfId="0" applyNumberFormat="1" applyFont="1" applyFill="1" applyBorder="1" applyAlignment="1" applyProtection="1">
      <alignment horizontal="center"/>
    </xf>
    <xf numFmtId="1" fontId="11" fillId="0" borderId="54" xfId="0" applyNumberFormat="1" applyFont="1" applyFill="1" applyBorder="1" applyAlignment="1" applyProtection="1">
      <alignment horizontal="center"/>
    </xf>
    <xf numFmtId="0" fontId="11" fillId="0" borderId="52" xfId="0" applyFont="1" applyFill="1" applyBorder="1" applyAlignment="1" applyProtection="1">
      <alignment horizontal="center" vertical="center"/>
    </xf>
    <xf numFmtId="0" fontId="11" fillId="0" borderId="53" xfId="0" applyFont="1" applyFill="1" applyBorder="1" applyAlignment="1" applyProtection="1">
      <alignment horizontal="center" vertical="center"/>
    </xf>
    <xf numFmtId="0" fontId="11" fillId="0" borderId="54" xfId="0" applyFont="1" applyFill="1" applyBorder="1" applyAlignment="1" applyProtection="1">
      <alignment horizontal="center" vertical="center"/>
    </xf>
    <xf numFmtId="0" fontId="11" fillId="4" borderId="19" xfId="0" applyFont="1" applyFill="1" applyBorder="1" applyAlignment="1" applyProtection="1">
      <alignment horizontal="center" vertical="center"/>
    </xf>
    <xf numFmtId="0" fontId="11" fillId="4" borderId="61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justify"/>
    </xf>
    <xf numFmtId="0" fontId="14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right"/>
    </xf>
    <xf numFmtId="177" fontId="12" fillId="4" borderId="0" xfId="0" applyNumberFormat="1" applyFont="1" applyFill="1" applyBorder="1" applyAlignment="1" applyProtection="1">
      <alignment horizontal="right"/>
    </xf>
    <xf numFmtId="177" fontId="12" fillId="4" borderId="128" xfId="0" applyNumberFormat="1" applyFont="1" applyFill="1" applyBorder="1" applyAlignment="1" applyProtection="1">
      <alignment horizontal="right"/>
    </xf>
    <xf numFmtId="0" fontId="11" fillId="0" borderId="58" xfId="0" applyFont="1" applyFill="1" applyBorder="1" applyAlignment="1" applyProtection="1">
      <alignment horizontal="center" vertical="center"/>
    </xf>
    <xf numFmtId="1" fontId="11" fillId="0" borderId="56" xfId="0" applyNumberFormat="1" applyFont="1" applyFill="1" applyBorder="1" applyAlignment="1" applyProtection="1">
      <alignment horizontal="center" vertical="center" wrapText="1"/>
    </xf>
    <xf numFmtId="1" fontId="11" fillId="0" borderId="57" xfId="0" applyNumberFormat="1" applyFont="1" applyFill="1" applyBorder="1" applyAlignment="1" applyProtection="1">
      <alignment horizontal="center" vertical="center" wrapText="1"/>
    </xf>
    <xf numFmtId="1" fontId="11" fillId="0" borderId="59" xfId="0" applyNumberFormat="1" applyFont="1" applyFill="1" applyBorder="1" applyAlignment="1" applyProtection="1">
      <alignment horizontal="center" vertical="center" wrapText="1"/>
    </xf>
    <xf numFmtId="0" fontId="11" fillId="5" borderId="57" xfId="0" applyFont="1" applyFill="1" applyBorder="1" applyAlignment="1" applyProtection="1">
      <alignment horizontal="center" vertical="center"/>
    </xf>
    <xf numFmtId="0" fontId="11" fillId="5" borderId="55" xfId="0" applyFont="1" applyFill="1" applyBorder="1" applyAlignment="1" applyProtection="1">
      <alignment horizontal="center" vertical="center"/>
    </xf>
    <xf numFmtId="0" fontId="11" fillId="0" borderId="145" xfId="0" applyFont="1" applyFill="1" applyBorder="1" applyAlignment="1" applyProtection="1">
      <alignment horizontal="center" vertical="center"/>
    </xf>
    <xf numFmtId="0" fontId="11" fillId="0" borderId="146" xfId="0" applyFont="1" applyFill="1" applyBorder="1" applyAlignment="1" applyProtection="1">
      <alignment horizontal="center" vertical="center"/>
    </xf>
    <xf numFmtId="0" fontId="11" fillId="0" borderId="147" xfId="0" applyFont="1" applyFill="1" applyBorder="1" applyAlignment="1" applyProtection="1">
      <alignment horizontal="center" vertical="center"/>
    </xf>
    <xf numFmtId="1" fontId="11" fillId="0" borderId="138" xfId="0" applyNumberFormat="1" applyFont="1" applyFill="1" applyBorder="1" applyAlignment="1" applyProtection="1">
      <alignment horizontal="center"/>
    </xf>
    <xf numFmtId="1" fontId="11" fillId="0" borderId="137" xfId="0" applyNumberFormat="1" applyFont="1" applyFill="1" applyBorder="1" applyAlignment="1" applyProtection="1">
      <alignment horizontal="center"/>
    </xf>
    <xf numFmtId="1" fontId="11" fillId="0" borderId="139" xfId="0" applyNumberFormat="1" applyFont="1" applyFill="1" applyBorder="1" applyAlignment="1" applyProtection="1">
      <alignment horizontal="center"/>
    </xf>
    <xf numFmtId="0" fontId="27" fillId="4" borderId="19" xfId="0" applyFont="1" applyFill="1" applyBorder="1" applyAlignment="1" applyProtection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</xf>
    <xf numFmtId="0" fontId="11" fillId="0" borderId="129" xfId="0" applyFont="1" applyFill="1" applyBorder="1" applyAlignment="1" applyProtection="1">
      <alignment horizontal="center" vertical="center"/>
    </xf>
    <xf numFmtId="0" fontId="11" fillId="0" borderId="126" xfId="0" applyFont="1" applyFill="1" applyBorder="1" applyAlignment="1" applyProtection="1">
      <alignment horizontal="center" vertical="center"/>
    </xf>
    <xf numFmtId="0" fontId="11" fillId="0" borderId="130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 applyProtection="1">
      <alignment horizontal="center" vertical="center"/>
    </xf>
    <xf numFmtId="0" fontId="12" fillId="4" borderId="19" xfId="0" applyFont="1" applyFill="1" applyBorder="1" applyAlignment="1" applyProtection="1">
      <alignment horizontal="center" vertical="top"/>
    </xf>
    <xf numFmtId="0" fontId="12" fillId="0" borderId="58" xfId="0" applyFont="1" applyFill="1" applyBorder="1" applyAlignment="1" applyProtection="1">
      <alignment horizontal="center" vertical="center"/>
    </xf>
    <xf numFmtId="0" fontId="12" fillId="0" borderId="57" xfId="0" applyFont="1" applyFill="1" applyBorder="1" applyAlignment="1" applyProtection="1">
      <alignment horizontal="center" vertical="center"/>
    </xf>
    <xf numFmtId="0" fontId="12" fillId="0" borderId="59" xfId="0" applyFont="1" applyFill="1" applyBorder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/>
    </xf>
    <xf numFmtId="1" fontId="11" fillId="4" borderId="21" xfId="0" applyNumberFormat="1" applyFont="1" applyFill="1" applyBorder="1" applyAlignment="1" applyProtection="1">
      <alignment horizontal="justify"/>
    </xf>
    <xf numFmtId="0" fontId="11" fillId="4" borderId="60" xfId="0" applyFont="1" applyFill="1" applyBorder="1" applyAlignment="1" applyProtection="1">
      <alignment horizontal="justify"/>
    </xf>
    <xf numFmtId="0" fontId="11" fillId="4" borderId="22" xfId="0" applyFont="1" applyFill="1" applyBorder="1" applyAlignment="1" applyProtection="1">
      <alignment horizontal="justify"/>
    </xf>
    <xf numFmtId="0" fontId="12" fillId="4" borderId="61" xfId="0" applyFont="1" applyFill="1" applyBorder="1" applyAlignment="1" applyProtection="1">
      <alignment horizontal="justify"/>
    </xf>
    <xf numFmtId="0" fontId="12" fillId="4" borderId="0" xfId="0" applyFont="1" applyFill="1" applyBorder="1" applyAlignment="1" applyProtection="1">
      <alignment horizontal="justify"/>
    </xf>
    <xf numFmtId="0" fontId="11" fillId="4" borderId="0" xfId="0" applyFont="1" applyFill="1" applyBorder="1" applyAlignment="1" applyProtection="1">
      <alignment horizontal="center"/>
    </xf>
    <xf numFmtId="178" fontId="12" fillId="4" borderId="0" xfId="0" applyNumberFormat="1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justify"/>
    </xf>
    <xf numFmtId="166" fontId="11" fillId="4" borderId="61" xfId="0" applyNumberFormat="1" applyFont="1" applyFill="1" applyBorder="1" applyAlignment="1" applyProtection="1">
      <alignment horizontal="justify"/>
    </xf>
    <xf numFmtId="167" fontId="12" fillId="4" borderId="0" xfId="0" applyNumberFormat="1" applyFont="1" applyFill="1" applyBorder="1" applyAlignment="1" applyProtection="1">
      <alignment horizontal="right"/>
    </xf>
    <xf numFmtId="0" fontId="12" fillId="4" borderId="0" xfId="0" applyFont="1" applyFill="1" applyBorder="1" applyAlignment="1" applyProtection="1">
      <alignment horizontal="right"/>
    </xf>
    <xf numFmtId="1" fontId="12" fillId="9" borderId="0" xfId="0" applyNumberFormat="1" applyFont="1" applyFill="1" applyBorder="1" applyAlignment="1" applyProtection="1">
      <alignment horizontal="center"/>
    </xf>
    <xf numFmtId="0" fontId="12" fillId="9" borderId="0" xfId="0" applyFont="1" applyFill="1" applyBorder="1" applyAlignment="1" applyProtection="1">
      <alignment horizontal="center"/>
    </xf>
    <xf numFmtId="0" fontId="11" fillId="4" borderId="128" xfId="0" applyFont="1" applyFill="1" applyBorder="1" applyAlignment="1" applyProtection="1">
      <alignment horizontal="center"/>
    </xf>
    <xf numFmtId="0" fontId="11" fillId="4" borderId="61" xfId="0" applyFont="1" applyFill="1" applyBorder="1" applyAlignment="1" applyProtection="1">
      <alignment horizontal="center"/>
    </xf>
    <xf numFmtId="0" fontId="12" fillId="4" borderId="40" xfId="0" applyFont="1" applyFill="1" applyBorder="1" applyAlignment="1" applyProtection="1">
      <alignment horizontal="center" vertical="center"/>
    </xf>
    <xf numFmtId="0" fontId="12" fillId="4" borderId="41" xfId="0" applyFont="1" applyFill="1" applyBorder="1" applyAlignment="1" applyProtection="1">
      <alignment horizontal="center" vertical="center"/>
    </xf>
    <xf numFmtId="167" fontId="12" fillId="4" borderId="41" xfId="0" applyNumberFormat="1" applyFont="1" applyFill="1" applyBorder="1" applyAlignment="1" applyProtection="1">
      <alignment horizontal="center" vertical="center"/>
    </xf>
    <xf numFmtId="1" fontId="11" fillId="4" borderId="0" xfId="0" applyNumberFormat="1" applyFont="1" applyFill="1" applyBorder="1" applyAlignment="1" applyProtection="1">
      <alignment horizontal="right"/>
    </xf>
    <xf numFmtId="0" fontId="11" fillId="4" borderId="128" xfId="0" applyFont="1" applyFill="1" applyBorder="1" applyAlignment="1" applyProtection="1">
      <alignment horizontal="right"/>
    </xf>
    <xf numFmtId="176" fontId="11" fillId="4" borderId="14" xfId="0" applyNumberFormat="1" applyFont="1" applyFill="1" applyBorder="1" applyAlignment="1" applyProtection="1">
      <alignment horizontal="right" vertical="top"/>
    </xf>
    <xf numFmtId="176" fontId="11" fillId="4" borderId="25" xfId="0" applyNumberFormat="1" applyFont="1" applyFill="1" applyBorder="1" applyAlignment="1" applyProtection="1">
      <alignment horizontal="right" vertical="top"/>
    </xf>
    <xf numFmtId="176" fontId="11" fillId="4" borderId="17" xfId="0" applyNumberFormat="1" applyFont="1" applyFill="1" applyBorder="1" applyAlignment="1" applyProtection="1">
      <alignment horizontal="right" vertical="top"/>
    </xf>
    <xf numFmtId="176" fontId="11" fillId="4" borderId="35" xfId="0" applyNumberFormat="1" applyFont="1" applyFill="1" applyBorder="1" applyAlignment="1" applyProtection="1">
      <alignment horizontal="right" vertical="top"/>
    </xf>
    <xf numFmtId="168" fontId="11" fillId="4" borderId="25" xfId="0" applyNumberFormat="1" applyFont="1" applyFill="1" applyBorder="1" applyAlignment="1" applyProtection="1">
      <alignment horizontal="center" vertical="top"/>
    </xf>
    <xf numFmtId="0" fontId="11" fillId="4" borderId="25" xfId="0" applyFont="1" applyFill="1" applyBorder="1" applyAlignment="1" applyProtection="1">
      <alignment horizontal="center" vertical="top"/>
    </xf>
    <xf numFmtId="0" fontId="11" fillId="4" borderId="35" xfId="0" applyFont="1" applyFill="1" applyBorder="1" applyAlignment="1" applyProtection="1">
      <alignment horizontal="center" vertical="top"/>
    </xf>
    <xf numFmtId="169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Font="1" applyFill="1" applyBorder="1" applyAlignment="1" applyProtection="1">
      <alignment horizontal="justify" vertical="top"/>
    </xf>
    <xf numFmtId="0" fontId="11" fillId="4" borderId="35" xfId="0" applyFont="1" applyFill="1" applyBorder="1" applyAlignment="1" applyProtection="1">
      <alignment horizontal="justify" vertical="top"/>
    </xf>
    <xf numFmtId="1" fontId="11" fillId="4" borderId="25" xfId="0" applyNumberFormat="1" applyFont="1" applyFill="1" applyBorder="1" applyAlignment="1" applyProtection="1">
      <alignment horizontal="center" vertical="top"/>
    </xf>
    <xf numFmtId="1" fontId="11" fillId="4" borderId="25" xfId="0" applyNumberFormat="1" applyFont="1" applyFill="1" applyBorder="1" applyAlignment="1" applyProtection="1">
      <alignment horizontal="justify" vertical="top"/>
    </xf>
    <xf numFmtId="0" fontId="11" fillId="4" borderId="25" xfId="0" applyNumberFormat="1" applyFont="1" applyFill="1" applyBorder="1" applyAlignment="1" applyProtection="1">
      <alignment horizontal="justify" vertical="top"/>
    </xf>
    <xf numFmtId="0" fontId="11" fillId="4" borderId="34" xfId="0" applyNumberFormat="1" applyFont="1" applyFill="1" applyBorder="1" applyAlignment="1" applyProtection="1">
      <alignment horizontal="justify" vertical="top"/>
    </xf>
    <xf numFmtId="0" fontId="11" fillId="4" borderId="35" xfId="0" applyNumberFormat="1" applyFont="1" applyFill="1" applyBorder="1" applyAlignment="1" applyProtection="1">
      <alignment horizontal="justify" vertical="top"/>
    </xf>
    <xf numFmtId="0" fontId="11" fillId="4" borderId="36" xfId="0" applyNumberFormat="1" applyFont="1" applyFill="1" applyBorder="1" applyAlignment="1" applyProtection="1">
      <alignment horizontal="justify" vertical="top"/>
    </xf>
    <xf numFmtId="176" fontId="11" fillId="4" borderId="37" xfId="0" applyNumberFormat="1" applyFont="1" applyFill="1" applyBorder="1" applyAlignment="1" applyProtection="1">
      <alignment horizontal="right" vertical="top"/>
    </xf>
    <xf numFmtId="176" fontId="11" fillId="4" borderId="38" xfId="0" applyNumberFormat="1" applyFont="1" applyFill="1" applyBorder="1" applyAlignment="1" applyProtection="1">
      <alignment horizontal="right" vertical="top"/>
    </xf>
    <xf numFmtId="168" fontId="11" fillId="4" borderId="38" xfId="0" applyNumberFormat="1" applyFont="1" applyFill="1" applyBorder="1" applyAlignment="1" applyProtection="1">
      <alignment horizontal="center" vertical="top"/>
    </xf>
    <xf numFmtId="0" fontId="11" fillId="4" borderId="38" xfId="0" applyFont="1" applyFill="1" applyBorder="1" applyAlignment="1" applyProtection="1">
      <alignment horizontal="center" vertical="top"/>
    </xf>
    <xf numFmtId="169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Font="1" applyFill="1" applyBorder="1" applyAlignment="1" applyProtection="1">
      <alignment horizontal="justify" vertical="top"/>
    </xf>
    <xf numFmtId="1" fontId="11" fillId="4" borderId="38" xfId="0" applyNumberFormat="1" applyFont="1" applyFill="1" applyBorder="1" applyAlignment="1" applyProtection="1">
      <alignment horizontal="center" vertical="top"/>
    </xf>
    <xf numFmtId="1" fontId="11" fillId="4" borderId="38" xfId="0" applyNumberFormat="1" applyFont="1" applyFill="1" applyBorder="1" applyAlignment="1" applyProtection="1">
      <alignment horizontal="justify" vertical="top"/>
    </xf>
    <xf numFmtId="0" fontId="11" fillId="4" borderId="38" xfId="0" applyNumberFormat="1" applyFont="1" applyFill="1" applyBorder="1" applyAlignment="1" applyProtection="1">
      <alignment horizontal="justify" vertical="top"/>
    </xf>
    <xf numFmtId="0" fontId="11" fillId="4" borderId="39" xfId="0" applyNumberFormat="1" applyFont="1" applyFill="1" applyBorder="1" applyAlignment="1" applyProtection="1">
      <alignment horizontal="justify" vertical="top"/>
    </xf>
    <xf numFmtId="1" fontId="11" fillId="0" borderId="59" xfId="0" applyNumberFormat="1" applyFont="1" applyFill="1" applyBorder="1" applyAlignment="1" applyProtection="1">
      <alignment horizontal="center"/>
    </xf>
    <xf numFmtId="0" fontId="12" fillId="4" borderId="42" xfId="0" applyFont="1" applyFill="1" applyBorder="1" applyAlignment="1" applyProtection="1">
      <alignment horizontal="center" vertical="center"/>
    </xf>
    <xf numFmtId="0" fontId="12" fillId="4" borderId="61" xfId="0" applyFont="1" applyFill="1" applyBorder="1" applyAlignment="1" applyProtection="1">
      <alignment horizontal="center"/>
    </xf>
    <xf numFmtId="0" fontId="12" fillId="4" borderId="0" xfId="0" applyFont="1" applyFill="1" applyBorder="1" applyAlignment="1" applyProtection="1">
      <alignment horizontal="center"/>
    </xf>
    <xf numFmtId="0" fontId="12" fillId="4" borderId="128" xfId="0" applyFont="1" applyFill="1" applyBorder="1" applyAlignment="1" applyProtection="1">
      <alignment horizontal="center"/>
    </xf>
    <xf numFmtId="0" fontId="14" fillId="4" borderId="61" xfId="0" applyFont="1" applyFill="1" applyBorder="1" applyAlignment="1" applyProtection="1">
      <alignment horizontal="justify"/>
    </xf>
    <xf numFmtId="176" fontId="14" fillId="4" borderId="0" xfId="0" applyNumberFormat="1" applyFont="1" applyFill="1" applyBorder="1" applyAlignment="1" applyProtection="1">
      <alignment horizontal="right"/>
    </xf>
    <xf numFmtId="0" fontId="11" fillId="4" borderId="23" xfId="0" applyFont="1" applyFill="1" applyBorder="1" applyAlignment="1" applyProtection="1">
      <alignment horizontal="center"/>
    </xf>
    <xf numFmtId="0" fontId="12" fillId="0" borderId="58" xfId="0" applyFont="1" applyFill="1" applyBorder="1" applyAlignment="1" applyProtection="1">
      <alignment horizontal="justify"/>
    </xf>
    <xf numFmtId="0" fontId="12" fillId="0" borderId="57" xfId="0" applyFont="1" applyFill="1" applyBorder="1" applyAlignment="1" applyProtection="1">
      <alignment horizontal="justify"/>
    </xf>
    <xf numFmtId="0" fontId="12" fillId="0" borderId="55" xfId="0" applyFont="1" applyFill="1" applyBorder="1" applyAlignment="1" applyProtection="1">
      <alignment horizontal="justify"/>
    </xf>
    <xf numFmtId="14" fontId="12" fillId="0" borderId="56" xfId="0" applyNumberFormat="1" applyFont="1" applyFill="1" applyBorder="1" applyAlignment="1" applyProtection="1">
      <alignment horizontal="justify"/>
    </xf>
    <xf numFmtId="14" fontId="12" fillId="0" borderId="57" xfId="0" applyNumberFormat="1" applyFont="1" applyFill="1" applyBorder="1" applyAlignment="1" applyProtection="1">
      <alignment horizontal="justify"/>
    </xf>
    <xf numFmtId="14" fontId="12" fillId="0" borderId="55" xfId="0" applyNumberFormat="1" applyFont="1" applyFill="1" applyBorder="1" applyAlignment="1" applyProtection="1">
      <alignment horizontal="justify"/>
    </xf>
    <xf numFmtId="1" fontId="11" fillId="0" borderId="21" xfId="0" applyNumberFormat="1" applyFont="1" applyFill="1" applyBorder="1" applyAlignment="1" applyProtection="1">
      <alignment horizontal="justify"/>
    </xf>
    <xf numFmtId="1" fontId="11" fillId="0" borderId="60" xfId="0" applyNumberFormat="1" applyFont="1" applyFill="1" applyBorder="1" applyAlignment="1" applyProtection="1">
      <alignment horizontal="justify"/>
    </xf>
    <xf numFmtId="1" fontId="11" fillId="0" borderId="22" xfId="0" applyNumberFormat="1" applyFont="1" applyFill="1" applyBorder="1" applyAlignment="1" applyProtection="1">
      <alignment horizontal="justify"/>
    </xf>
    <xf numFmtId="0" fontId="11" fillId="0" borderId="4" xfId="0" applyFont="1" applyBorder="1" applyAlignment="1" applyProtection="1">
      <alignment horizontal="right"/>
    </xf>
    <xf numFmtId="0" fontId="11" fillId="0" borderId="5" xfId="0" applyFont="1" applyBorder="1" applyAlignment="1" applyProtection="1">
      <alignment horizontal="right"/>
    </xf>
    <xf numFmtId="0" fontId="11" fillId="0" borderId="6" xfId="0" applyFont="1" applyBorder="1" applyAlignment="1" applyProtection="1">
      <alignment horizontal="right"/>
    </xf>
    <xf numFmtId="1" fontId="11" fillId="4" borderId="0" xfId="0" applyNumberFormat="1" applyFont="1" applyFill="1" applyBorder="1" applyAlignment="1" applyProtection="1">
      <alignment horizontal="center"/>
    </xf>
    <xf numFmtId="1" fontId="11" fillId="4" borderId="0" xfId="0" applyNumberFormat="1" applyFont="1" applyFill="1" applyBorder="1" applyAlignment="1" applyProtection="1"/>
    <xf numFmtId="0" fontId="11" fillId="4" borderId="0" xfId="0" applyFont="1" applyFill="1" applyBorder="1" applyAlignment="1" applyProtection="1"/>
    <xf numFmtId="0" fontId="11" fillId="4" borderId="128" xfId="0" applyFont="1" applyFill="1" applyBorder="1" applyAlignment="1" applyProtection="1"/>
    <xf numFmtId="1" fontId="11" fillId="4" borderId="74" xfId="0" applyNumberFormat="1" applyFont="1" applyFill="1" applyBorder="1" applyAlignment="1" applyProtection="1">
      <alignment horizontal="center"/>
    </xf>
    <xf numFmtId="0" fontId="11" fillId="4" borderId="74" xfId="0" applyFont="1" applyFill="1" applyBorder="1" applyAlignment="1" applyProtection="1">
      <alignment horizontal="center"/>
    </xf>
    <xf numFmtId="0" fontId="11" fillId="4" borderId="89" xfId="0" applyFont="1" applyFill="1" applyBorder="1" applyAlignment="1" applyProtection="1">
      <alignment horizontal="center"/>
    </xf>
    <xf numFmtId="1" fontId="11" fillId="0" borderId="140" xfId="0" applyNumberFormat="1" applyFont="1" applyFill="1" applyBorder="1" applyAlignment="1" applyProtection="1">
      <alignment horizontal="center"/>
    </xf>
    <xf numFmtId="1" fontId="11" fillId="0" borderId="148" xfId="0" applyNumberFormat="1" applyFont="1" applyFill="1" applyBorder="1" applyAlignment="1" applyProtection="1">
      <alignment horizontal="center"/>
    </xf>
    <xf numFmtId="0" fontId="11" fillId="4" borderId="23" xfId="0" applyFont="1" applyFill="1" applyBorder="1" applyAlignment="1" applyProtection="1">
      <alignment horizontal="right"/>
    </xf>
    <xf numFmtId="0" fontId="11" fillId="4" borderId="71" xfId="0" applyFont="1" applyFill="1" applyBorder="1" applyAlignment="1" applyProtection="1">
      <alignment horizontal="right"/>
    </xf>
    <xf numFmtId="14" fontId="12" fillId="4" borderId="0" xfId="0" applyNumberFormat="1" applyFont="1" applyFill="1" applyBorder="1" applyAlignment="1" applyProtection="1">
      <alignment horizontal="justify"/>
    </xf>
    <xf numFmtId="1" fontId="11" fillId="0" borderId="121" xfId="0" applyNumberFormat="1" applyFont="1" applyFill="1" applyBorder="1" applyAlignment="1" applyProtection="1">
      <alignment horizontal="center"/>
    </xf>
    <xf numFmtId="1" fontId="11" fillId="0" borderId="97" xfId="0" applyNumberFormat="1" applyFont="1" applyFill="1" applyBorder="1" applyAlignment="1" applyProtection="1">
      <alignment horizontal="center"/>
    </xf>
    <xf numFmtId="1" fontId="11" fillId="0" borderId="130" xfId="0" applyNumberFormat="1" applyFont="1" applyFill="1" applyBorder="1" applyAlignment="1" applyProtection="1">
      <alignment horizontal="center"/>
    </xf>
    <xf numFmtId="0" fontId="11" fillId="4" borderId="21" xfId="0" applyFont="1" applyFill="1" applyBorder="1" applyAlignment="1" applyProtection="1">
      <alignment horizontal="center"/>
    </xf>
    <xf numFmtId="0" fontId="11" fillId="4" borderId="60" xfId="0" applyFont="1" applyFill="1" applyBorder="1" applyAlignment="1" applyProtection="1">
      <alignment horizontal="center"/>
    </xf>
    <xf numFmtId="0" fontId="11" fillId="4" borderId="22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right"/>
    </xf>
    <xf numFmtId="0" fontId="84" fillId="0" borderId="272" xfId="0" applyFont="1" applyBorder="1" applyAlignment="1" applyProtection="1">
      <alignment horizontal="center"/>
    </xf>
    <xf numFmtId="0" fontId="84" fillId="0" borderId="81" xfId="0" applyFont="1" applyBorder="1" applyAlignment="1" applyProtection="1">
      <alignment horizontal="center"/>
    </xf>
    <xf numFmtId="0" fontId="84" fillId="0" borderId="273" xfId="0" applyFont="1" applyBorder="1" applyAlignment="1" applyProtection="1">
      <alignment horizontal="center"/>
    </xf>
    <xf numFmtId="183" fontId="2" fillId="5" borderId="262" xfId="0" applyNumberFormat="1" applyFont="1" applyFill="1" applyBorder="1" applyAlignment="1" applyProtection="1">
      <alignment horizontal="left" vertical="center"/>
    </xf>
    <xf numFmtId="183" fontId="2" fillId="5" borderId="16" xfId="0" applyNumberFormat="1" applyFont="1" applyFill="1" applyBorder="1" applyAlignment="1" applyProtection="1">
      <alignment horizontal="left" vertical="center"/>
    </xf>
    <xf numFmtId="168" fontId="2" fillId="10" borderId="262" xfId="0" applyNumberFormat="1" applyFont="1" applyFill="1" applyBorder="1" applyAlignment="1" applyProtection="1">
      <alignment horizontal="left" vertical="center"/>
      <protection locked="0"/>
    </xf>
    <xf numFmtId="168" fontId="2" fillId="10" borderId="16" xfId="0" applyNumberFormat="1" applyFont="1" applyFill="1" applyBorder="1" applyAlignment="1" applyProtection="1">
      <alignment horizontal="left" vertical="center"/>
      <protection locked="0"/>
    </xf>
    <xf numFmtId="0" fontId="2" fillId="10" borderId="262" xfId="0" applyFont="1" applyFill="1" applyBorder="1" applyAlignment="1" applyProtection="1">
      <alignment horizontal="left" vertical="center"/>
      <protection locked="0"/>
    </xf>
    <xf numFmtId="0" fontId="2" fillId="10" borderId="16" xfId="0" applyFont="1" applyFill="1" applyBorder="1" applyAlignment="1" applyProtection="1">
      <alignment horizontal="left" vertical="center"/>
      <protection locked="0"/>
    </xf>
    <xf numFmtId="184" fontId="2" fillId="10" borderId="48" xfId="0" applyNumberFormat="1" applyFont="1" applyFill="1" applyBorder="1" applyAlignment="1" applyProtection="1">
      <alignment horizontal="left" vertical="center"/>
      <protection locked="0"/>
    </xf>
    <xf numFmtId="184" fontId="2" fillId="10" borderId="32" xfId="0" applyNumberFormat="1" applyFont="1" applyFill="1" applyBorder="1" applyAlignment="1" applyProtection="1">
      <alignment horizontal="left" vertical="center"/>
      <protection locked="0"/>
    </xf>
    <xf numFmtId="0" fontId="84" fillId="0" borderId="75" xfId="0" applyFont="1" applyBorder="1" applyAlignment="1" applyProtection="1">
      <alignment horizontal="center"/>
    </xf>
    <xf numFmtId="0" fontId="84" fillId="0" borderId="76" xfId="0" applyFont="1" applyBorder="1" applyAlignment="1" applyProtection="1">
      <alignment horizontal="center"/>
    </xf>
    <xf numFmtId="0" fontId="84" fillId="0" borderId="77" xfId="0" applyFont="1" applyBorder="1" applyAlignment="1" applyProtection="1">
      <alignment horizontal="center"/>
    </xf>
    <xf numFmtId="0" fontId="84" fillId="0" borderId="268" xfId="0" applyFont="1" applyBorder="1" applyAlignment="1" applyProtection="1">
      <alignment horizontal="center"/>
    </xf>
    <xf numFmtId="0" fontId="84" fillId="0" borderId="78" xfId="0" applyFont="1" applyBorder="1" applyAlignment="1" applyProtection="1">
      <alignment horizontal="center"/>
    </xf>
    <xf numFmtId="0" fontId="84" fillId="0" borderId="269" xfId="0" applyFont="1" applyBorder="1" applyAlignment="1" applyProtection="1">
      <alignment horizontal="center"/>
    </xf>
    <xf numFmtId="0" fontId="2" fillId="5" borderId="65" xfId="0" applyFont="1" applyFill="1" applyBorder="1" applyAlignment="1" applyProtection="1">
      <alignment horizontal="left" vertical="center"/>
    </xf>
    <xf numFmtId="0" fontId="2" fillId="5" borderId="30" xfId="0" applyFont="1" applyFill="1" applyBorder="1" applyAlignment="1" applyProtection="1">
      <alignment horizontal="left" vertical="center"/>
    </xf>
    <xf numFmtId="0" fontId="84" fillId="0" borderId="270" xfId="0" applyFont="1" applyBorder="1" applyAlignment="1" applyProtection="1">
      <alignment horizontal="center"/>
    </xf>
    <xf numFmtId="0" fontId="84" fillId="0" borderId="79" xfId="0" applyFont="1" applyBorder="1" applyAlignment="1" applyProtection="1">
      <alignment horizontal="center"/>
    </xf>
    <xf numFmtId="0" fontId="84" fillId="0" borderId="271" xfId="0" applyFont="1" applyBorder="1" applyAlignment="1" applyProtection="1">
      <alignment horizontal="center"/>
    </xf>
    <xf numFmtId="0" fontId="2" fillId="5" borderId="262" xfId="0" applyFont="1" applyFill="1" applyBorder="1" applyAlignment="1" applyProtection="1">
      <alignment horizontal="left" vertical="center"/>
    </xf>
    <xf numFmtId="0" fontId="2" fillId="5" borderId="16" xfId="0" applyFont="1" applyFill="1" applyBorder="1" applyAlignment="1" applyProtection="1">
      <alignment horizontal="left" vertical="center"/>
    </xf>
    <xf numFmtId="176" fontId="2" fillId="5" borderId="262" xfId="0" applyNumberFormat="1" applyFont="1" applyFill="1" applyBorder="1" applyAlignment="1" applyProtection="1">
      <alignment horizontal="left" vertical="center"/>
    </xf>
    <xf numFmtId="176" fontId="2" fillId="5" borderId="16" xfId="0" applyNumberFormat="1" applyFont="1" applyFill="1" applyBorder="1" applyAlignment="1" applyProtection="1">
      <alignment horizontal="left" vertical="center"/>
    </xf>
    <xf numFmtId="168" fontId="2" fillId="5" borderId="262" xfId="0" applyNumberFormat="1" applyFont="1" applyFill="1" applyBorder="1" applyAlignment="1" applyProtection="1">
      <alignment horizontal="left" vertical="center"/>
    </xf>
    <xf numFmtId="168" fontId="2" fillId="5" borderId="16" xfId="0" applyNumberFormat="1" applyFont="1" applyFill="1" applyBorder="1" applyAlignment="1" applyProtection="1">
      <alignment horizontal="left" vertical="center"/>
    </xf>
    <xf numFmtId="184" fontId="2" fillId="5" borderId="48" xfId="0" applyNumberFormat="1" applyFont="1" applyFill="1" applyBorder="1" applyAlignment="1" applyProtection="1">
      <alignment horizontal="left" vertical="center"/>
    </xf>
    <xf numFmtId="184" fontId="2" fillId="5" borderId="32" xfId="0" applyNumberFormat="1" applyFont="1" applyFill="1" applyBorder="1" applyAlignment="1" applyProtection="1">
      <alignment horizontal="left" vertical="center"/>
    </xf>
    <xf numFmtId="0" fontId="2" fillId="20" borderId="65" xfId="0" applyFont="1" applyFill="1" applyBorder="1" applyAlignment="1" applyProtection="1">
      <alignment horizontal="left" vertical="center"/>
    </xf>
    <xf numFmtId="0" fontId="2" fillId="20" borderId="30" xfId="0" applyFont="1" applyFill="1" applyBorder="1" applyAlignment="1" applyProtection="1">
      <alignment horizontal="left" vertical="center"/>
    </xf>
    <xf numFmtId="0" fontId="2" fillId="20" borderId="262" xfId="0" applyFont="1" applyFill="1" applyBorder="1" applyAlignment="1" applyProtection="1">
      <alignment horizontal="left" vertical="center"/>
    </xf>
    <xf numFmtId="0" fontId="2" fillId="20" borderId="16" xfId="0" applyFont="1" applyFill="1" applyBorder="1" applyAlignment="1" applyProtection="1">
      <alignment horizontal="left" vertical="center"/>
    </xf>
    <xf numFmtId="176" fontId="2" fillId="10" borderId="262" xfId="0" applyNumberFormat="1" applyFont="1" applyFill="1" applyBorder="1" applyAlignment="1" applyProtection="1">
      <alignment horizontal="left" vertical="center"/>
      <protection locked="0"/>
    </xf>
    <xf numFmtId="176" fontId="2" fillId="10" borderId="16" xfId="0" applyNumberFormat="1" applyFont="1" applyFill="1" applyBorder="1" applyAlignment="1" applyProtection="1">
      <alignment horizontal="left" vertical="center"/>
      <protection locked="0"/>
    </xf>
    <xf numFmtId="177" fontId="11" fillId="10" borderId="219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0" xfId="0" applyNumberFormat="1" applyFont="1" applyFill="1" applyBorder="1" applyAlignment="1" applyProtection="1">
      <alignment horizontal="center" vertical="center" wrapText="1"/>
      <protection locked="0"/>
    </xf>
    <xf numFmtId="177" fontId="11" fillId="10" borderId="221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 wrapText="1"/>
      <protection locked="0"/>
    </xf>
    <xf numFmtId="49" fontId="11" fillId="10" borderId="218" xfId="0" applyNumberFormat="1" applyFont="1" applyFill="1" applyBorder="1" applyAlignment="1" applyProtection="1">
      <alignment horizontal="center" vertical="center" wrapText="1"/>
      <protection locked="0"/>
    </xf>
    <xf numFmtId="169" fontId="11" fillId="10" borderId="218" xfId="0" applyNumberFormat="1" applyFont="1" applyFill="1" applyBorder="1" applyAlignment="1" applyProtection="1">
      <alignment horizontal="right" vertical="center"/>
      <protection locked="0"/>
    </xf>
    <xf numFmtId="49" fontId="12" fillId="0" borderId="219" xfId="0" applyNumberFormat="1" applyFont="1" applyFill="1" applyBorder="1" applyAlignment="1" applyProtection="1">
      <alignment horizontal="right" vertical="center" wrapText="1"/>
    </xf>
    <xf numFmtId="49" fontId="12" fillId="0" borderId="220" xfId="0" applyNumberFormat="1" applyFont="1" applyFill="1" applyBorder="1" applyAlignment="1" applyProtection="1">
      <alignment horizontal="right" vertical="center" wrapText="1"/>
    </xf>
    <xf numFmtId="49" fontId="12" fillId="0" borderId="221" xfId="0" applyNumberFormat="1" applyFont="1" applyFill="1" applyBorder="1" applyAlignment="1" applyProtection="1">
      <alignment horizontal="right" vertical="center" wrapText="1"/>
    </xf>
    <xf numFmtId="176" fontId="69" fillId="10" borderId="0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right"/>
    </xf>
    <xf numFmtId="175" fontId="11" fillId="10" borderId="0" xfId="0" applyNumberFormat="1" applyFont="1" applyFill="1" applyBorder="1" applyAlignment="1" applyProtection="1">
      <alignment horizontal="center"/>
      <protection locked="0"/>
    </xf>
    <xf numFmtId="1" fontId="11" fillId="12" borderId="0" xfId="0" applyNumberFormat="1" applyFont="1" applyFill="1" applyBorder="1" applyAlignment="1" applyProtection="1">
      <alignment horizontal="center"/>
    </xf>
    <xf numFmtId="169" fontId="12" fillId="0" borderId="218" xfId="0" applyNumberFormat="1" applyFont="1" applyFill="1" applyBorder="1" applyAlignment="1" applyProtection="1">
      <alignment horizontal="right" vertical="center"/>
    </xf>
    <xf numFmtId="176" fontId="12" fillId="0" borderId="219" xfId="0" applyNumberFormat="1" applyFont="1" applyFill="1" applyBorder="1" applyAlignment="1" applyProtection="1">
      <alignment horizontal="center" vertical="center" wrapText="1"/>
    </xf>
    <xf numFmtId="176" fontId="12" fillId="0" borderId="220" xfId="0" applyNumberFormat="1" applyFont="1" applyFill="1" applyBorder="1" applyAlignment="1" applyProtection="1">
      <alignment horizontal="center" vertical="center" wrapText="1"/>
    </xf>
    <xf numFmtId="176" fontId="12" fillId="0" borderId="221" xfId="0" applyNumberFormat="1" applyFont="1" applyFill="1" applyBorder="1" applyAlignment="1" applyProtection="1">
      <alignment horizontal="center" vertical="center" wrapText="1"/>
    </xf>
    <xf numFmtId="176" fontId="12" fillId="0" borderId="218" xfId="0" applyNumberFormat="1" applyFont="1" applyFill="1" applyBorder="1" applyAlignment="1" applyProtection="1">
      <alignment horizontal="center" vertical="center" wrapText="1"/>
    </xf>
    <xf numFmtId="1" fontId="12" fillId="0" borderId="218" xfId="0" applyNumberFormat="1" applyFont="1" applyFill="1" applyBorder="1" applyAlignment="1" applyProtection="1">
      <alignment horizontal="center" vertical="center"/>
    </xf>
    <xf numFmtId="1" fontId="12" fillId="0" borderId="218" xfId="0" applyNumberFormat="1" applyFont="1" applyFill="1" applyBorder="1" applyAlignment="1" applyProtection="1">
      <alignment horizontal="center" vertical="center" wrapText="1"/>
    </xf>
    <xf numFmtId="176" fontId="71" fillId="10" borderId="0" xfId="0" applyNumberFormat="1" applyFont="1" applyFill="1" applyBorder="1" applyAlignment="1" applyProtection="1">
      <alignment horizontal="justify" wrapText="1"/>
      <protection locked="0"/>
    </xf>
    <xf numFmtId="1" fontId="64" fillId="0" borderId="0" xfId="0" applyNumberFormat="1" applyFont="1" applyFill="1" applyBorder="1" applyAlignment="1" applyProtection="1">
      <alignment horizontal="right"/>
    </xf>
    <xf numFmtId="168" fontId="69" fillId="10" borderId="0" xfId="0" applyNumberFormat="1" applyFont="1" applyFill="1" applyBorder="1" applyAlignment="1" applyProtection="1">
      <alignment horizontal="center"/>
      <protection locked="0"/>
    </xf>
    <xf numFmtId="0" fontId="61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distributed" wrapText="1"/>
    </xf>
    <xf numFmtId="14" fontId="69" fillId="10" borderId="23" xfId="0" applyNumberFormat="1" applyFont="1" applyFill="1" applyBorder="1" applyAlignment="1" applyProtection="1">
      <alignment horizontal="center" wrapText="1"/>
      <protection locked="0"/>
    </xf>
    <xf numFmtId="14" fontId="69" fillId="10" borderId="182" xfId="0" applyNumberFormat="1" applyFont="1" applyFill="1" applyBorder="1" applyAlignment="1" applyProtection="1">
      <alignment horizontal="center" wrapText="1"/>
      <protection locked="0"/>
    </xf>
    <xf numFmtId="176" fontId="65" fillId="0" borderId="0" xfId="0" applyNumberFormat="1" applyFont="1" applyFill="1" applyBorder="1" applyAlignment="1" applyProtection="1">
      <alignment horizontal="right" vertical="top" wrapText="1"/>
    </xf>
    <xf numFmtId="0" fontId="69" fillId="0" borderId="0" xfId="0" applyNumberFormat="1" applyFont="1" applyFill="1" applyBorder="1" applyAlignment="1" applyProtection="1">
      <alignment horizontal="justify" vertical="top" wrapText="1"/>
    </xf>
    <xf numFmtId="176" fontId="68" fillId="0" borderId="0" xfId="0" applyNumberFormat="1" applyFont="1" applyFill="1" applyBorder="1" applyAlignment="1" applyProtection="1">
      <alignment horizontal="distributed" wrapText="1"/>
    </xf>
    <xf numFmtId="176" fontId="69" fillId="10" borderId="23" xfId="0" applyNumberFormat="1" applyFont="1" applyFill="1" applyBorder="1" applyAlignment="1" applyProtection="1">
      <alignment horizontal="distributed" wrapText="1"/>
      <protection locked="0"/>
    </xf>
    <xf numFmtId="176" fontId="66" fillId="0" borderId="0" xfId="0" applyNumberFormat="1" applyFont="1" applyFill="1" applyBorder="1" applyAlignment="1" applyProtection="1">
      <alignment horizontal="justify"/>
    </xf>
    <xf numFmtId="168" fontId="69" fillId="0" borderId="0" xfId="0" applyNumberFormat="1" applyFont="1" applyFill="1" applyBorder="1" applyAlignment="1" applyProtection="1">
      <alignment horizontal="justify" wrapText="1"/>
    </xf>
    <xf numFmtId="176" fontId="31" fillId="0" borderId="0" xfId="0" applyNumberFormat="1" applyFont="1" applyFill="1" applyBorder="1" applyAlignment="1" applyProtection="1">
      <alignment horizontal="right" vertical="top" wrapText="1"/>
    </xf>
    <xf numFmtId="176" fontId="70" fillId="0" borderId="0" xfId="0" applyNumberFormat="1" applyFont="1" applyFill="1" applyBorder="1" applyAlignment="1" applyProtection="1">
      <alignment horizontal="justify" wrapText="1"/>
    </xf>
    <xf numFmtId="169" fontId="72" fillId="0" borderId="0" xfId="0" applyNumberFormat="1" applyFont="1" applyFill="1" applyBorder="1" applyAlignment="1" applyProtection="1">
      <alignment horizontal="right" vertical="top" wrapText="1"/>
    </xf>
    <xf numFmtId="176" fontId="69" fillId="10" borderId="0" xfId="0" applyNumberFormat="1" applyFont="1" applyFill="1" applyBorder="1" applyAlignment="1" applyProtection="1">
      <alignment horizontal="justify"/>
      <protection locked="0"/>
    </xf>
    <xf numFmtId="177" fontId="11" fillId="4" borderId="223" xfId="0" applyNumberFormat="1" applyFont="1" applyFill="1" applyBorder="1" applyAlignment="1" applyProtection="1">
      <alignment horizontal="center" vertical="top"/>
    </xf>
    <xf numFmtId="169" fontId="11" fillId="4" borderId="223" xfId="0" applyNumberFormat="1" applyFont="1" applyFill="1" applyBorder="1" applyAlignment="1" applyProtection="1">
      <alignment horizontal="right" vertical="top"/>
    </xf>
    <xf numFmtId="49" fontId="11" fillId="4" borderId="223" xfId="0" applyNumberFormat="1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justify"/>
    </xf>
    <xf numFmtId="0" fontId="67" fillId="4" borderId="0" xfId="0" applyFont="1" applyFill="1" applyBorder="1" applyAlignment="1" applyProtection="1">
      <alignment horizontal="justify"/>
    </xf>
    <xf numFmtId="176" fontId="70" fillId="4" borderId="0" xfId="0" applyNumberFormat="1" applyFont="1" applyFill="1" applyBorder="1" applyAlignment="1" applyProtection="1">
      <alignment horizontal="right" vertical="top"/>
    </xf>
    <xf numFmtId="169" fontId="81" fillId="4" borderId="0" xfId="0" applyNumberFormat="1" applyFont="1" applyFill="1" applyBorder="1" applyAlignment="1" applyProtection="1">
      <alignment horizontal="right" vertical="top"/>
    </xf>
    <xf numFmtId="176" fontId="12" fillId="4" borderId="223" xfId="0" applyNumberFormat="1" applyFont="1" applyFill="1" applyBorder="1" applyAlignment="1" applyProtection="1">
      <alignment horizontal="center" vertical="top"/>
    </xf>
    <xf numFmtId="0" fontId="12" fillId="4" borderId="223" xfId="0" applyFont="1" applyFill="1" applyBorder="1" applyAlignment="1" applyProtection="1">
      <alignment horizontal="center" vertical="top"/>
    </xf>
    <xf numFmtId="0" fontId="12" fillId="4" borderId="223" xfId="0" applyNumberFormat="1" applyFont="1" applyFill="1" applyBorder="1" applyAlignment="1" applyProtection="1">
      <alignment horizontal="center" vertical="top"/>
    </xf>
    <xf numFmtId="0" fontId="80" fillId="4" borderId="0" xfId="0" applyFont="1" applyFill="1" applyBorder="1" applyAlignment="1" applyProtection="1">
      <alignment horizontal="justify" vertical="top" wrapText="1"/>
    </xf>
    <xf numFmtId="176" fontId="67" fillId="4" borderId="0" xfId="0" applyNumberFormat="1" applyFont="1" applyFill="1" applyBorder="1" applyAlignment="1" applyProtection="1">
      <alignment horizontal="distributed" vertical="top"/>
    </xf>
    <xf numFmtId="176" fontId="80" fillId="4" borderId="23" xfId="0" applyNumberFormat="1" applyFont="1" applyFill="1" applyBorder="1" applyAlignment="1" applyProtection="1">
      <alignment horizontal="distributed" vertical="top"/>
    </xf>
    <xf numFmtId="176" fontId="80" fillId="4" borderId="222" xfId="0" applyNumberFormat="1" applyFont="1" applyFill="1" applyBorder="1" applyAlignment="1" applyProtection="1">
      <alignment horizontal="distributed" vertical="top"/>
    </xf>
    <xf numFmtId="176" fontId="11" fillId="4" borderId="0" xfId="0" applyNumberFormat="1" applyFont="1" applyFill="1" applyBorder="1" applyAlignment="1" applyProtection="1">
      <alignment horizontal="right" vertical="top"/>
    </xf>
    <xf numFmtId="14" fontId="80" fillId="4" borderId="222" xfId="0" applyNumberFormat="1" applyFont="1" applyFill="1" applyBorder="1" applyAlignment="1" applyProtection="1">
      <alignment horizontal="distributed" vertical="top"/>
    </xf>
    <xf numFmtId="176" fontId="80" fillId="4" borderId="0" xfId="0" applyNumberFormat="1" applyFont="1" applyFill="1" applyBorder="1" applyAlignment="1" applyProtection="1">
      <alignment horizontal="justify"/>
    </xf>
    <xf numFmtId="0" fontId="80" fillId="4" borderId="0" xfId="0" applyFont="1" applyFill="1" applyBorder="1" applyAlignment="1" applyProtection="1">
      <alignment horizontal="justify"/>
    </xf>
    <xf numFmtId="176" fontId="64" fillId="4" borderId="0" xfId="0" applyNumberFormat="1" applyFont="1" applyFill="1" applyBorder="1" applyAlignment="1" applyProtection="1">
      <alignment horizontal="justify"/>
    </xf>
    <xf numFmtId="176" fontId="67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center"/>
    </xf>
    <xf numFmtId="168" fontId="67" fillId="4" borderId="0" xfId="0" applyNumberFormat="1" applyFont="1" applyFill="1" applyBorder="1" applyAlignment="1" applyProtection="1">
      <alignment horizontal="justify"/>
    </xf>
    <xf numFmtId="165" fontId="62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 vertical="center"/>
    </xf>
    <xf numFmtId="165" fontId="61" fillId="4" borderId="0" xfId="0" applyNumberFormat="1" applyFont="1" applyFill="1" applyBorder="1" applyAlignment="1" applyProtection="1">
      <alignment horizontal="justify"/>
    </xf>
    <xf numFmtId="0" fontId="63" fillId="4" borderId="0" xfId="0" applyFont="1" applyFill="1" applyBorder="1" applyAlignment="1" applyProtection="1">
      <alignment horizontal="center" vertical="top"/>
    </xf>
    <xf numFmtId="1" fontId="11" fillId="0" borderId="0" xfId="0" applyNumberFormat="1" applyFont="1" applyFill="1" applyBorder="1" applyAlignment="1" applyProtection="1">
      <alignment horizontal="justify"/>
    </xf>
    <xf numFmtId="0" fontId="63" fillId="0" borderId="0" xfId="0" applyFont="1" applyFill="1" applyBorder="1" applyAlignment="1" applyProtection="1">
      <alignment horizontal="center" vertical="top"/>
    </xf>
    <xf numFmtId="0" fontId="11" fillId="0" borderId="184" xfId="0" applyFont="1" applyBorder="1" applyAlignment="1" applyProtection="1">
      <alignment horizontal="right"/>
    </xf>
    <xf numFmtId="0" fontId="11" fillId="0" borderId="43" xfId="0" applyFont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185" xfId="0" applyFont="1" applyBorder="1" applyAlignment="1" applyProtection="1">
      <alignment horizontal="right"/>
    </xf>
    <xf numFmtId="0" fontId="11" fillId="0" borderId="44" xfId="0" applyFont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horizontal="right"/>
    </xf>
    <xf numFmtId="176" fontId="64" fillId="0" borderId="0" xfId="0" applyNumberFormat="1" applyFont="1" applyFill="1" applyBorder="1" applyAlignment="1" applyProtection="1">
      <alignment horizontal="justify"/>
    </xf>
    <xf numFmtId="166" fontId="64" fillId="0" borderId="0" xfId="0" applyNumberFormat="1" applyFont="1" applyFill="1" applyBorder="1" applyAlignment="1" applyProtection="1">
      <alignment horizontal="justify" wrapText="1"/>
    </xf>
    <xf numFmtId="0" fontId="64" fillId="0" borderId="0" xfId="0" applyFont="1" applyFill="1" applyBorder="1" applyAlignment="1" applyProtection="1">
      <alignment horizontal="center" vertical="center"/>
    </xf>
    <xf numFmtId="0" fontId="62" fillId="0" borderId="0" xfId="0" applyFont="1" applyFill="1" applyBorder="1" applyAlignment="1" applyProtection="1">
      <alignment horizontal="justify"/>
    </xf>
    <xf numFmtId="176" fontId="69" fillId="0" borderId="182" xfId="0" applyNumberFormat="1" applyFont="1" applyFill="1" applyBorder="1" applyAlignment="1" applyProtection="1">
      <alignment horizontal="justify" wrapText="1"/>
    </xf>
    <xf numFmtId="176" fontId="67" fillId="0" borderId="0" xfId="0" applyNumberFormat="1" applyFont="1" applyFill="1" applyBorder="1" applyAlignment="1" applyProtection="1">
      <alignment horizontal="justify"/>
    </xf>
    <xf numFmtId="178" fontId="69" fillId="10" borderId="0" xfId="0" applyNumberFormat="1" applyFont="1" applyFill="1" applyBorder="1" applyAlignment="1" applyProtection="1">
      <alignment horizontal="center"/>
      <protection locked="0"/>
    </xf>
    <xf numFmtId="173" fontId="11" fillId="4" borderId="0" xfId="0" applyNumberFormat="1" applyFont="1" applyFill="1" applyBorder="1" applyAlignment="1" applyProtection="1">
      <alignment horizontal="justify"/>
    </xf>
    <xf numFmtId="173" fontId="82" fillId="4" borderId="226" xfId="0" applyNumberFormat="1" applyFont="1" applyFill="1" applyBorder="1" applyAlignment="1" applyProtection="1">
      <alignment horizontal="center" vertical="center"/>
    </xf>
    <xf numFmtId="169" fontId="12" fillId="4" borderId="223" xfId="0" applyNumberFormat="1" applyFont="1" applyFill="1" applyBorder="1" applyAlignment="1" applyProtection="1">
      <alignment horizontal="right" vertical="top"/>
    </xf>
    <xf numFmtId="49" fontId="12" fillId="4" borderId="224" xfId="0" applyNumberFormat="1" applyFont="1" applyFill="1" applyBorder="1" applyAlignment="1" applyProtection="1">
      <alignment horizontal="right" vertical="top"/>
    </xf>
    <xf numFmtId="49" fontId="12" fillId="4" borderId="222" xfId="0" applyNumberFormat="1" applyFont="1" applyFill="1" applyBorder="1" applyAlignment="1" applyProtection="1">
      <alignment horizontal="right" vertical="top"/>
    </xf>
    <xf numFmtId="49" fontId="12" fillId="4" borderId="225" xfId="0" applyNumberFormat="1" applyFont="1" applyFill="1" applyBorder="1" applyAlignment="1" applyProtection="1">
      <alignment horizontal="right" vertical="top"/>
    </xf>
    <xf numFmtId="176" fontId="95" fillId="0" borderId="0" xfId="0" applyNumberFormat="1" applyFont="1" applyFill="1" applyBorder="1" applyAlignment="1" applyProtection="1">
      <alignment horizontal="center" wrapText="1"/>
    </xf>
    <xf numFmtId="176" fontId="69" fillId="19" borderId="0" xfId="0" applyNumberFormat="1" applyFont="1" applyFill="1" applyBorder="1" applyAlignment="1" applyProtection="1">
      <alignment horizontal="justify" vertical="center" wrapText="1"/>
      <protection locked="0"/>
    </xf>
    <xf numFmtId="176" fontId="3" fillId="12" borderId="0" xfId="0" applyNumberFormat="1" applyFont="1" applyFill="1" applyBorder="1" applyAlignment="1" applyProtection="1">
      <alignment horizontal="center" vertical="top" wrapText="1"/>
    </xf>
    <xf numFmtId="168" fontId="71" fillId="19" borderId="0" xfId="0" applyNumberFormat="1" applyFont="1" applyFill="1" applyBorder="1" applyAlignment="1" applyProtection="1">
      <alignment horizontal="center" vertical="center" wrapText="1"/>
      <protection locked="0"/>
    </xf>
    <xf numFmtId="176" fontId="3" fillId="21" borderId="0" xfId="0" applyNumberFormat="1" applyFont="1" applyFill="1" applyBorder="1" applyAlignment="1" applyProtection="1">
      <alignment horizontal="center" vertical="top" wrapText="1"/>
    </xf>
    <xf numFmtId="180" fontId="72" fillId="20" borderId="0" xfId="0" applyNumberFormat="1" applyFont="1" applyFill="1" applyBorder="1" applyAlignment="1" applyProtection="1">
      <alignment horizontal="center" vertical="top" wrapText="1"/>
    </xf>
    <xf numFmtId="165" fontId="84" fillId="4" borderId="0" xfId="0" applyNumberFormat="1" applyFont="1" applyFill="1" applyBorder="1" applyAlignment="1" applyProtection="1">
      <alignment horizontal="justify" vertical="top"/>
    </xf>
    <xf numFmtId="0" fontId="86" fillId="4" borderId="0" xfId="0" applyFont="1" applyFill="1" applyBorder="1" applyAlignment="1" applyProtection="1">
      <alignment horizontal="center" vertical="top"/>
    </xf>
    <xf numFmtId="0" fontId="64" fillId="4" borderId="0" xfId="0" applyFont="1" applyFill="1" applyBorder="1" applyAlignment="1" applyProtection="1">
      <alignment horizontal="right"/>
    </xf>
    <xf numFmtId="173" fontId="64" fillId="4" borderId="0" xfId="0" applyNumberFormat="1" applyFont="1" applyFill="1" applyBorder="1" applyAlignment="1" applyProtection="1">
      <alignment horizontal="justify"/>
    </xf>
    <xf numFmtId="0" fontId="64" fillId="4" borderId="0" xfId="0" applyFont="1" applyFill="1" applyBorder="1" applyAlignment="1" applyProtection="1">
      <alignment horizontal="justify" vertical="center"/>
    </xf>
    <xf numFmtId="0" fontId="80" fillId="4" borderId="23" xfId="0" applyFont="1" applyFill="1" applyBorder="1" applyAlignment="1" applyProtection="1">
      <alignment horizontal="justify" vertical="center"/>
    </xf>
    <xf numFmtId="176" fontId="70" fillId="4" borderId="23" xfId="0" applyNumberFormat="1" applyFont="1" applyFill="1" applyBorder="1" applyAlignment="1" applyProtection="1">
      <alignment horizontal="justify" vertical="center"/>
    </xf>
    <xf numFmtId="1" fontId="12" fillId="4" borderId="0" xfId="0" applyNumberFormat="1" applyFont="1" applyFill="1" applyBorder="1" applyAlignment="1" applyProtection="1">
      <alignment horizontal="justify"/>
    </xf>
    <xf numFmtId="0" fontId="97" fillId="0" borderId="0" xfId="0" applyFont="1" applyFill="1" applyBorder="1" applyAlignment="1" applyProtection="1">
      <alignment horizontal="justify" vertical="center"/>
    </xf>
    <xf numFmtId="0" fontId="64" fillId="0" borderId="0" xfId="0" applyFont="1" applyFill="1" applyBorder="1" applyAlignment="1" applyProtection="1">
      <alignment horizontal="justify" vertical="center"/>
    </xf>
    <xf numFmtId="175" fontId="65" fillId="10" borderId="0" xfId="0" applyNumberFormat="1" applyFont="1" applyFill="1" applyBorder="1" applyAlignment="1" applyProtection="1">
      <alignment horizontal="center" vertical="center"/>
      <protection locked="0"/>
    </xf>
    <xf numFmtId="0" fontId="64" fillId="12" borderId="0" xfId="0" applyFont="1" applyFill="1" applyBorder="1" applyAlignment="1" applyProtection="1">
      <alignment horizontal="center" vertical="center"/>
    </xf>
    <xf numFmtId="176" fontId="71" fillId="10" borderId="0" xfId="0" applyNumberFormat="1" applyFont="1" applyFill="1" applyBorder="1" applyAlignment="1" applyProtection="1">
      <alignment horizontal="center" vertical="center"/>
      <protection locked="0"/>
    </xf>
    <xf numFmtId="0" fontId="67" fillId="4" borderId="0" xfId="0" applyFont="1" applyFill="1" applyBorder="1" applyAlignment="1" applyProtection="1">
      <alignment horizontal="right"/>
    </xf>
    <xf numFmtId="0" fontId="71" fillId="10" borderId="0" xfId="0" applyFont="1" applyFill="1" applyBorder="1" applyAlignment="1" applyProtection="1">
      <alignment horizontal="justify" vertical="center"/>
      <protection locked="0"/>
    </xf>
    <xf numFmtId="0" fontId="85" fillId="0" borderId="0" xfId="0" applyFont="1" applyFill="1" applyBorder="1" applyAlignment="1" applyProtection="1">
      <alignment horizontal="justify" vertical="center"/>
    </xf>
    <xf numFmtId="176" fontId="11" fillId="4" borderId="0" xfId="0" applyNumberFormat="1" applyFont="1" applyFill="1" applyBorder="1" applyAlignment="1" applyProtection="1">
      <alignment horizontal="justify"/>
    </xf>
    <xf numFmtId="176" fontId="83" fillId="4" borderId="0" xfId="0" applyNumberFormat="1" applyFont="1" applyFill="1" applyBorder="1" applyAlignment="1" applyProtection="1">
      <alignment horizontal="center"/>
    </xf>
    <xf numFmtId="176" fontId="85" fillId="4" borderId="0" xfId="0" applyNumberFormat="1" applyFont="1" applyFill="1" applyBorder="1" applyAlignment="1" applyProtection="1">
      <alignment horizontal="justify"/>
    </xf>
    <xf numFmtId="176" fontId="67" fillId="4" borderId="98" xfId="0" applyNumberFormat="1" applyFont="1" applyFill="1" applyBorder="1" applyAlignment="1" applyProtection="1">
      <alignment horizontal="justify"/>
    </xf>
    <xf numFmtId="165" fontId="98" fillId="4" borderId="0" xfId="0" applyNumberFormat="1" applyFont="1" applyFill="1" applyBorder="1" applyAlignment="1" applyProtection="1">
      <alignment horizontal="justify" vertical="top"/>
    </xf>
    <xf numFmtId="176" fontId="11" fillId="4" borderId="98" xfId="0" applyNumberFormat="1" applyFont="1" applyFill="1" applyBorder="1" applyAlignment="1" applyProtection="1">
      <alignment horizontal="right" vertical="top"/>
    </xf>
    <xf numFmtId="176" fontId="83" fillId="4" borderId="97" xfId="0" applyNumberFormat="1" applyFont="1" applyFill="1" applyBorder="1" applyAlignment="1" applyProtection="1">
      <alignment horizontal="center" vertical="top"/>
    </xf>
    <xf numFmtId="176" fontId="80" fillId="4" borderId="57" xfId="0" applyNumberFormat="1" applyFont="1" applyFill="1" applyBorder="1" applyAlignment="1" applyProtection="1">
      <alignment horizontal="distributed" vertical="top"/>
    </xf>
    <xf numFmtId="176" fontId="80" fillId="4" borderId="57" xfId="0" applyNumberFormat="1" applyFont="1" applyFill="1" applyBorder="1" applyAlignment="1" applyProtection="1">
      <alignment horizontal="distributed"/>
    </xf>
    <xf numFmtId="176" fontId="67" fillId="4" borderId="57" xfId="0" applyNumberFormat="1" applyFont="1" applyFill="1" applyBorder="1" applyAlignment="1" applyProtection="1">
      <alignment horizontal="justify"/>
    </xf>
    <xf numFmtId="0" fontId="70" fillId="4" borderId="23" xfId="0" applyFont="1" applyFill="1" applyBorder="1" applyAlignment="1" applyProtection="1">
      <alignment horizontal="justify" vertical="center"/>
    </xf>
    <xf numFmtId="176" fontId="94" fillId="4" borderId="98" xfId="0" applyNumberFormat="1" applyFont="1" applyFill="1" applyBorder="1" applyAlignment="1" applyProtection="1">
      <alignment horizontal="justify" vertical="top"/>
    </xf>
    <xf numFmtId="176" fontId="94" fillId="4" borderId="0" xfId="0" applyNumberFormat="1" applyFont="1" applyFill="1" applyBorder="1" applyAlignment="1" applyProtection="1">
      <alignment horizontal="justify" vertical="top"/>
    </xf>
    <xf numFmtId="176" fontId="94" fillId="4" borderId="97" xfId="0" applyNumberFormat="1" applyFont="1" applyFill="1" applyBorder="1" applyAlignment="1" applyProtection="1">
      <alignment horizontal="justify" vertical="top"/>
    </xf>
    <xf numFmtId="176" fontId="11" fillId="4" borderId="0" xfId="0" applyNumberFormat="1" applyFont="1" applyFill="1" applyBorder="1" applyAlignment="1" applyProtection="1">
      <alignment horizontal="distributed"/>
    </xf>
    <xf numFmtId="176" fontId="83" fillId="4" borderId="23" xfId="0" applyNumberFormat="1" applyFont="1" applyFill="1" applyBorder="1" applyAlignment="1" applyProtection="1">
      <alignment horizontal="center"/>
    </xf>
    <xf numFmtId="176" fontId="67" fillId="4" borderId="141" xfId="0" applyNumberFormat="1" applyFont="1" applyFill="1" applyBorder="1" applyAlignment="1" applyProtection="1">
      <alignment horizontal="distributed"/>
    </xf>
    <xf numFmtId="176" fontId="67" fillId="4" borderId="98" xfId="0" applyNumberFormat="1" applyFont="1" applyFill="1" applyBorder="1" applyAlignment="1" applyProtection="1">
      <alignment horizontal="distributed"/>
    </xf>
    <xf numFmtId="0" fontId="64" fillId="12" borderId="0" xfId="0" applyFont="1" applyFill="1" applyBorder="1" applyAlignment="1" applyProtection="1">
      <alignment horizontal="justify" wrapText="1"/>
    </xf>
    <xf numFmtId="0" fontId="83" fillId="0" borderId="0" xfId="0" applyFont="1" applyFill="1" applyBorder="1" applyAlignment="1" applyProtection="1">
      <alignment horizontal="center" vertical="top" wrapText="1"/>
    </xf>
    <xf numFmtId="176" fontId="3" fillId="12" borderId="0" xfId="0" applyNumberFormat="1" applyFont="1" applyFill="1" applyBorder="1" applyAlignment="1" applyProtection="1">
      <alignment horizontal="justify" wrapText="1"/>
    </xf>
    <xf numFmtId="169" fontId="72" fillId="10" borderId="0" xfId="0" applyNumberFormat="1" applyFont="1" applyFill="1" applyBorder="1" applyAlignment="1" applyProtection="1">
      <alignment horizontal="right" vertical="top" wrapText="1"/>
      <protection locked="0"/>
    </xf>
    <xf numFmtId="176" fontId="67" fillId="4" borderId="57" xfId="0" applyNumberFormat="1" applyFont="1" applyFill="1" applyBorder="1" applyAlignment="1" applyProtection="1">
      <alignment horizontal="distributed"/>
    </xf>
    <xf numFmtId="169" fontId="80" fillId="4" borderId="57" xfId="0" applyNumberFormat="1" applyFont="1" applyFill="1" applyBorder="1" applyAlignment="1" applyProtection="1">
      <alignment horizontal="right"/>
    </xf>
    <xf numFmtId="14" fontId="80" fillId="4" borderId="57" xfId="0" applyNumberFormat="1" applyFont="1" applyFill="1" applyBorder="1" applyAlignment="1" applyProtection="1">
      <alignment horizontal="distributed" vertical="top"/>
    </xf>
    <xf numFmtId="0" fontId="67" fillId="4" borderId="0" xfId="0" applyFont="1" applyFill="1" applyBorder="1" applyAlignment="1" applyProtection="1">
      <alignment horizontal="center"/>
    </xf>
    <xf numFmtId="14" fontId="12" fillId="4" borderId="23" xfId="0" applyNumberFormat="1" applyFont="1" applyFill="1" applyBorder="1" applyAlignment="1" applyProtection="1">
      <alignment horizontal="justify"/>
    </xf>
    <xf numFmtId="176" fontId="11" fillId="4" borderId="0" xfId="0" applyNumberFormat="1" applyFont="1" applyFill="1" applyBorder="1" applyAlignment="1" applyProtection="1">
      <alignment horizontal="center"/>
    </xf>
    <xf numFmtId="0" fontId="21" fillId="4" borderId="227" xfId="0" applyNumberFormat="1" applyFont="1" applyFill="1" applyBorder="1" applyAlignment="1" applyProtection="1">
      <alignment horizontal="center"/>
    </xf>
    <xf numFmtId="173" fontId="11" fillId="4" borderId="23" xfId="0" applyNumberFormat="1" applyFont="1" applyFill="1" applyBorder="1" applyAlignment="1" applyProtection="1">
      <alignment horizontal="justify"/>
    </xf>
    <xf numFmtId="169" fontId="12" fillId="4" borderId="0" xfId="0" applyNumberFormat="1" applyFont="1" applyFill="1" applyBorder="1" applyAlignment="1" applyProtection="1">
      <alignment horizontal="center"/>
    </xf>
    <xf numFmtId="0" fontId="82" fillId="4" borderId="0" xfId="0" applyNumberFormat="1" applyFont="1" applyFill="1" applyBorder="1" applyAlignment="1" applyProtection="1">
      <alignment horizontal="center" vertical="center"/>
    </xf>
    <xf numFmtId="0" fontId="96" fillId="0" borderId="0" xfId="0" applyFont="1" applyFill="1" applyBorder="1" applyAlignment="1" applyProtection="1">
      <alignment horizontal="justify" vertical="center"/>
    </xf>
    <xf numFmtId="0" fontId="65" fillId="0" borderId="0" xfId="0" applyFont="1" applyFill="1" applyBorder="1" applyAlignment="1" applyProtection="1">
      <alignment horizontal="justify"/>
    </xf>
    <xf numFmtId="168" fontId="70" fillId="12" borderId="0" xfId="0" applyNumberFormat="1" applyFont="1" applyFill="1" applyBorder="1" applyAlignment="1" applyProtection="1">
      <alignment horizontal="center" vertical="center" wrapText="1"/>
    </xf>
    <xf numFmtId="0" fontId="71" fillId="10" borderId="0" xfId="0" applyFont="1" applyFill="1" applyBorder="1" applyAlignment="1" applyProtection="1">
      <alignment horizontal="center" vertical="center" wrapText="1"/>
      <protection locked="0"/>
    </xf>
    <xf numFmtId="0" fontId="64" fillId="12" borderId="0" xfId="0" applyFont="1" applyFill="1" applyBorder="1" applyAlignment="1" applyProtection="1">
      <alignment horizontal="justify" vertical="center" wrapText="1"/>
    </xf>
    <xf numFmtId="0" fontId="64" fillId="0" borderId="0" xfId="0" applyFont="1" applyFill="1" applyBorder="1" applyAlignment="1" applyProtection="1">
      <alignment horizontal="right" wrapText="1"/>
    </xf>
    <xf numFmtId="0" fontId="69" fillId="20" borderId="0" xfId="0" applyNumberFormat="1" applyFont="1" applyFill="1" applyBorder="1" applyAlignment="1" applyProtection="1">
      <alignment horizontal="justify" vertical="center" wrapText="1"/>
    </xf>
    <xf numFmtId="0" fontId="19" fillId="0" borderId="0" xfId="0" applyFont="1" applyFill="1" applyBorder="1" applyAlignment="1" applyProtection="1">
      <alignment horizontal="justify" vertical="center"/>
    </xf>
    <xf numFmtId="176" fontId="69" fillId="20" borderId="0" xfId="0" applyNumberFormat="1" applyFont="1" applyFill="1" applyBorder="1" applyAlignment="1" applyProtection="1">
      <alignment horizontal="center" wrapText="1"/>
    </xf>
    <xf numFmtId="176" fontId="3" fillId="0" borderId="0" xfId="0" applyNumberFormat="1" applyFont="1" applyFill="1" applyBorder="1" applyAlignment="1" applyProtection="1">
      <alignment horizontal="center" vertical="top" wrapText="1"/>
    </xf>
    <xf numFmtId="0" fontId="61" fillId="9" borderId="291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justify" vertical="top"/>
    </xf>
    <xf numFmtId="0" fontId="61" fillId="9" borderId="285" xfId="0" applyFont="1" applyFill="1" applyBorder="1" applyAlignment="1" applyProtection="1">
      <alignment horizontal="center" vertical="top"/>
    </xf>
    <xf numFmtId="9" fontId="61" fillId="9" borderId="283" xfId="0" applyNumberFormat="1" applyFont="1" applyFill="1" applyBorder="1" applyAlignment="1" applyProtection="1">
      <alignment horizontal="center" vertical="top"/>
    </xf>
    <xf numFmtId="9" fontId="61" fillId="9" borderId="284" xfId="0" applyNumberFormat="1" applyFont="1" applyFill="1" applyBorder="1" applyAlignment="1" applyProtection="1">
      <alignment horizontal="center" vertical="top"/>
    </xf>
    <xf numFmtId="44" fontId="61" fillId="9" borderId="283" xfId="0" applyNumberFormat="1" applyFont="1" applyFill="1" applyBorder="1" applyAlignment="1" applyProtection="1">
      <alignment horizontal="right" vertical="top"/>
    </xf>
    <xf numFmtId="44" fontId="61" fillId="9" borderId="285" xfId="0" applyNumberFormat="1" applyFont="1" applyFill="1" applyBorder="1" applyAlignment="1" applyProtection="1">
      <alignment horizontal="right" vertical="top"/>
    </xf>
    <xf numFmtId="44" fontId="61" fillId="9" borderId="292" xfId="0" applyNumberFormat="1" applyFont="1" applyFill="1" applyBorder="1" applyAlignment="1" applyProtection="1">
      <alignment horizontal="right" vertical="top"/>
    </xf>
    <xf numFmtId="0" fontId="61" fillId="0" borderId="291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justify" vertical="top"/>
    </xf>
    <xf numFmtId="0" fontId="61" fillId="0" borderId="285" xfId="0" applyFont="1" applyFill="1" applyBorder="1" applyAlignment="1" applyProtection="1">
      <alignment horizontal="center" vertical="top"/>
    </xf>
    <xf numFmtId="9" fontId="61" fillId="0" borderId="283" xfId="0" applyNumberFormat="1" applyFont="1" applyFill="1" applyBorder="1" applyAlignment="1" applyProtection="1">
      <alignment horizontal="center" vertical="top"/>
    </xf>
    <xf numFmtId="9" fontId="61" fillId="0" borderId="284" xfId="0" applyNumberFormat="1" applyFont="1" applyFill="1" applyBorder="1" applyAlignment="1" applyProtection="1">
      <alignment horizontal="center" vertical="top"/>
    </xf>
    <xf numFmtId="44" fontId="61" fillId="0" borderId="283" xfId="0" applyNumberFormat="1" applyFont="1" applyFill="1" applyBorder="1" applyAlignment="1" applyProtection="1">
      <alignment horizontal="right" vertical="top"/>
    </xf>
    <xf numFmtId="44" fontId="61" fillId="0" borderId="285" xfId="0" applyNumberFormat="1" applyFont="1" applyFill="1" applyBorder="1" applyAlignment="1" applyProtection="1">
      <alignment horizontal="right" vertical="top"/>
    </xf>
    <xf numFmtId="44" fontId="61" fillId="0" borderId="292" xfId="0" applyNumberFormat="1" applyFont="1" applyFill="1" applyBorder="1" applyAlignment="1" applyProtection="1">
      <alignment horizontal="right" vertical="top"/>
    </xf>
    <xf numFmtId="0" fontId="61" fillId="9" borderId="293" xfId="0" applyFont="1" applyFill="1" applyBorder="1" applyAlignment="1" applyProtection="1">
      <alignment horizontal="justify" vertical="top"/>
    </xf>
    <xf numFmtId="0" fontId="61" fillId="9" borderId="281" xfId="0" applyFont="1" applyFill="1" applyBorder="1" applyAlignment="1" applyProtection="1">
      <alignment horizontal="justify" vertical="top"/>
    </xf>
    <xf numFmtId="0" fontId="61" fillId="9" borderId="31" xfId="0" applyFont="1" applyFill="1" applyBorder="1" applyAlignment="1" applyProtection="1">
      <alignment horizontal="center" vertical="top"/>
    </xf>
    <xf numFmtId="0" fontId="106" fillId="9" borderId="285" xfId="0" applyFont="1" applyFill="1" applyBorder="1" applyAlignment="1" applyProtection="1">
      <alignment horizontal="center" vertical="top"/>
    </xf>
    <xf numFmtId="0" fontId="106" fillId="0" borderId="285" xfId="0" applyFont="1" applyFill="1" applyBorder="1" applyAlignment="1" applyProtection="1">
      <alignment horizontal="center" vertical="top"/>
    </xf>
    <xf numFmtId="0" fontId="61" fillId="4" borderId="291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justify" vertical="top"/>
    </xf>
    <xf numFmtId="0" fontId="84" fillId="4" borderId="285" xfId="0" applyFont="1" applyFill="1" applyBorder="1" applyAlignment="1" applyProtection="1">
      <alignment horizontal="justify" vertical="top"/>
    </xf>
    <xf numFmtId="0" fontId="61" fillId="4" borderId="285" xfId="0" applyFont="1" applyFill="1" applyBorder="1" applyAlignment="1" applyProtection="1">
      <alignment horizontal="center" vertical="top"/>
    </xf>
    <xf numFmtId="44" fontId="61" fillId="4" borderId="283" xfId="0" applyNumberFormat="1" applyFont="1" applyFill="1" applyBorder="1" applyAlignment="1" applyProtection="1">
      <alignment horizontal="right" vertical="top"/>
    </xf>
    <xf numFmtId="44" fontId="61" fillId="4" borderId="285" xfId="0" applyNumberFormat="1" applyFont="1" applyFill="1" applyBorder="1" applyAlignment="1" applyProtection="1">
      <alignment horizontal="right" vertical="top"/>
    </xf>
    <xf numFmtId="44" fontId="61" fillId="4" borderId="292" xfId="0" applyNumberFormat="1" applyFont="1" applyFill="1" applyBorder="1" applyAlignment="1" applyProtection="1">
      <alignment horizontal="right" vertical="top"/>
    </xf>
    <xf numFmtId="0" fontId="84" fillId="9" borderId="285" xfId="0" applyFont="1" applyFill="1" applyBorder="1" applyAlignment="1" applyProtection="1">
      <alignment horizontal="justify" vertical="top"/>
    </xf>
    <xf numFmtId="44" fontId="97" fillId="2" borderId="281" xfId="0" applyNumberFormat="1" applyFont="1" applyFill="1" applyBorder="1" applyAlignment="1" applyProtection="1">
      <alignment horizontal="right" vertical="center"/>
    </xf>
    <xf numFmtId="7" fontId="97" fillId="2" borderId="281" xfId="0" applyNumberFormat="1" applyFont="1" applyFill="1" applyBorder="1" applyAlignment="1" applyProtection="1">
      <alignment horizontal="right" vertical="center"/>
    </xf>
    <xf numFmtId="7" fontId="97" fillId="2" borderId="191" xfId="0" applyNumberFormat="1" applyFont="1" applyFill="1" applyBorder="1" applyAlignment="1" applyProtection="1">
      <alignment horizontal="right" vertical="center"/>
    </xf>
    <xf numFmtId="0" fontId="26" fillId="9" borderId="291" xfId="0" applyFont="1" applyFill="1" applyBorder="1" applyAlignment="1" applyProtection="1">
      <alignment horizontal="justify" vertical="top"/>
    </xf>
    <xf numFmtId="0" fontId="26" fillId="9" borderId="285" xfId="0" applyFont="1" applyFill="1" applyBorder="1" applyAlignment="1" applyProtection="1">
      <alignment horizontal="justify" vertical="top"/>
    </xf>
    <xf numFmtId="7" fontId="96" fillId="2" borderId="286" xfId="0" applyNumberFormat="1" applyFont="1" applyFill="1" applyBorder="1" applyAlignment="1" applyProtection="1">
      <alignment horizontal="right" vertical="center"/>
    </xf>
    <xf numFmtId="7" fontId="96" fillId="2" borderId="283" xfId="0" applyNumberFormat="1" applyFont="1" applyFill="1" applyBorder="1" applyAlignment="1" applyProtection="1">
      <alignment horizontal="right" vertical="center"/>
    </xf>
    <xf numFmtId="7" fontId="96" fillId="2" borderId="206" xfId="0" applyNumberFormat="1" applyFont="1" applyFill="1" applyBorder="1" applyAlignment="1" applyProtection="1">
      <alignment horizontal="right" vertical="center"/>
    </xf>
    <xf numFmtId="7" fontId="96" fillId="2" borderId="186" xfId="0" applyNumberFormat="1" applyFont="1" applyFill="1" applyBorder="1" applyAlignment="1" applyProtection="1">
      <alignment horizontal="right" vertical="center"/>
    </xf>
    <xf numFmtId="182" fontId="62" fillId="2" borderId="186" xfId="0" applyNumberFormat="1" applyFont="1" applyFill="1" applyBorder="1" applyAlignment="1" applyProtection="1">
      <alignment horizontal="center" vertical="center" wrapText="1"/>
    </xf>
    <xf numFmtId="182" fontId="62" fillId="2" borderId="281" xfId="0" applyNumberFormat="1" applyFont="1" applyFill="1" applyBorder="1" applyAlignment="1" applyProtection="1">
      <alignment horizontal="center" vertical="center" wrapText="1"/>
    </xf>
    <xf numFmtId="44" fontId="97" fillId="2" borderId="186" xfId="0" applyNumberFormat="1" applyFont="1" applyFill="1" applyBorder="1" applyAlignment="1" applyProtection="1">
      <alignment horizontal="right" vertical="center"/>
    </xf>
    <xf numFmtId="9" fontId="61" fillId="9" borderId="287" xfId="0" applyNumberFormat="1" applyFont="1" applyFill="1" applyBorder="1" applyAlignment="1" applyProtection="1">
      <alignment horizontal="center" vertical="top"/>
    </xf>
    <xf numFmtId="9" fontId="61" fillId="9" borderId="289" xfId="0" applyNumberFormat="1" applyFont="1" applyFill="1" applyBorder="1" applyAlignment="1" applyProtection="1">
      <alignment horizontal="center" vertical="top"/>
    </xf>
    <xf numFmtId="44" fontId="61" fillId="9" borderId="287" xfId="0" applyNumberFormat="1" applyFont="1" applyFill="1" applyBorder="1" applyAlignment="1" applyProtection="1">
      <alignment horizontal="right" vertical="top"/>
    </xf>
    <xf numFmtId="44" fontId="61" fillId="9" borderId="288" xfId="0" applyNumberFormat="1" applyFont="1" applyFill="1" applyBorder="1" applyAlignment="1" applyProtection="1">
      <alignment horizontal="right" vertical="top"/>
    </xf>
    <xf numFmtId="44" fontId="61" fillId="9" borderId="295" xfId="0" applyNumberFormat="1" applyFont="1" applyFill="1" applyBorder="1" applyAlignment="1" applyProtection="1">
      <alignment horizontal="right" vertical="top"/>
    </xf>
    <xf numFmtId="44" fontId="97" fillId="2" borderId="283" xfId="0" applyNumberFormat="1" applyFont="1" applyFill="1" applyBorder="1" applyAlignment="1" applyProtection="1">
      <alignment horizontal="right" vertical="center"/>
    </xf>
    <xf numFmtId="7" fontId="97" fillId="2" borderId="285" xfId="0" applyNumberFormat="1" applyFont="1" applyFill="1" applyBorder="1" applyAlignment="1" applyProtection="1">
      <alignment horizontal="right" vertical="center"/>
    </xf>
    <xf numFmtId="7" fontId="97" fillId="2" borderId="284" xfId="0" applyNumberFormat="1" applyFont="1" applyFill="1" applyBorder="1" applyAlignment="1" applyProtection="1">
      <alignment horizontal="right" vertical="center"/>
    </xf>
    <xf numFmtId="9" fontId="61" fillId="4" borderId="283" xfId="0" applyNumberFormat="1" applyFont="1" applyFill="1" applyBorder="1" applyAlignment="1" applyProtection="1">
      <alignment horizontal="center" vertical="top"/>
    </xf>
    <xf numFmtId="9" fontId="61" fillId="4" borderId="284" xfId="0" applyNumberFormat="1" applyFont="1" applyFill="1" applyBorder="1" applyAlignment="1" applyProtection="1">
      <alignment horizontal="center" vertical="top"/>
    </xf>
    <xf numFmtId="182" fontId="62" fillId="2" borderId="283" xfId="0" applyNumberFormat="1" applyFont="1" applyFill="1" applyBorder="1" applyAlignment="1" applyProtection="1">
      <alignment horizontal="center" vertical="center" wrapText="1"/>
    </xf>
    <xf numFmtId="182" fontId="62" fillId="2" borderId="285" xfId="0" applyNumberFormat="1" applyFont="1" applyFill="1" applyBorder="1" applyAlignment="1" applyProtection="1">
      <alignment horizontal="center" vertical="center" wrapText="1"/>
    </xf>
    <xf numFmtId="44" fontId="97" fillId="2" borderId="285" xfId="0" applyNumberFormat="1" applyFont="1" applyFill="1" applyBorder="1" applyAlignment="1" applyProtection="1">
      <alignment horizontal="right" vertical="center"/>
    </xf>
    <xf numFmtId="0" fontId="61" fillId="6" borderId="285" xfId="0" applyFont="1" applyFill="1" applyBorder="1" applyAlignment="1" applyProtection="1">
      <alignment horizontal="center" vertical="top"/>
    </xf>
    <xf numFmtId="9" fontId="61" fillId="6" borderId="283" xfId="0" applyNumberFormat="1" applyFont="1" applyFill="1" applyBorder="1" applyAlignment="1" applyProtection="1">
      <alignment horizontal="center" vertical="top"/>
    </xf>
    <xf numFmtId="9" fontId="61" fillId="6" borderId="284" xfId="0" applyNumberFormat="1" applyFont="1" applyFill="1" applyBorder="1" applyAlignment="1" applyProtection="1">
      <alignment horizontal="center" vertical="top"/>
    </xf>
    <xf numFmtId="44" fontId="61" fillId="6" borderId="283" xfId="0" applyNumberFormat="1" applyFont="1" applyFill="1" applyBorder="1" applyAlignment="1" applyProtection="1">
      <alignment horizontal="right" vertical="top"/>
    </xf>
    <xf numFmtId="44" fontId="61" fillId="6" borderId="285" xfId="0" applyNumberFormat="1" applyFont="1" applyFill="1" applyBorder="1" applyAlignment="1" applyProtection="1">
      <alignment horizontal="right" vertical="top"/>
    </xf>
    <xf numFmtId="44" fontId="61" fillId="6" borderId="292" xfId="0" applyNumberFormat="1" applyFont="1" applyFill="1" applyBorder="1" applyAlignment="1" applyProtection="1">
      <alignment horizontal="right" vertical="top"/>
    </xf>
    <xf numFmtId="14" fontId="61" fillId="4" borderId="291" xfId="0" applyNumberFormat="1" applyFont="1" applyFill="1" applyBorder="1" applyAlignment="1" applyProtection="1">
      <alignment horizontal="justify" vertical="center"/>
    </xf>
    <xf numFmtId="14" fontId="61" fillId="4" borderId="285" xfId="0" applyNumberFormat="1" applyFont="1" applyFill="1" applyBorder="1" applyAlignment="1" applyProtection="1">
      <alignment horizontal="justify" vertical="center"/>
    </xf>
    <xf numFmtId="14" fontId="62" fillId="0" borderId="31" xfId="0" applyNumberFormat="1" applyFont="1" applyFill="1" applyBorder="1" applyAlignment="1" applyProtection="1">
      <alignment horizontal="justify" vertical="center"/>
    </xf>
    <xf numFmtId="14" fontId="26" fillId="0" borderId="31" xfId="0" applyNumberFormat="1" applyFont="1" applyFill="1" applyBorder="1" applyAlignment="1" applyProtection="1">
      <alignment horizontal="right" vertical="center"/>
    </xf>
    <xf numFmtId="175" fontId="62" fillId="0" borderId="285" xfId="0" applyNumberFormat="1" applyFont="1" applyFill="1" applyBorder="1" applyAlignment="1" applyProtection="1">
      <alignment horizontal="center" vertical="center"/>
    </xf>
    <xf numFmtId="0" fontId="62" fillId="2" borderId="286" xfId="0" applyFont="1" applyFill="1" applyBorder="1" applyAlignment="1" applyProtection="1">
      <alignment horizontal="center" vertical="center"/>
    </xf>
    <xf numFmtId="0" fontId="26" fillId="4" borderId="291" xfId="0" applyFont="1" applyFill="1" applyBorder="1" applyAlignment="1" applyProtection="1">
      <alignment horizontal="justify" vertical="center"/>
    </xf>
    <xf numFmtId="0" fontId="26" fillId="4" borderId="285" xfId="0" applyFont="1" applyFill="1" applyBorder="1" applyAlignment="1" applyProtection="1">
      <alignment horizontal="justify" vertical="center"/>
    </xf>
    <xf numFmtId="168" fontId="61" fillId="0" borderId="285" xfId="0" applyNumberFormat="1" applyFont="1" applyFill="1" applyBorder="1" applyAlignment="1" applyProtection="1">
      <alignment horizontal="center" vertical="center"/>
    </xf>
    <xf numFmtId="0" fontId="26" fillId="4" borderId="285" xfId="0" applyFont="1" applyFill="1" applyBorder="1" applyAlignment="1" applyProtection="1">
      <alignment horizontal="center" vertical="center"/>
    </xf>
    <xf numFmtId="0" fontId="61" fillId="4" borderId="285" xfId="0" applyNumberFormat="1" applyFont="1" applyFill="1" applyBorder="1" applyAlignment="1" applyProtection="1">
      <alignment horizontal="center" vertical="center"/>
    </xf>
    <xf numFmtId="0" fontId="62" fillId="2" borderId="186" xfId="0" applyFont="1" applyFill="1" applyBorder="1" applyAlignment="1" applyProtection="1">
      <alignment horizontal="center" vertical="center"/>
    </xf>
    <xf numFmtId="0" fontId="62" fillId="2" borderId="281" xfId="0" applyFont="1" applyFill="1" applyBorder="1" applyAlignment="1" applyProtection="1">
      <alignment horizontal="center" vertical="center"/>
    </xf>
    <xf numFmtId="0" fontId="62" fillId="2" borderId="191" xfId="0" applyFont="1" applyFill="1" applyBorder="1" applyAlignment="1" applyProtection="1">
      <alignment horizontal="center" vertical="center"/>
    </xf>
    <xf numFmtId="0" fontId="26" fillId="4" borderId="328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justify" vertical="center"/>
    </xf>
    <xf numFmtId="0" fontId="103" fillId="0" borderId="329" xfId="0" applyFont="1" applyFill="1" applyBorder="1" applyAlignment="1" applyProtection="1">
      <alignment horizontal="justify" vertical="center"/>
    </xf>
    <xf numFmtId="0" fontId="26" fillId="4" borderId="329" xfId="0" applyFont="1" applyFill="1" applyBorder="1" applyAlignment="1" applyProtection="1">
      <alignment horizontal="center" vertical="center"/>
    </xf>
    <xf numFmtId="168" fontId="103" fillId="4" borderId="329" xfId="0" applyNumberFormat="1" applyFont="1" applyFill="1" applyBorder="1" applyAlignment="1" applyProtection="1">
      <alignment horizontal="center" vertical="center"/>
    </xf>
    <xf numFmtId="0" fontId="61" fillId="4" borderId="291" xfId="0" applyFont="1" applyFill="1" applyBorder="1" applyAlignment="1" applyProtection="1">
      <alignment horizontal="justify" vertical="center"/>
    </xf>
    <xf numFmtId="0" fontId="61" fillId="4" borderId="285" xfId="0" applyFont="1" applyFill="1" applyBorder="1" applyAlignment="1" applyProtection="1">
      <alignment horizontal="justify" vertical="center"/>
    </xf>
    <xf numFmtId="0" fontId="62" fillId="4" borderId="285" xfId="0" applyFont="1" applyFill="1" applyBorder="1" applyAlignment="1" applyProtection="1">
      <alignment horizontal="left" vertical="center"/>
    </xf>
    <xf numFmtId="0" fontId="62" fillId="4" borderId="292" xfId="0" applyFont="1" applyFill="1" applyBorder="1" applyAlignment="1" applyProtection="1">
      <alignment horizontal="left" vertical="center"/>
    </xf>
    <xf numFmtId="0" fontId="62" fillId="4" borderId="285" xfId="0" applyFont="1" applyFill="1" applyBorder="1" applyAlignment="1" applyProtection="1">
      <alignment horizontal="right" vertical="center"/>
    </xf>
    <xf numFmtId="0" fontId="62" fillId="2" borderId="283" xfId="0" applyFont="1" applyFill="1" applyBorder="1" applyAlignment="1" applyProtection="1">
      <alignment horizontal="center" vertical="center"/>
    </xf>
    <xf numFmtId="0" fontId="62" fillId="2" borderId="285" xfId="0" applyFont="1" applyFill="1" applyBorder="1" applyAlignment="1" applyProtection="1">
      <alignment horizontal="center" vertical="center"/>
    </xf>
    <xf numFmtId="0" fontId="12" fillId="17" borderId="7" xfId="0" applyFont="1" applyFill="1" applyBorder="1" applyAlignment="1" applyProtection="1">
      <alignment horizontal="center" vertical="center" wrapText="1"/>
    </xf>
    <xf numFmtId="44" fontId="61" fillId="10" borderId="283" xfId="0" applyNumberFormat="1" applyFont="1" applyFill="1" applyBorder="1" applyAlignment="1" applyProtection="1">
      <alignment horizontal="right" vertical="top"/>
      <protection locked="0"/>
    </xf>
    <xf numFmtId="44" fontId="61" fillId="10" borderId="285" xfId="0" applyNumberFormat="1" applyFont="1" applyFill="1" applyBorder="1" applyAlignment="1" applyProtection="1">
      <alignment horizontal="right" vertical="top"/>
      <protection locked="0"/>
    </xf>
    <xf numFmtId="44" fontId="61" fillId="10" borderId="292" xfId="0" applyNumberFormat="1" applyFont="1" applyFill="1" applyBorder="1" applyAlignment="1" applyProtection="1">
      <alignment horizontal="right" vertical="top"/>
      <protection locked="0"/>
    </xf>
    <xf numFmtId="0" fontId="61" fillId="4" borderId="293" xfId="0" applyFont="1" applyFill="1" applyBorder="1" applyAlignment="1" applyProtection="1">
      <alignment horizontal="justify" vertical="top"/>
    </xf>
    <xf numFmtId="0" fontId="61" fillId="4" borderId="281" xfId="0" applyFont="1" applyFill="1" applyBorder="1" applyAlignment="1" applyProtection="1">
      <alignment horizontal="justify" vertical="top"/>
    </xf>
    <xf numFmtId="0" fontId="61" fillId="19" borderId="281" xfId="0" applyFont="1" applyFill="1" applyBorder="1" applyAlignment="1" applyProtection="1">
      <alignment horizontal="justify" vertical="top"/>
      <protection locked="0"/>
    </xf>
    <xf numFmtId="0" fontId="61" fillId="4" borderId="281" xfId="0" applyFont="1" applyFill="1" applyBorder="1" applyAlignment="1" applyProtection="1">
      <alignment horizontal="center" vertical="top"/>
    </xf>
    <xf numFmtId="44" fontId="61" fillId="10" borderId="186" xfId="0" applyNumberFormat="1" applyFont="1" applyFill="1" applyBorder="1" applyAlignment="1" applyProtection="1">
      <alignment horizontal="right" vertical="top"/>
      <protection locked="0"/>
    </xf>
    <xf numFmtId="44" fontId="61" fillId="10" borderId="281" xfId="0" applyNumberFormat="1" applyFont="1" applyFill="1" applyBorder="1" applyAlignment="1" applyProtection="1">
      <alignment horizontal="right" vertical="top"/>
      <protection locked="0"/>
    </xf>
    <xf numFmtId="44" fontId="61" fillId="10" borderId="282" xfId="0" applyNumberFormat="1" applyFont="1" applyFill="1" applyBorder="1" applyAlignment="1" applyProtection="1">
      <alignment horizontal="right" vertical="top"/>
      <protection locked="0"/>
    </xf>
    <xf numFmtId="0" fontId="108" fillId="4" borderId="285" xfId="0" applyFont="1" applyFill="1" applyBorder="1" applyAlignment="1" applyProtection="1">
      <alignment horizontal="center" vertical="top"/>
    </xf>
    <xf numFmtId="0" fontId="106" fillId="4" borderId="285" xfId="0" applyFont="1" applyFill="1" applyBorder="1" applyAlignment="1" applyProtection="1">
      <alignment horizontal="center" vertical="top"/>
    </xf>
    <xf numFmtId="0" fontId="105" fillId="4" borderId="285" xfId="0" applyFont="1" applyFill="1" applyBorder="1" applyAlignment="1" applyProtection="1">
      <alignment horizontal="center" vertical="center"/>
    </xf>
    <xf numFmtId="0" fontId="62" fillId="4" borderId="283" xfId="0" applyFont="1" applyFill="1" applyBorder="1" applyAlignment="1" applyProtection="1">
      <alignment horizontal="center" vertical="center"/>
    </xf>
    <xf numFmtId="0" fontId="62" fillId="4" borderId="285" xfId="0" applyFont="1" applyFill="1" applyBorder="1" applyAlignment="1" applyProtection="1">
      <alignment horizontal="center" vertical="center"/>
    </xf>
    <xf numFmtId="0" fontId="62" fillId="4" borderId="284" xfId="0" applyFont="1" applyFill="1" applyBorder="1" applyAlignment="1" applyProtection="1">
      <alignment horizontal="center" vertical="center"/>
    </xf>
    <xf numFmtId="0" fontId="62" fillId="2" borderId="284" xfId="0" applyFont="1" applyFill="1" applyBorder="1" applyAlignment="1" applyProtection="1">
      <alignment horizontal="center" vertical="center"/>
    </xf>
    <xf numFmtId="0" fontId="105" fillId="2" borderId="283" xfId="0" applyFont="1" applyFill="1" applyBorder="1" applyAlignment="1" applyProtection="1">
      <alignment horizontal="center" vertical="center"/>
    </xf>
    <xf numFmtId="0" fontId="105" fillId="2" borderId="285" xfId="0" applyFont="1" applyFill="1" applyBorder="1" applyAlignment="1" applyProtection="1">
      <alignment horizontal="center" vertical="center"/>
    </xf>
    <xf numFmtId="44" fontId="97" fillId="4" borderId="186" xfId="0" applyNumberFormat="1" applyFont="1" applyFill="1" applyBorder="1" applyAlignment="1" applyProtection="1">
      <alignment horizontal="right" vertical="center"/>
    </xf>
    <xf numFmtId="7" fontId="97" fillId="4" borderId="281" xfId="0" applyNumberFormat="1" applyFont="1" applyFill="1" applyBorder="1" applyAlignment="1" applyProtection="1">
      <alignment horizontal="right" vertical="center"/>
    </xf>
    <xf numFmtId="7" fontId="97" fillId="4" borderId="191" xfId="0" applyNumberFormat="1" applyFont="1" applyFill="1" applyBorder="1" applyAlignment="1" applyProtection="1">
      <alignment horizontal="right" vertical="center"/>
    </xf>
    <xf numFmtId="7" fontId="96" fillId="4" borderId="206" xfId="0" applyNumberFormat="1" applyFont="1" applyFill="1" applyBorder="1" applyAlignment="1" applyProtection="1">
      <alignment horizontal="right" vertical="center"/>
    </xf>
    <xf numFmtId="7" fontId="96" fillId="4" borderId="186" xfId="0" applyNumberFormat="1" applyFont="1" applyFill="1" applyBorder="1" applyAlignment="1" applyProtection="1">
      <alignment horizontal="right" vertical="center"/>
    </xf>
    <xf numFmtId="182" fontId="62" fillId="4" borderId="186" xfId="0" applyNumberFormat="1" applyFont="1" applyFill="1" applyBorder="1" applyAlignment="1" applyProtection="1">
      <alignment horizontal="center" vertical="center" wrapText="1"/>
    </xf>
    <xf numFmtId="182" fontId="62" fillId="4" borderId="281" xfId="0" applyNumberFormat="1" applyFont="1" applyFill="1" applyBorder="1" applyAlignment="1" applyProtection="1">
      <alignment horizontal="center" vertical="center" wrapText="1"/>
    </xf>
    <xf numFmtId="0" fontId="26" fillId="4" borderId="294" xfId="0" applyFont="1" applyFill="1" applyBorder="1" applyAlignment="1" applyProtection="1">
      <alignment horizontal="justify" vertical="top"/>
    </xf>
    <xf numFmtId="0" fontId="26" fillId="4" borderId="288" xfId="0" applyFont="1" applyFill="1" applyBorder="1" applyAlignment="1" applyProtection="1">
      <alignment horizontal="justify" vertical="top"/>
    </xf>
    <xf numFmtId="0" fontId="61" fillId="4" borderId="288" xfId="0" applyFont="1" applyFill="1" applyBorder="1" applyAlignment="1" applyProtection="1">
      <alignment horizontal="center" vertical="top"/>
    </xf>
    <xf numFmtId="44" fontId="61" fillId="4" borderId="287" xfId="0" applyNumberFormat="1" applyFont="1" applyFill="1" applyBorder="1" applyAlignment="1" applyProtection="1">
      <alignment horizontal="right" vertical="top"/>
    </xf>
    <xf numFmtId="44" fontId="61" fillId="4" borderId="288" xfId="0" applyNumberFormat="1" applyFont="1" applyFill="1" applyBorder="1" applyAlignment="1" applyProtection="1">
      <alignment horizontal="right" vertical="top"/>
    </xf>
    <xf numFmtId="44" fontId="61" fillId="4" borderId="295" xfId="0" applyNumberFormat="1" applyFont="1" applyFill="1" applyBorder="1" applyAlignment="1" applyProtection="1">
      <alignment horizontal="right" vertical="top"/>
    </xf>
    <xf numFmtId="7" fontId="97" fillId="4" borderId="206" xfId="0" applyNumberFormat="1" applyFont="1" applyFill="1" applyBorder="1" applyAlignment="1" applyProtection="1">
      <alignment horizontal="right" vertical="center"/>
    </xf>
    <xf numFmtId="182" fontId="62" fillId="4" borderId="283" xfId="0" applyNumberFormat="1" applyFont="1" applyFill="1" applyBorder="1" applyAlignment="1" applyProtection="1">
      <alignment horizontal="center" vertical="center" wrapText="1"/>
    </xf>
    <xf numFmtId="182" fontId="62" fillId="4" borderId="285" xfId="0" applyNumberFormat="1" applyFont="1" applyFill="1" applyBorder="1" applyAlignment="1" applyProtection="1">
      <alignment horizontal="center" vertical="center" wrapText="1"/>
    </xf>
    <xf numFmtId="44" fontId="97" fillId="4" borderId="283" xfId="0" applyNumberFormat="1" applyFont="1" applyFill="1" applyBorder="1" applyAlignment="1" applyProtection="1">
      <alignment horizontal="right" vertical="center"/>
    </xf>
    <xf numFmtId="7" fontId="97" fillId="4" borderId="285" xfId="0" applyNumberFormat="1" applyFont="1" applyFill="1" applyBorder="1" applyAlignment="1" applyProtection="1">
      <alignment horizontal="right" vertical="center"/>
    </xf>
    <xf numFmtId="7" fontId="97" fillId="4" borderId="284" xfId="0" applyNumberFormat="1" applyFont="1" applyFill="1" applyBorder="1" applyAlignment="1" applyProtection="1">
      <alignment horizontal="right" vertical="center"/>
    </xf>
    <xf numFmtId="7" fontId="96" fillId="4" borderId="286" xfId="0" applyNumberFormat="1" applyFont="1" applyFill="1" applyBorder="1" applyAlignment="1" applyProtection="1">
      <alignment horizontal="right" vertical="center"/>
    </xf>
    <xf numFmtId="7" fontId="96" fillId="4" borderId="283" xfId="0" applyNumberFormat="1" applyFont="1" applyFill="1" applyBorder="1" applyAlignment="1" applyProtection="1">
      <alignment horizontal="right" vertical="center"/>
    </xf>
    <xf numFmtId="0" fontId="26" fillId="4" borderId="291" xfId="0" applyFont="1" applyFill="1" applyBorder="1" applyAlignment="1" applyProtection="1">
      <alignment horizontal="justify" vertical="top"/>
    </xf>
    <xf numFmtId="0" fontId="26" fillId="4" borderId="285" xfId="0" applyFont="1" applyFill="1" applyBorder="1" applyAlignment="1" applyProtection="1">
      <alignment horizontal="justify" vertical="top"/>
    </xf>
    <xf numFmtId="0" fontId="61" fillId="4" borderId="284" xfId="0" applyFont="1" applyFill="1" applyBorder="1" applyAlignment="1" applyProtection="1">
      <alignment horizontal="right" vertical="center"/>
    </xf>
    <xf numFmtId="0" fontId="61" fillId="4" borderId="286" xfId="0" applyFont="1" applyFill="1" applyBorder="1" applyAlignment="1" applyProtection="1">
      <alignment horizontal="right" vertical="center"/>
    </xf>
    <xf numFmtId="44" fontId="61" fillId="10" borderId="70" xfId="0" applyNumberFormat="1" applyFont="1" applyFill="1" applyBorder="1" applyAlignment="1" applyProtection="1">
      <alignment horizontal="right" vertical="top"/>
      <protection locked="0"/>
    </xf>
    <xf numFmtId="44" fontId="61" fillId="10" borderId="23" xfId="0" applyNumberFormat="1" applyFont="1" applyFill="1" applyBorder="1" applyAlignment="1" applyProtection="1">
      <alignment horizontal="right" vertical="top"/>
      <protection locked="0"/>
    </xf>
    <xf numFmtId="44" fontId="61" fillId="10" borderId="71" xfId="0" applyNumberFormat="1" applyFont="1" applyFill="1" applyBorder="1" applyAlignment="1" applyProtection="1">
      <alignment horizontal="right" vertical="top"/>
      <protection locked="0"/>
    </xf>
    <xf numFmtId="0" fontId="61" fillId="4" borderId="283" xfId="0" applyFont="1" applyFill="1" applyBorder="1" applyAlignment="1" applyProtection="1">
      <alignment horizontal="right" vertical="center"/>
    </xf>
    <xf numFmtId="0" fontId="61" fillId="4" borderId="285" xfId="0" applyFont="1" applyFill="1" applyBorder="1" applyAlignment="1" applyProtection="1">
      <alignment horizontal="right" vertical="center"/>
    </xf>
    <xf numFmtId="173" fontId="33" fillId="4" borderId="291" xfId="0" applyNumberFormat="1" applyFont="1" applyFill="1" applyBorder="1" applyAlignment="1" applyProtection="1">
      <alignment horizontal="right" vertical="center"/>
    </xf>
    <xf numFmtId="173" fontId="33" fillId="4" borderId="285" xfId="0" applyNumberFormat="1" applyFont="1" applyFill="1" applyBorder="1" applyAlignment="1" applyProtection="1">
      <alignment horizontal="right" vertical="center"/>
    </xf>
    <xf numFmtId="173" fontId="54" fillId="0" borderId="285" xfId="0" applyNumberFormat="1" applyFont="1" applyFill="1" applyBorder="1" applyAlignment="1" applyProtection="1">
      <alignment horizontal="right" vertical="center"/>
    </xf>
    <xf numFmtId="14" fontId="62" fillId="20" borderId="285" xfId="0" applyNumberFormat="1" applyFont="1" applyFill="1" applyBorder="1" applyAlignment="1" applyProtection="1">
      <alignment horizontal="center" vertical="center"/>
    </xf>
    <xf numFmtId="0" fontId="98" fillId="2" borderId="313" xfId="0" applyFont="1" applyFill="1" applyBorder="1" applyAlignment="1" applyProtection="1">
      <alignment horizontal="center" vertical="center"/>
    </xf>
    <xf numFmtId="0" fontId="98" fillId="2" borderId="314" xfId="0" applyFont="1" applyFill="1" applyBorder="1" applyAlignment="1" applyProtection="1">
      <alignment horizontal="center" vertical="center"/>
    </xf>
    <xf numFmtId="0" fontId="62" fillId="2" borderId="315" xfId="0" applyFont="1" applyFill="1" applyBorder="1" applyAlignment="1" applyProtection="1">
      <alignment horizontal="center" vertical="center"/>
    </xf>
    <xf numFmtId="173" fontId="54" fillId="0" borderId="312" xfId="0" applyNumberFormat="1" applyFont="1" applyFill="1" applyBorder="1" applyAlignment="1" applyProtection="1">
      <alignment horizontal="justify" wrapText="1"/>
    </xf>
    <xf numFmtId="173" fontId="54" fillId="0" borderId="310" xfId="0" applyNumberFormat="1" applyFont="1" applyFill="1" applyBorder="1" applyAlignment="1" applyProtection="1">
      <alignment horizontal="justify" wrapText="1"/>
    </xf>
    <xf numFmtId="173" fontId="54" fillId="0" borderId="311" xfId="0" applyNumberFormat="1" applyFont="1" applyFill="1" applyBorder="1" applyAlignment="1" applyProtection="1">
      <alignment horizontal="justify" wrapText="1"/>
    </xf>
    <xf numFmtId="173" fontId="54" fillId="0" borderId="21" xfId="0" applyNumberFormat="1" applyFont="1" applyFill="1" applyBorder="1" applyAlignment="1" applyProtection="1">
      <alignment horizontal="justify" wrapText="1"/>
    </xf>
    <xf numFmtId="173" fontId="54" fillId="0" borderId="60" xfId="0" applyNumberFormat="1" applyFont="1" applyFill="1" applyBorder="1" applyAlignment="1" applyProtection="1">
      <alignment horizontal="justify" wrapText="1"/>
    </xf>
    <xf numFmtId="173" fontId="54" fillId="0" borderId="22" xfId="0" applyNumberFormat="1" applyFont="1" applyFill="1" applyBorder="1" applyAlignment="1" applyProtection="1">
      <alignment horizontal="justify" wrapText="1"/>
    </xf>
    <xf numFmtId="0" fontId="62" fillId="4" borderId="316" xfId="0" applyFont="1" applyFill="1" applyBorder="1" applyAlignment="1" applyProtection="1">
      <alignment horizontal="center" vertical="center"/>
    </xf>
    <xf numFmtId="0" fontId="62" fillId="4" borderId="317" xfId="0" applyFont="1" applyFill="1" applyBorder="1" applyAlignment="1" applyProtection="1">
      <alignment horizontal="center" vertical="center"/>
    </xf>
    <xf numFmtId="0" fontId="62" fillId="4" borderId="318" xfId="0" applyFont="1" applyFill="1" applyBorder="1" applyAlignment="1" applyProtection="1">
      <alignment horizontal="center" vertical="center"/>
    </xf>
    <xf numFmtId="14" fontId="26" fillId="0" borderId="283" xfId="0" applyNumberFormat="1" applyFont="1" applyFill="1" applyBorder="1" applyAlignment="1" applyProtection="1">
      <alignment horizontal="right" vertical="center"/>
    </xf>
    <xf numFmtId="14" fontId="26" fillId="0" borderId="285" xfId="0" applyNumberFormat="1" applyFont="1" applyFill="1" applyBorder="1" applyAlignment="1" applyProtection="1">
      <alignment horizontal="right" vertical="center"/>
    </xf>
    <xf numFmtId="175" fontId="62" fillId="19" borderId="285" xfId="0" applyNumberFormat="1" applyFont="1" applyFill="1" applyBorder="1" applyAlignment="1" applyProtection="1">
      <alignment horizontal="center" vertical="center"/>
      <protection locked="0"/>
    </xf>
    <xf numFmtId="0" fontId="62" fillId="4" borderId="320" xfId="0" applyFont="1" applyFill="1" applyBorder="1" applyAlignment="1" applyProtection="1">
      <alignment horizontal="center" vertical="center"/>
    </xf>
    <xf numFmtId="0" fontId="62" fillId="4" borderId="286" xfId="0" applyFont="1" applyFill="1" applyBorder="1" applyAlignment="1" applyProtection="1">
      <alignment horizontal="center" vertical="center"/>
    </xf>
    <xf numFmtId="0" fontId="62" fillId="4" borderId="322" xfId="0" applyFont="1" applyFill="1" applyBorder="1" applyAlignment="1" applyProtection="1">
      <alignment horizontal="center" vertical="center"/>
    </xf>
    <xf numFmtId="0" fontId="62" fillId="4" borderId="281" xfId="0" applyFont="1" applyFill="1" applyBorder="1" applyAlignment="1" applyProtection="1">
      <alignment horizontal="center" vertical="center"/>
    </xf>
    <xf numFmtId="0" fontId="62" fillId="4" borderId="191" xfId="0" applyFont="1" applyFill="1" applyBorder="1" applyAlignment="1" applyProtection="1">
      <alignment horizontal="center" vertical="center"/>
    </xf>
    <xf numFmtId="0" fontId="61" fillId="4" borderId="320" xfId="0" applyFont="1" applyFill="1" applyBorder="1" applyAlignment="1" applyProtection="1">
      <alignment horizontal="justify" vertical="center"/>
    </xf>
    <xf numFmtId="0" fontId="61" fillId="4" borderId="284" xfId="0" applyFont="1" applyFill="1" applyBorder="1" applyAlignment="1" applyProtection="1">
      <alignment horizontal="justify" vertical="center"/>
    </xf>
    <xf numFmtId="0" fontId="62" fillId="4" borderId="319" xfId="0" applyFont="1" applyFill="1" applyBorder="1" applyAlignment="1" applyProtection="1">
      <alignment horizontal="left" vertical="center"/>
    </xf>
    <xf numFmtId="0" fontId="4" fillId="4" borderId="323" xfId="0" applyFont="1" applyFill="1" applyBorder="1" applyAlignment="1" applyProtection="1">
      <alignment horizontal="center" vertical="center"/>
    </xf>
    <xf numFmtId="0" fontId="4" fillId="4" borderId="322" xfId="0" applyFont="1" applyFill="1" applyBorder="1" applyAlignment="1" applyProtection="1">
      <alignment horizontal="center" vertical="center"/>
    </xf>
    <xf numFmtId="0" fontId="4" fillId="4" borderId="324" xfId="0" applyFont="1" applyFill="1" applyBorder="1" applyAlignment="1" applyProtection="1">
      <alignment horizontal="center" vertical="center"/>
    </xf>
    <xf numFmtId="0" fontId="103" fillId="10" borderId="285" xfId="0" applyFont="1" applyFill="1" applyBorder="1" applyAlignment="1" applyProtection="1">
      <alignment horizontal="center" vertical="center"/>
      <protection locked="0"/>
    </xf>
    <xf numFmtId="0" fontId="22" fillId="9" borderId="72" xfId="0" applyFont="1" applyFill="1" applyBorder="1" applyAlignment="1" applyProtection="1">
      <alignment horizontal="center" vertical="center"/>
    </xf>
    <xf numFmtId="0" fontId="22" fillId="9" borderId="31" xfId="0" applyFont="1" applyFill="1" applyBorder="1" applyAlignment="1" applyProtection="1">
      <alignment horizontal="center" vertical="center"/>
    </xf>
    <xf numFmtId="175" fontId="76" fillId="10" borderId="309" xfId="0" applyNumberFormat="1" applyFont="1" applyFill="1" applyBorder="1" applyAlignment="1" applyProtection="1">
      <alignment horizontal="center" vertical="center"/>
      <protection locked="0"/>
    </xf>
    <xf numFmtId="175" fontId="76" fillId="10" borderId="31" xfId="0" applyNumberFormat="1" applyFont="1" applyFill="1" applyBorder="1" applyAlignment="1" applyProtection="1">
      <alignment horizontal="center" vertical="center"/>
      <protection locked="0"/>
    </xf>
    <xf numFmtId="173" fontId="76" fillId="30" borderId="31" xfId="0" applyNumberFormat="1" applyFont="1" applyFill="1" applyBorder="1" applyAlignment="1" applyProtection="1">
      <alignment horizontal="center" vertical="center"/>
    </xf>
    <xf numFmtId="0" fontId="76" fillId="9" borderId="31" xfId="0" applyFont="1" applyFill="1" applyBorder="1" applyAlignment="1" applyProtection="1">
      <alignment horizontal="center" vertical="center"/>
    </xf>
    <xf numFmtId="0" fontId="76" fillId="9" borderId="32" xfId="0" applyFont="1" applyFill="1" applyBorder="1" applyAlignment="1" applyProtection="1">
      <alignment horizontal="center" vertical="center"/>
    </xf>
    <xf numFmtId="0" fontId="79" fillId="19" borderId="8" xfId="0" applyNumberFormat="1" applyFont="1" applyFill="1" applyBorder="1" applyAlignment="1" applyProtection="1">
      <alignment horizontal="center" vertical="center"/>
    </xf>
    <xf numFmtId="0" fontId="79" fillId="19" borderId="9" xfId="0" applyNumberFormat="1" applyFont="1" applyFill="1" applyBorder="1" applyAlignment="1" applyProtection="1">
      <alignment horizontal="center" vertical="center"/>
    </xf>
    <xf numFmtId="0" fontId="142" fillId="12" borderId="8" xfId="0" applyFont="1" applyFill="1" applyBorder="1" applyAlignment="1" applyProtection="1">
      <alignment horizontal="center" vertical="center"/>
    </xf>
    <xf numFmtId="0" fontId="99" fillId="3" borderId="7" xfId="0" applyFont="1" applyFill="1" applyBorder="1" applyAlignment="1" applyProtection="1">
      <alignment horizontal="center" vertical="center"/>
    </xf>
    <xf numFmtId="0" fontId="99" fillId="3" borderId="8" xfId="0" applyFont="1" applyFill="1" applyBorder="1" applyAlignment="1" applyProtection="1">
      <alignment horizontal="center" vertical="center"/>
    </xf>
    <xf numFmtId="0" fontId="79" fillId="19" borderId="8" xfId="0" applyFont="1" applyFill="1" applyBorder="1" applyAlignment="1" applyProtection="1">
      <alignment horizontal="center" vertical="center"/>
    </xf>
    <xf numFmtId="180" fontId="55" fillId="0" borderId="70" xfId="0" applyNumberFormat="1" applyFont="1" applyBorder="1" applyAlignment="1" applyProtection="1">
      <alignment horizontal="right" vertical="center" wrapText="1"/>
    </xf>
    <xf numFmtId="180" fontId="55" fillId="0" borderId="87" xfId="0" applyNumberFormat="1" applyFont="1" applyBorder="1" applyAlignment="1" applyProtection="1">
      <alignment horizontal="right" vertical="center" wrapText="1"/>
    </xf>
    <xf numFmtId="177" fontId="75" fillId="10" borderId="216" xfId="0" applyNumberFormat="1" applyFont="1" applyFill="1" applyBorder="1" applyAlignment="1" applyProtection="1">
      <alignment horizontal="center" vertical="center" wrapText="1"/>
    </xf>
    <xf numFmtId="177" fontId="75" fillId="10" borderId="217" xfId="0" applyNumberFormat="1" applyFont="1" applyFill="1" applyBorder="1" applyAlignment="1" applyProtection="1">
      <alignment horizontal="center" vertical="center" wrapText="1"/>
    </xf>
    <xf numFmtId="175" fontId="79" fillId="5" borderId="18" xfId="0" applyNumberFormat="1" applyFont="1" applyFill="1" applyBorder="1" applyAlignment="1" applyProtection="1">
      <alignment horizontal="center" vertical="center"/>
    </xf>
    <xf numFmtId="175" fontId="79" fillId="5" borderId="450" xfId="0" applyNumberFormat="1" applyFont="1" applyFill="1" applyBorder="1" applyAlignment="1" applyProtection="1">
      <alignment horizontal="center" vertical="center"/>
    </xf>
    <xf numFmtId="177" fontId="75" fillId="10" borderId="216" xfId="0" applyNumberFormat="1" applyFont="1" applyFill="1" applyBorder="1" applyAlignment="1" applyProtection="1">
      <alignment horizontal="center" vertical="center"/>
    </xf>
    <xf numFmtId="177" fontId="75" fillId="10" borderId="217" xfId="0" applyNumberFormat="1" applyFont="1" applyFill="1" applyBorder="1" applyAlignment="1" applyProtection="1">
      <alignment horizontal="center" vertical="center"/>
    </xf>
    <xf numFmtId="189" fontId="123" fillId="0" borderId="216" xfId="0" applyNumberFormat="1" applyFont="1" applyFill="1" applyBorder="1" applyAlignment="1" applyProtection="1">
      <alignment horizontal="center" vertical="center"/>
    </xf>
    <xf numFmtId="189" fontId="123" fillId="0" borderId="217" xfId="0" applyNumberFormat="1" applyFont="1" applyFill="1" applyBorder="1" applyAlignment="1" applyProtection="1">
      <alignment horizontal="center" vertical="center"/>
    </xf>
    <xf numFmtId="0" fontId="142" fillId="6" borderId="28" xfId="0" applyFont="1" applyFill="1" applyBorder="1" applyAlignment="1" applyProtection="1">
      <alignment horizontal="justify" vertical="center"/>
    </xf>
    <xf numFmtId="0" fontId="142" fillId="6" borderId="29" xfId="0" applyFont="1" applyFill="1" applyBorder="1" applyAlignment="1" applyProtection="1">
      <alignment horizontal="justify" vertical="center"/>
    </xf>
    <xf numFmtId="0" fontId="142" fillId="6" borderId="362" xfId="0" applyFont="1" applyFill="1" applyBorder="1" applyAlignment="1" applyProtection="1">
      <alignment horizontal="justify" vertical="center"/>
    </xf>
    <xf numFmtId="0" fontId="142" fillId="6" borderId="442" xfId="0" applyFont="1" applyFill="1" applyBorder="1" applyAlignment="1" applyProtection="1">
      <alignment horizontal="justify" vertical="center"/>
    </xf>
    <xf numFmtId="176" fontId="144" fillId="10" borderId="29" xfId="0" applyNumberFormat="1" applyFont="1" applyFill="1" applyBorder="1" applyAlignment="1" applyProtection="1">
      <alignment horizontal="right" vertical="center"/>
    </xf>
    <xf numFmtId="176" fontId="144" fillId="10" borderId="30" xfId="0" applyNumberFormat="1" applyFont="1" applyFill="1" applyBorder="1" applyAlignment="1" applyProtection="1">
      <alignment horizontal="right" vertical="center"/>
    </xf>
    <xf numFmtId="0" fontId="142" fillId="6" borderId="29" xfId="0" applyFont="1" applyFill="1" applyBorder="1" applyAlignment="1" applyProtection="1">
      <alignment horizontal="center" vertical="center"/>
    </xf>
    <xf numFmtId="178" fontId="79" fillId="10" borderId="452" xfId="0" applyNumberFormat="1" applyFont="1" applyFill="1" applyBorder="1" applyAlignment="1" applyProtection="1">
      <alignment horizontal="center" vertical="center"/>
    </xf>
    <xf numFmtId="0" fontId="140" fillId="6" borderId="7" xfId="0" applyFont="1" applyFill="1" applyBorder="1" applyAlignment="1" applyProtection="1">
      <alignment horizontal="justify" vertical="center"/>
    </xf>
    <xf numFmtId="0" fontId="140" fillId="6" borderId="8" xfId="0" applyFont="1" applyFill="1" applyBorder="1" applyAlignment="1" applyProtection="1">
      <alignment horizontal="justify" vertical="center"/>
    </xf>
    <xf numFmtId="0" fontId="140" fillId="6" borderId="9" xfId="0" applyFont="1" applyFill="1" applyBorder="1" applyAlignment="1" applyProtection="1">
      <alignment horizontal="justify" vertical="center"/>
    </xf>
    <xf numFmtId="177" fontId="75" fillId="10" borderId="9" xfId="0" applyNumberFormat="1" applyFont="1" applyFill="1" applyBorder="1" applyAlignment="1" applyProtection="1">
      <alignment horizontal="center" vertical="center"/>
    </xf>
    <xf numFmtId="189" fontId="123" fillId="0" borderId="9" xfId="0" applyNumberFormat="1" applyFont="1" applyFill="1" applyBorder="1" applyAlignment="1" applyProtection="1">
      <alignment horizontal="center" vertical="center"/>
    </xf>
    <xf numFmtId="180" fontId="43" fillId="31" borderId="70" xfId="0" applyNumberFormat="1" applyFont="1" applyFill="1" applyBorder="1" applyAlignment="1" applyProtection="1">
      <alignment horizontal="right" vertical="center" wrapText="1"/>
    </xf>
    <xf numFmtId="180" fontId="43" fillId="31" borderId="23" xfId="0" applyNumberFormat="1" applyFont="1" applyFill="1" applyBorder="1" applyAlignment="1" applyProtection="1">
      <alignment horizontal="right" vertical="center" wrapText="1"/>
    </xf>
    <xf numFmtId="187" fontId="5" fillId="32" borderId="65" xfId="0" applyNumberFormat="1" applyFont="1" applyFill="1" applyBorder="1" applyAlignment="1" applyProtection="1">
      <alignment horizontal="center" vertical="center" wrapText="1"/>
    </xf>
    <xf numFmtId="187" fontId="5" fillId="32" borderId="161" xfId="0" applyNumberFormat="1" applyFont="1" applyFill="1" applyBorder="1" applyAlignment="1" applyProtection="1">
      <alignment horizontal="center" vertical="center" wrapText="1"/>
    </xf>
    <xf numFmtId="0" fontId="143" fillId="10" borderId="29" xfId="0" applyFont="1" applyFill="1" applyBorder="1" applyAlignment="1" applyProtection="1">
      <alignment horizontal="justify" vertical="center"/>
    </xf>
    <xf numFmtId="0" fontId="142" fillId="12" borderId="28" xfId="0" applyFont="1" applyFill="1" applyBorder="1" applyAlignment="1" applyProtection="1">
      <alignment horizontal="center" vertical="center"/>
    </xf>
    <xf numFmtId="0" fontId="142" fillId="12" borderId="29" xfId="0" applyFont="1" applyFill="1" applyBorder="1" applyAlignment="1" applyProtection="1">
      <alignment horizontal="center" vertical="center"/>
    </xf>
    <xf numFmtId="0" fontId="142" fillId="12" borderId="30" xfId="0" applyFont="1" applyFill="1" applyBorder="1" applyAlignment="1" applyProtection="1">
      <alignment horizontal="center" vertical="center"/>
    </xf>
    <xf numFmtId="169" fontId="79" fillId="15" borderId="7" xfId="0" applyNumberFormat="1" applyFont="1" applyFill="1" applyBorder="1" applyAlignment="1" applyProtection="1">
      <alignment horizontal="center" vertical="center"/>
    </xf>
    <xf numFmtId="169" fontId="79" fillId="15" borderId="8" xfId="0" applyNumberFormat="1" applyFont="1" applyFill="1" applyBorder="1" applyAlignment="1" applyProtection="1">
      <alignment horizontal="center" vertical="center"/>
    </xf>
    <xf numFmtId="0" fontId="79" fillId="9" borderId="355" xfId="0" applyFont="1" applyFill="1" applyBorder="1" applyAlignment="1" applyProtection="1">
      <alignment horizontal="center" vertical="center"/>
    </xf>
    <xf numFmtId="0" fontId="79" fillId="9" borderId="379" xfId="0" applyFont="1" applyFill="1" applyBorder="1" applyAlignment="1" applyProtection="1">
      <alignment horizontal="center" vertical="center"/>
    </xf>
    <xf numFmtId="0" fontId="79" fillId="9" borderId="449" xfId="0" applyFont="1" applyFill="1" applyBorder="1" applyAlignment="1" applyProtection="1">
      <alignment horizontal="center" vertical="center"/>
    </xf>
    <xf numFmtId="169" fontId="145" fillId="11" borderId="7" xfId="0" applyNumberFormat="1" applyFont="1" applyFill="1" applyBorder="1" applyAlignment="1" applyProtection="1">
      <alignment horizontal="center" vertical="center"/>
    </xf>
    <xf numFmtId="169" fontId="145" fillId="11" borderId="8" xfId="0" applyNumberFormat="1" applyFont="1" applyFill="1" applyBorder="1" applyAlignment="1" applyProtection="1">
      <alignment horizontal="center" vertical="center"/>
    </xf>
    <xf numFmtId="169" fontId="145" fillId="11" borderId="9" xfId="0" applyNumberFormat="1" applyFont="1" applyFill="1" applyBorder="1" applyAlignment="1" applyProtection="1">
      <alignment horizontal="center" vertical="center"/>
    </xf>
    <xf numFmtId="180" fontId="147" fillId="10" borderId="19" xfId="0" applyNumberFormat="1" applyFont="1" applyFill="1" applyBorder="1" applyAlignment="1" applyProtection="1">
      <alignment horizontal="center" vertical="center" wrapText="1"/>
    </xf>
    <xf numFmtId="180" fontId="147" fillId="10" borderId="20" xfId="0" applyNumberFormat="1" applyFont="1" applyFill="1" applyBorder="1" applyAlignment="1" applyProtection="1">
      <alignment horizontal="center" vertical="center" wrapText="1"/>
    </xf>
    <xf numFmtId="180" fontId="147" fillId="10" borderId="60" xfId="0" applyNumberFormat="1" applyFont="1" applyFill="1" applyBorder="1" applyAlignment="1" applyProtection="1">
      <alignment horizontal="center" vertical="center" wrapText="1"/>
    </xf>
    <xf numFmtId="180" fontId="147" fillId="10" borderId="22" xfId="0" applyNumberFormat="1" applyFont="1" applyFill="1" applyBorder="1" applyAlignment="1" applyProtection="1">
      <alignment horizontal="center" vertical="center" wrapText="1"/>
    </xf>
    <xf numFmtId="0" fontId="150" fillId="12" borderId="18" xfId="0" applyNumberFormat="1" applyFont="1" applyFill="1" applyBorder="1" applyAlignment="1" applyProtection="1">
      <alignment horizontal="center" vertical="center" wrapText="1"/>
    </xf>
    <xf numFmtId="0" fontId="150" fillId="12" borderId="19" xfId="0" applyNumberFormat="1" applyFont="1" applyFill="1" applyBorder="1" applyAlignment="1" applyProtection="1">
      <alignment horizontal="center" vertical="center" wrapText="1"/>
    </xf>
    <xf numFmtId="0" fontId="150" fillId="12" borderId="21" xfId="0" applyNumberFormat="1" applyFont="1" applyFill="1" applyBorder="1" applyAlignment="1" applyProtection="1">
      <alignment horizontal="center" vertical="center" wrapText="1"/>
    </xf>
    <xf numFmtId="0" fontId="150" fillId="12" borderId="60" xfId="0" applyNumberFormat="1" applyFont="1" applyFill="1" applyBorder="1" applyAlignment="1" applyProtection="1">
      <alignment horizontal="center" vertical="center" wrapText="1"/>
    </xf>
    <xf numFmtId="0" fontId="75" fillId="4" borderId="207" xfId="0" applyFont="1" applyFill="1" applyBorder="1" applyAlignment="1" applyProtection="1">
      <alignment horizontal="center" vertical="center"/>
    </xf>
    <xf numFmtId="0" fontId="75" fillId="4" borderId="208" xfId="0" applyFont="1" applyFill="1" applyBorder="1" applyAlignment="1" applyProtection="1">
      <alignment horizontal="center" vertical="center"/>
    </xf>
    <xf numFmtId="169" fontId="146" fillId="10" borderId="362" xfId="0" applyNumberFormat="1" applyFont="1" applyFill="1" applyBorder="1" applyAlignment="1" applyProtection="1">
      <alignment horizontal="center" vertical="center"/>
    </xf>
    <xf numFmtId="169" fontId="146" fillId="10" borderId="442" xfId="0" applyNumberFormat="1" applyFont="1" applyFill="1" applyBorder="1" applyAlignment="1" applyProtection="1">
      <alignment horizontal="center" vertical="center"/>
    </xf>
    <xf numFmtId="169" fontId="146" fillId="10" borderId="354" xfId="0" applyNumberFormat="1" applyFont="1" applyFill="1" applyBorder="1" applyAlignment="1" applyProtection="1">
      <alignment horizontal="center" vertical="center"/>
    </xf>
    <xf numFmtId="0" fontId="75" fillId="4" borderId="209" xfId="0" applyFont="1" applyFill="1" applyBorder="1" applyAlignment="1" applyProtection="1">
      <alignment horizontal="center" vertical="center"/>
    </xf>
    <xf numFmtId="169" fontId="145" fillId="30" borderId="7" xfId="0" applyNumberFormat="1" applyFont="1" applyFill="1" applyBorder="1" applyAlignment="1" applyProtection="1">
      <alignment horizontal="center" vertical="center"/>
    </xf>
    <xf numFmtId="169" fontId="145" fillId="30" borderId="8" xfId="0" applyNumberFormat="1" applyFont="1" applyFill="1" applyBorder="1" applyAlignment="1" applyProtection="1">
      <alignment horizontal="center" vertical="center"/>
    </xf>
    <xf numFmtId="169" fontId="145" fillId="30" borderId="9" xfId="0" applyNumberFormat="1" applyFont="1" applyFill="1" applyBorder="1" applyAlignment="1" applyProtection="1">
      <alignment horizontal="center" vertical="center"/>
    </xf>
    <xf numFmtId="175" fontId="79" fillId="10" borderId="275" xfId="0" applyNumberFormat="1" applyFont="1" applyFill="1" applyBorder="1" applyAlignment="1" applyProtection="1">
      <alignment horizontal="center" vertical="center"/>
    </xf>
    <xf numFmtId="169" fontId="147" fillId="12" borderId="275" xfId="0" applyNumberFormat="1" applyFont="1" applyFill="1" applyBorder="1" applyAlignment="1" applyProtection="1">
      <alignment horizontal="center" vertical="center"/>
    </xf>
    <xf numFmtId="169" fontId="147" fillId="12" borderId="276" xfId="0" applyNumberFormat="1" applyFont="1" applyFill="1" applyBorder="1" applyAlignment="1" applyProtection="1">
      <alignment horizontal="center" vertical="center"/>
    </xf>
    <xf numFmtId="169" fontId="147" fillId="12" borderId="278" xfId="0" applyNumberFormat="1" applyFont="1" applyFill="1" applyBorder="1" applyAlignment="1" applyProtection="1">
      <alignment horizontal="center" vertical="center"/>
    </xf>
    <xf numFmtId="169" fontId="147" fillId="12" borderId="279" xfId="0" applyNumberFormat="1" applyFont="1" applyFill="1" applyBorder="1" applyAlignment="1" applyProtection="1">
      <alignment horizontal="center" vertical="center"/>
    </xf>
    <xf numFmtId="173" fontId="148" fillId="12" borderId="277" xfId="0" applyNumberFormat="1" applyFont="1" applyFill="1" applyBorder="1" applyAlignment="1" applyProtection="1">
      <alignment horizontal="center" vertical="center"/>
    </xf>
    <xf numFmtId="173" fontId="148" fillId="12" borderId="451" xfId="0" applyNumberFormat="1" applyFont="1" applyFill="1" applyBorder="1" applyAlignment="1" applyProtection="1">
      <alignment horizontal="center" vertical="center"/>
    </xf>
    <xf numFmtId="173" fontId="148" fillId="12" borderId="278" xfId="0" applyNumberFormat="1" applyFont="1" applyFill="1" applyBorder="1" applyAlignment="1" applyProtection="1">
      <alignment horizontal="center" vertical="center"/>
    </xf>
    <xf numFmtId="49" fontId="147" fillId="19" borderId="7" xfId="0" applyNumberFormat="1" applyFont="1" applyFill="1" applyBorder="1" applyAlignment="1" applyProtection="1">
      <alignment horizontal="center" vertical="center"/>
    </xf>
    <xf numFmtId="49" fontId="147" fillId="19" borderId="8" xfId="0" applyNumberFormat="1" applyFont="1" applyFill="1" applyBorder="1" applyAlignment="1" applyProtection="1">
      <alignment horizontal="center" vertical="center"/>
    </xf>
    <xf numFmtId="49" fontId="147" fillId="19" borderId="9" xfId="0" applyNumberFormat="1" applyFont="1" applyFill="1" applyBorder="1" applyAlignment="1" applyProtection="1">
      <alignment horizontal="center" vertical="center"/>
    </xf>
    <xf numFmtId="177" fontId="75" fillId="10" borderId="157" xfId="0" applyNumberFormat="1" applyFont="1" applyFill="1" applyBorder="1" applyAlignment="1" applyProtection="1">
      <alignment horizontal="center" vertical="center"/>
    </xf>
    <xf numFmtId="177" fontId="123" fillId="0" borderId="157" xfId="0" applyNumberFormat="1" applyFont="1" applyFill="1" applyBorder="1" applyAlignment="1" applyProtection="1">
      <alignment horizontal="center" vertical="center"/>
    </xf>
    <xf numFmtId="177" fontId="123" fillId="0" borderId="217" xfId="0" applyNumberFormat="1" applyFont="1" applyFill="1" applyBorder="1" applyAlignment="1" applyProtection="1">
      <alignment horizontal="center" vertical="center"/>
    </xf>
    <xf numFmtId="0" fontId="129" fillId="4" borderId="383" xfId="0" applyFont="1" applyFill="1" applyBorder="1" applyAlignment="1" applyProtection="1">
      <alignment horizontal="center" vertical="center"/>
    </xf>
    <xf numFmtId="0" fontId="151" fillId="9" borderId="7" xfId="0" applyFont="1" applyFill="1" applyBorder="1" applyAlignment="1" applyProtection="1">
      <alignment horizontal="center" vertical="center"/>
    </xf>
    <xf numFmtId="0" fontId="151" fillId="9" borderId="8" xfId="0" applyFont="1" applyFill="1" applyBorder="1" applyAlignment="1" applyProtection="1">
      <alignment horizontal="center" vertical="center"/>
    </xf>
    <xf numFmtId="0" fontId="151" fillId="9" borderId="9" xfId="0" applyFont="1" applyFill="1" applyBorder="1" applyAlignment="1" applyProtection="1">
      <alignment horizontal="center" vertical="center"/>
    </xf>
    <xf numFmtId="0" fontId="67" fillId="4" borderId="0" xfId="0" applyFont="1" applyFill="1" applyBorder="1" applyAlignment="1" applyProtection="1">
      <alignment horizontal="distributed" vertical="center"/>
    </xf>
    <xf numFmtId="0" fontId="110" fillId="0" borderId="61" xfId="0" applyFont="1" applyFill="1" applyBorder="1" applyAlignment="1" applyProtection="1">
      <alignment horizontal="center" vertical="top"/>
    </xf>
    <xf numFmtId="0" fontId="110" fillId="0" borderId="0" xfId="0" applyFont="1" applyFill="1" applyBorder="1" applyAlignment="1" applyProtection="1">
      <alignment horizontal="center" vertical="top"/>
    </xf>
    <xf numFmtId="0" fontId="110" fillId="0" borderId="128" xfId="0" applyFont="1" applyFill="1" applyBorder="1" applyAlignment="1" applyProtection="1">
      <alignment horizontal="center" vertical="top"/>
    </xf>
    <xf numFmtId="0" fontId="3" fillId="9" borderId="341" xfId="0" applyFont="1" applyFill="1" applyBorder="1" applyAlignment="1" applyProtection="1">
      <alignment horizontal="center" vertical="center" wrapText="1"/>
    </xf>
    <xf numFmtId="0" fontId="3" fillId="9" borderId="342" xfId="0" applyFont="1" applyFill="1" applyBorder="1" applyAlignment="1" applyProtection="1">
      <alignment horizontal="center" vertical="center" wrapText="1"/>
    </xf>
    <xf numFmtId="0" fontId="3" fillId="9" borderId="343" xfId="0" applyFont="1" applyFill="1" applyBorder="1" applyAlignment="1" applyProtection="1">
      <alignment horizontal="center" vertical="center" wrapText="1"/>
    </xf>
    <xf numFmtId="0" fontId="3" fillId="9" borderId="344" xfId="0" applyFont="1" applyFill="1" applyBorder="1" applyAlignment="1" applyProtection="1">
      <alignment horizontal="center" vertical="center" wrapText="1"/>
    </xf>
    <xf numFmtId="0" fontId="3" fillId="9" borderId="345" xfId="0" applyFont="1" applyFill="1" applyBorder="1" applyAlignment="1" applyProtection="1">
      <alignment horizontal="center" vertical="center" wrapText="1"/>
    </xf>
    <xf numFmtId="0" fontId="3" fillId="9" borderId="346" xfId="0" applyFont="1" applyFill="1" applyBorder="1" applyAlignment="1" applyProtection="1">
      <alignment horizontal="center" vertical="center" wrapText="1"/>
    </xf>
    <xf numFmtId="180" fontId="43" fillId="31" borderId="349" xfId="0" applyNumberFormat="1" applyFont="1" applyFill="1" applyBorder="1" applyAlignment="1" applyProtection="1">
      <alignment horizontal="right" vertical="center" wrapText="1"/>
    </xf>
    <xf numFmtId="180" fontId="43" fillId="31" borderId="350" xfId="0" applyNumberFormat="1" applyFont="1" applyFill="1" applyBorder="1" applyAlignment="1" applyProtection="1">
      <alignment horizontal="right" vertical="center" wrapText="1"/>
    </xf>
    <xf numFmtId="180" fontId="55" fillId="0" borderId="349" xfId="0" applyNumberFormat="1" applyFont="1" applyBorder="1" applyAlignment="1" applyProtection="1">
      <alignment horizontal="right" vertical="center" wrapText="1"/>
    </xf>
    <xf numFmtId="180" fontId="55" fillId="0" borderId="371" xfId="0" applyNumberFormat="1" applyFont="1" applyBorder="1" applyAlignment="1" applyProtection="1">
      <alignment horizontal="right" vertical="center" wrapText="1"/>
    </xf>
    <xf numFmtId="177" fontId="152" fillId="31" borderId="28" xfId="0" applyNumberFormat="1" applyFont="1" applyFill="1" applyBorder="1" applyAlignment="1" applyProtection="1">
      <alignment horizontal="center" vertical="center" wrapText="1"/>
    </xf>
    <xf numFmtId="177" fontId="152" fillId="31" borderId="161" xfId="0" applyNumberFormat="1" applyFont="1" applyFill="1" applyBorder="1" applyAlignment="1" applyProtection="1">
      <alignment horizontal="center" vertical="center" wrapText="1"/>
    </xf>
    <xf numFmtId="0" fontId="129" fillId="4" borderId="161" xfId="0" applyFont="1" applyFill="1" applyBorder="1" applyAlignment="1" applyProtection="1">
      <alignment horizontal="center" vertical="center"/>
    </xf>
    <xf numFmtId="0" fontId="129" fillId="4" borderId="65" xfId="0" applyFont="1" applyFill="1" applyBorder="1" applyAlignment="1" applyProtection="1">
      <alignment horizontal="center" vertical="center"/>
    </xf>
    <xf numFmtId="0" fontId="129" fillId="4" borderId="87" xfId="0" applyFont="1" applyFill="1" applyBorder="1" applyAlignment="1" applyProtection="1">
      <alignment horizontal="center" vertical="center"/>
    </xf>
    <xf numFmtId="0" fontId="129" fillId="4" borderId="70" xfId="0" applyFont="1" applyFill="1" applyBorder="1" applyAlignment="1" applyProtection="1">
      <alignment horizontal="center" vertical="center"/>
    </xf>
    <xf numFmtId="0" fontId="129" fillId="4" borderId="14" xfId="0" applyFont="1" applyFill="1" applyBorder="1" applyAlignment="1" applyProtection="1">
      <alignment horizontal="center" vertical="center"/>
    </xf>
    <xf numFmtId="0" fontId="129" fillId="4" borderId="448" xfId="0" applyFont="1" applyFill="1" applyBorder="1" applyAlignment="1" applyProtection="1">
      <alignment horizontal="center" vertical="center"/>
    </xf>
    <xf numFmtId="0" fontId="129" fillId="4" borderId="446" xfId="0" applyFont="1" applyFill="1" applyBorder="1" applyAlignment="1" applyProtection="1">
      <alignment horizontal="center" vertical="center"/>
    </xf>
    <xf numFmtId="0" fontId="129" fillId="4" borderId="34" xfId="0" applyFont="1" applyFill="1" applyBorder="1" applyAlignment="1" applyProtection="1">
      <alignment horizontal="center" vertical="center"/>
    </xf>
    <xf numFmtId="0" fontId="129" fillId="4" borderId="17" xfId="0" applyFont="1" applyFill="1" applyBorder="1" applyAlignment="1" applyProtection="1">
      <alignment horizontal="center" vertical="center"/>
    </xf>
    <xf numFmtId="0" fontId="129" fillId="4" borderId="364" xfId="0" applyFont="1" applyFill="1" applyBorder="1" applyAlignment="1" applyProtection="1">
      <alignment horizontal="center" vertical="center"/>
    </xf>
    <xf numFmtId="0" fontId="129" fillId="4" borderId="360" xfId="0" applyFont="1" applyFill="1" applyBorder="1" applyAlignment="1" applyProtection="1">
      <alignment horizontal="center" vertical="center"/>
    </xf>
    <xf numFmtId="0" fontId="129" fillId="4" borderId="352" xfId="0" applyFont="1" applyFill="1" applyBorder="1" applyAlignment="1" applyProtection="1">
      <alignment horizontal="center" vertical="center"/>
    </xf>
    <xf numFmtId="0" fontId="129" fillId="4" borderId="361" xfId="0" applyFont="1" applyFill="1" applyBorder="1" applyAlignment="1" applyProtection="1">
      <alignment horizontal="center" vertical="center"/>
    </xf>
    <xf numFmtId="176" fontId="130" fillId="4" borderId="128" xfId="0" applyNumberFormat="1" applyFont="1" applyFill="1" applyBorder="1" applyAlignment="1" applyProtection="1">
      <alignment horizontal="justify" vertical="top"/>
    </xf>
    <xf numFmtId="0" fontId="67" fillId="4" borderId="379" xfId="0" applyFont="1" applyFill="1" applyBorder="1" applyAlignment="1" applyProtection="1">
      <alignment horizontal="justify" vertical="center"/>
    </xf>
    <xf numFmtId="0" fontId="67" fillId="4" borderId="449" xfId="0" applyFont="1" applyFill="1" applyBorder="1" applyAlignment="1" applyProtection="1">
      <alignment horizontal="justify" vertical="center"/>
    </xf>
    <xf numFmtId="169" fontId="85" fillId="4" borderId="0" xfId="0" applyNumberFormat="1" applyFont="1" applyFill="1" applyBorder="1" applyAlignment="1" applyProtection="1">
      <alignment horizontal="justify" vertical="center"/>
    </xf>
    <xf numFmtId="0" fontId="85" fillId="4" borderId="0" xfId="0" applyNumberFormat="1" applyFont="1" applyFill="1" applyBorder="1" applyAlignment="1" applyProtection="1">
      <alignment horizontal="justify" vertical="center"/>
    </xf>
    <xf numFmtId="0" fontId="14" fillId="4" borderId="0" xfId="0" applyNumberFormat="1" applyFont="1" applyFill="1" applyBorder="1" applyAlignment="1" applyProtection="1">
      <alignment horizontal="justify" vertical="center"/>
    </xf>
    <xf numFmtId="169" fontId="11" fillId="4" borderId="0" xfId="0" applyNumberFormat="1" applyFont="1" applyFill="1" applyBorder="1" applyAlignment="1" applyProtection="1">
      <alignment horizontal="distributed" vertical="center"/>
    </xf>
    <xf numFmtId="0" fontId="6" fillId="4" borderId="0" xfId="0" applyFont="1" applyFill="1" applyBorder="1" applyAlignment="1" applyProtection="1">
      <alignment horizontal="justify" vertical="center"/>
    </xf>
    <xf numFmtId="177" fontId="152" fillId="31" borderId="458" xfId="0" applyNumberFormat="1" applyFont="1" applyFill="1" applyBorder="1" applyAlignment="1" applyProtection="1">
      <alignment horizontal="center" vertical="center" wrapText="1"/>
    </xf>
    <xf numFmtId="177" fontId="152" fillId="31" borderId="457" xfId="0" applyNumberFormat="1" applyFont="1" applyFill="1" applyBorder="1" applyAlignment="1" applyProtection="1">
      <alignment horizontal="center" vertical="center" wrapText="1"/>
    </xf>
    <xf numFmtId="177" fontId="113" fillId="0" borderId="349" xfId="0" applyNumberFormat="1" applyFont="1" applyBorder="1" applyAlignment="1" applyProtection="1">
      <alignment horizontal="center" vertical="center" wrapText="1"/>
    </xf>
    <xf numFmtId="177" fontId="113" fillId="0" borderId="351" xfId="0" applyNumberFormat="1" applyFont="1" applyBorder="1" applyAlignment="1" applyProtection="1">
      <alignment horizontal="center" vertical="center" wrapText="1"/>
    </xf>
    <xf numFmtId="180" fontId="54" fillId="6" borderId="7" xfId="0" applyNumberFormat="1" applyFont="1" applyFill="1" applyBorder="1" applyAlignment="1" applyProtection="1">
      <alignment horizontal="right" vertical="center" wrapText="1"/>
    </xf>
    <xf numFmtId="180" fontId="54" fillId="6" borderId="8" xfId="0" applyNumberFormat="1" applyFont="1" applyFill="1" applyBorder="1" applyAlignment="1" applyProtection="1">
      <alignment horizontal="right" vertical="center" wrapText="1"/>
    </xf>
    <xf numFmtId="180" fontId="54" fillId="6" borderId="9" xfId="0" applyNumberFormat="1" applyFont="1" applyFill="1" applyBorder="1" applyAlignment="1" applyProtection="1">
      <alignment horizontal="right" vertical="center" wrapText="1"/>
    </xf>
    <xf numFmtId="180" fontId="2" fillId="0" borderId="7" xfId="0" applyNumberFormat="1" applyFont="1" applyBorder="1" applyAlignment="1" applyProtection="1">
      <alignment horizontal="right" vertical="center" wrapText="1"/>
    </xf>
    <xf numFmtId="180" fontId="2" fillId="0" borderId="8" xfId="0" applyNumberFormat="1" applyFont="1" applyBorder="1" applyAlignment="1" applyProtection="1">
      <alignment horizontal="right" vertical="center" wrapText="1"/>
    </xf>
    <xf numFmtId="180" fontId="2" fillId="0" borderId="9" xfId="0" applyNumberFormat="1" applyFont="1" applyBorder="1" applyAlignment="1" applyProtection="1">
      <alignment horizontal="right" vertical="center" wrapText="1"/>
    </xf>
    <xf numFmtId="180" fontId="38" fillId="6" borderId="7" xfId="0" applyNumberFormat="1" applyFont="1" applyFill="1" applyBorder="1" applyAlignment="1" applyProtection="1">
      <alignment horizontal="right" vertical="center" wrapText="1"/>
    </xf>
    <xf numFmtId="180" fontId="38" fillId="6" borderId="8" xfId="0" applyNumberFormat="1" applyFont="1" applyFill="1" applyBorder="1" applyAlignment="1" applyProtection="1">
      <alignment horizontal="right" vertical="center" wrapText="1"/>
    </xf>
    <xf numFmtId="180" fontId="38" fillId="6" borderId="9" xfId="0" applyNumberFormat="1" applyFont="1" applyFill="1" applyBorder="1" applyAlignment="1" applyProtection="1">
      <alignment horizontal="right" vertical="center" wrapText="1"/>
    </xf>
    <xf numFmtId="180" fontId="38" fillId="0" borderId="352" xfId="0" applyNumberFormat="1" applyFont="1" applyBorder="1" applyAlignment="1" applyProtection="1">
      <alignment horizontal="right" vertical="center" wrapText="1"/>
    </xf>
    <xf numFmtId="180" fontId="38" fillId="0" borderId="442" xfId="0" applyNumberFormat="1" applyFont="1" applyBorder="1" applyAlignment="1" applyProtection="1">
      <alignment horizontal="right" vertical="center" wrapText="1"/>
    </xf>
    <xf numFmtId="180" fontId="38" fillId="0" borderId="354" xfId="0" applyNumberFormat="1" applyFont="1" applyBorder="1" applyAlignment="1" applyProtection="1">
      <alignment horizontal="right" vertical="center" wrapText="1"/>
    </xf>
    <xf numFmtId="177" fontId="22" fillId="18" borderId="462" xfId="0" applyNumberFormat="1" applyFont="1" applyFill="1" applyBorder="1" applyAlignment="1" applyProtection="1">
      <alignment horizontal="center" vertical="center" wrapText="1"/>
    </xf>
    <xf numFmtId="177" fontId="22" fillId="18" borderId="457" xfId="0" applyNumberFormat="1" applyFont="1" applyFill="1" applyBorder="1" applyAlignment="1" applyProtection="1">
      <alignment horizontal="center" vertical="center" wrapText="1"/>
    </xf>
    <xf numFmtId="180" fontId="38" fillId="0" borderId="65" xfId="0" applyNumberFormat="1" applyFont="1" applyBorder="1" applyAlignment="1" applyProtection="1">
      <alignment horizontal="right" vertical="center" wrapText="1"/>
    </xf>
    <xf numFmtId="180" fontId="38" fillId="0" borderId="29" xfId="0" applyNumberFormat="1" applyFont="1" applyBorder="1" applyAlignment="1" applyProtection="1">
      <alignment horizontal="right" vertical="center" wrapText="1"/>
    </xf>
    <xf numFmtId="180" fontId="38" fillId="0" borderId="161" xfId="0" applyNumberFormat="1" applyFont="1" applyBorder="1" applyAlignment="1" applyProtection="1">
      <alignment horizontal="right" vertical="center" wrapText="1"/>
    </xf>
    <xf numFmtId="180" fontId="92" fillId="30" borderId="157" xfId="0" applyNumberFormat="1" applyFont="1" applyFill="1" applyBorder="1" applyAlignment="1" applyProtection="1">
      <alignment horizontal="right" vertical="center" wrapText="1"/>
    </xf>
    <xf numFmtId="180" fontId="92" fillId="30" borderId="8" xfId="0" applyNumberFormat="1" applyFont="1" applyFill="1" applyBorder="1" applyAlignment="1" applyProtection="1">
      <alignment horizontal="right" vertical="center" wrapText="1"/>
    </xf>
    <xf numFmtId="180" fontId="92" fillId="30" borderId="83" xfId="0" applyNumberFormat="1" applyFont="1" applyFill="1" applyBorder="1" applyAlignment="1" applyProtection="1">
      <alignment horizontal="right" vertical="center" wrapText="1"/>
    </xf>
    <xf numFmtId="180" fontId="43" fillId="31" borderId="352" xfId="0" applyNumberFormat="1" applyFont="1" applyFill="1" applyBorder="1" applyAlignment="1" applyProtection="1">
      <alignment horizontal="right" vertical="center" wrapText="1"/>
    </xf>
    <xf numFmtId="180" fontId="43" fillId="31" borderId="353" xfId="0" applyNumberFormat="1" applyFont="1" applyFill="1" applyBorder="1" applyAlignment="1" applyProtection="1">
      <alignment horizontal="right" vertical="center" wrapText="1"/>
    </xf>
    <xf numFmtId="180" fontId="38" fillId="0" borderId="70" xfId="0" applyNumberFormat="1" applyFont="1" applyBorder="1" applyAlignment="1" applyProtection="1">
      <alignment horizontal="right" vertical="center" wrapText="1"/>
    </xf>
    <xf numFmtId="180" fontId="38" fillId="0" borderId="23" xfId="0" applyNumberFormat="1" applyFont="1" applyBorder="1" applyAlignment="1" applyProtection="1">
      <alignment horizontal="right" vertical="center" wrapText="1"/>
    </xf>
    <xf numFmtId="180" fontId="38" fillId="0" borderId="71" xfId="0" applyNumberFormat="1" applyFont="1" applyBorder="1" applyAlignment="1" applyProtection="1">
      <alignment horizontal="right" vertical="center" wrapText="1"/>
    </xf>
    <xf numFmtId="0" fontId="35" fillId="9" borderId="18" xfId="0" applyFont="1" applyFill="1" applyBorder="1" applyAlignment="1" applyProtection="1">
      <alignment horizontal="center" vertical="center" wrapText="1"/>
    </xf>
    <xf numFmtId="0" fontId="35" fillId="9" borderId="20" xfId="0" applyFont="1" applyFill="1" applyBorder="1" applyAlignment="1" applyProtection="1">
      <alignment horizontal="center" vertical="center" wrapText="1"/>
    </xf>
    <xf numFmtId="0" fontId="35" fillId="9" borderId="21" xfId="0" applyFont="1" applyFill="1" applyBorder="1" applyAlignment="1" applyProtection="1">
      <alignment horizontal="center" vertical="center" wrapText="1"/>
    </xf>
    <xf numFmtId="0" fontId="35" fillId="9" borderId="22" xfId="0" applyFont="1" applyFill="1" applyBorder="1" applyAlignment="1" applyProtection="1">
      <alignment horizontal="center" vertical="center" wrapText="1"/>
    </xf>
    <xf numFmtId="0" fontId="88" fillId="9" borderId="66" xfId="0" applyFont="1" applyFill="1" applyBorder="1" applyAlignment="1" applyProtection="1">
      <alignment horizontal="center" vertical="center" wrapText="1"/>
    </xf>
    <xf numFmtId="0" fontId="88" fillId="9" borderId="19" xfId="0" applyFont="1" applyFill="1" applyBorder="1" applyAlignment="1" applyProtection="1">
      <alignment horizontal="center" vertical="center" wrapText="1"/>
    </xf>
    <xf numFmtId="0" fontId="88" fillId="9" borderId="280" xfId="0" applyFont="1" applyFill="1" applyBorder="1" applyAlignment="1" applyProtection="1">
      <alignment horizontal="center" vertical="center" wrapText="1"/>
    </xf>
    <xf numFmtId="0" fontId="88" fillId="9" borderId="67" xfId="0" applyFont="1" applyFill="1" applyBorder="1" applyAlignment="1" applyProtection="1">
      <alignment horizontal="center" vertical="center" wrapText="1"/>
    </xf>
    <xf numFmtId="0" fontId="88" fillId="9" borderId="60" xfId="0" applyFont="1" applyFill="1" applyBorder="1" applyAlignment="1" applyProtection="1">
      <alignment horizontal="center" vertical="center" wrapText="1"/>
    </xf>
    <xf numFmtId="0" fontId="88" fillId="9" borderId="162" xfId="0" applyFont="1" applyFill="1" applyBorder="1" applyAlignment="1" applyProtection="1">
      <alignment horizontal="center" vertical="center" wrapText="1"/>
    </xf>
    <xf numFmtId="0" fontId="113" fillId="5" borderId="65" xfId="0" applyFont="1" applyFill="1" applyBorder="1" applyAlignment="1" applyProtection="1">
      <alignment horizontal="center" vertical="center"/>
    </xf>
    <xf numFmtId="0" fontId="113" fillId="5" borderId="29" xfId="0" applyFont="1" applyFill="1" applyBorder="1" applyAlignment="1" applyProtection="1">
      <alignment horizontal="center" vertical="center"/>
    </xf>
    <xf numFmtId="180" fontId="55" fillId="0" borderId="456" xfId="0" applyNumberFormat="1" applyFont="1" applyBorder="1" applyAlignment="1" applyProtection="1">
      <alignment horizontal="right" vertical="center" wrapText="1"/>
    </xf>
    <xf numFmtId="180" fontId="55" fillId="0" borderId="457" xfId="0" applyNumberFormat="1" applyFont="1" applyBorder="1" applyAlignment="1" applyProtection="1">
      <alignment horizontal="right" vertical="center" wrapText="1"/>
    </xf>
    <xf numFmtId="177" fontId="117" fillId="10" borderId="29" xfId="0" applyNumberFormat="1" applyFont="1" applyFill="1" applyBorder="1" applyAlignment="1" applyProtection="1">
      <alignment horizontal="center" vertical="center"/>
    </xf>
    <xf numFmtId="177" fontId="117" fillId="10" borderId="161" xfId="0" applyNumberFormat="1" applyFont="1" applyFill="1" applyBorder="1" applyAlignment="1" applyProtection="1">
      <alignment horizontal="center" vertical="center"/>
    </xf>
    <xf numFmtId="0" fontId="113" fillId="6" borderId="28" xfId="0" applyFont="1" applyFill="1" applyBorder="1" applyAlignment="1" applyProtection="1">
      <alignment horizontal="left" vertical="center"/>
    </xf>
    <xf numFmtId="0" fontId="113" fillId="6" borderId="29" xfId="0" applyFont="1" applyFill="1" applyBorder="1" applyAlignment="1" applyProtection="1">
      <alignment horizontal="left" vertical="center"/>
    </xf>
    <xf numFmtId="0" fontId="3" fillId="0" borderId="362" xfId="0" applyFont="1" applyBorder="1" applyAlignment="1" applyProtection="1">
      <alignment horizontal="center" vertical="center"/>
    </xf>
    <xf numFmtId="0" fontId="3" fillId="0" borderId="353" xfId="0" applyFont="1" applyBorder="1" applyAlignment="1" applyProtection="1">
      <alignment horizontal="center" vertical="center"/>
    </xf>
    <xf numFmtId="0" fontId="3" fillId="0" borderId="354" xfId="0" applyFont="1" applyBorder="1" applyAlignment="1" applyProtection="1">
      <alignment horizontal="center" vertical="center"/>
    </xf>
    <xf numFmtId="0" fontId="140" fillId="9" borderId="45" xfId="0" applyFont="1" applyFill="1" applyBorder="1" applyAlignment="1" applyProtection="1">
      <alignment horizontal="center" vertical="center" textRotation="255" wrapText="1"/>
    </xf>
    <xf numFmtId="0" fontId="140" fillId="9" borderId="159" xfId="0" applyFont="1" applyFill="1" applyBorder="1" applyAlignment="1" applyProtection="1">
      <alignment horizontal="center" vertical="center" textRotation="255" wrapText="1"/>
    </xf>
    <xf numFmtId="0" fontId="140" fillId="9" borderId="46" xfId="0" applyFont="1" applyFill="1" applyBorder="1" applyAlignment="1" applyProtection="1">
      <alignment horizontal="center" vertical="center" textRotation="255" wrapText="1"/>
    </xf>
    <xf numFmtId="0" fontId="35" fillId="9" borderId="45" xfId="0" applyFont="1" applyFill="1" applyBorder="1" applyAlignment="1" applyProtection="1">
      <alignment horizontal="center" vertical="center" wrapText="1"/>
    </xf>
    <xf numFmtId="0" fontId="35" fillId="9" borderId="159" xfId="0" applyFont="1" applyFill="1" applyBorder="1" applyAlignment="1" applyProtection="1">
      <alignment horizontal="center" vertical="center" wrapText="1"/>
    </xf>
    <xf numFmtId="1" fontId="113" fillId="0" borderId="456" xfId="0" applyNumberFormat="1" applyFont="1" applyBorder="1" applyAlignment="1" applyProtection="1">
      <alignment horizontal="center" vertical="center" wrapText="1"/>
    </xf>
    <xf numFmtId="1" fontId="113" fillId="0" borderId="457" xfId="0" applyNumberFormat="1" applyFont="1" applyBorder="1" applyAlignment="1" applyProtection="1">
      <alignment horizontal="center" vertical="center" wrapText="1"/>
    </xf>
    <xf numFmtId="180" fontId="154" fillId="0" borderId="65" xfId="0" applyNumberFormat="1" applyFont="1" applyBorder="1" applyAlignment="1" applyProtection="1">
      <alignment horizontal="left" vertical="center" wrapText="1"/>
    </xf>
    <xf numFmtId="180" fontId="154" fillId="0" borderId="29" xfId="0" applyNumberFormat="1" applyFont="1" applyBorder="1" applyAlignment="1" applyProtection="1">
      <alignment horizontal="left" vertical="center" wrapText="1"/>
    </xf>
    <xf numFmtId="0" fontId="2" fillId="6" borderId="357" xfId="0" applyFont="1" applyFill="1" applyBorder="1" applyAlignment="1" applyProtection="1">
      <alignment horizontal="left" vertical="center"/>
    </xf>
    <xf numFmtId="0" fontId="2" fillId="6" borderId="350" xfId="0" applyFont="1" applyFill="1" applyBorder="1" applyAlignment="1" applyProtection="1">
      <alignment horizontal="left" vertical="center"/>
    </xf>
    <xf numFmtId="177" fontId="112" fillId="10" borderId="350" xfId="0" applyNumberFormat="1" applyFont="1" applyFill="1" applyBorder="1" applyAlignment="1" applyProtection="1">
      <alignment horizontal="center" vertical="center"/>
    </xf>
    <xf numFmtId="177" fontId="112" fillId="10" borderId="371" xfId="0" applyNumberFormat="1" applyFont="1" applyFill="1" applyBorder="1" applyAlignment="1" applyProtection="1">
      <alignment horizontal="center" vertical="center"/>
    </xf>
    <xf numFmtId="0" fontId="118" fillId="0" borderId="349" xfId="0" applyFont="1" applyFill="1" applyBorder="1" applyAlignment="1" applyProtection="1">
      <alignment horizontal="center" vertical="center"/>
    </xf>
    <xf numFmtId="0" fontId="118" fillId="0" borderId="371" xfId="0" applyFont="1" applyFill="1" applyBorder="1" applyAlignment="1" applyProtection="1">
      <alignment horizontal="center" vertical="center"/>
    </xf>
    <xf numFmtId="0" fontId="119" fillId="0" borderId="349" xfId="0" applyFont="1" applyBorder="1" applyAlignment="1" applyProtection="1">
      <alignment horizontal="center" vertical="center"/>
    </xf>
    <xf numFmtId="0" fontId="119" fillId="0" borderId="350" xfId="0" applyFont="1" applyBorder="1" applyAlignment="1" applyProtection="1">
      <alignment horizontal="center" vertical="center"/>
    </xf>
    <xf numFmtId="0" fontId="2" fillId="6" borderId="350" xfId="0" applyFont="1" applyFill="1" applyBorder="1" applyAlignment="1" applyProtection="1">
      <alignment horizontal="center" vertical="center"/>
    </xf>
    <xf numFmtId="0" fontId="2" fillId="6" borderId="371" xfId="0" applyFont="1" applyFill="1" applyBorder="1" applyAlignment="1" applyProtection="1">
      <alignment horizontal="center" vertical="center"/>
    </xf>
    <xf numFmtId="168" fontId="112" fillId="0" borderId="349" xfId="0" applyNumberFormat="1" applyFont="1" applyFill="1" applyBorder="1" applyAlignment="1" applyProtection="1">
      <alignment horizontal="center" vertical="center"/>
    </xf>
    <xf numFmtId="168" fontId="112" fillId="0" borderId="371" xfId="0" applyNumberFormat="1" applyFont="1" applyFill="1" applyBorder="1" applyAlignment="1" applyProtection="1">
      <alignment horizontal="center" vertical="center"/>
    </xf>
    <xf numFmtId="168" fontId="112" fillId="0" borderId="349" xfId="0" applyNumberFormat="1" applyFont="1" applyBorder="1" applyAlignment="1" applyProtection="1">
      <alignment horizontal="center" vertical="center"/>
    </xf>
    <xf numFmtId="168" fontId="112" fillId="0" borderId="350" xfId="0" applyNumberFormat="1" applyFont="1" applyBorder="1" applyAlignment="1" applyProtection="1">
      <alignment horizontal="center" vertical="center"/>
    </xf>
    <xf numFmtId="177" fontId="2" fillId="0" borderId="362" xfId="0" applyNumberFormat="1" applyFont="1" applyBorder="1" applyAlignment="1" applyProtection="1">
      <alignment horizontal="center" vertical="center" wrapText="1"/>
    </xf>
    <xf numFmtId="177" fontId="2" fillId="0" borderId="364" xfId="0" applyNumberFormat="1" applyFont="1" applyBorder="1" applyAlignment="1" applyProtection="1">
      <alignment horizontal="center" vertical="center" wrapText="1"/>
    </xf>
    <xf numFmtId="180" fontId="2" fillId="0" borderId="360" xfId="0" applyNumberFormat="1" applyFont="1" applyBorder="1" applyAlignment="1" applyProtection="1">
      <alignment horizontal="right" vertical="center" wrapText="1"/>
    </xf>
    <xf numFmtId="180" fontId="43" fillId="0" borderId="67" xfId="0" applyNumberFormat="1" applyFont="1" applyBorder="1" applyAlignment="1" applyProtection="1">
      <alignment horizontal="left" vertical="center" wrapText="1"/>
    </xf>
    <xf numFmtId="180" fontId="43" fillId="0" borderId="60" xfId="0" applyNumberFormat="1" applyFont="1" applyBorder="1" applyAlignment="1" applyProtection="1">
      <alignment horizontal="left" vertical="center" wrapText="1"/>
    </xf>
    <xf numFmtId="180" fontId="43" fillId="0" borderId="22" xfId="0" applyNumberFormat="1" applyFont="1" applyBorder="1" applyAlignment="1" applyProtection="1">
      <alignment horizontal="left" vertical="center" wrapText="1"/>
    </xf>
    <xf numFmtId="17" fontId="2" fillId="6" borderId="61" xfId="0" applyNumberFormat="1" applyFont="1" applyFill="1" applyBorder="1" applyAlignment="1" applyProtection="1">
      <alignment horizontal="center" vertical="center" wrapText="1"/>
    </xf>
    <xf numFmtId="17" fontId="2" fillId="6" borderId="0" xfId="0" applyNumberFormat="1" applyFont="1" applyFill="1" applyBorder="1" applyAlignment="1" applyProtection="1">
      <alignment horizontal="center" vertical="center" wrapText="1"/>
    </xf>
    <xf numFmtId="17" fontId="2" fillId="6" borderId="128" xfId="0" applyNumberFormat="1" applyFont="1" applyFill="1" applyBorder="1" applyAlignment="1" applyProtection="1">
      <alignment horizontal="center" vertical="center" wrapText="1"/>
    </xf>
    <xf numFmtId="0" fontId="33" fillId="6" borderId="28" xfId="0" applyFont="1" applyFill="1" applyBorder="1" applyAlignment="1" applyProtection="1">
      <alignment horizontal="left" vertical="center"/>
    </xf>
    <xf numFmtId="0" fontId="33" fillId="6" borderId="29" xfId="0" applyFont="1" applyFill="1" applyBorder="1" applyAlignment="1" applyProtection="1">
      <alignment horizontal="left" vertical="center"/>
    </xf>
    <xf numFmtId="177" fontId="112" fillId="10" borderId="29" xfId="0" applyNumberFormat="1" applyFont="1" applyFill="1" applyBorder="1" applyAlignment="1" applyProtection="1">
      <alignment horizontal="center" vertical="center"/>
    </xf>
    <xf numFmtId="177" fontId="112" fillId="10" borderId="161" xfId="0" applyNumberFormat="1" applyFont="1" applyFill="1" applyBorder="1" applyAlignment="1" applyProtection="1">
      <alignment horizontal="center" vertical="center"/>
    </xf>
    <xf numFmtId="0" fontId="115" fillId="0" borderId="29" xfId="0" applyFont="1" applyBorder="1" applyAlignment="1" applyProtection="1">
      <alignment horizontal="left" vertical="center"/>
    </xf>
    <xf numFmtId="0" fontId="2" fillId="6" borderId="29" xfId="0" applyFont="1" applyFill="1" applyBorder="1" applyAlignment="1" applyProtection="1">
      <alignment horizontal="right" vertical="center"/>
    </xf>
    <xf numFmtId="0" fontId="112" fillId="10" borderId="29" xfId="0" applyFont="1" applyFill="1" applyBorder="1" applyAlignment="1" applyProtection="1">
      <alignment horizontal="center" vertical="center"/>
    </xf>
    <xf numFmtId="0" fontId="2" fillId="9" borderId="29" xfId="0" applyFont="1" applyFill="1" applyBorder="1" applyAlignment="1" applyProtection="1">
      <alignment horizontal="center" vertical="center"/>
    </xf>
    <xf numFmtId="180" fontId="112" fillId="10" borderId="29" xfId="0" applyNumberFormat="1" applyFont="1" applyFill="1" applyBorder="1" applyAlignment="1" applyProtection="1">
      <alignment horizontal="center" vertical="center"/>
    </xf>
    <xf numFmtId="180" fontId="112" fillId="10" borderId="161" xfId="0" applyNumberFormat="1" applyFont="1" applyFill="1" applyBorder="1" applyAlignment="1" applyProtection="1">
      <alignment horizontal="center" vertical="center"/>
    </xf>
    <xf numFmtId="0" fontId="3" fillId="9" borderId="65" xfId="0" applyFont="1" applyFill="1" applyBorder="1" applyAlignment="1" applyProtection="1">
      <alignment horizontal="center" vertical="center"/>
    </xf>
    <xf numFmtId="0" fontId="3" fillId="9" borderId="161" xfId="0" applyFont="1" applyFill="1" applyBorder="1" applyAlignment="1" applyProtection="1">
      <alignment horizontal="center" vertical="center"/>
    </xf>
    <xf numFmtId="180" fontId="112" fillId="0" borderId="65" xfId="0" applyNumberFormat="1" applyFont="1" applyFill="1" applyBorder="1" applyAlignment="1" applyProtection="1">
      <alignment horizontal="center" vertical="center"/>
    </xf>
    <xf numFmtId="180" fontId="112" fillId="0" borderId="29" xfId="0" applyNumberFormat="1" applyFont="1" applyFill="1" applyBorder="1" applyAlignment="1" applyProtection="1">
      <alignment horizontal="center" vertical="center"/>
    </xf>
    <xf numFmtId="180" fontId="112" fillId="0" borderId="30" xfId="0" applyNumberFormat="1" applyFont="1" applyFill="1" applyBorder="1" applyAlignment="1" applyProtection="1">
      <alignment horizontal="center" vertical="center"/>
    </xf>
    <xf numFmtId="0" fontId="4" fillId="9" borderId="66" xfId="0" applyFont="1" applyFill="1" applyBorder="1" applyAlignment="1" applyProtection="1">
      <alignment horizontal="center" vertical="center" wrapText="1"/>
    </xf>
    <xf numFmtId="0" fontId="4" fillId="9" borderId="19" xfId="0" applyFont="1" applyFill="1" applyBorder="1" applyAlignment="1" applyProtection="1">
      <alignment horizontal="center" vertical="center" wrapText="1"/>
    </xf>
    <xf numFmtId="0" fontId="4" fillId="9" borderId="67" xfId="0" applyFont="1" applyFill="1" applyBorder="1" applyAlignment="1" applyProtection="1">
      <alignment horizontal="center" vertical="center" wrapText="1"/>
    </xf>
    <xf numFmtId="0" fontId="4" fillId="9" borderId="60" xfId="0" applyFont="1" applyFill="1" applyBorder="1" applyAlignment="1" applyProtection="1">
      <alignment horizontal="center" vertical="center" wrapText="1"/>
    </xf>
    <xf numFmtId="180" fontId="54" fillId="0" borderId="283" xfId="0" applyNumberFormat="1" applyFont="1" applyBorder="1" applyAlignment="1" applyProtection="1">
      <alignment horizontal="right" vertical="center" wrapText="1"/>
    </xf>
    <xf numFmtId="180" fontId="54" fillId="0" borderId="284" xfId="0" applyNumberFormat="1" applyFont="1" applyBorder="1" applyAlignment="1" applyProtection="1">
      <alignment horizontal="right" vertical="center" wrapText="1"/>
    </xf>
    <xf numFmtId="180" fontId="2" fillId="0" borderId="70" xfId="0" applyNumberFormat="1" applyFont="1" applyBorder="1" applyAlignment="1" applyProtection="1">
      <alignment horizontal="right" vertical="center" wrapText="1"/>
    </xf>
    <xf numFmtId="180" fontId="2" fillId="0" borderId="23" xfId="0" applyNumberFormat="1" applyFont="1" applyBorder="1" applyAlignment="1" applyProtection="1">
      <alignment horizontal="right" vertical="center" wrapText="1"/>
    </xf>
    <xf numFmtId="180" fontId="2" fillId="0" borderId="71" xfId="0" applyNumberFormat="1" applyFont="1" applyBorder="1" applyAlignment="1" applyProtection="1">
      <alignment horizontal="right" vertical="center" wrapText="1"/>
    </xf>
    <xf numFmtId="177" fontId="2" fillId="0" borderId="86" xfId="0" applyNumberFormat="1" applyFont="1" applyBorder="1" applyAlignment="1" applyProtection="1">
      <alignment horizontal="center" vertical="center" wrapText="1"/>
    </xf>
    <xf numFmtId="177" fontId="2" fillId="0" borderId="87" xfId="0" applyNumberFormat="1" applyFont="1" applyBorder="1" applyAlignment="1" applyProtection="1">
      <alignment horizontal="center" vertical="center" wrapText="1"/>
    </xf>
    <xf numFmtId="0" fontId="2" fillId="0" borderId="65" xfId="0" applyNumberFormat="1" applyFont="1" applyFill="1" applyBorder="1" applyAlignment="1" applyProtection="1">
      <alignment horizontal="center" vertical="center" wrapText="1"/>
    </xf>
    <xf numFmtId="0" fontId="2" fillId="0" borderId="161" xfId="0" applyNumberFormat="1" applyFont="1" applyFill="1" applyBorder="1" applyAlignment="1" applyProtection="1">
      <alignment horizontal="center" vertical="center" wrapText="1"/>
    </xf>
    <xf numFmtId="180" fontId="54" fillId="0" borderId="70" xfId="0" applyNumberFormat="1" applyFont="1" applyBorder="1" applyAlignment="1" applyProtection="1">
      <alignment horizontal="right" vertical="center" wrapText="1"/>
    </xf>
    <xf numFmtId="180" fontId="54" fillId="0" borderId="87" xfId="0" applyNumberFormat="1" applyFont="1" applyBorder="1" applyAlignment="1" applyProtection="1">
      <alignment horizontal="right" vertical="center" wrapText="1"/>
    </xf>
    <xf numFmtId="180" fontId="2" fillId="0" borderId="352" xfId="0" applyNumberFormat="1" applyFont="1" applyBorder="1" applyAlignment="1" applyProtection="1">
      <alignment horizontal="right" vertical="center" wrapText="1"/>
    </xf>
    <xf numFmtId="180" fontId="2" fillId="0" borderId="353" xfId="0" applyNumberFormat="1" applyFont="1" applyBorder="1" applyAlignment="1" applyProtection="1">
      <alignment horizontal="right" vertical="center" wrapText="1"/>
    </xf>
    <xf numFmtId="180" fontId="2" fillId="0" borderId="354" xfId="0" applyNumberFormat="1" applyFont="1" applyBorder="1" applyAlignment="1" applyProtection="1">
      <alignment horizontal="right" vertical="center" wrapText="1"/>
    </xf>
    <xf numFmtId="177" fontId="2" fillId="0" borderId="330" xfId="0" applyNumberFormat="1" applyFont="1" applyBorder="1" applyAlignment="1" applyProtection="1">
      <alignment horizontal="center" vertical="center" wrapText="1"/>
    </xf>
    <xf numFmtId="177" fontId="2" fillId="0" borderId="284" xfId="0" applyNumberFormat="1" applyFont="1" applyBorder="1" applyAlignment="1" applyProtection="1">
      <alignment horizontal="center" vertical="center" wrapText="1"/>
    </xf>
    <xf numFmtId="180" fontId="2" fillId="0" borderId="283" xfId="0" applyNumberFormat="1" applyFont="1" applyBorder="1" applyAlignment="1" applyProtection="1">
      <alignment horizontal="right" vertical="center" wrapText="1"/>
    </xf>
    <xf numFmtId="180" fontId="2" fillId="0" borderId="331" xfId="0" applyNumberFormat="1" applyFont="1" applyBorder="1" applyAlignment="1" applyProtection="1">
      <alignment horizontal="right" vertical="center" wrapText="1"/>
    </xf>
    <xf numFmtId="180" fontId="2" fillId="0" borderId="48" xfId="0" applyNumberFormat="1" applyFont="1" applyBorder="1" applyAlignment="1" applyProtection="1">
      <alignment horizontal="right" vertical="center" wrapText="1"/>
    </xf>
    <xf numFmtId="180" fontId="2" fillId="0" borderId="31" xfId="0" applyNumberFormat="1" applyFont="1" applyBorder="1" applyAlignment="1" applyProtection="1">
      <alignment horizontal="right" vertical="center" wrapText="1"/>
    </xf>
    <xf numFmtId="1" fontId="2" fillId="0" borderId="283" xfId="0" applyNumberFormat="1" applyFont="1" applyBorder="1" applyAlignment="1" applyProtection="1">
      <alignment horizontal="center" vertical="center" wrapText="1"/>
    </xf>
    <xf numFmtId="1" fontId="2" fillId="0" borderId="292" xfId="0" applyNumberFormat="1" applyFont="1" applyBorder="1" applyAlignment="1" applyProtection="1">
      <alignment horizontal="center" vertical="center" wrapText="1"/>
    </xf>
    <xf numFmtId="180" fontId="3" fillId="6" borderId="7" xfId="0" applyNumberFormat="1" applyFont="1" applyFill="1" applyBorder="1" applyAlignment="1" applyProtection="1">
      <alignment horizontal="right" vertical="center" wrapText="1"/>
    </xf>
    <xf numFmtId="180" fontId="3" fillId="6" borderId="8" xfId="0" applyNumberFormat="1" applyFont="1" applyFill="1" applyBorder="1" applyAlignment="1" applyProtection="1">
      <alignment horizontal="right" vertical="center" wrapText="1"/>
    </xf>
    <xf numFmtId="180" fontId="3" fillId="6" borderId="9" xfId="0" applyNumberFormat="1" applyFont="1" applyFill="1" applyBorder="1" applyAlignment="1" applyProtection="1">
      <alignment horizontal="right" vertical="center" wrapText="1"/>
    </xf>
    <xf numFmtId="177" fontId="2" fillId="0" borderId="312" xfId="0" applyNumberFormat="1" applyFont="1" applyBorder="1" applyAlignment="1" applyProtection="1">
      <alignment horizontal="center" vertical="center" wrapText="1"/>
    </xf>
    <xf numFmtId="177" fontId="2" fillId="0" borderId="327" xfId="0" applyNumberFormat="1" applyFont="1" applyBorder="1" applyAlignment="1" applyProtection="1">
      <alignment horizontal="center" vertical="center" wrapText="1"/>
    </xf>
    <xf numFmtId="1" fontId="2" fillId="0" borderId="325" xfId="0" applyNumberFormat="1" applyFont="1" applyBorder="1" applyAlignment="1" applyProtection="1">
      <alignment horizontal="center" vertical="center" wrapText="1"/>
    </xf>
    <xf numFmtId="1" fontId="2" fillId="0" borderId="326" xfId="0" applyNumberFormat="1" applyFont="1" applyBorder="1" applyAlignment="1" applyProtection="1">
      <alignment horizontal="center" vertical="center" wrapText="1"/>
    </xf>
    <xf numFmtId="180" fontId="3" fillId="0" borderId="347" xfId="0" applyNumberFormat="1" applyFont="1" applyBorder="1" applyAlignment="1" applyProtection="1">
      <alignment horizontal="right" vertical="center" wrapText="1"/>
    </xf>
    <xf numFmtId="180" fontId="3" fillId="0" borderId="335" xfId="0" applyNumberFormat="1" applyFont="1" applyBorder="1" applyAlignment="1" applyProtection="1">
      <alignment horizontal="right" vertical="center" wrapText="1"/>
    </xf>
    <xf numFmtId="180" fontId="3" fillId="0" borderId="348" xfId="0" applyNumberFormat="1" applyFont="1" applyBorder="1" applyAlignment="1" applyProtection="1">
      <alignment horizontal="right" vertical="center" wrapText="1"/>
    </xf>
    <xf numFmtId="180" fontId="43" fillId="0" borderId="349" xfId="0" applyNumberFormat="1" applyFont="1" applyBorder="1" applyAlignment="1" applyProtection="1">
      <alignment horizontal="left" vertical="center" wrapText="1"/>
    </xf>
    <xf numFmtId="180" fontId="43" fillId="0" borderId="350" xfId="0" applyNumberFormat="1" applyFont="1" applyBorder="1" applyAlignment="1" applyProtection="1">
      <alignment horizontal="left" vertical="center" wrapText="1"/>
    </xf>
    <xf numFmtId="180" fontId="43" fillId="0" borderId="351" xfId="0" applyNumberFormat="1" applyFont="1" applyBorder="1" applyAlignment="1" applyProtection="1">
      <alignment horizontal="left" vertical="center" wrapText="1"/>
    </xf>
    <xf numFmtId="180" fontId="112" fillId="0" borderId="70" xfId="0" applyNumberFormat="1" applyFont="1" applyFill="1" applyBorder="1" applyAlignment="1" applyProtection="1">
      <alignment horizontal="center" vertical="center"/>
    </xf>
    <xf numFmtId="180" fontId="112" fillId="0" borderId="23" xfId="0" applyNumberFormat="1" applyFont="1" applyFill="1" applyBorder="1" applyAlignment="1" applyProtection="1">
      <alignment horizontal="center" vertical="center"/>
    </xf>
    <xf numFmtId="180" fontId="112" fillId="0" borderId="71" xfId="0" applyNumberFormat="1" applyFont="1" applyFill="1" applyBorder="1" applyAlignment="1" applyProtection="1">
      <alignment horizontal="center" vertical="center"/>
    </xf>
    <xf numFmtId="0" fontId="3" fillId="0" borderId="72" xfId="0" applyFont="1" applyBorder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/>
    </xf>
    <xf numFmtId="17" fontId="2" fillId="6" borderId="7" xfId="0" applyNumberFormat="1" applyFont="1" applyFill="1" applyBorder="1" applyAlignment="1" applyProtection="1">
      <alignment horizontal="center" vertical="center" wrapText="1"/>
    </xf>
    <xf numFmtId="17" fontId="2" fillId="6" borderId="8" xfId="0" applyNumberFormat="1" applyFont="1" applyFill="1" applyBorder="1" applyAlignment="1" applyProtection="1">
      <alignment horizontal="center" vertical="center" wrapText="1"/>
    </xf>
    <xf numFmtId="17" fontId="2" fillId="6" borderId="9" xfId="0" applyNumberFormat="1" applyFont="1" applyFill="1" applyBorder="1" applyAlignment="1" applyProtection="1">
      <alignment horizontal="center" vertical="center" wrapText="1"/>
    </xf>
    <xf numFmtId="177" fontId="3" fillId="33" borderId="132" xfId="0" applyNumberFormat="1" applyFont="1" applyFill="1" applyBorder="1" applyAlignment="1" applyProtection="1">
      <alignment horizontal="center" vertical="center" wrapText="1"/>
    </xf>
    <xf numFmtId="0" fontId="3" fillId="33" borderId="132" xfId="0" applyFont="1" applyFill="1" applyBorder="1" applyAlignment="1" applyProtection="1">
      <alignment horizontal="center" vertical="center" wrapText="1"/>
    </xf>
    <xf numFmtId="0" fontId="3" fillId="33" borderId="133" xfId="0" applyFont="1" applyFill="1" applyBorder="1" applyAlignment="1" applyProtection="1">
      <alignment horizontal="center" vertical="center" wrapText="1"/>
    </xf>
    <xf numFmtId="0" fontId="2" fillId="0" borderId="365" xfId="0" applyFont="1" applyBorder="1" applyAlignment="1" applyProtection="1">
      <alignment horizontal="center" vertical="center" wrapText="1"/>
    </xf>
    <xf numFmtId="0" fontId="2" fillId="0" borderId="366" xfId="0" applyFont="1" applyBorder="1" applyAlignment="1" applyProtection="1">
      <alignment horizontal="center" vertical="center" wrapText="1"/>
    </xf>
    <xf numFmtId="0" fontId="2" fillId="0" borderId="367" xfId="0" applyFont="1" applyBorder="1" applyAlignment="1" applyProtection="1">
      <alignment horizontal="center" vertical="center" wrapText="1"/>
    </xf>
    <xf numFmtId="0" fontId="2" fillId="0" borderId="368" xfId="0" applyFont="1" applyBorder="1" applyAlignment="1" applyProtection="1">
      <alignment horizontal="center" vertical="center" wrapText="1"/>
    </xf>
    <xf numFmtId="0" fontId="2" fillId="0" borderId="369" xfId="0" applyFont="1" applyBorder="1" applyAlignment="1" applyProtection="1">
      <alignment horizontal="center" vertical="center" wrapText="1"/>
    </xf>
    <xf numFmtId="0" fontId="2" fillId="0" borderId="370" xfId="0" applyFont="1" applyBorder="1" applyAlignment="1" applyProtection="1">
      <alignment horizontal="center" vertical="center" wrapText="1"/>
    </xf>
    <xf numFmtId="180" fontId="3" fillId="0" borderId="360" xfId="0" applyNumberFormat="1" applyFont="1" applyBorder="1" applyAlignment="1" applyProtection="1">
      <alignment horizontal="right" vertical="center" wrapText="1"/>
    </xf>
    <xf numFmtId="180" fontId="3" fillId="0" borderId="361" xfId="0" applyNumberFormat="1" applyFont="1" applyBorder="1" applyAlignment="1" applyProtection="1">
      <alignment horizontal="right" vertical="center" wrapText="1"/>
    </xf>
    <xf numFmtId="17" fontId="2" fillId="0" borderId="330" xfId="0" applyNumberFormat="1" applyFont="1" applyBorder="1" applyAlignment="1" applyProtection="1">
      <alignment horizontal="center" vertical="center" wrapText="1"/>
    </xf>
    <xf numFmtId="17" fontId="2" fillId="0" borderId="331" xfId="0" applyNumberFormat="1" applyFont="1" applyBorder="1" applyAlignment="1" applyProtection="1">
      <alignment horizontal="center" vertical="center" wrapText="1"/>
    </xf>
    <xf numFmtId="17" fontId="2" fillId="0" borderId="292" xfId="0" applyNumberFormat="1" applyFont="1" applyBorder="1" applyAlignment="1" applyProtection="1">
      <alignment horizontal="center" vertical="center" wrapText="1"/>
    </xf>
    <xf numFmtId="180" fontId="2" fillId="0" borderId="38" xfId="0" applyNumberFormat="1" applyFont="1" applyBorder="1" applyAlignment="1" applyProtection="1">
      <alignment horizontal="right" vertical="center" wrapText="1"/>
    </xf>
    <xf numFmtId="180" fontId="43" fillId="0" borderId="70" xfId="0" applyNumberFormat="1" applyFont="1" applyBorder="1" applyAlignment="1" applyProtection="1">
      <alignment horizontal="left" vertical="center" wrapText="1"/>
    </xf>
    <xf numFmtId="180" fontId="43" fillId="0" borderId="23" xfId="0" applyNumberFormat="1" applyFont="1" applyBorder="1" applyAlignment="1" applyProtection="1">
      <alignment horizontal="left" vertical="center" wrapText="1"/>
    </xf>
    <xf numFmtId="180" fontId="43" fillId="0" borderId="71" xfId="0" applyNumberFormat="1" applyFont="1" applyBorder="1" applyAlignment="1" applyProtection="1">
      <alignment horizontal="left" vertical="center" wrapText="1"/>
    </xf>
    <xf numFmtId="177" fontId="2" fillId="0" borderId="355" xfId="0" applyNumberFormat="1" applyFont="1" applyBorder="1" applyAlignment="1" applyProtection="1">
      <alignment horizontal="center" vertical="center" wrapText="1"/>
    </xf>
    <xf numFmtId="177" fontId="2" fillId="0" borderId="363" xfId="0" applyNumberFormat="1" applyFont="1" applyBorder="1" applyAlignment="1" applyProtection="1">
      <alignment horizontal="center" vertical="center" wrapText="1"/>
    </xf>
    <xf numFmtId="180" fontId="2" fillId="0" borderId="358" xfId="0" applyNumberFormat="1" applyFont="1" applyBorder="1" applyAlignment="1" applyProtection="1">
      <alignment horizontal="right" vertical="center" wrapText="1"/>
    </xf>
    <xf numFmtId="180" fontId="43" fillId="0" borderId="173" xfId="0" applyNumberFormat="1" applyFont="1" applyBorder="1" applyAlignment="1" applyProtection="1">
      <alignment horizontal="left" vertical="center" wrapText="1"/>
    </xf>
    <xf numFmtId="180" fontId="43" fillId="0" borderId="0" xfId="0" applyNumberFormat="1" applyFont="1" applyBorder="1" applyAlignment="1" applyProtection="1">
      <alignment horizontal="left" vertical="center" wrapText="1"/>
    </xf>
    <xf numFmtId="180" fontId="43" fillId="0" borderId="128" xfId="0" applyNumberFormat="1" applyFont="1" applyBorder="1" applyAlignment="1" applyProtection="1">
      <alignment horizontal="left" vertical="center" wrapText="1"/>
    </xf>
    <xf numFmtId="0" fontId="33" fillId="6" borderId="86" xfId="0" applyFont="1" applyFill="1" applyBorder="1" applyAlignment="1" applyProtection="1">
      <alignment horizontal="left" vertical="center"/>
    </xf>
    <xf numFmtId="0" fontId="33" fillId="6" borderId="23" xfId="0" applyFont="1" applyFill="1" applyBorder="1" applyAlignment="1" applyProtection="1">
      <alignment horizontal="left" vertical="center"/>
    </xf>
    <xf numFmtId="177" fontId="112" fillId="10" borderId="23" xfId="0" applyNumberFormat="1" applyFont="1" applyFill="1" applyBorder="1" applyAlignment="1" applyProtection="1">
      <alignment horizontal="center" vertical="center"/>
    </xf>
    <xf numFmtId="177" fontId="112" fillId="10" borderId="87" xfId="0" applyNumberFormat="1" applyFont="1" applyFill="1" applyBorder="1" applyAlignment="1" applyProtection="1">
      <alignment horizontal="center" vertical="center"/>
    </xf>
    <xf numFmtId="0" fontId="115" fillId="0" borderId="23" xfId="0" applyFont="1" applyBorder="1" applyAlignment="1" applyProtection="1">
      <alignment horizontal="left" vertical="center"/>
    </xf>
    <xf numFmtId="0" fontId="2" fillId="6" borderId="23" xfId="0" applyFont="1" applyFill="1" applyBorder="1" applyAlignment="1" applyProtection="1">
      <alignment horizontal="right" vertical="center"/>
    </xf>
    <xf numFmtId="0" fontId="112" fillId="10" borderId="23" xfId="0" applyFont="1" applyFill="1" applyBorder="1" applyAlignment="1" applyProtection="1">
      <alignment horizontal="center" vertical="center"/>
    </xf>
    <xf numFmtId="0" fontId="2" fillId="9" borderId="23" xfId="0" applyFont="1" applyFill="1" applyBorder="1" applyAlignment="1" applyProtection="1">
      <alignment horizontal="center" vertical="center"/>
    </xf>
    <xf numFmtId="180" fontId="112" fillId="10" borderId="23" xfId="0" applyNumberFormat="1" applyFont="1" applyFill="1" applyBorder="1" applyAlignment="1" applyProtection="1">
      <alignment horizontal="center" vertical="center"/>
    </xf>
    <xf numFmtId="180" fontId="112" fillId="10" borderId="87" xfId="0" applyNumberFormat="1" applyFont="1" applyFill="1" applyBorder="1" applyAlignment="1" applyProtection="1">
      <alignment horizontal="center" vertical="center"/>
    </xf>
    <xf numFmtId="0" fontId="3" fillId="9" borderId="70" xfId="0" applyFont="1" applyFill="1" applyBorder="1" applyAlignment="1" applyProtection="1">
      <alignment horizontal="center" vertical="center"/>
    </xf>
    <xf numFmtId="0" fontId="3" fillId="9" borderId="87" xfId="0" applyFont="1" applyFill="1" applyBorder="1" applyAlignment="1" applyProtection="1">
      <alignment horizontal="center" vertical="center"/>
    </xf>
    <xf numFmtId="0" fontId="0" fillId="0" borderId="460" xfId="0" applyBorder="1" applyAlignment="1" applyProtection="1">
      <alignment horizontal="center"/>
    </xf>
    <xf numFmtId="0" fontId="0" fillId="0" borderId="249" xfId="0" applyBorder="1" applyAlignment="1" applyProtection="1">
      <alignment horizontal="center"/>
    </xf>
    <xf numFmtId="0" fontId="0" fillId="0" borderId="461" xfId="0" applyBorder="1" applyAlignment="1" applyProtection="1">
      <alignment horizontal="center"/>
    </xf>
    <xf numFmtId="0" fontId="35" fillId="9" borderId="45" xfId="0" applyFont="1" applyFill="1" applyBorder="1" applyAlignment="1" applyProtection="1">
      <alignment horizontal="center" vertical="center" textRotation="255" wrapText="1"/>
    </xf>
    <xf numFmtId="0" fontId="35" fillId="9" borderId="159" xfId="0" applyFont="1" applyFill="1" applyBorder="1" applyAlignment="1" applyProtection="1">
      <alignment horizontal="center" vertical="center" textRotation="255" wrapText="1"/>
    </xf>
    <xf numFmtId="0" fontId="35" fillId="9" borderId="46" xfId="0" applyFont="1" applyFill="1" applyBorder="1" applyAlignment="1" applyProtection="1">
      <alignment horizontal="center" vertical="center" textRotation="255" wrapText="1"/>
    </xf>
    <xf numFmtId="0" fontId="35" fillId="9" borderId="459" xfId="0" applyFont="1" applyFill="1" applyBorder="1" applyAlignment="1" applyProtection="1">
      <alignment horizontal="center" vertical="center" wrapText="1"/>
    </xf>
    <xf numFmtId="1" fontId="113" fillId="0" borderId="359" xfId="0" applyNumberFormat="1" applyFont="1" applyBorder="1" applyAlignment="1" applyProtection="1">
      <alignment horizontal="center" vertical="center" wrapText="1"/>
    </xf>
    <xf numFmtId="1" fontId="113" fillId="0" borderId="356" xfId="0" applyNumberFormat="1" applyFont="1" applyBorder="1" applyAlignment="1" applyProtection="1">
      <alignment horizontal="center" vertical="center" wrapText="1"/>
    </xf>
    <xf numFmtId="180" fontId="38" fillId="0" borderId="347" xfId="0" applyNumberFormat="1" applyFont="1" applyBorder="1" applyAlignment="1" applyProtection="1">
      <alignment horizontal="right" vertical="center" wrapText="1"/>
    </xf>
    <xf numFmtId="180" fontId="38" fillId="0" borderId="335" xfId="0" applyNumberFormat="1" applyFont="1" applyBorder="1" applyAlignment="1" applyProtection="1">
      <alignment horizontal="right" vertical="center" wrapText="1"/>
    </xf>
    <xf numFmtId="180" fontId="38" fillId="0" borderId="348" xfId="0" applyNumberFormat="1" applyFont="1" applyBorder="1" applyAlignment="1" applyProtection="1">
      <alignment horizontal="right" vertical="center" wrapText="1"/>
    </xf>
    <xf numFmtId="0" fontId="17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 vertical="center"/>
    </xf>
    <xf numFmtId="1" fontId="16" fillId="2" borderId="0" xfId="0" applyNumberFormat="1" applyFont="1" applyFill="1" applyBorder="1" applyAlignment="1" applyProtection="1">
      <alignment horizontal="center" vertical="center"/>
    </xf>
    <xf numFmtId="0" fontId="76" fillId="12" borderId="28" xfId="0" applyNumberFormat="1" applyFont="1" applyFill="1" applyBorder="1" applyAlignment="1" applyProtection="1">
      <alignment horizontal="center" vertical="center"/>
    </xf>
    <xf numFmtId="0" fontId="76" fillId="12" borderId="29" xfId="0" applyNumberFormat="1" applyFont="1" applyFill="1" applyBorder="1" applyAlignment="1" applyProtection="1">
      <alignment horizontal="center" vertical="center"/>
    </xf>
    <xf numFmtId="182" fontId="74" fillId="19" borderId="29" xfId="0" applyNumberFormat="1" applyFont="1" applyFill="1" applyBorder="1" applyAlignment="1" applyProtection="1">
      <alignment horizontal="center" vertical="center"/>
      <protection locked="0"/>
    </xf>
    <xf numFmtId="182" fontId="74" fillId="19" borderId="30" xfId="0" applyNumberFormat="1" applyFont="1" applyFill="1" applyBorder="1" applyAlignment="1" applyProtection="1">
      <alignment horizontal="center" vertical="center"/>
      <protection locked="0"/>
    </xf>
    <xf numFmtId="177" fontId="77" fillId="12" borderId="224" xfId="0" applyNumberFormat="1" applyFont="1" applyFill="1" applyBorder="1" applyAlignment="1" applyProtection="1">
      <alignment horizontal="right" vertical="center"/>
    </xf>
    <xf numFmtId="177" fontId="77" fillId="12" borderId="222" xfId="0" applyNumberFormat="1" applyFont="1" applyFill="1" applyBorder="1" applyAlignment="1" applyProtection="1">
      <alignment horizontal="right" vertical="center"/>
    </xf>
    <xf numFmtId="182" fontId="74" fillId="20" borderId="222" xfId="0" applyNumberFormat="1" applyFont="1" applyFill="1" applyBorder="1" applyAlignment="1" applyProtection="1">
      <alignment horizontal="center" vertical="center"/>
    </xf>
    <xf numFmtId="182" fontId="74" fillId="20" borderId="225" xfId="0" applyNumberFormat="1" applyFont="1" applyFill="1" applyBorder="1" applyAlignment="1" applyProtection="1">
      <alignment horizontal="center" vertical="center"/>
    </xf>
    <xf numFmtId="0" fontId="35" fillId="5" borderId="222" xfId="0" applyFont="1" applyFill="1" applyBorder="1" applyAlignment="1" applyProtection="1">
      <alignment horizontal="center" vertical="center"/>
    </xf>
    <xf numFmtId="0" fontId="35" fillId="12" borderId="224" xfId="0" applyFont="1" applyFill="1" applyBorder="1" applyAlignment="1" applyProtection="1">
      <alignment horizontal="right" vertical="center"/>
    </xf>
    <xf numFmtId="0" fontId="35" fillId="12" borderId="222" xfId="0" applyFont="1" applyFill="1" applyBorder="1" applyAlignment="1" applyProtection="1">
      <alignment horizontal="right" vertical="center"/>
    </xf>
    <xf numFmtId="182" fontId="35" fillId="11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center" vertical="center"/>
    </xf>
    <xf numFmtId="182" fontId="35" fillId="23" borderId="222" xfId="0" applyNumberFormat="1" applyFont="1" applyFill="1" applyBorder="1" applyAlignment="1" applyProtection="1">
      <alignment horizontal="left" vertical="center"/>
    </xf>
    <xf numFmtId="182" fontId="35" fillId="23" borderId="225" xfId="0" applyNumberFormat="1" applyFont="1" applyFill="1" applyBorder="1" applyAlignment="1" applyProtection="1">
      <alignment horizontal="left" vertical="center"/>
    </xf>
    <xf numFmtId="0" fontId="35" fillId="12" borderId="224" xfId="0" applyFont="1" applyFill="1" applyBorder="1" applyAlignment="1" applyProtection="1">
      <alignment horizontal="center" vertical="center"/>
    </xf>
    <xf numFmtId="0" fontId="35" fillId="12" borderId="222" xfId="0" applyFont="1" applyFill="1" applyBorder="1" applyAlignment="1" applyProtection="1">
      <alignment horizontal="center" vertical="center"/>
    </xf>
    <xf numFmtId="182" fontId="77" fillId="11" borderId="222" xfId="0" applyNumberFormat="1" applyFont="1" applyFill="1" applyBorder="1" applyAlignment="1" applyProtection="1">
      <alignment horizontal="right" vertical="center"/>
    </xf>
    <xf numFmtId="177" fontId="77" fillId="12" borderId="72" xfId="0" applyNumberFormat="1" applyFont="1" applyFill="1" applyBorder="1" applyAlignment="1" applyProtection="1">
      <alignment horizontal="right" vertical="center"/>
    </xf>
    <xf numFmtId="177" fontId="77" fillId="12" borderId="31" xfId="0" applyNumberFormat="1" applyFont="1" applyFill="1" applyBorder="1" applyAlignment="1" applyProtection="1">
      <alignment horizontal="right" vertical="center"/>
    </xf>
    <xf numFmtId="182" fontId="74" fillId="20" borderId="31" xfId="0" applyNumberFormat="1" applyFont="1" applyFill="1" applyBorder="1" applyAlignment="1" applyProtection="1">
      <alignment horizontal="center" vertical="center"/>
    </xf>
    <xf numFmtId="182" fontId="74" fillId="20" borderId="32" xfId="0" applyNumberFormat="1" applyFont="1" applyFill="1" applyBorder="1" applyAlignment="1" applyProtection="1">
      <alignment horizontal="center" vertical="center"/>
    </xf>
    <xf numFmtId="0" fontId="16" fillId="4" borderId="61" xfId="0" applyFont="1" applyFill="1" applyBorder="1" applyAlignment="1" applyProtection="1">
      <alignment horizontal="center" vertical="center"/>
    </xf>
    <xf numFmtId="177" fontId="79" fillId="10" borderId="8" xfId="0" applyNumberFormat="1" applyFont="1" applyFill="1" applyBorder="1" applyAlignment="1" applyProtection="1">
      <alignment horizontal="center" vertical="center"/>
      <protection locked="0"/>
    </xf>
    <xf numFmtId="0" fontId="3" fillId="6" borderId="227" xfId="0" applyFont="1" applyFill="1" applyBorder="1" applyAlignment="1" applyProtection="1">
      <alignment horizontal="justify" vertical="center"/>
    </xf>
    <xf numFmtId="0" fontId="16" fillId="4" borderId="7" xfId="0" applyFont="1" applyFill="1" applyBorder="1" applyAlignment="1" applyProtection="1">
      <alignment horizontal="center" vertical="center"/>
      <protection locked="0"/>
    </xf>
    <xf numFmtId="0" fontId="16" fillId="4" borderId="8" xfId="0" applyFont="1" applyFill="1" applyBorder="1" applyAlignment="1" applyProtection="1">
      <alignment horizontal="center" vertical="center"/>
      <protection locked="0"/>
    </xf>
    <xf numFmtId="0" fontId="16" fillId="4" borderId="217" xfId="0" applyFont="1" applyFill="1" applyBorder="1" applyAlignment="1" applyProtection="1">
      <alignment horizontal="center" vertical="center"/>
      <protection locked="0"/>
    </xf>
    <xf numFmtId="0" fontId="16" fillId="4" borderId="216" xfId="0" applyFont="1" applyFill="1" applyBorder="1" applyAlignment="1" applyProtection="1">
      <alignment horizontal="center" vertical="center"/>
      <protection locked="0"/>
    </xf>
    <xf numFmtId="0" fontId="16" fillId="4" borderId="83" xfId="0" applyFont="1" applyFill="1" applyBorder="1" applyAlignment="1" applyProtection="1">
      <alignment horizontal="center" vertical="center"/>
      <protection locked="0"/>
    </xf>
    <xf numFmtId="1" fontId="16" fillId="4" borderId="157" xfId="0" applyNumberFormat="1" applyFont="1" applyFill="1" applyBorder="1" applyAlignment="1" applyProtection="1">
      <alignment horizontal="center" vertical="center"/>
      <protection locked="0"/>
    </xf>
    <xf numFmtId="1" fontId="16" fillId="4" borderId="8" xfId="0" applyNumberFormat="1" applyFont="1" applyFill="1" applyBorder="1" applyAlignment="1" applyProtection="1">
      <alignment horizontal="center" vertical="center"/>
      <protection locked="0"/>
    </xf>
    <xf numFmtId="1" fontId="16" fillId="4" borderId="9" xfId="0" applyNumberFormat="1" applyFont="1" applyFill="1" applyBorder="1" applyAlignment="1" applyProtection="1">
      <alignment horizontal="center" vertical="center"/>
      <protection locked="0"/>
    </xf>
    <xf numFmtId="168" fontId="2" fillId="10" borderId="89" xfId="0" applyNumberFormat="1" applyFont="1" applyFill="1" applyBorder="1" applyAlignment="1" applyProtection="1">
      <alignment horizontal="center" vertical="center"/>
      <protection locked="0"/>
    </xf>
    <xf numFmtId="168" fontId="2" fillId="10" borderId="22" xfId="0" applyNumberFormat="1" applyFont="1" applyFill="1" applyBorder="1" applyAlignment="1" applyProtection="1">
      <alignment horizontal="center" vertical="center"/>
      <protection locked="0"/>
    </xf>
    <xf numFmtId="0" fontId="3" fillId="12" borderId="18" xfId="0" applyFont="1" applyFill="1" applyBorder="1" applyAlignment="1" applyProtection="1">
      <alignment horizontal="center" vertical="center"/>
    </xf>
    <xf numFmtId="0" fontId="3" fillId="12" borderId="19" xfId="0" applyFont="1" applyFill="1" applyBorder="1" applyAlignment="1" applyProtection="1">
      <alignment horizontal="center" vertical="center"/>
    </xf>
    <xf numFmtId="177" fontId="22" fillId="12" borderId="7" xfId="0" applyNumberFormat="1" applyFont="1" applyFill="1" applyBorder="1" applyAlignment="1" applyProtection="1">
      <alignment horizontal="left" vertical="center"/>
    </xf>
    <xf numFmtId="177" fontId="22" fillId="12" borderId="8" xfId="0" applyNumberFormat="1" applyFont="1" applyFill="1" applyBorder="1" applyAlignment="1" applyProtection="1">
      <alignment horizontal="left" vertical="center"/>
    </xf>
    <xf numFmtId="177" fontId="22" fillId="12" borderId="9" xfId="0" applyNumberFormat="1" applyFont="1" applyFill="1" applyBorder="1" applyAlignment="1" applyProtection="1">
      <alignment horizontal="left" vertical="center"/>
    </xf>
    <xf numFmtId="0" fontId="16" fillId="4" borderId="216" xfId="0" applyFont="1" applyFill="1" applyBorder="1" applyAlignment="1" applyProtection="1">
      <alignment horizontal="center" vertical="center"/>
    </xf>
    <xf numFmtId="0" fontId="16" fillId="4" borderId="8" xfId="0" applyFont="1" applyFill="1" applyBorder="1" applyAlignment="1" applyProtection="1">
      <alignment horizontal="center" vertical="center"/>
    </xf>
    <xf numFmtId="0" fontId="16" fillId="4" borderId="83" xfId="0" applyFont="1" applyFill="1" applyBorder="1" applyAlignment="1" applyProtection="1">
      <alignment horizontal="center" vertical="center"/>
    </xf>
    <xf numFmtId="1" fontId="16" fillId="4" borderId="157" xfId="0" applyNumberFormat="1" applyFont="1" applyFill="1" applyBorder="1" applyAlignment="1" applyProtection="1">
      <alignment horizontal="center" vertical="center"/>
    </xf>
    <xf numFmtId="1" fontId="16" fillId="4" borderId="8" xfId="0" applyNumberFormat="1" applyFont="1" applyFill="1" applyBorder="1" applyAlignment="1" applyProtection="1">
      <alignment horizontal="center" vertical="center"/>
    </xf>
    <xf numFmtId="1" fontId="16" fillId="4" borderId="9" xfId="0" applyNumberFormat="1" applyFont="1" applyFill="1" applyBorder="1" applyAlignment="1" applyProtection="1">
      <alignment horizontal="center" vertical="center"/>
    </xf>
    <xf numFmtId="0" fontId="35" fillId="12" borderId="18" xfId="0" applyFont="1" applyFill="1" applyBorder="1" applyAlignment="1" applyProtection="1">
      <alignment horizontal="right" vertical="center"/>
    </xf>
    <xf numFmtId="0" fontId="35" fillId="12" borderId="19" xfId="0" applyFont="1" applyFill="1" applyBorder="1" applyAlignment="1" applyProtection="1">
      <alignment horizontal="right" vertical="center"/>
    </xf>
    <xf numFmtId="181" fontId="79" fillId="11" borderId="19" xfId="0" applyNumberFormat="1" applyFont="1" applyFill="1" applyBorder="1" applyAlignment="1" applyProtection="1">
      <alignment horizontal="center" vertical="center"/>
    </xf>
    <xf numFmtId="181" fontId="79" fillId="11" borderId="20" xfId="0" applyNumberFormat="1" applyFont="1" applyFill="1" applyBorder="1" applyAlignment="1" applyProtection="1">
      <alignment horizontal="center" vertical="center"/>
    </xf>
    <xf numFmtId="0" fontId="16" fillId="4" borderId="7" xfId="0" applyFont="1" applyFill="1" applyBorder="1" applyAlignment="1" applyProtection="1">
      <alignment horizontal="center" vertical="center"/>
    </xf>
    <xf numFmtId="0" fontId="16" fillId="4" borderId="217" xfId="0" applyFont="1" applyFill="1" applyBorder="1" applyAlignment="1" applyProtection="1">
      <alignment horizontal="center" vertical="center"/>
    </xf>
    <xf numFmtId="0" fontId="3" fillId="19" borderId="257" xfId="0" applyFont="1" applyFill="1" applyBorder="1" applyAlignment="1" applyProtection="1">
      <alignment horizontal="center" vertical="center"/>
      <protection locked="0"/>
    </xf>
    <xf numFmtId="0" fontId="35" fillId="12" borderId="256" xfId="0" applyFont="1" applyFill="1" applyBorder="1" applyAlignment="1" applyProtection="1">
      <alignment horizontal="right" vertical="center"/>
    </xf>
    <xf numFmtId="0" fontId="35" fillId="12" borderId="257" xfId="0" applyFont="1" applyFill="1" applyBorder="1" applyAlignment="1" applyProtection="1">
      <alignment horizontal="right" vertical="center"/>
    </xf>
    <xf numFmtId="0" fontId="3" fillId="19" borderId="255" xfId="0" applyFont="1" applyFill="1" applyBorder="1" applyAlignment="1" applyProtection="1">
      <alignment horizontal="center" vertical="center"/>
      <protection locked="0"/>
    </xf>
    <xf numFmtId="0" fontId="35" fillId="12" borderId="18" xfId="0" applyFont="1" applyFill="1" applyBorder="1" applyAlignment="1" applyProtection="1">
      <alignment horizontal="center" vertical="center" wrapText="1"/>
    </xf>
    <xf numFmtId="0" fontId="35" fillId="12" borderId="21" xfId="0" applyFont="1" applyFill="1" applyBorder="1" applyAlignment="1" applyProtection="1">
      <alignment horizontal="center" vertical="center"/>
    </xf>
    <xf numFmtId="0" fontId="35" fillId="12" borderId="60" xfId="0" applyFont="1" applyFill="1" applyBorder="1" applyAlignment="1" applyProtection="1">
      <alignment horizontal="center" vertical="center"/>
    </xf>
    <xf numFmtId="4" fontId="79" fillId="11" borderId="19" xfId="0" applyNumberFormat="1" applyFont="1" applyFill="1" applyBorder="1" applyAlignment="1" applyProtection="1">
      <alignment horizontal="center" vertical="center"/>
    </xf>
    <xf numFmtId="4" fontId="79" fillId="11" borderId="20" xfId="0" applyNumberFormat="1" applyFont="1" applyFill="1" applyBorder="1" applyAlignment="1" applyProtection="1">
      <alignment horizontal="center" vertical="center"/>
    </xf>
    <xf numFmtId="4" fontId="79" fillId="11" borderId="60" xfId="0" applyNumberFormat="1" applyFont="1" applyFill="1" applyBorder="1" applyAlignment="1" applyProtection="1">
      <alignment horizontal="center" vertical="center"/>
    </xf>
    <xf numFmtId="4" fontId="79" fillId="11" borderId="22" xfId="0" applyNumberFormat="1" applyFont="1" applyFill="1" applyBorder="1" applyAlignment="1" applyProtection="1">
      <alignment horizontal="center" vertical="center"/>
    </xf>
    <xf numFmtId="0" fontId="99" fillId="22" borderId="7" xfId="0" applyFont="1" applyFill="1" applyBorder="1" applyAlignment="1" applyProtection="1">
      <alignment horizontal="right" vertical="center"/>
    </xf>
    <xf numFmtId="0" fontId="99" fillId="22" borderId="8" xfId="0" applyFont="1" applyFill="1" applyBorder="1" applyAlignment="1" applyProtection="1">
      <alignment horizontal="right" vertical="center"/>
    </xf>
    <xf numFmtId="180" fontId="79" fillId="16" borderId="8" xfId="0" applyNumberFormat="1" applyFont="1" applyFill="1" applyBorder="1" applyAlignment="1" applyProtection="1">
      <alignment horizontal="right" vertical="center"/>
    </xf>
    <xf numFmtId="180" fontId="79" fillId="16" borderId="9" xfId="0" applyNumberFormat="1" applyFont="1" applyFill="1" applyBorder="1" applyAlignment="1" applyProtection="1">
      <alignment horizontal="right" vertical="center"/>
    </xf>
    <xf numFmtId="0" fontId="90" fillId="12" borderId="252" xfId="0" applyFont="1" applyFill="1" applyBorder="1" applyAlignment="1" applyProtection="1">
      <alignment horizontal="right" vertical="center"/>
    </xf>
    <xf numFmtId="0" fontId="90" fillId="12" borderId="251" xfId="0" applyFont="1" applyFill="1" applyBorder="1" applyAlignment="1" applyProtection="1">
      <alignment horizontal="right" vertical="center"/>
    </xf>
    <xf numFmtId="0" fontId="90" fillId="12" borderId="256" xfId="0" applyFont="1" applyFill="1" applyBorder="1" applyAlignment="1" applyProtection="1">
      <alignment horizontal="right" vertical="center"/>
    </xf>
    <xf numFmtId="0" fontId="90" fillId="12" borderId="257" xfId="0" applyFont="1" applyFill="1" applyBorder="1" applyAlignment="1" applyProtection="1">
      <alignment horizontal="right" vertical="center"/>
    </xf>
    <xf numFmtId="0" fontId="90" fillId="12" borderId="258" xfId="0" applyFont="1" applyFill="1" applyBorder="1" applyAlignment="1" applyProtection="1">
      <alignment horizontal="right" vertical="center"/>
    </xf>
    <xf numFmtId="0" fontId="35" fillId="12" borderId="7" xfId="0" applyFont="1" applyFill="1" applyBorder="1" applyAlignment="1" applyProtection="1">
      <alignment horizontal="right" vertical="center"/>
    </xf>
    <xf numFmtId="0" fontId="35" fillId="12" borderId="8" xfId="0" applyFont="1" applyFill="1" applyBorder="1" applyAlignment="1" applyProtection="1">
      <alignment horizontal="right" vertical="center"/>
    </xf>
    <xf numFmtId="182" fontId="74" fillId="20" borderId="8" xfId="0" applyNumberFormat="1" applyFont="1" applyFill="1" applyBorder="1" applyAlignment="1" applyProtection="1">
      <alignment horizontal="center" vertical="center"/>
    </xf>
    <xf numFmtId="182" fontId="74" fillId="20" borderId="9" xfId="0" applyNumberFormat="1" applyFont="1" applyFill="1" applyBorder="1" applyAlignment="1" applyProtection="1">
      <alignment horizontal="center" vertical="center"/>
    </xf>
    <xf numFmtId="169" fontId="80" fillId="4" borderId="0" xfId="0" applyNumberFormat="1" applyFont="1" applyFill="1" applyBorder="1" applyAlignment="1" applyProtection="1">
      <alignment horizontal="center" vertical="center" wrapText="1"/>
    </xf>
    <xf numFmtId="181" fontId="79" fillId="11" borderId="222" xfId="0" applyNumberFormat="1" applyFont="1" applyFill="1" applyBorder="1" applyAlignment="1" applyProtection="1">
      <alignment horizontal="center" vertical="center"/>
    </xf>
    <xf numFmtId="181" fontId="79" fillId="11" borderId="16" xfId="0" applyNumberFormat="1" applyFont="1" applyFill="1" applyBorder="1" applyAlignment="1" applyProtection="1">
      <alignment horizontal="center" vertical="center"/>
    </xf>
    <xf numFmtId="0" fontId="76" fillId="12" borderId="24" xfId="0" applyNumberFormat="1" applyFont="1" applyFill="1" applyBorder="1" applyAlignment="1" applyProtection="1">
      <alignment horizontal="center" vertical="center"/>
    </xf>
    <xf numFmtId="0" fontId="76" fillId="12" borderId="222" xfId="0" applyNumberFormat="1" applyFont="1" applyFill="1" applyBorder="1" applyAlignment="1" applyProtection="1">
      <alignment horizontal="center" vertical="center"/>
    </xf>
    <xf numFmtId="0" fontId="35" fillId="5" borderId="19" xfId="0" applyFont="1" applyFill="1" applyBorder="1" applyAlignment="1" applyProtection="1">
      <alignment horizontal="center" vertical="center"/>
    </xf>
    <xf numFmtId="0" fontId="35" fillId="5" borderId="0" xfId="0" applyFont="1" applyFill="1" applyBorder="1" applyAlignment="1" applyProtection="1">
      <alignment horizontal="right" vertical="center"/>
    </xf>
    <xf numFmtId="0" fontId="35" fillId="5" borderId="265" xfId="0" applyFont="1" applyFill="1" applyBorder="1" applyAlignment="1" applyProtection="1">
      <alignment horizontal="center" vertical="center"/>
    </xf>
    <xf numFmtId="0" fontId="35" fillId="5" borderId="263" xfId="0" applyFont="1" applyFill="1" applyBorder="1" applyAlignment="1" applyProtection="1">
      <alignment horizontal="center" vertical="center"/>
    </xf>
    <xf numFmtId="0" fontId="35" fillId="12" borderId="9" xfId="0" applyFont="1" applyFill="1" applyBorder="1" applyAlignment="1" applyProtection="1">
      <alignment horizontal="center" vertical="center"/>
    </xf>
    <xf numFmtId="0" fontId="76" fillId="12" borderId="224" xfId="0" applyNumberFormat="1" applyFont="1" applyFill="1" applyBorder="1" applyAlignment="1" applyProtection="1">
      <alignment horizontal="center" vertical="center"/>
    </xf>
    <xf numFmtId="0" fontId="76" fillId="12" borderId="225" xfId="0" applyNumberFormat="1" applyFont="1" applyFill="1" applyBorder="1" applyAlignment="1" applyProtection="1">
      <alignment horizontal="center" vertical="center"/>
    </xf>
    <xf numFmtId="182" fontId="74" fillId="20" borderId="224" xfId="0" applyNumberFormat="1" applyFont="1" applyFill="1" applyBorder="1" applyAlignment="1" applyProtection="1">
      <alignment horizontal="center" vertical="center"/>
    </xf>
    <xf numFmtId="0" fontId="35" fillId="22" borderId="18" xfId="0" applyFont="1" applyFill="1" applyBorder="1" applyAlignment="1" applyProtection="1">
      <alignment horizontal="center" vertical="center" wrapText="1"/>
    </xf>
    <xf numFmtId="0" fontId="35" fillId="22" borderId="19" xfId="0" applyFont="1" applyFill="1" applyBorder="1" applyAlignment="1" applyProtection="1">
      <alignment horizontal="center" vertical="center" wrapText="1"/>
    </xf>
    <xf numFmtId="0" fontId="35" fillId="22" borderId="21" xfId="0" applyFont="1" applyFill="1" applyBorder="1" applyAlignment="1" applyProtection="1">
      <alignment horizontal="center" vertical="center" wrapText="1"/>
    </xf>
    <xf numFmtId="0" fontId="35" fillId="22" borderId="60" xfId="0" applyFont="1" applyFill="1" applyBorder="1" applyAlignment="1" applyProtection="1">
      <alignment horizontal="center" vertical="center" wrapText="1"/>
    </xf>
    <xf numFmtId="0" fontId="4" fillId="12" borderId="258" xfId="0" applyFont="1" applyFill="1" applyBorder="1" applyAlignment="1" applyProtection="1">
      <alignment horizontal="center" vertical="center"/>
    </xf>
    <xf numFmtId="0" fontId="4" fillId="12" borderId="257" xfId="0" applyFont="1" applyFill="1" applyBorder="1" applyAlignment="1" applyProtection="1">
      <alignment horizontal="center" vertical="center"/>
    </xf>
    <xf numFmtId="180" fontId="35" fillId="19" borderId="19" xfId="0" applyNumberFormat="1" applyFont="1" applyFill="1" applyBorder="1" applyAlignment="1" applyProtection="1">
      <alignment horizontal="center" vertical="center"/>
      <protection locked="0"/>
    </xf>
    <xf numFmtId="180" fontId="35" fillId="19" borderId="20" xfId="0" applyNumberFormat="1" applyFont="1" applyFill="1" applyBorder="1" applyAlignment="1" applyProtection="1">
      <alignment horizontal="center" vertical="center"/>
      <protection locked="0"/>
    </xf>
    <xf numFmtId="180" fontId="35" fillId="19" borderId="60" xfId="0" applyNumberFormat="1" applyFont="1" applyFill="1" applyBorder="1" applyAlignment="1" applyProtection="1">
      <alignment horizontal="center" vertical="center"/>
      <protection locked="0"/>
    </xf>
    <xf numFmtId="180" fontId="35" fillId="19" borderId="22" xfId="0" applyNumberFormat="1" applyFont="1" applyFill="1" applyBorder="1" applyAlignment="1" applyProtection="1">
      <alignment horizontal="center" vertical="center"/>
      <protection locked="0"/>
    </xf>
    <xf numFmtId="0" fontId="35" fillId="12" borderId="260" xfId="0" applyFont="1" applyFill="1" applyBorder="1" applyAlignment="1" applyProtection="1">
      <alignment horizontal="right" vertical="center"/>
    </xf>
    <xf numFmtId="0" fontId="35" fillId="12" borderId="262" xfId="0" applyFont="1" applyFill="1" applyBorder="1" applyAlignment="1" applyProtection="1">
      <alignment horizontal="center" vertical="center"/>
    </xf>
    <xf numFmtId="0" fontId="35" fillId="12" borderId="263" xfId="0" applyFont="1" applyFill="1" applyBorder="1" applyAlignment="1" applyProtection="1">
      <alignment horizontal="center" vertical="center"/>
    </xf>
    <xf numFmtId="0" fontId="35" fillId="12" borderId="264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2" fontId="74" fillId="20" borderId="222" xfId="0" applyNumberFormat="1" applyFont="1" applyFill="1" applyBorder="1" applyAlignment="1" applyProtection="1">
      <alignment horizontal="center" vertical="center"/>
    </xf>
    <xf numFmtId="2" fontId="74" fillId="20" borderId="225" xfId="0" applyNumberFormat="1" applyFont="1" applyFill="1" applyBorder="1" applyAlignment="1" applyProtection="1">
      <alignment horizontal="center" vertical="center"/>
    </xf>
    <xf numFmtId="180" fontId="74" fillId="20" borderId="222" xfId="0" applyNumberFormat="1" applyFont="1" applyFill="1" applyBorder="1" applyAlignment="1" applyProtection="1">
      <alignment horizontal="center" vertical="center"/>
    </xf>
    <xf numFmtId="180" fontId="74" fillId="20" borderId="225" xfId="0" applyNumberFormat="1" applyFont="1" applyFill="1" applyBorder="1" applyAlignment="1" applyProtection="1">
      <alignment horizontal="center" vertical="center"/>
    </xf>
    <xf numFmtId="0" fontId="76" fillId="5" borderId="222" xfId="0" applyNumberFormat="1" applyFont="1" applyFill="1" applyBorder="1" applyAlignment="1" applyProtection="1">
      <alignment horizontal="center" vertical="center"/>
    </xf>
    <xf numFmtId="180" fontId="79" fillId="24" borderId="7" xfId="0" applyNumberFormat="1" applyFont="1" applyFill="1" applyBorder="1" applyAlignment="1" applyProtection="1">
      <alignment horizontal="right" vertical="center"/>
    </xf>
    <xf numFmtId="180" fontId="79" fillId="24" borderId="8" xfId="0" applyNumberFormat="1" applyFont="1" applyFill="1" applyBorder="1" applyAlignment="1" applyProtection="1">
      <alignment horizontal="right" vertical="center"/>
    </xf>
    <xf numFmtId="180" fontId="79" fillId="24" borderId="9" xfId="0" applyNumberFormat="1" applyFont="1" applyFill="1" applyBorder="1" applyAlignment="1" applyProtection="1">
      <alignment horizontal="right" vertical="center"/>
    </xf>
    <xf numFmtId="177" fontId="4" fillId="4" borderId="473" xfId="0" applyNumberFormat="1" applyFont="1" applyFill="1" applyBorder="1" applyAlignment="1" applyProtection="1">
      <alignment horizontal="center" vertical="center"/>
      <protection locked="0"/>
    </xf>
    <xf numFmtId="177" fontId="4" fillId="4" borderId="38" xfId="0" applyNumberFormat="1" applyFont="1" applyFill="1" applyBorder="1" applyAlignment="1" applyProtection="1">
      <alignment horizontal="center" vertical="center"/>
      <protection locked="0"/>
    </xf>
    <xf numFmtId="0" fontId="4" fillId="4" borderId="157" xfId="0" applyFont="1" applyFill="1" applyBorder="1" applyAlignment="1" applyProtection="1">
      <alignment horizontal="center" vertical="center"/>
    </xf>
    <xf numFmtId="0" fontId="4" fillId="4" borderId="83" xfId="0" applyFont="1" applyFill="1" applyBorder="1" applyAlignment="1" applyProtection="1">
      <alignment horizontal="center" vertical="center"/>
    </xf>
    <xf numFmtId="0" fontId="16" fillId="0" borderId="203" xfId="0" applyFont="1" applyBorder="1" applyAlignment="1" applyProtection="1">
      <alignment horizontal="center"/>
    </xf>
    <xf numFmtId="0" fontId="16" fillId="0" borderId="204" xfId="0" applyFont="1" applyBorder="1" applyAlignment="1" applyProtection="1">
      <alignment horizontal="center"/>
    </xf>
    <xf numFmtId="0" fontId="16" fillId="0" borderId="205" xfId="0" applyFont="1" applyBorder="1" applyAlignment="1" applyProtection="1">
      <alignment horizontal="center"/>
    </xf>
    <xf numFmtId="0" fontId="16" fillId="0" borderId="75" xfId="0" applyFont="1" applyBorder="1" applyAlignment="1" applyProtection="1">
      <alignment horizontal="center"/>
    </xf>
    <xf numFmtId="0" fontId="16" fillId="0" borderId="76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16" fillId="0" borderId="195" xfId="0" applyFont="1" applyBorder="1" applyAlignment="1" applyProtection="1">
      <alignment horizontal="center"/>
    </xf>
    <xf numFmtId="0" fontId="16" fillId="0" borderId="197" xfId="0" applyFont="1" applyBorder="1" applyAlignment="1" applyProtection="1">
      <alignment horizontal="center"/>
    </xf>
    <xf numFmtId="0" fontId="16" fillId="0" borderId="201" xfId="0" applyFont="1" applyBorder="1" applyAlignment="1" applyProtection="1">
      <alignment horizontal="center"/>
    </xf>
    <xf numFmtId="0" fontId="17" fillId="3" borderId="40" xfId="0" applyFont="1" applyFill="1" applyBorder="1" applyAlignment="1" applyProtection="1">
      <alignment horizontal="center" vertical="center"/>
    </xf>
    <xf numFmtId="0" fontId="17" fillId="3" borderId="41" xfId="0" applyFont="1" applyFill="1" applyBorder="1" applyAlignment="1" applyProtection="1">
      <alignment horizontal="center" vertical="center"/>
    </xf>
    <xf numFmtId="0" fontId="17" fillId="3" borderId="42" xfId="0" applyFont="1" applyFill="1" applyBorder="1" applyAlignment="1" applyProtection="1">
      <alignment horizontal="center" vertical="center"/>
    </xf>
    <xf numFmtId="0" fontId="16" fillId="0" borderId="196" xfId="0" applyFont="1" applyBorder="1" applyAlignment="1" applyProtection="1">
      <alignment horizontal="center"/>
    </xf>
    <xf numFmtId="0" fontId="16" fillId="0" borderId="198" xfId="0" applyFont="1" applyBorder="1" applyAlignment="1" applyProtection="1">
      <alignment horizontal="center"/>
    </xf>
    <xf numFmtId="0" fontId="16" fillId="0" borderId="202" xfId="0" applyFont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/>
    </xf>
    <xf numFmtId="0" fontId="17" fillId="9" borderId="157" xfId="0" applyFont="1" applyFill="1" applyBorder="1" applyAlignment="1" applyProtection="1">
      <alignment horizontal="center"/>
    </xf>
    <xf numFmtId="0" fontId="17" fillId="9" borderId="40" xfId="0" applyFont="1" applyFill="1" applyBorder="1" applyAlignment="1" applyProtection="1">
      <alignment horizontal="center" vertical="center"/>
    </xf>
    <xf numFmtId="0" fontId="17" fillId="9" borderId="4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3" fillId="4" borderId="43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44" xfId="0" applyFont="1" applyFill="1" applyBorder="1" applyAlignment="1" applyProtection="1">
      <alignment horizontal="center" vertical="center"/>
    </xf>
    <xf numFmtId="0" fontId="3" fillId="4" borderId="153" xfId="0" applyFont="1" applyFill="1" applyBorder="1" applyAlignment="1" applyProtection="1">
      <alignment horizontal="center" vertical="center"/>
    </xf>
    <xf numFmtId="0" fontId="3" fillId="4" borderId="158" xfId="0" applyFont="1" applyFill="1" applyBorder="1" applyAlignment="1" applyProtection="1">
      <alignment horizontal="center" vertical="center"/>
    </xf>
    <xf numFmtId="0" fontId="3" fillId="4" borderId="159" xfId="0" applyFont="1" applyFill="1" applyBorder="1" applyAlignment="1" applyProtection="1">
      <alignment horizontal="center" vertical="center"/>
    </xf>
    <xf numFmtId="0" fontId="3" fillId="4" borderId="160" xfId="0" applyFont="1" applyFill="1" applyBorder="1" applyAlignment="1" applyProtection="1">
      <alignment horizontal="center" vertical="center"/>
    </xf>
    <xf numFmtId="49" fontId="9" fillId="0" borderId="7" xfId="1" applyNumberFormat="1" applyFont="1" applyBorder="1" applyAlignment="1" applyProtection="1">
      <alignment horizontal="center"/>
    </xf>
    <xf numFmtId="49" fontId="9" fillId="0" borderId="8" xfId="1" applyNumberFormat="1" applyFont="1" applyBorder="1" applyAlignment="1" applyProtection="1">
      <alignment horizontal="center"/>
    </xf>
    <xf numFmtId="49" fontId="9" fillId="0" borderId="9" xfId="1" applyNumberFormat="1" applyFont="1" applyBorder="1" applyAlignment="1" applyProtection="1">
      <alignment horizontal="center"/>
    </xf>
    <xf numFmtId="49" fontId="9" fillId="0" borderId="18" xfId="1" applyNumberFormat="1" applyFont="1" applyBorder="1" applyAlignment="1" applyProtection="1">
      <alignment horizontal="center"/>
    </xf>
    <xf numFmtId="0" fontId="8" fillId="0" borderId="19" xfId="1" applyBorder="1" applyAlignment="1" applyProtection="1">
      <alignment horizontal="center"/>
    </xf>
    <xf numFmtId="0" fontId="8" fillId="0" borderId="20" xfId="1" applyBorder="1" applyAlignment="1" applyProtection="1">
      <alignment horizontal="center"/>
    </xf>
    <xf numFmtId="49" fontId="9" fillId="0" borderId="45" xfId="1" applyNumberFormat="1" applyFont="1" applyBorder="1" applyAlignment="1" applyProtection="1">
      <alignment horizontal="center"/>
    </xf>
    <xf numFmtId="49" fontId="9" fillId="0" borderId="46" xfId="1" applyNumberFormat="1" applyFont="1" applyBorder="1" applyAlignment="1" applyProtection="1">
      <alignment horizontal="center"/>
    </xf>
  </cellXfs>
  <cellStyles count="5">
    <cellStyle name="Fundo" xfId="4"/>
    <cellStyle name="Hyperlink_Sol de Diá e Rel Viagem Gilson Pir e C Florido" xfId="2"/>
    <cellStyle name="Normal" xfId="0" builtinId="0"/>
    <cellStyle name="Normal 2" xfId="1"/>
    <cellStyle name="Normal 3" xfId="3"/>
  </cellStyles>
  <dxfs count="6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81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numFmt numFmtId="176" formatCode="0&quot;.&quot;000&quot;.&quot;000&quot;-&quot;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medium">
          <color indexed="64"/>
        </left>
        <right style="medium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patternFill>
          <bgColor theme="0" tint="-0.24994659260841701"/>
        </patternFill>
      </fill>
    </dxf>
    <dxf>
      <font>
        <color theme="0" tint="-0.34998626667073579"/>
      </font>
      <fill>
        <patternFill patternType="solid">
          <fgColor auto="1"/>
          <bgColor theme="0" tint="-0.3499862666707357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3" formatCode="mmmm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2" formatCode="0000000\-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rgb="FF000000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rgb="FF000000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/>
        <strike val="0"/>
        <outline val="0"/>
        <shadow val="0"/>
        <u val="none"/>
        <vertAlign val="baseline"/>
        <sz val="12"/>
        <color rgb="FF000000"/>
        <name val="Arial Narrow"/>
        <scheme val="none"/>
      </font>
      <numFmt numFmtId="193" formatCode="mmmm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3" formatCode="mmmm\,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numFmt numFmtId="192" formatCode="0000000\-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rgb="FF000000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ill>
        <gradientFill degree="90">
          <stop position="0">
            <color rgb="FFFF9900"/>
          </stop>
          <stop position="0.5">
            <color rgb="FFFFFF00"/>
          </stop>
          <stop position="1">
            <color rgb="FFFF9900"/>
          </stop>
        </gradientFill>
      </fill>
    </dxf>
    <dxf>
      <fill>
        <gradientFill degree="90">
          <stop position="0">
            <color theme="0" tint="-0.34900967436750391"/>
          </stop>
          <stop position="0.5">
            <color theme="0" tint="-0.1490218817712943"/>
          </stop>
          <stop position="1">
            <color theme="0" tint="-0.34900967436750391"/>
          </stop>
        </gradient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numFmt numFmtId="177" formatCode="0000"/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strike val="0"/>
        <outline val="0"/>
        <shadow val="0"/>
        <vertAlign val="baseline"/>
        <sz val="12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gradientFill degree="90">
          <stop position="0">
            <color rgb="FF00B050"/>
          </stop>
          <stop position="0.5">
            <color rgb="FF00FF00"/>
          </stop>
          <stop position="1">
            <color rgb="FF00B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font>
        <color theme="0"/>
      </font>
    </dxf>
    <dxf>
      <font>
        <color rgb="FFFF0000"/>
      </font>
      <fill>
        <gradientFill degree="90">
          <stop position="0">
            <color rgb="FFFFC000"/>
          </stop>
          <stop position="0.5">
            <color rgb="FFFFFF00"/>
          </stop>
          <stop position="1">
            <color rgb="FFFFC000"/>
          </stop>
        </gradientFill>
      </fill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right style="thin">
          <color theme="0"/>
        </right>
        <vertical/>
        <horizontal/>
      </border>
    </dxf>
    <dxf>
      <border>
        <top style="thin">
          <color theme="0"/>
        </top>
        <vertical/>
        <horizontal/>
      </border>
    </dxf>
    <dxf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  <numFmt numFmtId="168" formatCode="00"/>
      <fill>
        <patternFill patternType="solid">
          <fgColor auto="1"/>
          <bgColor theme="0"/>
        </patternFill>
      </fill>
      <border>
        <left style="thin">
          <color theme="0"/>
        </left>
        <right style="thin">
          <color theme="0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 patternType="solid">
          <fgColor auto="1"/>
          <bgColor theme="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/>
        <right/>
        <top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auto="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right style="dotted">
          <color auto="1"/>
        </right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5.0965910824915313E-2"/>
          </stop>
          <stop position="1">
            <color theme="0" tint="-5.0965910824915313E-2"/>
          </stop>
        </gradientFill>
      </fill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top style="thin">
          <color theme="0"/>
        </top>
        <bottom style="thin">
          <color theme="0"/>
        </bottom>
        <vertical/>
        <horizontal/>
      </border>
    </dxf>
    <dxf>
      <border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bottom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right style="thin">
          <color theme="0"/>
        </right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top style="thin">
          <color theme="0"/>
        </top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bottom style="thin">
          <color theme="0"/>
        </bottom>
        <vertical/>
        <horizontal/>
      </border>
    </dxf>
    <dxf>
      <border>
        <left/>
        <vertical/>
        <horizontal/>
      </border>
    </dxf>
    <dxf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border>
        <left style="thin">
          <color theme="0"/>
        </left>
        <right style="thin">
          <color theme="0"/>
        </right>
        <bottom style="thin">
          <color theme="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  <border>
        <left/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none">
          <bgColor auto="1"/>
        </patternFill>
      </fill>
    </dxf>
    <dxf>
      <fill>
        <gradientFill degree="90">
          <stop position="0">
            <color theme="0" tint="-0.25098422193060094"/>
          </stop>
          <stop position="0.5">
            <color theme="0" tint="-5.0965910824915313E-2"/>
          </stop>
          <stop position="1">
            <color theme="0" tint="-0.25098422193060094"/>
          </stop>
        </gradientFill>
      </fill>
      <border>
        <left/>
        <vertical/>
        <horizontal/>
      </border>
    </dxf>
    <dxf>
      <fill>
        <patternFill patternType="none">
          <bgColor auto="1"/>
        </patternFill>
      </fill>
      <border>
        <left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left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border>
        <top/>
        <vertical/>
        <horizontal/>
      </border>
    </dxf>
    <dxf>
      <font>
        <color theme="0" tint="-0.24994659260841701"/>
      </font>
      <fill>
        <patternFill patternType="solid">
          <fgColor auto="1"/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solid">
          <fgColor auto="1"/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 patternType="none">
          <bgColor auto="1"/>
        </patternFill>
      </fill>
      <border>
        <left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ill>
        <patternFill>
          <bgColor theme="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 tint="-5.0965910824915313E-2"/>
          </stop>
          <stop position="0.5">
            <color theme="0" tint="-0.1490218817712943"/>
          </stop>
          <stop position="1">
            <color theme="0" tint="-5.0965910824915313E-2"/>
          </stop>
        </gradientFill>
      </fill>
    </dxf>
    <dxf>
      <fill>
        <patternFill patternType="solid">
          <fgColor theme="9" tint="0.59999389629810485"/>
          <bgColor rgb="FFFCFDB4"/>
        </patternFill>
      </fill>
    </dxf>
    <dxf>
      <fill>
        <patternFill patternType="solid">
          <fgColor theme="9" tint="0.59999389629810485"/>
          <bgColor rgb="FFFCFDB4"/>
        </patternFill>
      </fill>
    </dxf>
    <dxf>
      <font>
        <b/>
        <color theme="0"/>
      </font>
      <fill>
        <patternFill patternType="solid">
          <fgColor theme="9"/>
          <bgColor rgb="FFF7FD46"/>
        </patternFill>
      </fill>
    </dxf>
    <dxf>
      <font>
        <b/>
        <color theme="0"/>
      </font>
      <fill>
        <patternFill patternType="solid">
          <fgColor theme="9"/>
          <bgColor rgb="FFF7FD46"/>
        </patternFill>
      </fill>
    </dxf>
    <dxf>
      <font>
        <b/>
        <color theme="0"/>
      </font>
      <fill>
        <patternFill patternType="solid">
          <fgColor theme="9"/>
          <bgColor rgb="FFE6E646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9"/>
          <bgColor rgb="FFE6E646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9" tint="0.79995117038483843"/>
          <bgColor rgb="FFFDFDD9"/>
        </patternFill>
      </fill>
      <border>
        <vertical style="thin">
          <color theme="0"/>
        </vertical>
        <horizontal style="thin">
          <color theme="0"/>
        </horizontal>
      </border>
    </dxf>
    <dxf>
      <border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</border>
    </dxf>
  </dxfs>
  <tableStyles count="2" defaultTableStyle="TableStyleMedium9" defaultPivotStyle="PivotStyleLight16">
    <tableStyle name="Formulario" pivot="0" count="1">
      <tableStyleElement type="wholeTable" dxfId="644"/>
    </tableStyle>
    <tableStyle name="TableStyleMedium14 2" pivot="0" count="7">
      <tableStyleElement type="wholeTable" dxfId="643"/>
      <tableStyleElement type="headerRow" dxfId="642"/>
      <tableStyleElement type="totalRow" dxfId="641"/>
      <tableStyleElement type="firstColumn" dxfId="640"/>
      <tableStyleElement type="lastColumn" dxfId="639"/>
      <tableStyleElement type="firstRowStripe" dxfId="638"/>
      <tableStyleElement type="firstColumnStripe" dxfId="637"/>
    </tableStyle>
  </tableStyles>
  <colors>
    <mruColors>
      <color rgb="FFE6E646"/>
      <color rgb="FFF7FD46"/>
      <color rgb="FFFCFDB4"/>
      <color rgb="FFFDFDD9"/>
      <color rgb="FFE3DE00"/>
      <color rgb="FF00FF00"/>
      <color rgb="FF99FF66"/>
      <color rgb="FF66FF33"/>
      <color rgb="FFFF66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fmlaLink="$A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$AG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G$46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AH$19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firstButton="1" fmlaLink="$AJ$22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fmlaLink="$AJ$25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checked="Checked" firstButton="1" fmlaLink="AK16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checked="Checked" firstButton="1" fmlaLink="$AJ$38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checked="Checked" firstButton="1" fmlaLink="$AG$31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Radio" checked="Checked" firstButton="1" fmlaLink="$AH$19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$AJ$22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firstButton="1" fmlaLink="$AJ$25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Radio" checked="Checked" firstButton="1" fmlaLink="AK16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Radio" checked="Checked" firstButton="1" fmlaLink="$AC$33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Radio" firstButton="1" fmlaLink="$AC$53" lockText="1" noThreeD="1"/>
</file>

<file path=xl/ctrlProps/ctrlProp51.xml><?xml version="1.0" encoding="utf-8"?>
<formControlPr xmlns="http://schemas.microsoft.com/office/spreadsheetml/2009/9/main" objectType="Radio" checked="Checked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Radio" checked="Checked" firstButton="1" fmlaLink="$AC$3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Radio" firstButton="1" fmlaLink="$AC$61" lockText="1" noThreeD="1"/>
</file>

<file path=xl/ctrlProps/ctrlProp57.xml><?xml version="1.0" encoding="utf-8"?>
<formControlPr xmlns="http://schemas.microsoft.com/office/spreadsheetml/2009/9/main" objectType="Radio" checked="Checked" lockText="1" noThreeD="1"/>
</file>

<file path=xl/ctrlProps/ctrlProp58.xml><?xml version="1.0" encoding="utf-8"?>
<formControlPr xmlns="http://schemas.microsoft.com/office/spreadsheetml/2009/9/main" objectType="GBox"/>
</file>

<file path=xl/ctrlProps/ctrlProp59.xml><?xml version="1.0" encoding="utf-8"?>
<formControlPr xmlns="http://schemas.microsoft.com/office/spreadsheetml/2009/9/main" objectType="Radio" firstButton="1" fmlaLink="$X$30" lockText="1" noThreeD="1"/>
</file>

<file path=xl/ctrlProps/ctrlProp60.xml><?xml version="1.0" encoding="utf-8"?>
<formControlPr xmlns="http://schemas.microsoft.com/office/spreadsheetml/2009/9/main" objectType="Radio" checked="Checked" lockText="1" noThreeD="1"/>
</file>

<file path=xl/ctrlProps/ctrlProp61.xml><?xml version="1.0" encoding="utf-8"?>
<formControlPr xmlns="http://schemas.microsoft.com/office/spreadsheetml/2009/9/main" objectType="GBox"/>
</file>

<file path=xl/ctrlProps/ctrlProp62.xml><?xml version="1.0" encoding="utf-8"?>
<formControlPr xmlns="http://schemas.microsoft.com/office/spreadsheetml/2009/9/main" objectType="Radio" firstButton="1" fmlaLink="$AC$56" lockText="1" noThreeD="1"/>
</file>

<file path=xl/ctrlProps/ctrlProp63.xml><?xml version="1.0" encoding="utf-8"?>
<formControlPr xmlns="http://schemas.microsoft.com/office/spreadsheetml/2009/9/main" objectType="Radio" checked="Checked" lockText="1" noThreeD="1"/>
</file>

<file path=xl/ctrlProps/ctrlProp64.xml><?xml version="1.0" encoding="utf-8"?>
<formControlPr xmlns="http://schemas.microsoft.com/office/spreadsheetml/2009/9/main" objectType="GBox"/>
</file>

<file path=xl/ctrlProps/ctrlProp65.xml><?xml version="1.0" encoding="utf-8"?>
<formControlPr xmlns="http://schemas.microsoft.com/office/spreadsheetml/2009/9/main" objectType="Radio" checked="Checked" firstButton="1" fmlaLink="$AG$6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Radio" checked="Checked" firstButton="1" fmlaLink="$AG$45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/>
</file>

<file path=xl/ctrlProps/ctrlProp77.xml><?xml version="1.0" encoding="utf-8"?>
<formControlPr xmlns="http://schemas.microsoft.com/office/spreadsheetml/2009/9/main" objectType="Radio" firstButton="1" fmlaLink="$AG$54" lockText="1" noThreeD="1"/>
</file>

<file path=xl/ctrlProps/ctrlProp78.xml><?xml version="1.0" encoding="utf-8"?>
<formControlPr xmlns="http://schemas.microsoft.com/office/spreadsheetml/2009/9/main" objectType="Radio" checked="Checked" lockText="1" noThreeD="1"/>
</file>

<file path=xl/ctrlProps/ctrlProp79.xml><?xml version="1.0" encoding="utf-8"?>
<formControlPr xmlns="http://schemas.microsoft.com/office/spreadsheetml/2009/9/main" objectType="GBox"/>
</file>

<file path=xl/ctrlProps/ctrlProp80.xml><?xml version="1.0" encoding="utf-8"?>
<formControlPr xmlns="http://schemas.microsoft.com/office/spreadsheetml/2009/9/main" objectType="Radio" checked="Checked" firstButton="1" fmlaLink="$AH$41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firstButton="1" fmlaLink="$AJ$42" lockText="1" noThreeD="1"/>
</file>

<file path=xl/ctrlProps/ctrlProp83.xml><?xml version="1.0" encoding="utf-8"?>
<formControlPr xmlns="http://schemas.microsoft.com/office/spreadsheetml/2009/9/main" objectType="Radio" checked="Checked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checked="Checked" firstButton="1" fmlaLink="AK16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/>
</file>

<file path=xl/ctrlProps/ctrlProp89.xml><?xml version="1.0" encoding="utf-8"?>
<formControlPr xmlns="http://schemas.microsoft.com/office/spreadsheetml/2009/9/main" objectType="GBox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fmlaLink="$AL$9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checked="Checked" firstButton="1" fmlaLink="$AP$13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Radio" firstButton="1" fmlaLink="$AC$43" lockText="1" noThreeD="1"/>
</file>

<file path=xl/ctrlProps/ctrlProp97.xml><?xml version="1.0" encoding="utf-8"?>
<formControlPr xmlns="http://schemas.microsoft.com/office/spreadsheetml/2009/9/main" objectType="Radio" checked="Checked" lockText="1" noThreeD="1"/>
</file>

<file path=xl/ctrlProps/ctrlProp98.xml><?xml version="1.0" encoding="utf-8"?>
<formControlPr xmlns="http://schemas.microsoft.com/office/spreadsheetml/2009/9/main" objectType="GBox"/>
</file>

<file path=xl/ctrlProps/ctrlProp99.xml><?xml version="1.0" encoding="utf-8"?>
<formControlPr xmlns="http://schemas.microsoft.com/office/spreadsheetml/2009/9/main" objectType="GBox"/>
</file>

<file path=xl/ctrlProps/ctrlProp100.xml><?xml version="1.0" encoding="utf-8"?>
<formControlPr xmlns="http://schemas.microsoft.com/office/spreadsheetml/2009/9/main" objectType="Radio" firstButton="1" fmlaLink="$X$20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Radio" firstButton="1" fmlaLink="$AC$50" lockText="1" noThreeD="1"/>
</file>

<file path=xl/ctrlProps/ctrlProp103.xml><?xml version="1.0" encoding="utf-8"?>
<formControlPr xmlns="http://schemas.microsoft.com/office/spreadsheetml/2009/9/main" objectType="Radio" checked="Checked" lockText="1" noThreeD="1"/>
</file>

<file path=xl/ctrlProps/ctrlProp104.xml><?xml version="1.0" encoding="utf-8"?>
<formControlPr xmlns="http://schemas.microsoft.com/office/spreadsheetml/2009/9/main" objectType="Radio" checked="Checked" firstButton="1" fmlaLink="BA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GBox"/>
</file>

<file path=xl/ctrlProps/ctrlProp107.xml><?xml version="1.0" encoding="utf-8"?>
<formControlPr xmlns="http://schemas.microsoft.com/office/spreadsheetml/2009/9/main" objectType="Radio" checked="Checked" firstButton="1" fmlaLink="BA21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checked="Checked" firstButton="1" fmlaLink="$AB$10" lockText="1" noThreeD="1"/>
</file>

<file path=xl/ctrlProps/ctrlProp1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.Ci&#234;ncia!F9"/><Relationship Id="rId13" Type="http://schemas.openxmlformats.org/officeDocument/2006/relationships/hyperlink" Target="#Mat!C7"/><Relationship Id="rId18" Type="http://schemas.openxmlformats.org/officeDocument/2006/relationships/hyperlink" Target="#C&#225;lc!G6"/><Relationship Id="rId3" Type="http://schemas.openxmlformats.org/officeDocument/2006/relationships/hyperlink" Target="#'G2'!Y9"/><Relationship Id="rId7" Type="http://schemas.openxmlformats.org/officeDocument/2006/relationships/hyperlink" Target="#AI!AC6"/><Relationship Id="rId12" Type="http://schemas.openxmlformats.org/officeDocument/2006/relationships/hyperlink" Target="#InstEns!C5"/><Relationship Id="rId17" Type="http://schemas.openxmlformats.org/officeDocument/2006/relationships/hyperlink" Target="#Mun.!E6"/><Relationship Id="rId2" Type="http://schemas.openxmlformats.org/officeDocument/2006/relationships/hyperlink" Target="#Rateio!Q4"/><Relationship Id="rId16" Type="http://schemas.openxmlformats.org/officeDocument/2006/relationships/hyperlink" Target="#M.Quinq!G5"/><Relationship Id="rId1" Type="http://schemas.openxmlformats.org/officeDocument/2006/relationships/hyperlink" Target="#Geral!A1"/><Relationship Id="rId6" Type="http://schemas.openxmlformats.org/officeDocument/2006/relationships/hyperlink" Target="#Escolas!C6"/><Relationship Id="rId11" Type="http://schemas.openxmlformats.org/officeDocument/2006/relationships/hyperlink" Target="#&#218;ltRem.!G6"/><Relationship Id="rId5" Type="http://schemas.openxmlformats.org/officeDocument/2006/relationships/hyperlink" Target="#Cursos!A1"/><Relationship Id="rId15" Type="http://schemas.openxmlformats.org/officeDocument/2006/relationships/hyperlink" Target="#A.Pgto!G6"/><Relationship Id="rId10" Type="http://schemas.openxmlformats.org/officeDocument/2006/relationships/hyperlink" Target="#Siged!E5"/><Relationship Id="rId19" Type="http://schemas.openxmlformats.org/officeDocument/2006/relationships/hyperlink" Target="#'&gt;10'!P4"/><Relationship Id="rId4" Type="http://schemas.openxmlformats.org/officeDocument/2006/relationships/hyperlink" Target="#Certif!F12"/><Relationship Id="rId9" Type="http://schemas.openxmlformats.org/officeDocument/2006/relationships/hyperlink" Target="#FP!P4"/><Relationship Id="rId14" Type="http://schemas.openxmlformats.org/officeDocument/2006/relationships/hyperlink" Target="#Pr&#234;m!G6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37;cio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&#237;cio!A1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73460</xdr:colOff>
      <xdr:row>12</xdr:row>
      <xdr:rowOff>3008</xdr:rowOff>
    </xdr:from>
    <xdr:to>
      <xdr:col>6</xdr:col>
      <xdr:colOff>589210</xdr:colOff>
      <xdr:row>12</xdr:row>
      <xdr:rowOff>269408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565585" y="1630196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GERAL (CADASTRO)</a:t>
          </a:r>
        </a:p>
      </xdr:txBody>
    </xdr:sp>
    <xdr:clientData/>
  </xdr:twoCellAnchor>
  <xdr:twoCellAnchor>
    <xdr:from>
      <xdr:col>7</xdr:col>
      <xdr:colOff>39478</xdr:colOff>
      <xdr:row>12</xdr:row>
      <xdr:rowOff>3010</xdr:rowOff>
    </xdr:from>
    <xdr:to>
      <xdr:col>11</xdr:col>
      <xdr:colOff>555228</xdr:colOff>
      <xdr:row>12</xdr:row>
      <xdr:rowOff>269410</xdr:rowOff>
    </xdr:to>
    <xdr:sp macro="" textlink="">
      <xdr:nvSpPr>
        <xdr:cNvPr id="3" name="Retângulo de cantos arredondados 2"/>
        <xdr:cNvSpPr/>
      </xdr:nvSpPr>
      <xdr:spPr>
        <a:xfrm>
          <a:off x="3666916" y="1630198"/>
          <a:ext cx="3024000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300" b="1" baseline="0">
            <a:solidFill>
              <a:schemeClr val="tx1"/>
            </a:solidFill>
            <a:latin typeface="Arial Black" pitchFamily="34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38356</xdr:colOff>
      <xdr:row>13</xdr:row>
      <xdr:rowOff>58205</xdr:rowOff>
    </xdr:from>
    <xdr:to>
      <xdr:col>11</xdr:col>
      <xdr:colOff>554106</xdr:colOff>
      <xdr:row>14</xdr:row>
      <xdr:rowOff>46792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3657856" y="193599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 DE RATEIO</a:t>
          </a:r>
        </a:p>
      </xdr:txBody>
    </xdr:sp>
    <xdr:clientData/>
  </xdr:twoCellAnchor>
  <xdr:twoCellAnchor>
    <xdr:from>
      <xdr:col>7</xdr:col>
      <xdr:colOff>35246</xdr:colOff>
      <xdr:row>15</xdr:row>
      <xdr:rowOff>170444</xdr:rowOff>
    </xdr:from>
    <xdr:to>
      <xdr:col>11</xdr:col>
      <xdr:colOff>550996</xdr:colOff>
      <xdr:row>16</xdr:row>
      <xdr:rowOff>159032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3654746" y="2606123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u="none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GUIA DE OCORRÊNCIA N.º 02</a:t>
          </a:r>
        </a:p>
      </xdr:txBody>
    </xdr:sp>
    <xdr:clientData/>
  </xdr:twoCellAnchor>
  <xdr:twoCellAnchor>
    <xdr:from>
      <xdr:col>7</xdr:col>
      <xdr:colOff>35024</xdr:colOff>
      <xdr:row>16</xdr:row>
      <xdr:rowOff>222379</xdr:rowOff>
    </xdr:from>
    <xdr:to>
      <xdr:col>11</xdr:col>
      <xdr:colOff>550775</xdr:colOff>
      <xdr:row>17</xdr:row>
      <xdr:rowOff>212822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667513" y="2945663"/>
          <a:ext cx="3026887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CERTIFICAÇÃO</a:t>
          </a:r>
        </a:p>
      </xdr:txBody>
    </xdr:sp>
    <xdr:clientData/>
  </xdr:twoCellAnchor>
  <xdr:twoCellAnchor>
    <xdr:from>
      <xdr:col>2</xdr:col>
      <xdr:colOff>66345</xdr:colOff>
      <xdr:row>22</xdr:row>
      <xdr:rowOff>238135</xdr:rowOff>
    </xdr:from>
    <xdr:to>
      <xdr:col>6</xdr:col>
      <xdr:colOff>582095</xdr:colOff>
      <xdr:row>23</xdr:row>
      <xdr:rowOff>226723</xdr:rowOff>
    </xdr:to>
    <xdr:sp macro="" textlink="">
      <xdr:nvSpPr>
        <xdr:cNvPr id="8" name="Retângulo de cantos arredondados 7">
          <a:hlinkClick xmlns:r="http://schemas.openxmlformats.org/officeDocument/2006/relationships" r:id="rId5"/>
        </xdr:cNvPr>
        <xdr:cNvSpPr/>
      </xdr:nvSpPr>
      <xdr:spPr>
        <a:xfrm>
          <a:off x="556202" y="462643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CURSOS</a:t>
          </a:r>
        </a:p>
      </xdr:txBody>
    </xdr:sp>
    <xdr:clientData/>
  </xdr:twoCellAnchor>
  <xdr:twoCellAnchor>
    <xdr:from>
      <xdr:col>7</xdr:col>
      <xdr:colOff>38001</xdr:colOff>
      <xdr:row>20</xdr:row>
      <xdr:rowOff>122910</xdr:rowOff>
    </xdr:from>
    <xdr:to>
      <xdr:col>11</xdr:col>
      <xdr:colOff>553751</xdr:colOff>
      <xdr:row>21</xdr:row>
      <xdr:rowOff>111498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3657501" y="3953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ESCOLAS DA CIRCUNSCRIÇÃO</a:t>
          </a:r>
        </a:p>
      </xdr:txBody>
    </xdr:sp>
    <xdr:clientData/>
  </xdr:twoCellAnchor>
  <xdr:twoCellAnchor>
    <xdr:from>
      <xdr:col>7</xdr:col>
      <xdr:colOff>35982</xdr:colOff>
      <xdr:row>14</xdr:row>
      <xdr:rowOff>119295</xdr:rowOff>
    </xdr:from>
    <xdr:to>
      <xdr:col>11</xdr:col>
      <xdr:colOff>551732</xdr:colOff>
      <xdr:row>15</xdr:row>
      <xdr:rowOff>107881</xdr:rowOff>
    </xdr:to>
    <xdr:sp macro="" textlink="">
      <xdr:nvSpPr>
        <xdr:cNvPr id="15" name="Retângulo de cantos arredondados 14">
          <a:hlinkClick xmlns:r="http://schemas.openxmlformats.org/officeDocument/2006/relationships" r:id="rId7"/>
        </xdr:cNvPr>
        <xdr:cNvSpPr/>
      </xdr:nvSpPr>
      <xdr:spPr>
        <a:xfrm>
          <a:off x="3655482" y="2276027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ANOTAÇÕES INTERNAS (A.I)</a:t>
          </a:r>
        </a:p>
      </xdr:txBody>
    </xdr:sp>
    <xdr:clientData/>
  </xdr:twoCellAnchor>
  <xdr:twoCellAnchor>
    <xdr:from>
      <xdr:col>2</xdr:col>
      <xdr:colOff>72696</xdr:colOff>
      <xdr:row>18</xdr:row>
      <xdr:rowOff>11193</xdr:rowOff>
    </xdr:from>
    <xdr:to>
      <xdr:col>6</xdr:col>
      <xdr:colOff>588445</xdr:colOff>
      <xdr:row>19</xdr:row>
      <xdr:rowOff>1636</xdr:rowOff>
    </xdr:to>
    <xdr:sp macro="" textlink="">
      <xdr:nvSpPr>
        <xdr:cNvPr id="13" name="Retângulo de cantos arredondados 12">
          <a:hlinkClick xmlns:r="http://schemas.openxmlformats.org/officeDocument/2006/relationships" r:id="rId8"/>
        </xdr:cNvPr>
        <xdr:cNvSpPr/>
      </xdr:nvSpPr>
      <xdr:spPr>
        <a:xfrm>
          <a:off x="566264" y="3288659"/>
          <a:ext cx="3026886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TERMO DE CIÊNCIA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0</xdr:rowOff>
        </xdr:from>
        <xdr:to>
          <xdr:col>3</xdr:col>
          <xdr:colOff>219075</xdr:colOff>
          <xdr:row>7</xdr:row>
          <xdr:rowOff>104775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76912</xdr:colOff>
      <xdr:row>19</xdr:row>
      <xdr:rowOff>65771</xdr:rowOff>
    </xdr:from>
    <xdr:to>
      <xdr:col>6</xdr:col>
      <xdr:colOff>592661</xdr:colOff>
      <xdr:row>20</xdr:row>
      <xdr:rowOff>54358</xdr:rowOff>
    </xdr:to>
    <xdr:sp macro="" textlink="">
      <xdr:nvSpPr>
        <xdr:cNvPr id="17" name="Retângulo de cantos arredondados 16">
          <a:hlinkClick xmlns:r="http://schemas.openxmlformats.org/officeDocument/2006/relationships" r:id="rId9"/>
        </xdr:cNvPr>
        <xdr:cNvSpPr/>
      </xdr:nvSpPr>
      <xdr:spPr>
        <a:xfrm>
          <a:off x="570480" y="3620328"/>
          <a:ext cx="3026886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FÉRIAS PRÊMIO EM ESPÉCIE</a:t>
          </a:r>
        </a:p>
      </xdr:txBody>
    </xdr:sp>
    <xdr:clientData/>
  </xdr:twoCellAnchor>
  <xdr:twoCellAnchor>
    <xdr:from>
      <xdr:col>2</xdr:col>
      <xdr:colOff>70571</xdr:colOff>
      <xdr:row>16</xdr:row>
      <xdr:rowOff>228767</xdr:rowOff>
    </xdr:from>
    <xdr:to>
      <xdr:col>6</xdr:col>
      <xdr:colOff>586320</xdr:colOff>
      <xdr:row>17</xdr:row>
      <xdr:rowOff>217355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64139" y="2952051"/>
          <a:ext cx="3026886" cy="265679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ETIQUETA SIGED PARA I.A.'s</a:t>
          </a:r>
        </a:p>
      </xdr:txBody>
    </xdr:sp>
    <xdr:clientData/>
  </xdr:twoCellAnchor>
  <xdr:twoCellAnchor>
    <xdr:from>
      <xdr:col>7</xdr:col>
      <xdr:colOff>39545</xdr:colOff>
      <xdr:row>18</xdr:row>
      <xdr:rowOff>11704</xdr:rowOff>
    </xdr:from>
    <xdr:to>
      <xdr:col>11</xdr:col>
      <xdr:colOff>555296</xdr:colOff>
      <xdr:row>19</xdr:row>
      <xdr:rowOff>291</xdr:rowOff>
    </xdr:to>
    <xdr:sp macro="" textlink="">
      <xdr:nvSpPr>
        <xdr:cNvPr id="18" name="Retângulo de cantos arredondados 17">
          <a:hlinkClick xmlns:r="http://schemas.openxmlformats.org/officeDocument/2006/relationships" r:id="rId11"/>
        </xdr:cNvPr>
        <xdr:cNvSpPr/>
      </xdr:nvSpPr>
      <xdr:spPr>
        <a:xfrm>
          <a:off x="3672034" y="3289170"/>
          <a:ext cx="3026887" cy="26567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ÚLTIMA REMUNERAÇÃO</a:t>
          </a:r>
        </a:p>
      </xdr:txBody>
    </xdr:sp>
    <xdr:clientData/>
  </xdr:twoCellAnchor>
  <xdr:twoCellAnchor>
    <xdr:from>
      <xdr:col>7</xdr:col>
      <xdr:colOff>34262</xdr:colOff>
      <xdr:row>21</xdr:row>
      <xdr:rowOff>176964</xdr:rowOff>
    </xdr:from>
    <xdr:to>
      <xdr:col>11</xdr:col>
      <xdr:colOff>550012</xdr:colOff>
      <xdr:row>22</xdr:row>
      <xdr:rowOff>165551</xdr:rowOff>
    </xdr:to>
    <xdr:sp macro="" textlink="">
      <xdr:nvSpPr>
        <xdr:cNvPr id="19" name="Retângulo de cantos arredondados 18">
          <a:hlinkClick xmlns:r="http://schemas.openxmlformats.org/officeDocument/2006/relationships" r:id="rId12"/>
        </xdr:cNvPr>
        <xdr:cNvSpPr/>
      </xdr:nvSpPr>
      <xdr:spPr>
        <a:xfrm>
          <a:off x="3653762" y="4286321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INSTITUIÇÕES DE ENSINO</a:t>
          </a:r>
        </a:p>
      </xdr:txBody>
    </xdr:sp>
    <xdr:clientData/>
  </xdr:twoCellAnchor>
  <xdr:twoCellAnchor>
    <xdr:from>
      <xdr:col>7</xdr:col>
      <xdr:colOff>31775</xdr:colOff>
      <xdr:row>22</xdr:row>
      <xdr:rowOff>237218</xdr:rowOff>
    </xdr:from>
    <xdr:to>
      <xdr:col>11</xdr:col>
      <xdr:colOff>547525</xdr:colOff>
      <xdr:row>23</xdr:row>
      <xdr:rowOff>225806</xdr:rowOff>
    </xdr:to>
    <xdr:sp macro="" textlink="">
      <xdr:nvSpPr>
        <xdr:cNvPr id="20" name="Retângulo de cantos arredondados 19">
          <a:hlinkClick xmlns:r="http://schemas.openxmlformats.org/officeDocument/2006/relationships" r:id="rId13"/>
        </xdr:cNvPr>
        <xdr:cNvSpPr/>
      </xdr:nvSpPr>
      <xdr:spPr>
        <a:xfrm>
          <a:off x="3651275" y="4625522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MATÉRIAS</a:t>
          </a:r>
        </a:p>
      </xdr:txBody>
    </xdr:sp>
    <xdr:clientData/>
  </xdr:twoCellAnchor>
  <xdr:twoCellAnchor>
    <xdr:from>
      <xdr:col>2</xdr:col>
      <xdr:colOff>69853</xdr:colOff>
      <xdr:row>20</xdr:row>
      <xdr:rowOff>120798</xdr:rowOff>
    </xdr:from>
    <xdr:to>
      <xdr:col>6</xdr:col>
      <xdr:colOff>585603</xdr:colOff>
      <xdr:row>21</xdr:row>
      <xdr:rowOff>109386</xdr:rowOff>
    </xdr:to>
    <xdr:sp macro="" textlink="">
      <xdr:nvSpPr>
        <xdr:cNvPr id="21" name="Retângulo de cantos arredondados 20">
          <a:hlinkClick xmlns:r="http://schemas.openxmlformats.org/officeDocument/2006/relationships" r:id="rId14"/>
        </xdr:cNvPr>
        <xdr:cNvSpPr/>
      </xdr:nvSpPr>
      <xdr:spPr>
        <a:xfrm>
          <a:off x="559710" y="3951209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PRÊMIO POR RESULTADO</a:t>
          </a:r>
        </a:p>
      </xdr:txBody>
    </xdr:sp>
    <xdr:clientData/>
  </xdr:twoCellAnchor>
  <xdr:twoCellAnchor>
    <xdr:from>
      <xdr:col>2</xdr:col>
      <xdr:colOff>65555</xdr:colOff>
      <xdr:row>14</xdr:row>
      <xdr:rowOff>117171</xdr:rowOff>
    </xdr:from>
    <xdr:to>
      <xdr:col>6</xdr:col>
      <xdr:colOff>581305</xdr:colOff>
      <xdr:row>15</xdr:row>
      <xdr:rowOff>105759</xdr:rowOff>
    </xdr:to>
    <xdr:sp macro="" textlink="">
      <xdr:nvSpPr>
        <xdr:cNvPr id="22" name="Retângulo de cantos arredondados 21">
          <a:hlinkClick xmlns:r="http://schemas.openxmlformats.org/officeDocument/2006/relationships" r:id="rId15"/>
        </xdr:cNvPr>
        <xdr:cNvSpPr/>
      </xdr:nvSpPr>
      <xdr:spPr>
        <a:xfrm>
          <a:off x="555412" y="2273903"/>
          <a:ext cx="3019464" cy="267535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AUTORIZAÇÃO PGTO AVULSA</a:t>
          </a:r>
        </a:p>
      </xdr:txBody>
    </xdr:sp>
    <xdr:clientData/>
  </xdr:twoCellAnchor>
  <xdr:twoCellAnchor>
    <xdr:from>
      <xdr:col>2</xdr:col>
      <xdr:colOff>67732</xdr:colOff>
      <xdr:row>15</xdr:row>
      <xdr:rowOff>173722</xdr:rowOff>
    </xdr:from>
    <xdr:to>
      <xdr:col>6</xdr:col>
      <xdr:colOff>583482</xdr:colOff>
      <xdr:row>16</xdr:row>
      <xdr:rowOff>162309</xdr:rowOff>
    </xdr:to>
    <xdr:sp macro="" textlink="">
      <xdr:nvSpPr>
        <xdr:cNvPr id="23" name="Retângulo de cantos arredondados 22">
          <a:hlinkClick xmlns:r="http://schemas.openxmlformats.org/officeDocument/2006/relationships" r:id="rId16"/>
        </xdr:cNvPr>
        <xdr:cNvSpPr/>
      </xdr:nvSpPr>
      <xdr:spPr>
        <a:xfrm>
          <a:off x="557589" y="2609401"/>
          <a:ext cx="3019464" cy="26753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ACERTO MÉDIA QUINQUENAL</a:t>
          </a:r>
        </a:p>
      </xdr:txBody>
    </xdr:sp>
    <xdr:clientData/>
  </xdr:twoCellAnchor>
  <xdr:twoCellAnchor>
    <xdr:from>
      <xdr:col>2</xdr:col>
      <xdr:colOff>69875</xdr:colOff>
      <xdr:row>21</xdr:row>
      <xdr:rowOff>180068</xdr:rowOff>
    </xdr:from>
    <xdr:to>
      <xdr:col>6</xdr:col>
      <xdr:colOff>585625</xdr:colOff>
      <xdr:row>22</xdr:row>
      <xdr:rowOff>168655</xdr:rowOff>
    </xdr:to>
    <xdr:sp macro="" textlink="">
      <xdr:nvSpPr>
        <xdr:cNvPr id="24" name="Retângulo de cantos arredondados 23">
          <a:hlinkClick xmlns:r="http://schemas.openxmlformats.org/officeDocument/2006/relationships" r:id="rId17"/>
        </xdr:cNvPr>
        <xdr:cNvSpPr/>
      </xdr:nvSpPr>
      <xdr:spPr>
        <a:xfrm>
          <a:off x="559732" y="4289425"/>
          <a:ext cx="3019464" cy="267534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MUNICÍPIOS</a:t>
          </a:r>
        </a:p>
      </xdr:txBody>
    </xdr:sp>
    <xdr:clientData/>
  </xdr:twoCellAnchor>
  <xdr:twoCellAnchor>
    <xdr:from>
      <xdr:col>2</xdr:col>
      <xdr:colOff>68040</xdr:colOff>
      <xdr:row>13</xdr:row>
      <xdr:rowOff>54432</xdr:rowOff>
    </xdr:from>
    <xdr:to>
      <xdr:col>6</xdr:col>
      <xdr:colOff>583790</xdr:colOff>
      <xdr:row>14</xdr:row>
      <xdr:rowOff>41886</xdr:rowOff>
    </xdr:to>
    <xdr:sp macro="" textlink="">
      <xdr:nvSpPr>
        <xdr:cNvPr id="26" name="Retângulo de cantos arredondados 2">
          <a:hlinkClick xmlns:r="http://schemas.openxmlformats.org/officeDocument/2006/relationships" r:id="rId18"/>
        </xdr:cNvPr>
        <xdr:cNvSpPr/>
      </xdr:nvSpPr>
      <xdr:spPr>
        <a:xfrm>
          <a:off x="557897" y="1932218"/>
          <a:ext cx="3019464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CÁLCULO</a:t>
          </a:r>
        </a:p>
      </xdr:txBody>
    </xdr:sp>
    <xdr:clientData/>
  </xdr:twoCellAnchor>
  <xdr:twoCellAnchor>
    <xdr:from>
      <xdr:col>7</xdr:col>
      <xdr:colOff>43297</xdr:colOff>
      <xdr:row>19</xdr:row>
      <xdr:rowOff>64950</xdr:rowOff>
    </xdr:from>
    <xdr:to>
      <xdr:col>11</xdr:col>
      <xdr:colOff>559047</xdr:colOff>
      <xdr:row>20</xdr:row>
      <xdr:rowOff>54259</xdr:rowOff>
    </xdr:to>
    <xdr:sp macro="" textlink="">
      <xdr:nvSpPr>
        <xdr:cNvPr id="27" name="Retângulo de cantos arredondados 2">
          <a:hlinkClick xmlns:r="http://schemas.openxmlformats.org/officeDocument/2006/relationships" r:id="rId19"/>
        </xdr:cNvPr>
        <xdr:cNvSpPr/>
      </xdr:nvSpPr>
      <xdr:spPr>
        <a:xfrm>
          <a:off x="3675786" y="3619507"/>
          <a:ext cx="3026886" cy="2664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PGTO ACIMA DE R$10.000,00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38100</xdr:rowOff>
        </xdr:from>
        <xdr:to>
          <xdr:col>11</xdr:col>
          <xdr:colOff>200025</xdr:colOff>
          <xdr:row>12</xdr:row>
          <xdr:rowOff>371475</xdr:rowOff>
        </xdr:to>
        <xdr:sp macro="" textlink="">
          <xdr:nvSpPr>
            <xdr:cNvPr id="125953" name="Caixa de grupo 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763587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10</xdr:row>
          <xdr:rowOff>152400</xdr:rowOff>
        </xdr:from>
        <xdr:to>
          <xdr:col>3</xdr:col>
          <xdr:colOff>314325</xdr:colOff>
          <xdr:row>11</xdr:row>
          <xdr:rowOff>200025</xdr:rowOff>
        </xdr:to>
        <xdr:sp macro="" textlink="">
          <xdr:nvSpPr>
            <xdr:cNvPr id="125954" name="Option Button 2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152400</xdr:rowOff>
        </xdr:from>
        <xdr:to>
          <xdr:col>5</xdr:col>
          <xdr:colOff>295275</xdr:colOff>
          <xdr:row>11</xdr:row>
          <xdr:rowOff>200025</xdr:rowOff>
        </xdr:to>
        <xdr:sp macro="" textlink="">
          <xdr:nvSpPr>
            <xdr:cNvPr id="125955" name="Option Button 3" hidden="1">
              <a:extLst>
                <a:ext uri="{63B3BB69-23CF-44E3-9099-C40C66FF867C}">
                  <a14:compatExt spid="_x0000_s12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</xdr:row>
          <xdr:rowOff>152400</xdr:rowOff>
        </xdr:from>
        <xdr:to>
          <xdr:col>9</xdr:col>
          <xdr:colOff>209550</xdr:colOff>
          <xdr:row>11</xdr:row>
          <xdr:rowOff>200025</xdr:rowOff>
        </xdr:to>
        <xdr:sp macro="" textlink="">
          <xdr:nvSpPr>
            <xdr:cNvPr id="125956" name="Option Button 4" hidden="1">
              <a:extLst>
                <a:ext uri="{63B3BB69-23CF-44E3-9099-C40C66FF867C}">
                  <a14:compatExt spid="_x0000_s12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12</xdr:row>
          <xdr:rowOff>28575</xdr:rowOff>
        </xdr:from>
        <xdr:to>
          <xdr:col>3</xdr:col>
          <xdr:colOff>314325</xdr:colOff>
          <xdr:row>12</xdr:row>
          <xdr:rowOff>304800</xdr:rowOff>
        </xdr:to>
        <xdr:sp macro="" textlink="">
          <xdr:nvSpPr>
            <xdr:cNvPr id="125957" name="Option Button 5" hidden="1">
              <a:extLst>
                <a:ext uri="{63B3BB69-23CF-44E3-9099-C40C66FF867C}">
                  <a14:compatExt spid="_x0000_s12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28575</xdr:rowOff>
        </xdr:from>
        <xdr:to>
          <xdr:col>5</xdr:col>
          <xdr:colOff>295275</xdr:colOff>
          <xdr:row>12</xdr:row>
          <xdr:rowOff>304800</xdr:rowOff>
        </xdr:to>
        <xdr:sp macro="" textlink="">
          <xdr:nvSpPr>
            <xdr:cNvPr id="125958" name="Option Button 6" hidden="1">
              <a:extLst>
                <a:ext uri="{63B3BB69-23CF-44E3-9099-C40C66FF867C}">
                  <a14:compatExt spid="_x0000_s12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12</xdr:row>
          <xdr:rowOff>28575</xdr:rowOff>
        </xdr:from>
        <xdr:to>
          <xdr:col>7</xdr:col>
          <xdr:colOff>285750</xdr:colOff>
          <xdr:row>12</xdr:row>
          <xdr:rowOff>304800</xdr:rowOff>
        </xdr:to>
        <xdr:sp macro="" textlink="">
          <xdr:nvSpPr>
            <xdr:cNvPr id="125959" name="Option Button 7" hidden="1">
              <a:extLst>
                <a:ext uri="{63B3BB69-23CF-44E3-9099-C40C66FF867C}">
                  <a14:compatExt spid="_x0000_s12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25960" name="Group Box 8" hidden="1">
              <a:extLst>
                <a:ext uri="{63B3BB69-23CF-44E3-9099-C40C66FF867C}">
                  <a14:compatExt spid="_x0000_s12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25961" name="Option Button 9" hidden="1">
              <a:extLst>
                <a:ext uri="{63B3BB69-23CF-44E3-9099-C40C66FF867C}">
                  <a14:compatExt spid="_x0000_s12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25962" name="Option Button 10" hidden="1">
              <a:extLst>
                <a:ext uri="{63B3BB69-23CF-44E3-9099-C40C66FF867C}">
                  <a14:compatExt spid="_x0000_s125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342900</xdr:colOff>
          <xdr:row>10</xdr:row>
          <xdr:rowOff>152400</xdr:rowOff>
        </xdr:from>
        <xdr:to>
          <xdr:col>7</xdr:col>
          <xdr:colOff>285750</xdr:colOff>
          <xdr:row>11</xdr:row>
          <xdr:rowOff>200025</xdr:rowOff>
        </xdr:to>
        <xdr:sp macro="" textlink="">
          <xdr:nvSpPr>
            <xdr:cNvPr id="125963" name="Option Button 11" hidden="1">
              <a:extLst>
                <a:ext uri="{63B3BB69-23CF-44E3-9099-C40C66FF867C}">
                  <a14:compatExt spid="_x0000_s125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276225</xdr:colOff>
          <xdr:row>10</xdr:row>
          <xdr:rowOff>152400</xdr:rowOff>
        </xdr:from>
        <xdr:to>
          <xdr:col>11</xdr:col>
          <xdr:colOff>171450</xdr:colOff>
          <xdr:row>11</xdr:row>
          <xdr:rowOff>200025</xdr:rowOff>
        </xdr:to>
        <xdr:sp macro="" textlink="">
          <xdr:nvSpPr>
            <xdr:cNvPr id="125964" name="Option Button 12" hidden="1">
              <a:extLst>
                <a:ext uri="{63B3BB69-23CF-44E3-9099-C40C66FF867C}">
                  <a14:compatExt spid="_x0000_s125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28575</xdr:rowOff>
        </xdr:from>
        <xdr:to>
          <xdr:col>20</xdr:col>
          <xdr:colOff>161925</xdr:colOff>
          <xdr:row>6</xdr:row>
          <xdr:rowOff>285750</xdr:rowOff>
        </xdr:to>
        <xdr:sp macro="" textlink="">
          <xdr:nvSpPr>
            <xdr:cNvPr id="125965" name="Group Box 13" hidden="1">
              <a:extLst>
                <a:ext uri="{63B3BB69-23CF-44E3-9099-C40C66FF867C}">
                  <a14:compatExt spid="_x0000_s125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6</xdr:row>
          <xdr:rowOff>104775</xdr:rowOff>
        </xdr:from>
        <xdr:to>
          <xdr:col>11</xdr:col>
          <xdr:colOff>228600</xdr:colOff>
          <xdr:row>6</xdr:row>
          <xdr:rowOff>247650</xdr:rowOff>
        </xdr:to>
        <xdr:sp macro="" textlink="">
          <xdr:nvSpPr>
            <xdr:cNvPr id="125966" name="Option Button 14" hidden="1">
              <a:extLst>
                <a:ext uri="{63B3BB69-23CF-44E3-9099-C40C66FF867C}">
                  <a14:compatExt spid="_x0000_s125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295275</xdr:colOff>
          <xdr:row>6</xdr:row>
          <xdr:rowOff>104775</xdr:rowOff>
        </xdr:from>
        <xdr:to>
          <xdr:col>16</xdr:col>
          <xdr:colOff>76200</xdr:colOff>
          <xdr:row>6</xdr:row>
          <xdr:rowOff>247650</xdr:rowOff>
        </xdr:to>
        <xdr:sp macro="" textlink="">
          <xdr:nvSpPr>
            <xdr:cNvPr id="125967" name="Option Button 15" hidden="1">
              <a:extLst>
                <a:ext uri="{63B3BB69-23CF-44E3-9099-C40C66FF867C}">
                  <a14:compatExt spid="_x0000_s125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25968" name="Group Box 16" hidden="1">
              <a:extLst>
                <a:ext uri="{63B3BB69-23CF-44E3-9099-C40C66FF867C}">
                  <a14:compatExt spid="_x0000_s125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25969" name="Option Button 17" hidden="1">
              <a:extLst>
                <a:ext uri="{63B3BB69-23CF-44E3-9099-C40C66FF867C}">
                  <a14:compatExt spid="_x0000_s125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25970" name="Option Button 18" hidden="1">
              <a:extLst>
                <a:ext uri="{63B3BB69-23CF-44E3-9099-C40C66FF867C}">
                  <a14:compatExt spid="_x0000_s125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25971" name="Option Button 19" hidden="1">
              <a:extLst>
                <a:ext uri="{63B3BB69-23CF-44E3-9099-C40C66FF867C}">
                  <a14:compatExt spid="_x0000_s125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25972" name="Option Button 20" hidden="1">
              <a:extLst>
                <a:ext uri="{63B3BB69-23CF-44E3-9099-C40C66FF867C}">
                  <a14:compatExt spid="_x0000_s125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25973" name="Option Button 21" hidden="1">
              <a:extLst>
                <a:ext uri="{63B3BB69-23CF-44E3-9099-C40C66FF867C}">
                  <a14:compatExt spid="_x0000_s125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25974" name="Option Button 22" hidden="1">
              <a:extLst>
                <a:ext uri="{63B3BB69-23CF-44E3-9099-C40C66FF867C}">
                  <a14:compatExt spid="_x0000_s125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25975" name="Option Button 23" hidden="1">
              <a:extLst>
                <a:ext uri="{63B3BB69-23CF-44E3-9099-C40C66FF867C}">
                  <a14:compatExt spid="_x0000_s125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25976" name="Option Button 24" hidden="1">
              <a:extLst>
                <a:ext uri="{63B3BB69-23CF-44E3-9099-C40C66FF867C}">
                  <a14:compatExt spid="_x0000_s125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25977" name="Group Box 25" hidden="1">
              <a:extLst>
                <a:ext uri="{63B3BB69-23CF-44E3-9099-C40C66FF867C}">
                  <a14:compatExt spid="_x0000_s125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25978" name="Group Box 26" hidden="1">
              <a:extLst>
                <a:ext uri="{63B3BB69-23CF-44E3-9099-C40C66FF867C}">
                  <a14:compatExt spid="_x0000_s125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25979" name="Group Box 27" hidden="1">
              <a:extLst>
                <a:ext uri="{63B3BB69-23CF-44E3-9099-C40C66FF867C}">
                  <a14:compatExt spid="_x0000_s125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66675</xdr:colOff>
          <xdr:row>37</xdr:row>
          <xdr:rowOff>47625</xdr:rowOff>
        </xdr:from>
        <xdr:to>
          <xdr:col>19</xdr:col>
          <xdr:colOff>142875</xdr:colOff>
          <xdr:row>37</xdr:row>
          <xdr:rowOff>171450</xdr:rowOff>
        </xdr:to>
        <xdr:sp macro="" textlink="">
          <xdr:nvSpPr>
            <xdr:cNvPr id="125980" name="Option Button 28" hidden="1">
              <a:extLst>
                <a:ext uri="{63B3BB69-23CF-44E3-9099-C40C66FF867C}">
                  <a14:compatExt spid="_x0000_s125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209550</xdr:colOff>
          <xdr:row>37</xdr:row>
          <xdr:rowOff>47625</xdr:rowOff>
        </xdr:from>
        <xdr:to>
          <xdr:col>20</xdr:col>
          <xdr:colOff>285750</xdr:colOff>
          <xdr:row>37</xdr:row>
          <xdr:rowOff>171450</xdr:rowOff>
        </xdr:to>
        <xdr:sp macro="" textlink="">
          <xdr:nvSpPr>
            <xdr:cNvPr id="125981" name="Option Button 29" hidden="1">
              <a:extLst>
                <a:ext uri="{63B3BB69-23CF-44E3-9099-C40C66FF867C}">
                  <a14:compatExt spid="_x0000_s125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37</xdr:row>
          <xdr:rowOff>9525</xdr:rowOff>
        </xdr:from>
        <xdr:to>
          <xdr:col>20</xdr:col>
          <xdr:colOff>314325</xdr:colOff>
          <xdr:row>38</xdr:row>
          <xdr:rowOff>19050</xdr:rowOff>
        </xdr:to>
        <xdr:sp macro="" textlink="">
          <xdr:nvSpPr>
            <xdr:cNvPr id="125982" name="Group Box 30" hidden="1">
              <a:extLst>
                <a:ext uri="{63B3BB69-23CF-44E3-9099-C40C66FF867C}">
                  <a14:compatExt spid="_x0000_s125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184354</xdr:colOff>
      <xdr:row>0</xdr:row>
      <xdr:rowOff>83820</xdr:rowOff>
    </xdr:from>
    <xdr:to>
      <xdr:col>22</xdr:col>
      <xdr:colOff>21048</xdr:colOff>
      <xdr:row>1</xdr:row>
      <xdr:rowOff>119700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4354" y="83820"/>
          <a:ext cx="6750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43</xdr:row>
      <xdr:rowOff>15876</xdr:rowOff>
    </xdr:from>
    <xdr:to>
      <xdr:col>3</xdr:col>
      <xdr:colOff>150814</xdr:colOff>
      <xdr:row>45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1" y="3627439"/>
          <a:ext cx="484188" cy="42547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47625</xdr:rowOff>
        </xdr:from>
        <xdr:to>
          <xdr:col>20</xdr:col>
          <xdr:colOff>266700</xdr:colOff>
          <xdr:row>12</xdr:row>
          <xdr:rowOff>352425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12</xdr:row>
          <xdr:rowOff>142875</xdr:rowOff>
        </xdr:from>
        <xdr:to>
          <xdr:col>16</xdr:col>
          <xdr:colOff>104775</xdr:colOff>
          <xdr:row>12</xdr:row>
          <xdr:rowOff>314325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12</xdr:row>
          <xdr:rowOff>142875</xdr:rowOff>
        </xdr:from>
        <xdr:to>
          <xdr:col>18</xdr:col>
          <xdr:colOff>219075</xdr:colOff>
          <xdr:row>12</xdr:row>
          <xdr:rowOff>314325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9525</xdr:rowOff>
        </xdr:from>
        <xdr:to>
          <xdr:col>18</xdr:col>
          <xdr:colOff>276225</xdr:colOff>
          <xdr:row>14</xdr:row>
          <xdr:rowOff>76200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13</xdr:row>
          <xdr:rowOff>95250</xdr:rowOff>
        </xdr:from>
        <xdr:to>
          <xdr:col>16</xdr:col>
          <xdr:colOff>104775</xdr:colOff>
          <xdr:row>14</xdr:row>
          <xdr:rowOff>38100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13</xdr:row>
          <xdr:rowOff>95250</xdr:rowOff>
        </xdr:from>
        <xdr:to>
          <xdr:col>18</xdr:col>
          <xdr:colOff>219075</xdr:colOff>
          <xdr:row>14</xdr:row>
          <xdr:rowOff>38100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21</xdr:row>
          <xdr:rowOff>47625</xdr:rowOff>
        </xdr:from>
        <xdr:to>
          <xdr:col>12</xdr:col>
          <xdr:colOff>104775</xdr:colOff>
          <xdr:row>21</xdr:row>
          <xdr:rowOff>171450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21</xdr:row>
          <xdr:rowOff>47625</xdr:rowOff>
        </xdr:from>
        <xdr:to>
          <xdr:col>13</xdr:col>
          <xdr:colOff>276225</xdr:colOff>
          <xdr:row>21</xdr:row>
          <xdr:rowOff>171450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24</xdr:row>
          <xdr:rowOff>47625</xdr:rowOff>
        </xdr:from>
        <xdr:to>
          <xdr:col>12</xdr:col>
          <xdr:colOff>104775</xdr:colOff>
          <xdr:row>24</xdr:row>
          <xdr:rowOff>171450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24</xdr:row>
          <xdr:rowOff>47625</xdr:rowOff>
        </xdr:from>
        <xdr:to>
          <xdr:col>13</xdr:col>
          <xdr:colOff>276225</xdr:colOff>
          <xdr:row>24</xdr:row>
          <xdr:rowOff>171450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14</xdr:row>
          <xdr:rowOff>209550</xdr:rowOff>
        </xdr:from>
        <xdr:to>
          <xdr:col>16</xdr:col>
          <xdr:colOff>104775</xdr:colOff>
          <xdr:row>15</xdr:row>
          <xdr:rowOff>152400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14</xdr:row>
          <xdr:rowOff>209550</xdr:rowOff>
        </xdr:from>
        <xdr:to>
          <xdr:col>18</xdr:col>
          <xdr:colOff>219075</xdr:colOff>
          <xdr:row>15</xdr:row>
          <xdr:rowOff>152400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104775</xdr:rowOff>
        </xdr:from>
        <xdr:to>
          <xdr:col>18</xdr:col>
          <xdr:colOff>276225</xdr:colOff>
          <xdr:row>15</xdr:row>
          <xdr:rowOff>190500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9525</xdr:rowOff>
        </xdr:from>
        <xdr:to>
          <xdr:col>13</xdr:col>
          <xdr:colOff>304800</xdr:colOff>
          <xdr:row>21</xdr:row>
          <xdr:rowOff>219075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9525</xdr:rowOff>
        </xdr:from>
        <xdr:to>
          <xdr:col>13</xdr:col>
          <xdr:colOff>304800</xdr:colOff>
          <xdr:row>24</xdr:row>
          <xdr:rowOff>219075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241</xdr:row>
      <xdr:rowOff>15876</xdr:rowOff>
    </xdr:from>
    <xdr:to>
      <xdr:col>3</xdr:col>
      <xdr:colOff>150814</xdr:colOff>
      <xdr:row>243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44525</xdr:colOff>
      <xdr:row>145</xdr:row>
      <xdr:rowOff>37363</xdr:rowOff>
    </xdr:from>
    <xdr:to>
      <xdr:col>4</xdr:col>
      <xdr:colOff>42971</xdr:colOff>
      <xdr:row>148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189</xdr:row>
      <xdr:rowOff>61347</xdr:rowOff>
    </xdr:from>
    <xdr:to>
      <xdr:col>4</xdr:col>
      <xdr:colOff>35463</xdr:colOff>
      <xdr:row>193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50130</xdr:colOff>
      <xdr:row>20</xdr:row>
      <xdr:rowOff>26384</xdr:rowOff>
    </xdr:from>
    <xdr:to>
      <xdr:col>4</xdr:col>
      <xdr:colOff>6815</xdr:colOff>
      <xdr:row>24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57150</xdr:rowOff>
        </xdr:from>
        <xdr:to>
          <xdr:col>20</xdr:col>
          <xdr:colOff>333375</xdr:colOff>
          <xdr:row>33</xdr:row>
          <xdr:rowOff>133350</xdr:rowOff>
        </xdr:to>
        <xdr:sp macro="" textlink="">
          <xdr:nvSpPr>
            <xdr:cNvPr id="78849" name="Group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véspera do Afastamento, servidor em pelo menos uma das situações abaixo?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133350</xdr:colOff>
          <xdr:row>32</xdr:row>
          <xdr:rowOff>95250</xdr:rowOff>
        </xdr:from>
        <xdr:to>
          <xdr:col>18</xdr:col>
          <xdr:colOff>190500</xdr:colOff>
          <xdr:row>33</xdr:row>
          <xdr:rowOff>95250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247650</xdr:colOff>
          <xdr:row>32</xdr:row>
          <xdr:rowOff>95250</xdr:rowOff>
        </xdr:from>
        <xdr:to>
          <xdr:col>20</xdr:col>
          <xdr:colOff>295275</xdr:colOff>
          <xdr:row>33</xdr:row>
          <xdr:rowOff>95250</xdr:rowOff>
        </xdr:to>
        <xdr:sp macro="" textlink="">
          <xdr:nvSpPr>
            <xdr:cNvPr id="78851" name="Option 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52</xdr:row>
          <xdr:rowOff>0</xdr:rowOff>
        </xdr:from>
        <xdr:to>
          <xdr:col>12</xdr:col>
          <xdr:colOff>276225</xdr:colOff>
          <xdr:row>53</xdr:row>
          <xdr:rowOff>85725</xdr:rowOff>
        </xdr:to>
        <xdr:sp macro="" textlink="">
          <xdr:nvSpPr>
            <xdr:cNvPr id="78852" name="Group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52</xdr:row>
          <xdr:rowOff>28575</xdr:rowOff>
        </xdr:from>
        <xdr:to>
          <xdr:col>11</xdr:col>
          <xdr:colOff>0</xdr:colOff>
          <xdr:row>52</xdr:row>
          <xdr:rowOff>161925</xdr:rowOff>
        </xdr:to>
        <xdr:sp macro="" textlink="">
          <xdr:nvSpPr>
            <xdr:cNvPr id="78853" name="Option Button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52</xdr:row>
          <xdr:rowOff>28575</xdr:rowOff>
        </xdr:from>
        <xdr:to>
          <xdr:col>12</xdr:col>
          <xdr:colOff>219075</xdr:colOff>
          <xdr:row>52</xdr:row>
          <xdr:rowOff>161925</xdr:rowOff>
        </xdr:to>
        <xdr:sp macro="" textlink="">
          <xdr:nvSpPr>
            <xdr:cNvPr id="78854" name="Option Button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171450</xdr:rowOff>
        </xdr:from>
        <xdr:to>
          <xdr:col>10</xdr:col>
          <xdr:colOff>285750</xdr:colOff>
          <xdr:row>32</xdr:row>
          <xdr:rowOff>19050</xdr:rowOff>
        </xdr:to>
        <xdr:sp macro="" textlink="">
          <xdr:nvSpPr>
            <xdr:cNvPr id="78855" name="Group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30</xdr:row>
          <xdr:rowOff>38100</xdr:rowOff>
        </xdr:from>
        <xdr:to>
          <xdr:col>7</xdr:col>
          <xdr:colOff>0</xdr:colOff>
          <xdr:row>30</xdr:row>
          <xdr:rowOff>161925</xdr:rowOff>
        </xdr:to>
        <xdr:sp macro="" textlink="">
          <xdr:nvSpPr>
            <xdr:cNvPr id="78856" name="Option Button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Afastamento Preliminar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30</xdr:row>
          <xdr:rowOff>38100</xdr:rowOff>
        </xdr:from>
        <xdr:to>
          <xdr:col>10</xdr:col>
          <xdr:colOff>257175</xdr:colOff>
          <xdr:row>30</xdr:row>
          <xdr:rowOff>161925</xdr:rowOff>
        </xdr:to>
        <xdr:sp macro="" textlink="">
          <xdr:nvSpPr>
            <xdr:cNvPr id="78857" name="Option Button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Falecimento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59</xdr:row>
          <xdr:rowOff>142875</xdr:rowOff>
        </xdr:from>
        <xdr:to>
          <xdr:col>13</xdr:col>
          <xdr:colOff>66675</xdr:colOff>
          <xdr:row>61</xdr:row>
          <xdr:rowOff>47625</xdr:rowOff>
        </xdr:to>
        <xdr:sp macro="" textlink="">
          <xdr:nvSpPr>
            <xdr:cNvPr id="78858" name="Group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60</xdr:row>
          <xdr:rowOff>9525</xdr:rowOff>
        </xdr:from>
        <xdr:to>
          <xdr:col>11</xdr:col>
          <xdr:colOff>114300</xdr:colOff>
          <xdr:row>60</xdr:row>
          <xdr:rowOff>152400</xdr:rowOff>
        </xdr:to>
        <xdr:sp macro="" textlink="">
          <xdr:nvSpPr>
            <xdr:cNvPr id="78859" name="Option Button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180975</xdr:colOff>
          <xdr:row>60</xdr:row>
          <xdr:rowOff>9525</xdr:rowOff>
        </xdr:from>
        <xdr:to>
          <xdr:col>13</xdr:col>
          <xdr:colOff>9525</xdr:colOff>
          <xdr:row>60</xdr:row>
          <xdr:rowOff>152400</xdr:rowOff>
        </xdr:to>
        <xdr:sp macro="" textlink="">
          <xdr:nvSpPr>
            <xdr:cNvPr id="78860" name="Option Button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50130</xdr:colOff>
      <xdr:row>84</xdr:row>
      <xdr:rowOff>26384</xdr:rowOff>
    </xdr:from>
    <xdr:to>
      <xdr:col>4</xdr:col>
      <xdr:colOff>6815</xdr:colOff>
      <xdr:row>88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080" y="14447234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27</xdr:row>
          <xdr:rowOff>9525</xdr:rowOff>
        </xdr:from>
        <xdr:to>
          <xdr:col>20</xdr:col>
          <xdr:colOff>323850</xdr:colOff>
          <xdr:row>29</xdr:row>
          <xdr:rowOff>0</xdr:rowOff>
        </xdr:to>
        <xdr:sp macro="" textlink="">
          <xdr:nvSpPr>
            <xdr:cNvPr id="78861" name="Group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104775</xdr:colOff>
          <xdr:row>28</xdr:row>
          <xdr:rowOff>19050</xdr:rowOff>
        </xdr:from>
        <xdr:to>
          <xdr:col>18</xdr:col>
          <xdr:colOff>161925</xdr:colOff>
          <xdr:row>28</xdr:row>
          <xdr:rowOff>142875</xdr:rowOff>
        </xdr:to>
        <xdr:sp macro="" textlink="">
          <xdr:nvSpPr>
            <xdr:cNvPr id="78862" name="Option Button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219075</xdr:colOff>
          <xdr:row>28</xdr:row>
          <xdr:rowOff>19050</xdr:rowOff>
        </xdr:from>
        <xdr:to>
          <xdr:col>20</xdr:col>
          <xdr:colOff>257175</xdr:colOff>
          <xdr:row>28</xdr:row>
          <xdr:rowOff>142875</xdr:rowOff>
        </xdr:to>
        <xdr:sp macro="" textlink="">
          <xdr:nvSpPr>
            <xdr:cNvPr id="78863" name="Option Button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54</xdr:row>
          <xdr:rowOff>152400</xdr:rowOff>
        </xdr:from>
        <xdr:to>
          <xdr:col>12</xdr:col>
          <xdr:colOff>276225</xdr:colOff>
          <xdr:row>56</xdr:row>
          <xdr:rowOff>66675</xdr:rowOff>
        </xdr:to>
        <xdr:sp macro="" textlink="">
          <xdr:nvSpPr>
            <xdr:cNvPr id="78864" name="Group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55</xdr:row>
          <xdr:rowOff>19050</xdr:rowOff>
        </xdr:from>
        <xdr:to>
          <xdr:col>11</xdr:col>
          <xdr:colOff>0</xdr:colOff>
          <xdr:row>55</xdr:row>
          <xdr:rowOff>161925</xdr:rowOff>
        </xdr:to>
        <xdr:sp macro="" textlink="">
          <xdr:nvSpPr>
            <xdr:cNvPr id="78865" name="Option Button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55</xdr:row>
          <xdr:rowOff>19050</xdr:rowOff>
        </xdr:from>
        <xdr:to>
          <xdr:col>12</xdr:col>
          <xdr:colOff>219075</xdr:colOff>
          <xdr:row>55</xdr:row>
          <xdr:rowOff>161925</xdr:rowOff>
        </xdr:to>
        <xdr:sp macro="" textlink="">
          <xdr:nvSpPr>
            <xdr:cNvPr id="78866" name="Option Button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28575</xdr:rowOff>
        </xdr:from>
        <xdr:to>
          <xdr:col>11</xdr:col>
          <xdr:colOff>247650</xdr:colOff>
          <xdr:row>12</xdr:row>
          <xdr:rowOff>361950</xdr:rowOff>
        </xdr:to>
        <xdr:sp macro="" textlink="">
          <xdr:nvSpPr>
            <xdr:cNvPr id="46081" name="Caixa de grupo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CARGO DESIGNADO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15876</xdr:colOff>
      <xdr:row>51</xdr:row>
      <xdr:rowOff>15876</xdr:rowOff>
    </xdr:from>
    <xdr:to>
      <xdr:col>3</xdr:col>
      <xdr:colOff>150814</xdr:colOff>
      <xdr:row>53</xdr:row>
      <xdr:rowOff>44471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5435601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10</xdr:row>
          <xdr:rowOff>161925</xdr:rowOff>
        </xdr:from>
        <xdr:to>
          <xdr:col>3</xdr:col>
          <xdr:colOff>314325</xdr:colOff>
          <xdr:row>11</xdr:row>
          <xdr:rowOff>209550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10</xdr:row>
          <xdr:rowOff>161925</xdr:rowOff>
        </xdr:from>
        <xdr:to>
          <xdr:col>5</xdr:col>
          <xdr:colOff>314325</xdr:colOff>
          <xdr:row>11</xdr:row>
          <xdr:rowOff>209550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PEBS1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</xdr:colOff>
          <xdr:row>10</xdr:row>
          <xdr:rowOff>161925</xdr:rowOff>
        </xdr:from>
        <xdr:to>
          <xdr:col>9</xdr:col>
          <xdr:colOff>238125</xdr:colOff>
          <xdr:row>11</xdr:row>
          <xdr:rowOff>209550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MAG.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12</xdr:row>
          <xdr:rowOff>38100</xdr:rowOff>
        </xdr:from>
        <xdr:to>
          <xdr:col>3</xdr:col>
          <xdr:colOff>314325</xdr:colOff>
          <xdr:row>12</xdr:row>
          <xdr:rowOff>314325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38100</xdr:rowOff>
        </xdr:from>
        <xdr:to>
          <xdr:col>5</xdr:col>
          <xdr:colOff>314325</xdr:colOff>
          <xdr:row>12</xdr:row>
          <xdr:rowOff>314325</xdr:rowOff>
        </xdr:to>
        <xdr:sp macro="" textlink="">
          <xdr:nvSpPr>
            <xdr:cNvPr id="46086" name="Option 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12</xdr:row>
          <xdr:rowOff>38100</xdr:rowOff>
        </xdr:from>
        <xdr:to>
          <xdr:col>7</xdr:col>
          <xdr:colOff>314325</xdr:colOff>
          <xdr:row>12</xdr:row>
          <xdr:rowOff>314325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ANEID1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28575</xdr:rowOff>
        </xdr:from>
        <xdr:to>
          <xdr:col>20</xdr:col>
          <xdr:colOff>247650</xdr:colOff>
          <xdr:row>12</xdr:row>
          <xdr:rowOff>333375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Período da Designação Ultrapassa o Mês 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12</xdr:row>
          <xdr:rowOff>133350</xdr:rowOff>
        </xdr:from>
        <xdr:to>
          <xdr:col>16</xdr:col>
          <xdr:colOff>85725</xdr:colOff>
          <xdr:row>12</xdr:row>
          <xdr:rowOff>304800</xdr:rowOff>
        </xdr:to>
        <xdr:sp macro="" textlink="">
          <xdr:nvSpPr>
            <xdr:cNvPr id="46089" name="Option 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12</xdr:row>
          <xdr:rowOff>133350</xdr:rowOff>
        </xdr:from>
        <xdr:to>
          <xdr:col>18</xdr:col>
          <xdr:colOff>209550</xdr:colOff>
          <xdr:row>12</xdr:row>
          <xdr:rowOff>304800</xdr:rowOff>
        </xdr:to>
        <xdr:sp macro="" textlink="">
          <xdr:nvSpPr>
            <xdr:cNvPr id="46090" name="Option 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10</xdr:row>
          <xdr:rowOff>161925</xdr:rowOff>
        </xdr:from>
        <xdr:to>
          <xdr:col>7</xdr:col>
          <xdr:colOff>314325</xdr:colOff>
          <xdr:row>11</xdr:row>
          <xdr:rowOff>209550</xdr:rowOff>
        </xdr:to>
        <xdr:sp macro="" textlink="">
          <xdr:nvSpPr>
            <xdr:cNvPr id="46091" name="Option 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ASBD1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10</xdr:row>
          <xdr:rowOff>161925</xdr:rowOff>
        </xdr:from>
        <xdr:to>
          <xdr:col>11</xdr:col>
          <xdr:colOff>209550</xdr:colOff>
          <xdr:row>11</xdr:row>
          <xdr:rowOff>209550</xdr:rowOff>
        </xdr:to>
        <xdr:sp macro="" textlink="">
          <xdr:nvSpPr>
            <xdr:cNvPr id="46092" name="Option 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19050</xdr:rowOff>
        </xdr:from>
        <xdr:to>
          <xdr:col>20</xdr:col>
          <xdr:colOff>247650</xdr:colOff>
          <xdr:row>6</xdr:row>
          <xdr:rowOff>276225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Situação de Ingresso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104775</xdr:rowOff>
        </xdr:from>
        <xdr:to>
          <xdr:col>11</xdr:col>
          <xdr:colOff>285750</xdr:colOff>
          <xdr:row>6</xdr:row>
          <xdr:rowOff>247650</xdr:rowOff>
        </xdr:to>
        <xdr:sp macro="" textlink="">
          <xdr:nvSpPr>
            <xdr:cNvPr id="46094" name="Option 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/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6</xdr:row>
          <xdr:rowOff>104775</xdr:rowOff>
        </xdr:from>
        <xdr:to>
          <xdr:col>16</xdr:col>
          <xdr:colOff>152400</xdr:colOff>
          <xdr:row>6</xdr:row>
          <xdr:rowOff>247650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12</xdr:row>
          <xdr:rowOff>371475</xdr:rowOff>
        </xdr:from>
        <xdr:to>
          <xdr:col>18</xdr:col>
          <xdr:colOff>247650</xdr:colOff>
          <xdr:row>14</xdr:row>
          <xdr:rowOff>66675</xdr:rowOff>
        </xdr:to>
        <xdr:sp macro="" textlink="">
          <xdr:nvSpPr>
            <xdr:cNvPr id="46096" name="Group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Professor Regente 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13</xdr:row>
          <xdr:rowOff>95250</xdr:rowOff>
        </xdr:from>
        <xdr:to>
          <xdr:col>16</xdr:col>
          <xdr:colOff>85725</xdr:colOff>
          <xdr:row>14</xdr:row>
          <xdr:rowOff>38100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13</xdr:row>
          <xdr:rowOff>95250</xdr:rowOff>
        </xdr:from>
        <xdr:to>
          <xdr:col>18</xdr:col>
          <xdr:colOff>209550</xdr:colOff>
          <xdr:row>14</xdr:row>
          <xdr:rowOff>38100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Turmas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43</xdr:row>
          <xdr:rowOff>161925</xdr:rowOff>
        </xdr:from>
        <xdr:to>
          <xdr:col>12</xdr:col>
          <xdr:colOff>85725</xdr:colOff>
          <xdr:row>44</xdr:row>
          <xdr:rowOff>57150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43</xdr:row>
          <xdr:rowOff>161925</xdr:rowOff>
        </xdr:from>
        <xdr:to>
          <xdr:col>13</xdr:col>
          <xdr:colOff>247650</xdr:colOff>
          <xdr:row>44</xdr:row>
          <xdr:rowOff>57150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44</xdr:row>
          <xdr:rowOff>161925</xdr:rowOff>
        </xdr:from>
        <xdr:to>
          <xdr:col>12</xdr:col>
          <xdr:colOff>85725</xdr:colOff>
          <xdr:row>45</xdr:row>
          <xdr:rowOff>85725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44</xdr:row>
          <xdr:rowOff>161925</xdr:rowOff>
        </xdr:from>
        <xdr:to>
          <xdr:col>13</xdr:col>
          <xdr:colOff>247650</xdr:colOff>
          <xdr:row>45</xdr:row>
          <xdr:rowOff>85725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14</xdr:row>
          <xdr:rowOff>209550</xdr:rowOff>
        </xdr:from>
        <xdr:to>
          <xdr:col>16</xdr:col>
          <xdr:colOff>85725</xdr:colOff>
          <xdr:row>15</xdr:row>
          <xdr:rowOff>152400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C. Vago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142875</xdr:colOff>
          <xdr:row>14</xdr:row>
          <xdr:rowOff>209550</xdr:rowOff>
        </xdr:from>
        <xdr:to>
          <xdr:col>18</xdr:col>
          <xdr:colOff>209550</xdr:colOff>
          <xdr:row>15</xdr:row>
          <xdr:rowOff>152400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Subst.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14</xdr:row>
          <xdr:rowOff>95250</xdr:rowOff>
        </xdr:from>
        <xdr:to>
          <xdr:col>18</xdr:col>
          <xdr:colOff>247650</xdr:colOff>
          <xdr:row>15</xdr:row>
          <xdr:rowOff>180975</xdr:rowOff>
        </xdr:to>
        <xdr:sp macro="" textlink="">
          <xdr:nvSpPr>
            <xdr:cNvPr id="46105" name="Group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Extensão: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41</xdr:row>
          <xdr:rowOff>0</xdr:rowOff>
        </xdr:from>
        <xdr:to>
          <xdr:col>13</xdr:col>
          <xdr:colOff>276225</xdr:colOff>
          <xdr:row>41</xdr:row>
          <xdr:rowOff>209550</xdr:rowOff>
        </xdr:to>
        <xdr:sp macro="" textlink="">
          <xdr:nvSpPr>
            <xdr:cNvPr id="46106" name="Group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42</xdr:row>
          <xdr:rowOff>9525</xdr:rowOff>
        </xdr:from>
        <xdr:to>
          <xdr:col>13</xdr:col>
          <xdr:colOff>276225</xdr:colOff>
          <xdr:row>42</xdr:row>
          <xdr:rowOff>219075</xdr:rowOff>
        </xdr:to>
        <xdr:sp macro="" textlink="">
          <xdr:nvSpPr>
            <xdr:cNvPr id="46107" name="Group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20</xdr:row>
      <xdr:rowOff>15876</xdr:rowOff>
    </xdr:from>
    <xdr:to>
      <xdr:col>3</xdr:col>
      <xdr:colOff>150814</xdr:colOff>
      <xdr:row>22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3849</xdr:colOff>
      <xdr:row>3</xdr:row>
      <xdr:rowOff>41370</xdr:rowOff>
    </xdr:from>
    <xdr:to>
      <xdr:col>6</xdr:col>
      <xdr:colOff>67349</xdr:colOff>
      <xdr:row>5</xdr:row>
      <xdr:rowOff>147205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6128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35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6851096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4</xdr:col>
      <xdr:colOff>3849</xdr:colOff>
      <xdr:row>62</xdr:row>
      <xdr:rowOff>41370</xdr:rowOff>
    </xdr:from>
    <xdr:to>
      <xdr:col>6</xdr:col>
      <xdr:colOff>67349</xdr:colOff>
      <xdr:row>64</xdr:row>
      <xdr:rowOff>147205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9174" y="11547570"/>
          <a:ext cx="425450" cy="48683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152400</xdr:colOff>
          <xdr:row>8</xdr:row>
          <xdr:rowOff>19050</xdr:rowOff>
        </xdr:from>
        <xdr:to>
          <xdr:col>29</xdr:col>
          <xdr:colOff>123825</xdr:colOff>
          <xdr:row>8</xdr:row>
          <xdr:rowOff>171450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152400</xdr:colOff>
          <xdr:row>8</xdr:row>
          <xdr:rowOff>19050</xdr:rowOff>
        </xdr:from>
        <xdr:to>
          <xdr:col>33</xdr:col>
          <xdr:colOff>142875</xdr:colOff>
          <xdr:row>8</xdr:row>
          <xdr:rowOff>171450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0</xdr:row>
      <xdr:rowOff>50800</xdr:rowOff>
    </xdr:from>
    <xdr:to>
      <xdr:col>46</xdr:col>
      <xdr:colOff>12700</xdr:colOff>
      <xdr:row>0</xdr:row>
      <xdr:rowOff>230800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247650" y="50800"/>
          <a:ext cx="8928100" cy="18000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34291</xdr:rowOff>
    </xdr:from>
    <xdr:to>
      <xdr:col>4</xdr:col>
      <xdr:colOff>19551</xdr:colOff>
      <xdr:row>5</xdr:row>
      <xdr:rowOff>9972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1490" y="605791"/>
          <a:ext cx="404361" cy="356681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44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22925" y="81064"/>
          <a:ext cx="96480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86</xdr:row>
      <xdr:rowOff>39316</xdr:rowOff>
    </xdr:from>
    <xdr:to>
      <xdr:col>4</xdr:col>
      <xdr:colOff>5527</xdr:colOff>
      <xdr:row>88</xdr:row>
      <xdr:rowOff>14996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466" y="15955591"/>
          <a:ext cx="404361" cy="35668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0</xdr:row>
      <xdr:rowOff>65483</xdr:rowOff>
    </xdr:from>
    <xdr:to>
      <xdr:col>6</xdr:col>
      <xdr:colOff>5952</xdr:colOff>
      <xdr:row>1</xdr:row>
      <xdr:rowOff>122633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78593" y="65483"/>
          <a:ext cx="5649515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3</xdr:row>
      <xdr:rowOff>39687</xdr:rowOff>
    </xdr:from>
    <xdr:to>
      <xdr:col>4</xdr:col>
      <xdr:colOff>142875</xdr:colOff>
      <xdr:row>5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8465" y="619125"/>
          <a:ext cx="454660" cy="547688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219074" y="81064"/>
          <a:ext cx="1008007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39316</xdr:colOff>
      <xdr:row>54</xdr:row>
      <xdr:rowOff>39315</xdr:rowOff>
    </xdr:from>
    <xdr:to>
      <xdr:col>4</xdr:col>
      <xdr:colOff>127791</xdr:colOff>
      <xdr:row>56</xdr:row>
      <xdr:rowOff>189640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4441" y="11723315"/>
          <a:ext cx="453600" cy="5472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11</xdr:row>
          <xdr:rowOff>171450</xdr:rowOff>
        </xdr:from>
        <xdr:to>
          <xdr:col>17</xdr:col>
          <xdr:colOff>152400</xdr:colOff>
          <xdr:row>12</xdr:row>
          <xdr:rowOff>190500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Efetivo ou Efetivado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76200</xdr:colOff>
          <xdr:row>11</xdr:row>
          <xdr:rowOff>171450</xdr:rowOff>
        </xdr:from>
        <xdr:to>
          <xdr:col>24</xdr:col>
          <xdr:colOff>28575</xdr:colOff>
          <xdr:row>12</xdr:row>
          <xdr:rowOff>190500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12700">
                  <a:solidFill>
                    <a:srgbClr val="33333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Designado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2</xdr:row>
      <xdr:rowOff>190500</xdr:rowOff>
    </xdr:from>
    <xdr:to>
      <xdr:col>5</xdr:col>
      <xdr:colOff>95249</xdr:colOff>
      <xdr:row>6</xdr:row>
      <xdr:rowOff>111124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6875" y="571500"/>
          <a:ext cx="611187" cy="5714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-1</xdr:colOff>
      <xdr:row>0</xdr:row>
      <xdr:rowOff>81064</xdr:rowOff>
    </xdr:from>
    <xdr:to>
      <xdr:col>36</xdr:col>
      <xdr:colOff>21670</xdr:colOff>
      <xdr:row>1</xdr:row>
      <xdr:rowOff>124135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4" y="81064"/>
          <a:ext cx="6365321" cy="233571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17813</xdr:colOff>
      <xdr:row>33</xdr:row>
      <xdr:rowOff>15501</xdr:rowOff>
    </xdr:from>
    <xdr:to>
      <xdr:col>5</xdr:col>
      <xdr:colOff>79888</xdr:colOff>
      <xdr:row>36</xdr:row>
      <xdr:rowOff>135464</xdr:rowOff>
    </xdr:to>
    <xdr:pic>
      <xdr:nvPicPr>
        <xdr:cNvPr id="4" name="Picture 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2938" y="4770064"/>
          <a:ext cx="609763" cy="57240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41232</xdr:rowOff>
    </xdr:from>
    <xdr:to>
      <xdr:col>22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50130</xdr:colOff>
      <xdr:row>10</xdr:row>
      <xdr:rowOff>26384</xdr:rowOff>
    </xdr:from>
    <xdr:to>
      <xdr:col>4</xdr:col>
      <xdr:colOff>6815</xdr:colOff>
      <xdr:row>14</xdr:row>
      <xdr:rowOff>20708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346490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41</xdr:row>
          <xdr:rowOff>104775</xdr:rowOff>
        </xdr:from>
        <xdr:to>
          <xdr:col>12</xdr:col>
          <xdr:colOff>295275</xdr:colOff>
          <xdr:row>43</xdr:row>
          <xdr:rowOff>152400</xdr:rowOff>
        </xdr:to>
        <xdr:sp macro="" textlink="">
          <xdr:nvSpPr>
            <xdr:cNvPr id="35844" name="Group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28575</xdr:rowOff>
        </xdr:from>
        <xdr:to>
          <xdr:col>11</xdr:col>
          <xdr:colOff>19050</xdr:colOff>
          <xdr:row>42</xdr:row>
          <xdr:rowOff>152400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42</xdr:row>
          <xdr:rowOff>28575</xdr:rowOff>
        </xdr:from>
        <xdr:to>
          <xdr:col>12</xdr:col>
          <xdr:colOff>238125</xdr:colOff>
          <xdr:row>42</xdr:row>
          <xdr:rowOff>152400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45</xdr:row>
          <xdr:rowOff>19050</xdr:rowOff>
        </xdr:from>
        <xdr:to>
          <xdr:col>13</xdr:col>
          <xdr:colOff>66675</xdr:colOff>
          <xdr:row>50</xdr:row>
          <xdr:rowOff>47625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50130</xdr:colOff>
      <xdr:row>73</xdr:row>
      <xdr:rowOff>26384</xdr:rowOff>
    </xdr:from>
    <xdr:to>
      <xdr:col>4</xdr:col>
      <xdr:colOff>6815</xdr:colOff>
      <xdr:row>77</xdr:row>
      <xdr:rowOff>20708</xdr:rowOff>
    </xdr:to>
    <xdr:pic>
      <xdr:nvPicPr>
        <xdr:cNvPr id="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12080" y="14266259"/>
          <a:ext cx="661535" cy="5181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17</xdr:row>
          <xdr:rowOff>28575</xdr:rowOff>
        </xdr:from>
        <xdr:to>
          <xdr:col>20</xdr:col>
          <xdr:colOff>295275</xdr:colOff>
          <xdr:row>20</xdr:row>
          <xdr:rowOff>19050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76200</xdr:colOff>
          <xdr:row>18</xdr:row>
          <xdr:rowOff>47625</xdr:rowOff>
        </xdr:from>
        <xdr:to>
          <xdr:col>18</xdr:col>
          <xdr:colOff>133350</xdr:colOff>
          <xdr:row>18</xdr:row>
          <xdr:rowOff>171450</xdr:rowOff>
        </xdr:to>
        <xdr:sp macro="" textlink="">
          <xdr:nvSpPr>
            <xdr:cNvPr id="35854" name="Option Button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190500</xdr:colOff>
          <xdr:row>18</xdr:row>
          <xdr:rowOff>47625</xdr:rowOff>
        </xdr:from>
        <xdr:to>
          <xdr:col>20</xdr:col>
          <xdr:colOff>228600</xdr:colOff>
          <xdr:row>18</xdr:row>
          <xdr:rowOff>171450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295275</xdr:colOff>
          <xdr:row>49</xdr:row>
          <xdr:rowOff>19050</xdr:rowOff>
        </xdr:from>
        <xdr:to>
          <xdr:col>11</xdr:col>
          <xdr:colOff>104775</xdr:colOff>
          <xdr:row>49</xdr:row>
          <xdr:rowOff>152400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161925</xdr:colOff>
          <xdr:row>49</xdr:row>
          <xdr:rowOff>19050</xdr:rowOff>
        </xdr:from>
        <xdr:to>
          <xdr:col>13</xdr:col>
          <xdr:colOff>19050</xdr:colOff>
          <xdr:row>49</xdr:row>
          <xdr:rowOff>152400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185</xdr:row>
      <xdr:rowOff>15876</xdr:rowOff>
    </xdr:from>
    <xdr:to>
      <xdr:col>4</xdr:col>
      <xdr:colOff>150814</xdr:colOff>
      <xdr:row>187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471646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37</xdr:col>
      <xdr:colOff>0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xdr:twoCellAnchor>
    <xdr:from>
      <xdr:col>2</xdr:col>
      <xdr:colOff>44525</xdr:colOff>
      <xdr:row>89</xdr:row>
      <xdr:rowOff>37363</xdr:rowOff>
    </xdr:from>
    <xdr:to>
      <xdr:col>6</xdr:col>
      <xdr:colOff>42971</xdr:colOff>
      <xdr:row>92</xdr:row>
      <xdr:rowOff>114587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475" y="25335763"/>
          <a:ext cx="703296" cy="562999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2</xdr:col>
      <xdr:colOff>37364</xdr:colOff>
      <xdr:row>133</xdr:row>
      <xdr:rowOff>61347</xdr:rowOff>
    </xdr:from>
    <xdr:to>
      <xdr:col>6</xdr:col>
      <xdr:colOff>35463</xdr:colOff>
      <xdr:row>137</xdr:row>
      <xdr:rowOff>33492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9314" y="36351597"/>
          <a:ext cx="702949" cy="534120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47625</xdr:rowOff>
        </xdr:from>
        <xdr:to>
          <xdr:col>8</xdr:col>
          <xdr:colOff>9525</xdr:colOff>
          <xdr:row>7</xdr:row>
          <xdr:rowOff>190500</xdr:rowOff>
        </xdr:to>
        <xdr:sp macro="" textlink="">
          <xdr:nvSpPr>
            <xdr:cNvPr id="69633" name="Option 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47625</xdr:rowOff>
        </xdr:from>
        <xdr:to>
          <xdr:col>9</xdr:col>
          <xdr:colOff>200025</xdr:colOff>
          <xdr:row>7</xdr:row>
          <xdr:rowOff>190500</xdr:rowOff>
        </xdr:to>
        <xdr:sp macro="" textlink="">
          <xdr:nvSpPr>
            <xdr:cNvPr id="69634" name="Option 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7</xdr:row>
          <xdr:rowOff>19050</xdr:rowOff>
        </xdr:from>
        <xdr:to>
          <xdr:col>9</xdr:col>
          <xdr:colOff>238125</xdr:colOff>
          <xdr:row>7</xdr:row>
          <xdr:rowOff>238125</xdr:rowOff>
        </xdr:to>
        <xdr:sp macro="" textlink="">
          <xdr:nvSpPr>
            <xdr:cNvPr id="69635" name="Group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219075</xdr:colOff>
          <xdr:row>20</xdr:row>
          <xdr:rowOff>28575</xdr:rowOff>
        </xdr:from>
        <xdr:to>
          <xdr:col>23</xdr:col>
          <xdr:colOff>190500</xdr:colOff>
          <xdr:row>20</xdr:row>
          <xdr:rowOff>171450</xdr:rowOff>
        </xdr:to>
        <xdr:sp macro="" textlink="">
          <xdr:nvSpPr>
            <xdr:cNvPr id="69638" name="Option Button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CRÉDITO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85725</xdr:colOff>
          <xdr:row>20</xdr:row>
          <xdr:rowOff>28575</xdr:rowOff>
        </xdr:from>
        <xdr:to>
          <xdr:col>28</xdr:col>
          <xdr:colOff>76200</xdr:colOff>
          <xdr:row>20</xdr:row>
          <xdr:rowOff>171450</xdr:rowOff>
        </xdr:to>
        <xdr:sp macro="" textlink="">
          <xdr:nvSpPr>
            <xdr:cNvPr id="69639" name="Option Button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DÉBITO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15876</xdr:colOff>
      <xdr:row>21</xdr:row>
      <xdr:rowOff>15876</xdr:rowOff>
    </xdr:from>
    <xdr:to>
      <xdr:col>3</xdr:col>
      <xdr:colOff>150814</xdr:colOff>
      <xdr:row>23</xdr:row>
      <xdr:rowOff>44471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826" y="3082926"/>
          <a:ext cx="487363" cy="428645"/>
        </a:xfrm>
        <a:prstGeom prst="rect">
          <a:avLst/>
        </a:prstGeom>
        <a:blipFill dpi="0" rotWithShape="0">
          <a:blip xmlns:r="http://schemas.openxmlformats.org/officeDocument/2006/relationships" cstate="print"/>
          <a:srcRect/>
          <a:stretch>
            <a:fillRect/>
          </a:stretch>
        </a:blipFill>
        <a:ln w="63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>
    <xdr:from>
      <xdr:col>1</xdr:col>
      <xdr:colOff>0</xdr:colOff>
      <xdr:row>0</xdr:row>
      <xdr:rowOff>41232</xdr:rowOff>
    </xdr:from>
    <xdr:to>
      <xdr:col>22</xdr:col>
      <xdr:colOff>21049</xdr:colOff>
      <xdr:row>1</xdr:row>
      <xdr:rowOff>76794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180975" y="41232"/>
          <a:ext cx="6724650" cy="1593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</xdr:colOff>
          <xdr:row>9</xdr:row>
          <xdr:rowOff>57150</xdr:rowOff>
        </xdr:from>
        <xdr:to>
          <xdr:col>19</xdr:col>
          <xdr:colOff>161925</xdr:colOff>
          <xdr:row>9</xdr:row>
          <xdr:rowOff>266700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219075</xdr:colOff>
          <xdr:row>9</xdr:row>
          <xdr:rowOff>57150</xdr:rowOff>
        </xdr:from>
        <xdr:to>
          <xdr:col>20</xdr:col>
          <xdr:colOff>333375</xdr:colOff>
          <xdr:row>9</xdr:row>
          <xdr:rowOff>266700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008000" mc:Ignorable="a14" a14:legacySpreadsheetColorIndex="17"/>
                </a:gs>
                <a:gs pos="50000">
                  <a:srgbClr val="00FF00" mc:Ignorable="a14" a14:legacySpreadsheetColorIndex="11"/>
                </a:gs>
                <a:gs pos="100000">
                  <a:srgbClr val="008000" mc:Ignorable="a14" a14:legacySpreadsheetColorIndex="17"/>
                </a:gs>
              </a:gsLst>
              <a:lin ang="5400000" scaled="1"/>
            </a:gradFill>
            <a:ln w="12700">
              <a:solidFill>
                <a:srgbClr val="333333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17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2880" y="83820"/>
          <a:ext cx="13867200" cy="23559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                                        INÍCIO                         INÍCIO                             INÍCIO                              INÍCIO	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83820</xdr:rowOff>
    </xdr:from>
    <xdr:to>
      <xdr:col>9</xdr:col>
      <xdr:colOff>6420</xdr:colOff>
      <xdr:row>1</xdr:row>
      <xdr:rowOff>121298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80975" y="83820"/>
          <a:ext cx="16151295" cy="23750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7938</xdr:colOff>
      <xdr:row>0</xdr:row>
      <xdr:rowOff>55562</xdr:rowOff>
    </xdr:from>
    <xdr:to>
      <xdr:col>6</xdr:col>
      <xdr:colOff>7938</xdr:colOff>
      <xdr:row>1</xdr:row>
      <xdr:rowOff>100660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6376" y="55562"/>
          <a:ext cx="5643562" cy="187973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95250</xdr:rowOff>
    </xdr:from>
    <xdr:to>
      <xdr:col>13</xdr:col>
      <xdr:colOff>1</xdr:colOff>
      <xdr:row>2</xdr:row>
      <xdr:rowOff>57150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1" y="95250"/>
          <a:ext cx="19716750" cy="247650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     INÍCIO                                 INÍCIO                             INÍCIO                              INÍCIO                                 INÍCIO                                 INÍCIO                                INÍCIO                          INÍCIO	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66676</xdr:rowOff>
    </xdr:from>
    <xdr:to>
      <xdr:col>7</xdr:col>
      <xdr:colOff>15825</xdr:colOff>
      <xdr:row>1</xdr:row>
      <xdr:rowOff>130824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90500" y="66676"/>
          <a:ext cx="6750000" cy="254648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87318</xdr:rowOff>
    </xdr:from>
    <xdr:to>
      <xdr:col>10</xdr:col>
      <xdr:colOff>21049</xdr:colOff>
      <xdr:row>1</xdr:row>
      <xdr:rowOff>122880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80975" y="87318"/>
          <a:ext cx="6745699" cy="235587"/>
        </a:xfrm>
        <a:prstGeom prst="round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bg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300" b="1" baseline="0">
              <a:solidFill>
                <a:schemeClr val="tx1"/>
              </a:solidFill>
              <a:latin typeface="Arial Black" pitchFamily="34" charset="0"/>
              <a:cs typeface="Times New Roman" pitchFamily="18" charset="0"/>
            </a:rPr>
            <a:t>INÍCIO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0</xdr:row>
      <xdr:rowOff>0</xdr:rowOff>
    </xdr:from>
    <xdr:to>
      <xdr:col>9</xdr:col>
      <xdr:colOff>657225</xdr:colOff>
      <xdr:row>0</xdr:row>
      <xdr:rowOff>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112299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381000</xdr:colOff>
      <xdr:row>0</xdr:row>
      <xdr:rowOff>0</xdr:rowOff>
    </xdr:from>
    <xdr:to>
      <xdr:col>10</xdr:col>
      <xdr:colOff>685800</xdr:colOff>
      <xdr:row>0</xdr:row>
      <xdr:rowOff>0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12334875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390525</xdr:colOff>
      <xdr:row>0</xdr:row>
      <xdr:rowOff>0</xdr:rowOff>
    </xdr:from>
    <xdr:to>
      <xdr:col>12</xdr:col>
      <xdr:colOff>695325</xdr:colOff>
      <xdr:row>0</xdr:row>
      <xdr:rowOff>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15468600" y="0"/>
          <a:ext cx="304800" cy="0"/>
        </a:xfrm>
        <a:prstGeom prst="down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Automatizada%200.2.4.1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Gilson\Dados%20de%20aplicativos\Microsoft\Excel\C&#225;lculo%20Pgto%20em%20Atras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Geral"/>
      <sheetName val="Dados do Servidor"/>
      <sheetName val="Dados Ocultos"/>
      <sheetName val="Acerto - Vantagens"/>
      <sheetName val="Designação"/>
      <sheetName val="FP"/>
      <sheetName val="Cálc"/>
      <sheetName val="Rateio"/>
      <sheetName val="A.Pgto"/>
      <sheetName val="AI"/>
      <sheetName val="M.Quinq"/>
      <sheetName val="G2"/>
      <sheetName val="Siged"/>
      <sheetName val="Certif"/>
      <sheetName val="T.Ciência"/>
      <sheetName val="ÚltRem."/>
      <sheetName val="&gt;10"/>
      <sheetName val="Prêm"/>
      <sheetName val="Escolas"/>
      <sheetName val="Mun."/>
      <sheetName val="Materias"/>
      <sheetName val="InstEns"/>
      <sheetName val="Cursos"/>
      <sheetName val="Mat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0">
          <cell r="I10" t="str">
            <v>Alterar</v>
          </cell>
          <cell r="T10">
            <v>0</v>
          </cell>
        </row>
        <row r="11">
          <cell r="C11" t="str">
            <v>Coordenador(a) Setor de Pagamento</v>
          </cell>
          <cell r="I11" t="str">
            <v>Elizabet das Graças Limido Santos</v>
          </cell>
          <cell r="T11">
            <v>4440780</v>
          </cell>
        </row>
        <row r="12">
          <cell r="C12" t="str">
            <v>Diretor(a) da Diretoria de Pessoal</v>
          </cell>
          <cell r="I12" t="str">
            <v>Maria Célia da Cunha Ferreira</v>
          </cell>
          <cell r="T12">
            <v>8173536</v>
          </cell>
        </row>
        <row r="13">
          <cell r="C13" t="str">
            <v>Diretor(a) da S.R.E.</v>
          </cell>
          <cell r="I13" t="str">
            <v>Marilda Ribeiro Resende</v>
          </cell>
          <cell r="T13">
            <v>2554624</v>
          </cell>
        </row>
        <row r="15">
          <cell r="C15" t="str">
            <v>Subsecretário G. Recursos Humanos</v>
          </cell>
          <cell r="I15" t="str">
            <v>Antonio David de Sousa Junior</v>
          </cell>
          <cell r="T15">
            <v>13843784</v>
          </cell>
        </row>
        <row r="16">
          <cell r="C16" t="str">
            <v>Secretário(a) de Estado de Educação</v>
          </cell>
          <cell r="I16" t="str">
            <v>Wieland Silberschneider</v>
          </cell>
          <cell r="T16">
            <v>3100377</v>
          </cell>
        </row>
        <row r="21">
          <cell r="C21" t="str">
            <v>PEBD1A</v>
          </cell>
          <cell r="E21">
            <v>1982.54</v>
          </cell>
          <cell r="G21" t="str">
            <v>PEBS1A</v>
          </cell>
          <cell r="I21">
            <v>1883.39</v>
          </cell>
          <cell r="K21" t="str">
            <v>ASBD1A</v>
          </cell>
          <cell r="M21">
            <v>1047.8399999999999</v>
          </cell>
          <cell r="O21" t="str">
            <v>EEBD1A</v>
          </cell>
          <cell r="Q21">
            <v>1982.54</v>
          </cell>
          <cell r="S21" t="str">
            <v>ATBD1A</v>
          </cell>
          <cell r="T21">
            <v>1369.7</v>
          </cell>
        </row>
        <row r="22">
          <cell r="E22">
            <v>153.1</v>
          </cell>
          <cell r="I22">
            <v>145.44999999999999</v>
          </cell>
          <cell r="M22">
            <v>80.92</v>
          </cell>
          <cell r="Q22">
            <v>153.1</v>
          </cell>
          <cell r="T22">
            <v>105.77</v>
          </cell>
        </row>
        <row r="23">
          <cell r="E23"/>
          <cell r="I23"/>
          <cell r="M23"/>
          <cell r="Q23"/>
          <cell r="T23"/>
        </row>
        <row r="24">
          <cell r="F24">
            <v>2862</v>
          </cell>
          <cell r="S24" t="str">
            <v>ANEID1A</v>
          </cell>
          <cell r="T24">
            <v>4956.3599999999997</v>
          </cell>
        </row>
        <row r="25">
          <cell r="L25">
            <v>8.1</v>
          </cell>
          <cell r="Q25">
            <v>1.8</v>
          </cell>
          <cell r="T25">
            <v>382.74</v>
          </cell>
        </row>
        <row r="26">
          <cell r="T26"/>
        </row>
        <row r="27">
          <cell r="F27">
            <v>0.01</v>
          </cell>
          <cell r="K27">
            <v>0.01</v>
          </cell>
          <cell r="P27">
            <v>0.01</v>
          </cell>
          <cell r="T27">
            <v>0.01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C5">
            <v>100000</v>
          </cell>
          <cell r="D5">
            <v>1000000</v>
          </cell>
          <cell r="E5" t="str">
            <v>E.E. Fictícia Exemplo</v>
          </cell>
          <cell r="F5" t="str">
            <v>Rua Exemplo, 000</v>
          </cell>
          <cell r="G5" t="str">
            <v>Exemplo</v>
          </cell>
          <cell r="H5" t="str">
            <v>0000-0000</v>
          </cell>
          <cell r="I5" t="str">
            <v>Exemplo de Município</v>
          </cell>
          <cell r="J5" t="str">
            <v>Machado de Assis</v>
          </cell>
          <cell r="K5">
            <v>0</v>
          </cell>
        </row>
        <row r="6">
          <cell r="C6">
            <v>25</v>
          </cell>
          <cell r="D6">
            <v>1261039</v>
          </cell>
          <cell r="E6" t="str">
            <v>Superintendência Regional de Ensino de Uberaba</v>
          </cell>
          <cell r="F6" t="str">
            <v>Av. Gabriela Castro Cunha, 430</v>
          </cell>
          <cell r="G6" t="str">
            <v>Vila Olímpica</v>
          </cell>
          <cell r="H6" t="str">
            <v>3074-0001</v>
          </cell>
          <cell r="I6" t="str">
            <v>Uberaba</v>
          </cell>
          <cell r="J6" t="str">
            <v>Marilda Ribeiro Resende</v>
          </cell>
          <cell r="K6">
            <v>2554624</v>
          </cell>
        </row>
        <row r="7">
          <cell r="C7">
            <v>311863</v>
          </cell>
          <cell r="D7">
            <v>1264613</v>
          </cell>
          <cell r="E7" t="str">
            <v>E.E. José Acácio da Silva</v>
          </cell>
          <cell r="F7" t="str">
            <v>Rua Vinte e Oito, 140</v>
          </cell>
          <cell r="G7" t="str">
            <v>Centro</v>
          </cell>
          <cell r="H7" t="str">
            <v>3324-1337</v>
          </cell>
          <cell r="I7" t="str">
            <v>Água Comprida</v>
          </cell>
          <cell r="J7" t="str">
            <v>Luis Fernando Oliveira</v>
          </cell>
          <cell r="K7">
            <v>11692209</v>
          </cell>
        </row>
        <row r="8">
          <cell r="C8">
            <v>158178</v>
          </cell>
          <cell r="D8">
            <v>1263000</v>
          </cell>
          <cell r="E8" t="str">
            <v>E.E. Armando Santos</v>
          </cell>
          <cell r="F8" t="str">
            <v>Praça Fausto Barbosa, 790</v>
          </cell>
          <cell r="G8" t="str">
            <v>São Geraldo</v>
          </cell>
          <cell r="H8" t="str">
            <v>3662-3679</v>
          </cell>
          <cell r="I8" t="str">
            <v>Araxá</v>
          </cell>
          <cell r="J8" t="str">
            <v>Antonia Aparecida Ribeiro</v>
          </cell>
          <cell r="K8">
            <v>8937955</v>
          </cell>
        </row>
        <row r="9">
          <cell r="C9">
            <v>158186</v>
          </cell>
          <cell r="D9">
            <v>1263834</v>
          </cell>
          <cell r="E9" t="str">
            <v>E.E. Coronel José Adolfo de Aguiar</v>
          </cell>
          <cell r="F9" t="str">
            <v>Rua Carlos Barbosa, 36</v>
          </cell>
          <cell r="G9" t="str">
            <v>Santa Luzia</v>
          </cell>
          <cell r="H9" t="str">
            <v>3661-1206</v>
          </cell>
          <cell r="I9" t="str">
            <v>Araxá</v>
          </cell>
          <cell r="J9" t="str">
            <v>Sebastiana Maria Martins Leite</v>
          </cell>
          <cell r="K9">
            <v>3662533</v>
          </cell>
        </row>
        <row r="10">
          <cell r="C10">
            <v>158208</v>
          </cell>
          <cell r="D10">
            <v>1263895</v>
          </cell>
          <cell r="E10" t="str">
            <v>E.E. Delfim Moreira</v>
          </cell>
          <cell r="F10" t="str">
            <v>Avenida Getúlio Vargas, 75</v>
          </cell>
          <cell r="G10" t="str">
            <v>Centro</v>
          </cell>
          <cell r="H10" t="str">
            <v>3661-1881</v>
          </cell>
          <cell r="I10" t="str">
            <v>Araxá</v>
          </cell>
          <cell r="J10" t="str">
            <v>Rosângela Pereira Melo de Lucca</v>
          </cell>
          <cell r="K10">
            <v>3640554</v>
          </cell>
        </row>
        <row r="11">
          <cell r="C11">
            <v>158224</v>
          </cell>
          <cell r="D11">
            <v>1265661</v>
          </cell>
          <cell r="E11" t="str">
            <v>E.E. Dom José Gaspar</v>
          </cell>
          <cell r="F11" t="str">
            <v>Rua Abdanur Elias, 100</v>
          </cell>
          <cell r="G11" t="str">
            <v>São Pedro</v>
          </cell>
          <cell r="H11" t="str">
            <v>3661-4550</v>
          </cell>
          <cell r="I11" t="str">
            <v>Araxá</v>
          </cell>
          <cell r="J11" t="str">
            <v>Maria Cristina Cunha</v>
          </cell>
          <cell r="K11">
            <v>8744468</v>
          </cell>
        </row>
        <row r="12">
          <cell r="C12">
            <v>158232</v>
          </cell>
          <cell r="D12">
            <v>1263898</v>
          </cell>
          <cell r="E12" t="str">
            <v>E.E. Doutor Eduardo Montandon</v>
          </cell>
          <cell r="F12" t="str">
            <v>Av. Vereador João Senna, 473</v>
          </cell>
          <cell r="G12" t="str">
            <v>Centro</v>
          </cell>
          <cell r="H12" t="str">
            <v>3661-4639</v>
          </cell>
          <cell r="I12" t="str">
            <v>Araxá</v>
          </cell>
          <cell r="J12" t="str">
            <v>Maria América de Fátima Moura</v>
          </cell>
          <cell r="K12">
            <v>9776436</v>
          </cell>
        </row>
        <row r="13">
          <cell r="C13">
            <v>158259</v>
          </cell>
          <cell r="D13">
            <v>1263908</v>
          </cell>
          <cell r="E13" t="str">
            <v>E.E. Lia Salgado</v>
          </cell>
          <cell r="F13" t="str">
            <v>Rua Francisco Verçosa, 140</v>
          </cell>
          <cell r="G13" t="str">
            <v>Silvéria</v>
          </cell>
          <cell r="H13" t="str">
            <v>3662-2869</v>
          </cell>
          <cell r="I13" t="str">
            <v>Araxá</v>
          </cell>
          <cell r="J13" t="str">
            <v>Ivone Ribeiro da Silva Borges</v>
          </cell>
          <cell r="K13">
            <v>3329000</v>
          </cell>
        </row>
        <row r="14">
          <cell r="C14">
            <v>158330</v>
          </cell>
          <cell r="D14">
            <v>1263909</v>
          </cell>
          <cell r="E14" t="str">
            <v>E.E. Loren Rios Feres</v>
          </cell>
          <cell r="F14" t="str">
            <v>Rua Onésimo Simoões Borges, 55</v>
          </cell>
          <cell r="G14" t="str">
            <v>Alvorada</v>
          </cell>
          <cell r="H14" t="str">
            <v>3662-1155</v>
          </cell>
          <cell r="I14" t="str">
            <v>Araxá</v>
          </cell>
          <cell r="J14" t="str">
            <v>Carmen Helena Chaves Durão</v>
          </cell>
          <cell r="K14">
            <v>8955080</v>
          </cell>
        </row>
        <row r="15">
          <cell r="C15">
            <v>158267</v>
          </cell>
          <cell r="D15">
            <v>1263910</v>
          </cell>
          <cell r="E15" t="str">
            <v>E.E. Luiza de Oliveira Faria</v>
          </cell>
          <cell r="F15" t="str">
            <v>Rua Ananias Teixeira, 10</v>
          </cell>
          <cell r="G15" t="str">
            <v>Santa Rita</v>
          </cell>
          <cell r="H15" t="str">
            <v>3661-1924</v>
          </cell>
          <cell r="I15" t="str">
            <v>Araxá</v>
          </cell>
          <cell r="J15" t="str">
            <v>Renata de Castro Machado</v>
          </cell>
          <cell r="K15">
            <v>3742582</v>
          </cell>
        </row>
        <row r="16">
          <cell r="C16">
            <v>158275</v>
          </cell>
          <cell r="D16">
            <v>1263912</v>
          </cell>
          <cell r="E16" t="str">
            <v>E.E. Maria de Magalhães</v>
          </cell>
          <cell r="F16" t="str">
            <v>Rua Terezinha Natal Contato, 169</v>
          </cell>
          <cell r="G16" t="str">
            <v>Centro</v>
          </cell>
          <cell r="H16" t="str">
            <v>3661-2764</v>
          </cell>
          <cell r="I16" t="str">
            <v>Araxá</v>
          </cell>
          <cell r="J16" t="str">
            <v>Antônio Ernani de Carvalho</v>
          </cell>
          <cell r="K16">
            <v>3048188</v>
          </cell>
        </row>
        <row r="17">
          <cell r="C17">
            <v>158216</v>
          </cell>
          <cell r="D17">
            <v>1262773</v>
          </cell>
          <cell r="E17" t="str">
            <v>E.E. Padre Anacleto Giraldi</v>
          </cell>
          <cell r="F17" t="str">
            <v>Rua Santo Antonio, 727</v>
          </cell>
          <cell r="G17" t="str">
            <v>Santo Antônio</v>
          </cell>
          <cell r="H17" t="str">
            <v>3661-2484</v>
          </cell>
          <cell r="I17" t="str">
            <v>Araxá</v>
          </cell>
          <cell r="J17" t="str">
            <v>Antonio Carlos Pimenta</v>
          </cell>
          <cell r="K17">
            <v>8678351</v>
          </cell>
        </row>
        <row r="18">
          <cell r="C18">
            <v>158291</v>
          </cell>
          <cell r="D18">
            <v>1263915</v>
          </cell>
          <cell r="E18" t="str">
            <v>E.E. Padre João Botelho</v>
          </cell>
          <cell r="F18" t="str">
            <v>Rua Dezenove de Dezembro, 97</v>
          </cell>
          <cell r="G18" t="str">
            <v>Santa Terezinha</v>
          </cell>
          <cell r="H18" t="str">
            <v>3661-1522</v>
          </cell>
          <cell r="I18" t="str">
            <v>Araxá</v>
          </cell>
          <cell r="J18" t="str">
            <v>Maria Angélica Jeronimo de Paulo</v>
          </cell>
          <cell r="K18">
            <v>3449667</v>
          </cell>
        </row>
        <row r="19">
          <cell r="C19">
            <v>158305</v>
          </cell>
          <cell r="D19">
            <v>1263916</v>
          </cell>
          <cell r="E19" t="str">
            <v>E.E. Pio XII</v>
          </cell>
          <cell r="F19" t="str">
            <v>Av. Joaquim Porfírio Botelho, 240</v>
          </cell>
          <cell r="G19" t="str">
            <v>Mangueiras</v>
          </cell>
          <cell r="H19" t="str">
            <v>3662-4035</v>
          </cell>
          <cell r="I19" t="str">
            <v>Araxá</v>
          </cell>
          <cell r="J19" t="str">
            <v>Vicentina Aparecida Ribeiro Borges</v>
          </cell>
          <cell r="K19">
            <v>6583173</v>
          </cell>
        </row>
        <row r="20">
          <cell r="C20">
            <v>158194</v>
          </cell>
          <cell r="D20">
            <v>1265770</v>
          </cell>
          <cell r="E20" t="str">
            <v>E.E. Professor Luiz Antônio Corrêa Oliveira</v>
          </cell>
          <cell r="F20" t="str">
            <v>Rua Santo Antonio, 150</v>
          </cell>
          <cell r="G20" t="str">
            <v>Santo Antônio</v>
          </cell>
          <cell r="H20" t="str">
            <v>3662-3140</v>
          </cell>
          <cell r="I20" t="str">
            <v>Araxá</v>
          </cell>
          <cell r="J20" t="str">
            <v>Zulma Moreira de Melo</v>
          </cell>
          <cell r="K20">
            <v>8846727</v>
          </cell>
        </row>
        <row r="21">
          <cell r="C21">
            <v>218502</v>
          </cell>
          <cell r="D21">
            <v>1265782</v>
          </cell>
          <cell r="E21" t="str">
            <v>E.E. Rotary</v>
          </cell>
          <cell r="F21" t="str">
            <v>Rua Astolfo Lemos, 200</v>
          </cell>
          <cell r="G21" t="str">
            <v>Urciano Lemos</v>
          </cell>
          <cell r="H21" t="str">
            <v>3662-5189</v>
          </cell>
          <cell r="I21" t="str">
            <v>Araxá</v>
          </cell>
          <cell r="J21" t="str">
            <v>Eligiane de Almeida</v>
          </cell>
          <cell r="K21">
            <v>11325792</v>
          </cell>
        </row>
        <row r="22">
          <cell r="C22">
            <v>158313</v>
          </cell>
          <cell r="D22">
            <v>1263927</v>
          </cell>
          <cell r="E22" t="str">
            <v>E.E. Vasco Santos</v>
          </cell>
          <cell r="F22" t="str">
            <v>Rua Doutor Edmar Cunha, 10</v>
          </cell>
          <cell r="G22" t="str">
            <v>Centro</v>
          </cell>
          <cell r="H22" t="str">
            <v>3661-1494</v>
          </cell>
          <cell r="I22" t="str">
            <v>Araxá</v>
          </cell>
          <cell r="J22" t="str">
            <v>Maria Cristina de Oliveira Barreto</v>
          </cell>
          <cell r="K22">
            <v>3742434</v>
          </cell>
        </row>
        <row r="23">
          <cell r="C23">
            <v>278904</v>
          </cell>
          <cell r="D23">
            <v>1264904</v>
          </cell>
          <cell r="E23" t="str">
            <v>E.E. Padre Henrique Peeters</v>
          </cell>
          <cell r="F23" t="str">
            <v>Praça São José, 23</v>
          </cell>
          <cell r="G23" t="str">
            <v>Centro</v>
          </cell>
          <cell r="H23" t="str">
            <v>3322-1144</v>
          </cell>
          <cell r="I23" t="str">
            <v>Campo Florido</v>
          </cell>
          <cell r="J23" t="str">
            <v>Valdirene Rodrigues dos S. C. Borges</v>
          </cell>
          <cell r="K23">
            <v>8837171</v>
          </cell>
        </row>
        <row r="24">
          <cell r="C24">
            <v>158526</v>
          </cell>
          <cell r="D24">
            <v>1263894</v>
          </cell>
          <cell r="E24" t="str">
            <v>E.E. Deiró Borges</v>
          </cell>
          <cell r="F24" t="str">
            <v>Rua Pratinha, 283</v>
          </cell>
          <cell r="G24" t="str">
            <v>Centro</v>
          </cell>
          <cell r="H24" t="str">
            <v>37-3426-2150</v>
          </cell>
          <cell r="I24" t="str">
            <v>Campos Altos</v>
          </cell>
          <cell r="J24" t="str">
            <v>Roberto Gonçalves da Silva</v>
          </cell>
          <cell r="K24">
            <v>10654168</v>
          </cell>
        </row>
        <row r="25">
          <cell r="C25">
            <v>158534</v>
          </cell>
          <cell r="D25">
            <v>1264377</v>
          </cell>
          <cell r="E25" t="str">
            <v>E.E. Doutor José Cordeiro de Campos</v>
          </cell>
          <cell r="F25" t="str">
            <v>Rua João Soares de Souza, 920</v>
          </cell>
          <cell r="G25" t="str">
            <v>Centro</v>
          </cell>
          <cell r="H25" t="str">
            <v>37-3426-1293</v>
          </cell>
          <cell r="I25" t="str">
            <v>Campos Altos</v>
          </cell>
          <cell r="J25" t="str">
            <v>Adriana Hayakawa Angelo Teixeira</v>
          </cell>
          <cell r="K25">
            <v>8746075</v>
          </cell>
        </row>
        <row r="26">
          <cell r="C26">
            <v>158569</v>
          </cell>
          <cell r="D26">
            <v>1263914</v>
          </cell>
          <cell r="E26" t="str">
            <v>E.E. Padre Clemente de Maleto</v>
          </cell>
          <cell r="F26" t="str">
            <v xml:space="preserve">Rua Padre Rui Nunes Vale,  s/nº </v>
          </cell>
          <cell r="G26" t="str">
            <v>Centro</v>
          </cell>
          <cell r="H26" t="str">
            <v>37-3426-1889</v>
          </cell>
          <cell r="I26" t="str">
            <v>Campos Altos</v>
          </cell>
          <cell r="J26" t="str">
            <v>Juliana Conceição Ap. de Deus e Ávila</v>
          </cell>
          <cell r="K26">
            <v>11583275</v>
          </cell>
        </row>
        <row r="27">
          <cell r="C27">
            <v>159255</v>
          </cell>
          <cell r="D27">
            <v>1264041</v>
          </cell>
          <cell r="E27" t="str">
            <v>E.E. Bom Sucesso</v>
          </cell>
          <cell r="F27" t="str">
            <v>Rua Antônio das Graças Oliveira, 1050</v>
          </cell>
          <cell r="G27" t="str">
            <v>Centro</v>
          </cell>
          <cell r="H27" t="str">
            <v>3454-1094</v>
          </cell>
          <cell r="I27" t="str">
            <v>Carneirinho</v>
          </cell>
          <cell r="J27" t="str">
            <v>Joelma Souto de Oliveira</v>
          </cell>
          <cell r="K27">
            <v>8067324</v>
          </cell>
        </row>
        <row r="28">
          <cell r="C28">
            <v>159271</v>
          </cell>
          <cell r="D28">
            <v>1263911</v>
          </cell>
          <cell r="E28" t="str">
            <v>E.E. Marechal Hermes</v>
          </cell>
          <cell r="F28" t="str">
            <v>Rua São Longuinho, 380</v>
          </cell>
          <cell r="G28" t="str">
            <v>Distrito de Estrela da Barra</v>
          </cell>
          <cell r="H28" t="str">
            <v>3457-1135</v>
          </cell>
          <cell r="I28" t="str">
            <v>Carneirinho</v>
          </cell>
          <cell r="J28" t="str">
            <v>Maria Cristina Ruza de Queiroz</v>
          </cell>
          <cell r="K28">
            <v>2877678</v>
          </cell>
        </row>
        <row r="29">
          <cell r="C29">
            <v>159301</v>
          </cell>
          <cell r="D29">
            <v>1263919</v>
          </cell>
          <cell r="E29" t="str">
            <v>E.E. Professor Antônio da Silva</v>
          </cell>
          <cell r="F29" t="str">
            <v>Avenida São Luís, 195</v>
          </cell>
          <cell r="G29" t="str">
            <v>Distrito de São Sebastião do Pontal</v>
          </cell>
          <cell r="H29" t="str">
            <v>3455-1154</v>
          </cell>
          <cell r="I29" t="str">
            <v>Carneirinho</v>
          </cell>
          <cell r="J29" t="str">
            <v>Donizetti Severino de Godoy</v>
          </cell>
          <cell r="K29">
            <v>3308079</v>
          </cell>
        </row>
        <row r="30">
          <cell r="C30">
            <v>330671</v>
          </cell>
          <cell r="D30">
            <v>1264181</v>
          </cell>
          <cell r="E30" t="str">
            <v>E.E. Comendador Gomes</v>
          </cell>
          <cell r="F30" t="str">
            <v>Av. João Heitor de Assunção, 184</v>
          </cell>
          <cell r="G30" t="str">
            <v>Centro</v>
          </cell>
          <cell r="H30" t="str">
            <v>3423-1212</v>
          </cell>
          <cell r="I30" t="str">
            <v>Comendador Gomes</v>
          </cell>
          <cell r="J30" t="str">
            <v>Vânia Maria Ferreira Duarte</v>
          </cell>
          <cell r="K30">
            <v>2605962</v>
          </cell>
        </row>
        <row r="31">
          <cell r="C31">
            <v>316041</v>
          </cell>
          <cell r="D31">
            <v>1266606</v>
          </cell>
          <cell r="E31" t="str">
            <v>E.E. Herculégio Antônio Borges</v>
          </cell>
          <cell r="F31" t="str">
            <v>Rua Pedro Lima Chagas, 450</v>
          </cell>
          <cell r="G31" t="str">
            <v>Centro</v>
          </cell>
          <cell r="H31" t="str">
            <v>3321-1356</v>
          </cell>
          <cell r="I31" t="str">
            <v>Conceição das Alagoas</v>
          </cell>
          <cell r="J31" t="str">
            <v>Patrícia Pedrosa de Sene</v>
          </cell>
          <cell r="K31">
            <v>5974241</v>
          </cell>
        </row>
        <row r="32">
          <cell r="C32">
            <v>158674</v>
          </cell>
          <cell r="D32">
            <v>1265720</v>
          </cell>
          <cell r="E32" t="str">
            <v>E.E. José Alexandre Miziara</v>
          </cell>
          <cell r="F32" t="str">
            <v>Rua Mantura Japur, 66</v>
          </cell>
          <cell r="G32" t="str">
            <v>Jardim Acapulco</v>
          </cell>
          <cell r="H32" t="str">
            <v>3321-3305</v>
          </cell>
          <cell r="I32" t="str">
            <v>Conceição das Alagoas</v>
          </cell>
          <cell r="J32" t="str">
            <v>Lidia Nara de Sene Oliveira</v>
          </cell>
          <cell r="K32">
            <v>2695617</v>
          </cell>
        </row>
        <row r="33">
          <cell r="C33">
            <v>310883</v>
          </cell>
          <cell r="D33">
            <v>1263900</v>
          </cell>
          <cell r="E33" t="str">
            <v>E.E. Dr. Lindolfo Bernardes</v>
          </cell>
          <cell r="F33" t="str">
            <v>Avenida Antônio Carlos, 48</v>
          </cell>
          <cell r="G33" t="str">
            <v>Centro</v>
          </cell>
          <cell r="H33" t="str">
            <v>3353-1221</v>
          </cell>
          <cell r="I33" t="str">
            <v>Conquista</v>
          </cell>
          <cell r="J33" t="str">
            <v>Francisco de Assis Fernandes da Silva</v>
          </cell>
          <cell r="K33">
            <v>6562714</v>
          </cell>
        </row>
        <row r="34">
          <cell r="C34">
            <v>322644</v>
          </cell>
          <cell r="D34">
            <v>1266607</v>
          </cell>
          <cell r="E34" t="str">
            <v>E.E. Ivan Mattar Soukef</v>
          </cell>
          <cell r="F34" t="str">
            <v>Rua Francisco Agnaldo Camilo, 71</v>
          </cell>
          <cell r="G34" t="str">
            <v>Centro</v>
          </cell>
          <cell r="H34" t="str">
            <v>3325-1036</v>
          </cell>
          <cell r="I34" t="str">
            <v>Delta</v>
          </cell>
          <cell r="J34" t="str">
            <v>Marilza Faustino</v>
          </cell>
          <cell r="K34">
            <v>11274925</v>
          </cell>
        </row>
        <row r="35">
          <cell r="C35">
            <v>158801</v>
          </cell>
          <cell r="D35">
            <v>1264587</v>
          </cell>
          <cell r="E35" t="str">
            <v>E.E. João Kopke</v>
          </cell>
          <cell r="F35" t="str">
            <v>Avenida Emiliano Correa, 121</v>
          </cell>
          <cell r="G35" t="str">
            <v>Vila Arruda</v>
          </cell>
          <cell r="H35" t="str">
            <v>3428-2122</v>
          </cell>
          <cell r="I35" t="str">
            <v>Fronteira</v>
          </cell>
          <cell r="J35" t="str">
            <v>Adma Puglia Fernandes</v>
          </cell>
          <cell r="K35">
            <v>3896081</v>
          </cell>
        </row>
        <row r="36">
          <cell r="C36">
            <v>361356</v>
          </cell>
          <cell r="D36"/>
          <cell r="E36" t="str">
            <v>E.E. Professora Maria do Carmo Pires Rosa</v>
          </cell>
          <cell r="F36" t="str">
            <v>Avenida dos Esportes, 145</v>
          </cell>
          <cell r="G36" t="str">
            <v>Vila Reis</v>
          </cell>
          <cell r="H36" t="str">
            <v>8858-0353</v>
          </cell>
          <cell r="I36" t="str">
            <v>Fronteira</v>
          </cell>
          <cell r="J36" t="str">
            <v>Gleidson Mundim dos Santos</v>
          </cell>
          <cell r="K36">
            <v>11297975</v>
          </cell>
        </row>
        <row r="37">
          <cell r="C37">
            <v>158887</v>
          </cell>
          <cell r="D37">
            <v>1263903</v>
          </cell>
          <cell r="E37" t="str">
            <v>E.E. Geralda Carvalho de Souza</v>
          </cell>
          <cell r="F37" t="str">
            <v>Praça Venâncio Pereira Santos, s/nº</v>
          </cell>
          <cell r="G37" t="str">
            <v>Ipê Amarelo</v>
          </cell>
          <cell r="H37" t="str">
            <v>3423-5503</v>
          </cell>
          <cell r="I37" t="str">
            <v>Frutal</v>
          </cell>
          <cell r="J37" t="str">
            <v>Adriana Martins Domingos</v>
          </cell>
          <cell r="K37">
            <v>8612822</v>
          </cell>
        </row>
        <row r="38">
          <cell r="C38">
            <v>158909</v>
          </cell>
          <cell r="D38">
            <v>1264687</v>
          </cell>
          <cell r="E38" t="str">
            <v>E.E. Lauriston Souza</v>
          </cell>
          <cell r="F38" t="str">
            <v>Rua Castro Alves, 860</v>
          </cell>
          <cell r="G38" t="str">
            <v>Estudantil</v>
          </cell>
          <cell r="H38" t="str">
            <v>3421-9275</v>
          </cell>
          <cell r="I38" t="str">
            <v>Frutal</v>
          </cell>
          <cell r="J38" t="str">
            <v>Magali Martins Rodovalho</v>
          </cell>
          <cell r="K38">
            <v>9620097</v>
          </cell>
        </row>
        <row r="39">
          <cell r="C39">
            <v>158879</v>
          </cell>
          <cell r="D39">
            <v>1265721</v>
          </cell>
          <cell r="E39" t="str">
            <v>E.E. Maestro Josino de Oliveira</v>
          </cell>
          <cell r="F39" t="str">
            <v>Rua João Pinheiro, 977</v>
          </cell>
          <cell r="G39" t="str">
            <v>Princesa Isabel</v>
          </cell>
          <cell r="H39" t="str">
            <v>3421-8685</v>
          </cell>
          <cell r="I39" t="str">
            <v>Frutal</v>
          </cell>
          <cell r="J39" t="str">
            <v>Mário Sérgio de Oliveira Bueno</v>
          </cell>
          <cell r="K39">
            <v>3739109</v>
          </cell>
        </row>
        <row r="40">
          <cell r="C40">
            <v>319104</v>
          </cell>
          <cell r="D40">
            <v>1263920</v>
          </cell>
          <cell r="E40" t="str">
            <v>E.E. Professor Bandeira</v>
          </cell>
          <cell r="F40" t="str">
            <v>Rua Uberlândia, 1273</v>
          </cell>
          <cell r="G40" t="str">
            <v>Nossa Senhora Aparecida</v>
          </cell>
          <cell r="H40" t="str">
            <v>3421-2786</v>
          </cell>
          <cell r="I40" t="str">
            <v>Frutal</v>
          </cell>
          <cell r="J40" t="str">
            <v>Jeane Rodrigues dos Santos</v>
          </cell>
          <cell r="K40">
            <v>9432675</v>
          </cell>
        </row>
        <row r="41">
          <cell r="C41">
            <v>158941</v>
          </cell>
          <cell r="D41">
            <v>1263929</v>
          </cell>
          <cell r="E41" t="str">
            <v>E.E. Vicente Macedo</v>
          </cell>
          <cell r="F41" t="str">
            <v>Rua Quatro de Outubro, 1020</v>
          </cell>
          <cell r="G41" t="str">
            <v>Alto Boa Vista</v>
          </cell>
          <cell r="H41" t="str">
            <v>3421-8592</v>
          </cell>
          <cell r="I41" t="str">
            <v>Frutal</v>
          </cell>
          <cell r="J41" t="str">
            <v>Jurandy José da Silva</v>
          </cell>
          <cell r="K41">
            <v>6569792</v>
          </cell>
        </row>
        <row r="42">
          <cell r="C42">
            <v>319201</v>
          </cell>
          <cell r="D42">
            <v>1263918</v>
          </cell>
          <cell r="E42" t="str">
            <v>E.E. Presidente Tancredo Neves</v>
          </cell>
          <cell r="F42" t="str">
            <v>Rua Benedito de Deus, 190</v>
          </cell>
          <cell r="G42" t="str">
            <v>Distrito de Aparecida de Minas</v>
          </cell>
          <cell r="H42" t="str">
            <v>3425-1359</v>
          </cell>
          <cell r="I42" t="str">
            <v>Frutal</v>
          </cell>
          <cell r="J42" t="str">
            <v>Marco Antonio Gaioso de Queiroz</v>
          </cell>
          <cell r="K42">
            <v>10965556</v>
          </cell>
        </row>
        <row r="43">
          <cell r="C43">
            <v>159131</v>
          </cell>
          <cell r="D43">
            <v>1265858</v>
          </cell>
          <cell r="E43" t="str">
            <v>E.E. Alonso de Morais Andrade</v>
          </cell>
          <cell r="F43" t="str">
            <v>Rua Dez, 1111</v>
          </cell>
          <cell r="G43" t="str">
            <v>Centro</v>
          </cell>
          <cell r="H43" t="str">
            <v>3424-2187</v>
          </cell>
          <cell r="I43" t="str">
            <v>Itapagipe</v>
          </cell>
          <cell r="J43" t="str">
            <v>Adriana Menezes Ferreira Vieira</v>
          </cell>
          <cell r="K43">
            <v>11139284</v>
          </cell>
        </row>
        <row r="44">
          <cell r="C44">
            <v>159158</v>
          </cell>
          <cell r="D44">
            <v>1263926</v>
          </cell>
          <cell r="E44" t="str">
            <v>E.E. Santo Antônio</v>
          </cell>
          <cell r="F44" t="str">
            <v>Rua Seis, 907</v>
          </cell>
          <cell r="G44" t="str">
            <v>Centro</v>
          </cell>
          <cell r="H44" t="str">
            <v>3424-2161</v>
          </cell>
          <cell r="I44" t="str">
            <v>Itapagipe</v>
          </cell>
          <cell r="J44" t="str">
            <v>Maria de Fátima Azambuja e Oliveira</v>
          </cell>
          <cell r="K44">
            <v>2877744</v>
          </cell>
        </row>
        <row r="45">
          <cell r="C45">
            <v>159140</v>
          </cell>
          <cell r="D45">
            <v>1263924</v>
          </cell>
          <cell r="E45" t="str">
            <v>E.E. Serra da Moeda</v>
          </cell>
          <cell r="F45" t="str">
            <v>Fazenda Serra da Moeda</v>
          </cell>
          <cell r="G45" t="str">
            <v>Fazenda Serra da Moeda</v>
          </cell>
          <cell r="H45" t="str">
            <v>3424-2112</v>
          </cell>
          <cell r="I45" t="str">
            <v>Itapagipe</v>
          </cell>
          <cell r="J45" t="str">
            <v>Clodoaldo Queiroz Menezes Barbosa</v>
          </cell>
          <cell r="K45">
            <v>9332123</v>
          </cell>
        </row>
        <row r="46">
          <cell r="C46">
            <v>159166</v>
          </cell>
          <cell r="D46">
            <v>1265938</v>
          </cell>
          <cell r="E46" t="str">
            <v>E.E. Antônio Ferreira Barbosa</v>
          </cell>
          <cell r="F46" t="str">
            <v>Rua Ribeirão São Domingos, 1159</v>
          </cell>
          <cell r="G46" t="str">
            <v>Boa Vista</v>
          </cell>
          <cell r="H46" t="str">
            <v>3411-0328</v>
          </cell>
          <cell r="I46" t="str">
            <v>Iturama</v>
          </cell>
          <cell r="J46" t="str">
            <v>Rosimar Oliveira de Queiroz</v>
          </cell>
          <cell r="K46">
            <v>3238276</v>
          </cell>
        </row>
        <row r="47">
          <cell r="C47">
            <v>205605</v>
          </cell>
          <cell r="D47">
            <v>1263905</v>
          </cell>
          <cell r="E47" t="str">
            <v>E.E. Joaquim Tiago de Queiroz</v>
          </cell>
          <cell r="F47" t="str">
            <v>Rua Santa Marta, 30</v>
          </cell>
          <cell r="G47" t="str">
            <v>Bom Sucesso</v>
          </cell>
          <cell r="H47" t="str">
            <v>3411-1159</v>
          </cell>
          <cell r="I47" t="str">
            <v>Iturama</v>
          </cell>
          <cell r="J47" t="str">
            <v>Gisele Cristina Ferreira da Costa</v>
          </cell>
          <cell r="K47">
            <v>10519965</v>
          </cell>
        </row>
        <row r="48">
          <cell r="C48">
            <v>159182</v>
          </cell>
          <cell r="D48">
            <v>1264840</v>
          </cell>
          <cell r="E48" t="str">
            <v>E.E. Nossa Senhora de Lourdes</v>
          </cell>
          <cell r="F48" t="str">
            <v>Rua Rio Bonito, 632</v>
          </cell>
          <cell r="G48" t="str">
            <v>Centro</v>
          </cell>
          <cell r="H48" t="str">
            <v>3411-0305</v>
          </cell>
          <cell r="I48" t="str">
            <v>Iturama</v>
          </cell>
          <cell r="J48" t="str">
            <v>Julia Benedita Machado</v>
          </cell>
          <cell r="K48">
            <v>10184331</v>
          </cell>
        </row>
        <row r="49">
          <cell r="C49">
            <v>159212</v>
          </cell>
          <cell r="D49">
            <v>1263280</v>
          </cell>
          <cell r="E49" t="str">
            <v>E.E. Tiradentes</v>
          </cell>
          <cell r="F49" t="str">
            <v>Rua D, 516</v>
          </cell>
          <cell r="G49" t="str">
            <v>Tiradentes</v>
          </cell>
          <cell r="H49" t="str">
            <v>3411-1298</v>
          </cell>
          <cell r="I49" t="str">
            <v>Iturama</v>
          </cell>
          <cell r="J49" t="str">
            <v>Rosa Maria Barbosa Almeida</v>
          </cell>
          <cell r="K49">
            <v>6545545</v>
          </cell>
        </row>
        <row r="50">
          <cell r="C50">
            <v>159247</v>
          </cell>
          <cell r="D50">
            <v>1263896</v>
          </cell>
          <cell r="E50" t="str">
            <v>E.E. Dom Alexandre</v>
          </cell>
          <cell r="F50" t="str">
            <v>Av. Cônego Osório, 1850</v>
          </cell>
          <cell r="G50" t="str">
            <v>Distrito de Alexandrita</v>
          </cell>
          <cell r="H50" t="str">
            <v>3411-7114</v>
          </cell>
          <cell r="I50" t="str">
            <v>Iturama</v>
          </cell>
          <cell r="J50" t="str">
            <v>Francisco Magela de Carvalho Aguiar</v>
          </cell>
          <cell r="K50">
            <v>11268356</v>
          </cell>
        </row>
        <row r="51">
          <cell r="C51">
            <v>159280</v>
          </cell>
          <cell r="D51">
            <v>1264563</v>
          </cell>
          <cell r="E51" t="str">
            <v>E.E. Izoldino Soares de Freitas</v>
          </cell>
          <cell r="F51" t="str">
            <v>Avenida Bahia, 475</v>
          </cell>
          <cell r="G51" t="str">
            <v>Humaitá</v>
          </cell>
          <cell r="H51" t="str">
            <v>3453-1344</v>
          </cell>
          <cell r="I51" t="str">
            <v>Limeira do Oeste</v>
          </cell>
          <cell r="J51" t="str">
            <v>Elissandro de Souza Norte</v>
          </cell>
          <cell r="K51">
            <v>10846541</v>
          </cell>
        </row>
        <row r="52">
          <cell r="C52">
            <v>159328</v>
          </cell>
          <cell r="D52">
            <v>1263043</v>
          </cell>
          <cell r="E52" t="str">
            <v>E.E. Professor Leão Coelho de Almeida</v>
          </cell>
          <cell r="F52" t="str">
            <v>Praça Coronel Pedro Rodrigues, 174</v>
          </cell>
          <cell r="G52" t="str">
            <v>Centro</v>
          </cell>
          <cell r="H52" t="str">
            <v>3355-1218</v>
          </cell>
          <cell r="I52" t="str">
            <v>Pedrinópolis</v>
          </cell>
          <cell r="J52" t="str">
            <v>Heliana Ferreira Martins</v>
          </cell>
          <cell r="K52">
            <v>8078370</v>
          </cell>
        </row>
        <row r="53">
          <cell r="C53">
            <v>311855</v>
          </cell>
          <cell r="D53">
            <v>1264116</v>
          </cell>
          <cell r="E53" t="str">
            <v>E.E. Coronel Oscar de Castro</v>
          </cell>
          <cell r="F53" t="str">
            <v>Praça Maria Jorge Miziara, 365</v>
          </cell>
          <cell r="G53" t="str">
            <v>Centro</v>
          </cell>
          <cell r="H53" t="str">
            <v>3426-1077</v>
          </cell>
          <cell r="I53" t="str">
            <v>Pirajuba</v>
          </cell>
          <cell r="J53" t="str">
            <v>Sandra Aparecida da Rocha</v>
          </cell>
          <cell r="K53">
            <v>10761021</v>
          </cell>
        </row>
        <row r="54">
          <cell r="C54">
            <v>159417</v>
          </cell>
          <cell r="D54">
            <v>1265867</v>
          </cell>
          <cell r="E54" t="str">
            <v>E.E. Alysson Roberto Bruno</v>
          </cell>
          <cell r="F54" t="str">
            <v>Rua Fronteira, 227</v>
          </cell>
          <cell r="G54" t="str">
            <v>Centro</v>
          </cell>
          <cell r="H54" t="str">
            <v>3427-2030</v>
          </cell>
          <cell r="I54" t="str">
            <v>Planura</v>
          </cell>
          <cell r="J54" t="str">
            <v>Paulo César de Paula Cançado</v>
          </cell>
          <cell r="K54">
            <v>3008182</v>
          </cell>
        </row>
        <row r="55">
          <cell r="C55">
            <v>319112</v>
          </cell>
          <cell r="D55">
            <v>1263913</v>
          </cell>
          <cell r="E55" t="str">
            <v>E.E. Marlene Martins Reis</v>
          </cell>
          <cell r="F55" t="str">
            <v>Praça da Matriz, 253</v>
          </cell>
          <cell r="G55" t="str">
            <v>Centro</v>
          </cell>
          <cell r="H55" t="str">
            <v>3637-1323</v>
          </cell>
          <cell r="I55" t="str">
            <v>Pratinha</v>
          </cell>
          <cell r="J55" t="str">
            <v>Eliete Aparecida Martins Borges</v>
          </cell>
          <cell r="K55">
            <v>3700556</v>
          </cell>
        </row>
        <row r="56">
          <cell r="C56">
            <v>159484</v>
          </cell>
          <cell r="D56">
            <v>1263923</v>
          </cell>
          <cell r="E56" t="str">
            <v>E.E. Barão da Rifaina</v>
          </cell>
          <cell r="F56" t="str">
            <v>Rua Santo Afonso, s/nº</v>
          </cell>
          <cell r="G56" t="str">
            <v>Bela Vista II</v>
          </cell>
          <cell r="H56" t="str">
            <v>3351-1177</v>
          </cell>
          <cell r="I56" t="str">
            <v>Sacramento</v>
          </cell>
          <cell r="J56" t="str">
            <v>Alice Jerônimo de Melo</v>
          </cell>
          <cell r="K56">
            <v>3760113</v>
          </cell>
        </row>
        <row r="57">
          <cell r="C57">
            <v>159506</v>
          </cell>
          <cell r="D57">
            <v>1264105</v>
          </cell>
          <cell r="E57" t="str">
            <v>E.E. Coronel José Afonso de Almeida</v>
          </cell>
          <cell r="F57" t="str">
            <v>Rua Major Lima, 459</v>
          </cell>
          <cell r="G57" t="str">
            <v>Centro</v>
          </cell>
          <cell r="H57" t="str">
            <v>3351-1597</v>
          </cell>
          <cell r="I57" t="str">
            <v>Sacramento</v>
          </cell>
          <cell r="J57" t="str">
            <v>Mônica Vieira Almeida</v>
          </cell>
          <cell r="K57">
            <v>3321817</v>
          </cell>
        </row>
        <row r="58">
          <cell r="C58">
            <v>159492</v>
          </cell>
          <cell r="D58">
            <v>1263897</v>
          </cell>
          <cell r="E58" t="str">
            <v>E.E. Doutor Afonso Pena Júnior</v>
          </cell>
          <cell r="F58" t="str">
            <v>Av. Capitão Borges, 250</v>
          </cell>
          <cell r="G58" t="str">
            <v>Centro</v>
          </cell>
          <cell r="H58" t="str">
            <v>3351-4485</v>
          </cell>
          <cell r="I58" t="str">
            <v>Sacramento</v>
          </cell>
          <cell r="J58" t="str">
            <v>Tania Aparecida Moreno</v>
          </cell>
          <cell r="K58">
            <v>6028443</v>
          </cell>
        </row>
        <row r="59">
          <cell r="C59">
            <v>159565</v>
          </cell>
          <cell r="D59">
            <v>1263925</v>
          </cell>
          <cell r="E59" t="str">
            <v>E.E. Sinhana Borges</v>
          </cell>
          <cell r="F59" t="str">
            <v>Rua Langerton Feliciano Deus, 849</v>
          </cell>
          <cell r="G59" t="str">
            <v>Maria Rosa</v>
          </cell>
          <cell r="H59" t="str">
            <v>3351-1899</v>
          </cell>
          <cell r="I59" t="str">
            <v>Sacramento</v>
          </cell>
          <cell r="J59" t="str">
            <v>Naara Cristina Moreira Mota</v>
          </cell>
          <cell r="K59">
            <v>10201960</v>
          </cell>
        </row>
        <row r="60">
          <cell r="C60">
            <v>361224</v>
          </cell>
          <cell r="D60"/>
          <cell r="E60" t="str">
            <v>E.E. Escritora Carolina Maria de Jesus</v>
          </cell>
          <cell r="F60" t="str">
            <v>Rua Professora Edina Borges Mendes, 388</v>
          </cell>
          <cell r="G60" t="str">
            <v>Jardim das Acácias</v>
          </cell>
          <cell r="H60" t="str">
            <v>99813-0922</v>
          </cell>
          <cell r="I60" t="str">
            <v>Sacramento</v>
          </cell>
          <cell r="J60" t="str">
            <v>Shirley Ap. Ribeiro Tavares Magnabosco</v>
          </cell>
          <cell r="K60">
            <v>3450004</v>
          </cell>
        </row>
        <row r="61">
          <cell r="C61">
            <v>159611</v>
          </cell>
          <cell r="D61">
            <v>1263240</v>
          </cell>
          <cell r="E61" t="str">
            <v>E.E. Santa Juliana</v>
          </cell>
          <cell r="F61" t="str">
            <v>Rua José Pedro Borges, 266</v>
          </cell>
          <cell r="G61" t="str">
            <v>Centro</v>
          </cell>
          <cell r="H61" t="str">
            <v>3354-1324</v>
          </cell>
          <cell r="I61" t="str">
            <v>Santa Juliana</v>
          </cell>
          <cell r="J61" t="str">
            <v>Edna Alves Afonso</v>
          </cell>
          <cell r="K61">
            <v>9538463</v>
          </cell>
        </row>
        <row r="62">
          <cell r="C62">
            <v>159646</v>
          </cell>
          <cell r="D62">
            <v>1263179</v>
          </cell>
          <cell r="E62" t="str">
            <v>E.E. São Francisco de Sales</v>
          </cell>
          <cell r="F62" t="str">
            <v>Avenida Seis, 468</v>
          </cell>
          <cell r="G62" t="str">
            <v>Centro</v>
          </cell>
          <cell r="H62" t="str">
            <v>3413-1231</v>
          </cell>
          <cell r="I62" t="str">
            <v>São Francisco de Sales</v>
          </cell>
          <cell r="J62" t="str">
            <v>Maria Aparecida da Silva Freitas</v>
          </cell>
          <cell r="K62">
            <v>3238011</v>
          </cell>
        </row>
        <row r="63">
          <cell r="C63">
            <v>310166</v>
          </cell>
          <cell r="D63">
            <v>1264261</v>
          </cell>
          <cell r="E63" t="str">
            <v>E.E. Professora Cecília Mª de Resende Neves</v>
          </cell>
          <cell r="F63" t="str">
            <v>Rua Francisco Rosa Pires, 93</v>
          </cell>
          <cell r="G63" t="str">
            <v>Centro</v>
          </cell>
          <cell r="H63" t="str">
            <v>3633-1187</v>
          </cell>
          <cell r="I63" t="str">
            <v>Tapira</v>
          </cell>
          <cell r="J63" t="str">
            <v>Eida Gomes de Souza Carvalho</v>
          </cell>
          <cell r="K63">
            <v>3310455</v>
          </cell>
        </row>
        <row r="64">
          <cell r="C64">
            <v>210005</v>
          </cell>
          <cell r="D64">
            <v>1263827</v>
          </cell>
          <cell r="E64" t="str">
            <v>Centro Interescolar Estadual de Línguas</v>
          </cell>
          <cell r="F64" t="str">
            <v>Rua Sergipe, 561</v>
          </cell>
          <cell r="G64" t="str">
            <v>Santa Maria</v>
          </cell>
          <cell r="H64" t="str">
            <v>3314-8232</v>
          </cell>
          <cell r="I64" t="str">
            <v>Uberaba</v>
          </cell>
          <cell r="J64" t="str">
            <v>Romina Souza Azevedo dos Santos</v>
          </cell>
          <cell r="K64">
            <v>6556450</v>
          </cell>
        </row>
        <row r="65">
          <cell r="C65">
            <v>218588</v>
          </cell>
          <cell r="D65">
            <v>1265618</v>
          </cell>
          <cell r="E65" t="str">
            <v>Centro de Orientação Pesquisa Ensino Especial</v>
          </cell>
          <cell r="F65" t="str">
            <v>Rua Gastão Vieira de Souza, 108</v>
          </cell>
          <cell r="G65" t="str">
            <v>Mercês</v>
          </cell>
          <cell r="H65" t="str">
            <v>3325-4413</v>
          </cell>
          <cell r="I65" t="str">
            <v>Uberaba</v>
          </cell>
          <cell r="J65" t="str">
            <v>Anésia Marina dos Santos Silva</v>
          </cell>
          <cell r="K65">
            <v>6595060</v>
          </cell>
        </row>
        <row r="66">
          <cell r="C66">
            <v>313751</v>
          </cell>
          <cell r="D66">
            <v>1263842</v>
          </cell>
          <cell r="E66" t="str">
            <v>CESEC (Profa Maria Emília da Rocha)</v>
          </cell>
          <cell r="F66" t="str">
            <v>Rua Ceará, 665</v>
          </cell>
          <cell r="G66" t="str">
            <v>Santa Maria</v>
          </cell>
          <cell r="H66" t="str">
            <v>3311-5499</v>
          </cell>
          <cell r="I66" t="str">
            <v>Uberaba</v>
          </cell>
          <cell r="J66" t="str">
            <v>Lucymary da Cruz Reis Lacerda</v>
          </cell>
          <cell r="K66">
            <v>3449527</v>
          </cell>
        </row>
        <row r="67">
          <cell r="C67">
            <v>159921</v>
          </cell>
          <cell r="D67">
            <v>1265824</v>
          </cell>
          <cell r="E67" t="str">
            <v>Conservatório Estadual de Música Renato Frateschi</v>
          </cell>
          <cell r="F67" t="str">
            <v>Rua Nelson Freire, s/nº</v>
          </cell>
          <cell r="G67" t="str">
            <v>Leblon</v>
          </cell>
          <cell r="H67" t="str">
            <v>3312-2392</v>
          </cell>
          <cell r="I67" t="str">
            <v>Uberaba</v>
          </cell>
          <cell r="J67" t="str">
            <v>Maria Luisa Fernandes Cardoso</v>
          </cell>
          <cell r="K67">
            <v>9828005</v>
          </cell>
        </row>
        <row r="68">
          <cell r="C68">
            <v>159735</v>
          </cell>
          <cell r="D68">
            <v>1265869</v>
          </cell>
          <cell r="E68" t="str">
            <v>E.E. América</v>
          </cell>
          <cell r="F68" t="str">
            <v>Rua da Constituição, 1405</v>
          </cell>
          <cell r="G68" t="str">
            <v>Abadia</v>
          </cell>
          <cell r="H68" t="str">
            <v>3312-2991</v>
          </cell>
          <cell r="I68" t="str">
            <v>Uberaba</v>
          </cell>
          <cell r="J68" t="str">
            <v>Carla Beatriz Papini Pinheiro Machado</v>
          </cell>
          <cell r="K68">
            <v>3331931</v>
          </cell>
        </row>
        <row r="69">
          <cell r="C69">
            <v>159701</v>
          </cell>
          <cell r="D69">
            <v>1265908</v>
          </cell>
          <cell r="E69" t="str">
            <v>E.E. Anexa à SUPAM</v>
          </cell>
          <cell r="F69" t="str">
            <v>Rua Frei Paulino, 140</v>
          </cell>
          <cell r="G69" t="str">
            <v>Abadia</v>
          </cell>
          <cell r="H69" t="str">
            <v>3332-6954</v>
          </cell>
          <cell r="I69" t="str">
            <v>Uberaba</v>
          </cell>
          <cell r="J69" t="str">
            <v>Márcia Maria Pinheiro dos Santos</v>
          </cell>
          <cell r="K69">
            <v>9464579</v>
          </cell>
        </row>
        <row r="70">
          <cell r="C70">
            <v>159662</v>
          </cell>
          <cell r="D70">
            <v>1264009</v>
          </cell>
          <cell r="E70" t="str">
            <v>E.E. Aurélio Luiz da Costa</v>
          </cell>
          <cell r="F70" t="str">
            <v>Rua Miguel de Stefani, s/nº</v>
          </cell>
          <cell r="G70" t="str">
            <v>Jardim Induberaba</v>
          </cell>
          <cell r="H70" t="str">
            <v>3336-1291</v>
          </cell>
          <cell r="I70" t="str">
            <v>Uberaba</v>
          </cell>
          <cell r="J70" t="str">
            <v>João Gilberto da Silva</v>
          </cell>
          <cell r="K70">
            <v>11766581</v>
          </cell>
        </row>
        <row r="71">
          <cell r="C71">
            <v>159786</v>
          </cell>
          <cell r="D71">
            <v>1263775</v>
          </cell>
          <cell r="E71" t="str">
            <v>E.E. Bernardo Vasconcelos</v>
          </cell>
          <cell r="F71" t="str">
            <v>Praça José Tiveron, 50</v>
          </cell>
          <cell r="G71" t="str">
            <v>Costa Teles</v>
          </cell>
          <cell r="H71" t="str">
            <v>3313-1707</v>
          </cell>
          <cell r="I71" t="str">
            <v>Uberaba</v>
          </cell>
          <cell r="J71" t="str">
            <v>Regina Celia de Lima</v>
          </cell>
          <cell r="K71">
            <v>2924827</v>
          </cell>
        </row>
        <row r="72">
          <cell r="C72">
            <v>159841</v>
          </cell>
          <cell r="D72">
            <v>1265641</v>
          </cell>
          <cell r="E72" t="str">
            <v>E.E. Boulanger Pucci</v>
          </cell>
          <cell r="F72" t="str">
            <v>Rua José Bonifácio, 620</v>
          </cell>
          <cell r="G72" t="str">
            <v>Parque São Geraldo</v>
          </cell>
          <cell r="H72" t="str">
            <v>3336-4684</v>
          </cell>
          <cell r="I72" t="str">
            <v>Uberaba</v>
          </cell>
          <cell r="J72" t="str">
            <v>Adriano Fernandes Muller</v>
          </cell>
          <cell r="K72">
            <v>13034400</v>
          </cell>
        </row>
        <row r="73">
          <cell r="C73">
            <v>159867</v>
          </cell>
          <cell r="D73">
            <v>1264042</v>
          </cell>
          <cell r="E73" t="str">
            <v>E.E. Brasil</v>
          </cell>
          <cell r="F73" t="str">
            <v>Praça Comendados Quintino, s/nº</v>
          </cell>
          <cell r="G73" t="str">
            <v>Estados Unidos</v>
          </cell>
          <cell r="H73" t="str">
            <v>3332-1115</v>
          </cell>
          <cell r="I73" t="str">
            <v>Uberaba</v>
          </cell>
          <cell r="J73" t="str">
            <v>Marilda Alves Timóteo de Carvalho</v>
          </cell>
          <cell r="K73">
            <v>3308657</v>
          </cell>
        </row>
        <row r="74">
          <cell r="C74">
            <v>160261</v>
          </cell>
          <cell r="D74">
            <v>1264074</v>
          </cell>
          <cell r="E74" t="str">
            <v>E.E. Carmelita Carvalho Garcia</v>
          </cell>
          <cell r="F74" t="str">
            <v>Rua Dona Marat Pontes, 780</v>
          </cell>
          <cell r="G74" t="str">
            <v>Margarida Rosa de Azevedo</v>
          </cell>
          <cell r="H74" t="str">
            <v>3314-0104</v>
          </cell>
          <cell r="I74" t="str">
            <v>Uberaba</v>
          </cell>
          <cell r="J74" t="str">
            <v>Josafredo Mota</v>
          </cell>
          <cell r="K74">
            <v>2981959</v>
          </cell>
        </row>
        <row r="75">
          <cell r="C75">
            <v>159981</v>
          </cell>
          <cell r="D75">
            <v>1264307</v>
          </cell>
          <cell r="E75" t="str">
            <v>E.E. Dom Eduardo</v>
          </cell>
          <cell r="F75" t="str">
            <v>Avenida da Saudade, 71</v>
          </cell>
          <cell r="G75" t="str">
            <v>Mercês</v>
          </cell>
          <cell r="H75" t="str">
            <v>3312-9087</v>
          </cell>
          <cell r="I75" t="str">
            <v>Uberaba</v>
          </cell>
          <cell r="J75" t="str">
            <v>Célia Regina Donato Caetano</v>
          </cell>
          <cell r="K75">
            <v>10191567</v>
          </cell>
        </row>
        <row r="76">
          <cell r="C76">
            <v>160024</v>
          </cell>
          <cell r="D76">
            <v>1264380</v>
          </cell>
          <cell r="E76" t="str">
            <v>E.E. Doutor José Mendonça</v>
          </cell>
          <cell r="F76" t="str">
            <v>Rua Antônio Alves Fontes, 519</v>
          </cell>
          <cell r="G76" t="str">
            <v>Parque das Américas</v>
          </cell>
          <cell r="H76" t="str">
            <v>3336-3011</v>
          </cell>
          <cell r="I76" t="str">
            <v>Uberaba</v>
          </cell>
          <cell r="J76" t="str">
            <v>Denise Dumont Costa</v>
          </cell>
          <cell r="K76">
            <v>3643806</v>
          </cell>
        </row>
        <row r="77">
          <cell r="C77">
            <v>160067</v>
          </cell>
          <cell r="D77">
            <v>1263901</v>
          </cell>
          <cell r="E77" t="str">
            <v>E.E. Felício de Paiva</v>
          </cell>
          <cell r="F77" t="str">
            <v>Rua Miguel Veríssimo, 1006</v>
          </cell>
          <cell r="G77" t="str">
            <v>Jardim América</v>
          </cell>
          <cell r="H77" t="str">
            <v>3314-2824</v>
          </cell>
          <cell r="I77" t="str">
            <v>Uberaba</v>
          </cell>
          <cell r="J77" t="str">
            <v>Carolina de Freitas Dias de C. Mierro</v>
          </cell>
          <cell r="K77">
            <v>11763034</v>
          </cell>
        </row>
        <row r="78">
          <cell r="C78">
            <v>160008</v>
          </cell>
          <cell r="D78">
            <v>1264467</v>
          </cell>
          <cell r="E78" t="str">
            <v>E.E. Fidélis Reis</v>
          </cell>
          <cell r="F78" t="str">
            <v>Rua Santa Vitória, 380</v>
          </cell>
          <cell r="G78" t="str">
            <v>Vila Boa Vista</v>
          </cell>
          <cell r="H78" t="str">
            <v>3322-4140</v>
          </cell>
          <cell r="I78" t="str">
            <v>Uberaba</v>
          </cell>
          <cell r="J78" t="str">
            <v>Zânia Maria Brito Caparelli</v>
          </cell>
          <cell r="K78">
            <v>3309168</v>
          </cell>
        </row>
        <row r="79">
          <cell r="C79">
            <v>160083</v>
          </cell>
          <cell r="D79">
            <v>1263902</v>
          </cell>
          <cell r="E79" t="str">
            <v>E.E. Frei Leopoldo de Castelnuovo</v>
          </cell>
          <cell r="F79" t="str">
            <v>Rua Centenário, 570</v>
          </cell>
          <cell r="G79" t="str">
            <v>Santa Marta</v>
          </cell>
          <cell r="H79" t="str">
            <v>3332-0671</v>
          </cell>
          <cell r="I79" t="str">
            <v>Uberaba</v>
          </cell>
          <cell r="J79" t="str">
            <v>Bruno de Jesus Vaz</v>
          </cell>
          <cell r="K79">
            <v>11876497</v>
          </cell>
        </row>
        <row r="80">
          <cell r="C80">
            <v>160105</v>
          </cell>
          <cell r="D80">
            <v>1264497</v>
          </cell>
          <cell r="E80" t="str">
            <v>E.E. Gabriel Toti</v>
          </cell>
          <cell r="F80" t="str">
            <v>Avenida Tutunas, 901</v>
          </cell>
          <cell r="G80" t="str">
            <v>Tutunas</v>
          </cell>
          <cell r="H80" t="str">
            <v>3315-4692</v>
          </cell>
          <cell r="I80" t="str">
            <v>Uberaba</v>
          </cell>
          <cell r="J80" t="str">
            <v>Ricardo Cesar de Oliveira Brito</v>
          </cell>
          <cell r="K80">
            <v>11267432</v>
          </cell>
        </row>
        <row r="81">
          <cell r="C81">
            <v>160237</v>
          </cell>
          <cell r="D81">
            <v>1263904</v>
          </cell>
          <cell r="E81" t="str">
            <v>E.E. Geraldino Rodrigues da Cunha</v>
          </cell>
          <cell r="F81" t="str">
            <v>Rua Vigário Carlos, 1300</v>
          </cell>
          <cell r="G81" t="str">
            <v>Abadia</v>
          </cell>
          <cell r="H81" t="str">
            <v>3313-2658</v>
          </cell>
          <cell r="I81" t="str">
            <v>Uberaba</v>
          </cell>
          <cell r="J81" t="str">
            <v>Edilaine Mendes Dias de Andrade</v>
          </cell>
          <cell r="K81">
            <v>11128709</v>
          </cell>
        </row>
        <row r="82">
          <cell r="C82">
            <v>160121</v>
          </cell>
          <cell r="D82">
            <v>1264531</v>
          </cell>
          <cell r="E82" t="str">
            <v>E.E. Henrique Kruger</v>
          </cell>
          <cell r="F82" t="str">
            <v>Rua João Caetano Primo, 31</v>
          </cell>
          <cell r="G82" t="str">
            <v>Alfredo Freire</v>
          </cell>
          <cell r="H82" t="str">
            <v>3316-2670</v>
          </cell>
          <cell r="I82" t="str">
            <v>Uberaba</v>
          </cell>
          <cell r="J82" t="str">
            <v>Germano Fernandes</v>
          </cell>
          <cell r="K82">
            <v>11308863</v>
          </cell>
        </row>
        <row r="83">
          <cell r="C83">
            <v>160148</v>
          </cell>
          <cell r="D83">
            <v>1265995</v>
          </cell>
          <cell r="E83" t="str">
            <v>E.E. Horizonta Lemos</v>
          </cell>
          <cell r="F83" t="str">
            <v xml:space="preserve">Av. Nossa Senhora de Lourdes,  s/nº </v>
          </cell>
          <cell r="G83" t="str">
            <v>Parque das Gameleiras</v>
          </cell>
          <cell r="H83" t="str">
            <v>3314-5031</v>
          </cell>
          <cell r="I83" t="str">
            <v>Uberaba</v>
          </cell>
          <cell r="J83" t="str">
            <v>Lucilane Silva Barbosa</v>
          </cell>
          <cell r="K83">
            <v>3329034</v>
          </cell>
        </row>
        <row r="84">
          <cell r="C84">
            <v>160164</v>
          </cell>
          <cell r="D84">
            <v>1264555</v>
          </cell>
          <cell r="E84" t="str">
            <v>E.E. Irmão Afonso</v>
          </cell>
          <cell r="F84" t="str">
            <v>Rua José Carlos Rodrigues da Cunha Jr, 160</v>
          </cell>
          <cell r="G84" t="str">
            <v>Jardim Elza Amui</v>
          </cell>
          <cell r="H84" t="str">
            <v>3322-9197</v>
          </cell>
          <cell r="I84" t="str">
            <v>Uberaba</v>
          </cell>
          <cell r="J84" t="str">
            <v>Nanciorlei Paula Souza Oliveira</v>
          </cell>
          <cell r="K84">
            <v>6535884</v>
          </cell>
        </row>
        <row r="85">
          <cell r="C85">
            <v>160172</v>
          </cell>
          <cell r="D85">
            <v>1263906</v>
          </cell>
          <cell r="E85" t="str">
            <v>E.E. Lauro Fontoura</v>
          </cell>
          <cell r="F85" t="str">
            <v>Rua João Rodrigues Vilaça, 164</v>
          </cell>
          <cell r="G85" t="str">
            <v>Fabrício</v>
          </cell>
          <cell r="H85" t="str">
            <v>3314-4829</v>
          </cell>
          <cell r="I85" t="str">
            <v>Uberaba</v>
          </cell>
          <cell r="J85" t="str">
            <v>Mariângela Rodrigues da Silva</v>
          </cell>
          <cell r="K85">
            <v>2729325</v>
          </cell>
        </row>
        <row r="86">
          <cell r="C86">
            <v>160245</v>
          </cell>
          <cell r="D86">
            <v>1264689</v>
          </cell>
          <cell r="E86" t="str">
            <v>E.E. Leandro Antonio de Vito</v>
          </cell>
          <cell r="F86" t="str">
            <v>Rua Arquelau Alves Ribeiro, 343</v>
          </cell>
          <cell r="G86" t="str">
            <v>Arquelau</v>
          </cell>
          <cell r="H86" t="str">
            <v>3313-3456</v>
          </cell>
          <cell r="I86" t="str">
            <v>Uberaba</v>
          </cell>
          <cell r="J86" t="str">
            <v>Eliana Lombardi de Cuba</v>
          </cell>
          <cell r="K86">
            <v>2875615</v>
          </cell>
        </row>
        <row r="87">
          <cell r="C87">
            <v>159671</v>
          </cell>
          <cell r="D87">
            <v>1265725</v>
          </cell>
          <cell r="E87" t="str">
            <v>E.E. Marechal Humberto de Alencar Castelo Branco</v>
          </cell>
          <cell r="F87" t="str">
            <v>Rua Padre Leandro,  121</v>
          </cell>
          <cell r="G87" t="str">
            <v>Estados Unidos</v>
          </cell>
          <cell r="H87" t="str">
            <v>3321-7066</v>
          </cell>
          <cell r="I87" t="str">
            <v>Uberaba</v>
          </cell>
          <cell r="J87" t="str">
            <v>José Augusto da Silva Queiroz</v>
          </cell>
          <cell r="K87">
            <v>11236056</v>
          </cell>
        </row>
        <row r="88">
          <cell r="C88">
            <v>159719</v>
          </cell>
          <cell r="D88">
            <v>1264797</v>
          </cell>
          <cell r="E88" t="str">
            <v>E.E. Miguel Laterza</v>
          </cell>
          <cell r="F88" t="str">
            <v>R. Profa Antônia Maria de Freitas, 59</v>
          </cell>
          <cell r="G88" t="str">
            <v>São Benedito</v>
          </cell>
          <cell r="H88" t="str">
            <v>3338-3911</v>
          </cell>
          <cell r="I88" t="str">
            <v>Uberaba</v>
          </cell>
          <cell r="J88" t="str">
            <v>Rosana Cirino Barquet Moreira</v>
          </cell>
          <cell r="K88">
            <v>6584379</v>
          </cell>
        </row>
        <row r="89">
          <cell r="C89">
            <v>159751</v>
          </cell>
          <cell r="D89">
            <v>1265741</v>
          </cell>
          <cell r="E89" t="str">
            <v>E.E. Minas Gerais</v>
          </cell>
          <cell r="F89" t="str">
            <v>Praça Frei Eugênio, 473</v>
          </cell>
          <cell r="G89" t="str">
            <v>São Benedito</v>
          </cell>
          <cell r="H89" t="str">
            <v>3332-3212</v>
          </cell>
          <cell r="I89" t="str">
            <v>Uberaba</v>
          </cell>
          <cell r="J89" t="str">
            <v>Fabiano Rodrigues</v>
          </cell>
          <cell r="K89">
            <v>11186855</v>
          </cell>
        </row>
        <row r="90">
          <cell r="C90">
            <v>159794</v>
          </cell>
          <cell r="D90">
            <v>1265744</v>
          </cell>
          <cell r="E90" t="str">
            <v>E.E. Nossa Senhora da Abadia</v>
          </cell>
          <cell r="F90" t="str">
            <v>Rua Doutor Ludovice, 815</v>
          </cell>
          <cell r="G90" t="str">
            <v>Abadia</v>
          </cell>
          <cell r="H90" t="str">
            <v>3322-6626</v>
          </cell>
          <cell r="I90" t="str">
            <v>Uberaba</v>
          </cell>
          <cell r="J90" t="str">
            <v>Marlene Marques Queiroz V. Azambuja</v>
          </cell>
          <cell r="K90">
            <v>8769994</v>
          </cell>
        </row>
        <row r="91">
          <cell r="C91">
            <v>159891</v>
          </cell>
          <cell r="D91">
            <v>1265755</v>
          </cell>
          <cell r="E91" t="str">
            <v>E.E. Paulo José Derenusson</v>
          </cell>
          <cell r="F91" t="str">
            <v>Rua Itália, 1010</v>
          </cell>
          <cell r="G91" t="str">
            <v>Boa Vista</v>
          </cell>
          <cell r="H91" t="str">
            <v>3322-2010</v>
          </cell>
          <cell r="I91" t="str">
            <v>Uberaba</v>
          </cell>
          <cell r="J91" t="str">
            <v>Aparecida de Paula Costa</v>
          </cell>
          <cell r="K91">
            <v>10611499</v>
          </cell>
        </row>
        <row r="92">
          <cell r="C92">
            <v>159956</v>
          </cell>
          <cell r="D92">
            <v>1264961</v>
          </cell>
          <cell r="E92" t="str">
            <v>E.E. Presidente João Pinheiro</v>
          </cell>
          <cell r="F92" t="str">
            <v>Rua Menelick de Carvalho, 383</v>
          </cell>
          <cell r="G92" t="str">
            <v>Boa Vista</v>
          </cell>
          <cell r="H92" t="str">
            <v>3312-9932</v>
          </cell>
          <cell r="I92" t="str">
            <v>Uberaba</v>
          </cell>
          <cell r="J92" t="str">
            <v>Leandra da Silva Neto</v>
          </cell>
          <cell r="K92">
            <v>11311040</v>
          </cell>
        </row>
        <row r="93">
          <cell r="C93">
            <v>159972</v>
          </cell>
          <cell r="D93">
            <v>1263921</v>
          </cell>
          <cell r="E93" t="str">
            <v>E.E. Professora Corina de Oliveira</v>
          </cell>
          <cell r="F93" t="str">
            <v>Avenida da Saudade, 289</v>
          </cell>
          <cell r="G93" t="str">
            <v>Mercês</v>
          </cell>
          <cell r="H93" t="str">
            <v>3312-9449</v>
          </cell>
          <cell r="I93" t="str">
            <v>Uberaba</v>
          </cell>
          <cell r="J93" t="str">
            <v>Adriana Cristina F. Vaz Lemos Armada</v>
          </cell>
          <cell r="K93">
            <v>8190274</v>
          </cell>
        </row>
        <row r="94">
          <cell r="C94">
            <v>159999</v>
          </cell>
          <cell r="D94">
            <v>1264975</v>
          </cell>
          <cell r="E94" t="str">
            <v>E.E. Professor Alceu Novaes</v>
          </cell>
          <cell r="F94" t="str">
            <v>Av. Dr Hélio Luiz da Costa, 685</v>
          </cell>
          <cell r="G94" t="str">
            <v>Guanabara</v>
          </cell>
          <cell r="H94" t="str">
            <v>3338-8864</v>
          </cell>
          <cell r="I94" t="str">
            <v>Uberaba</v>
          </cell>
          <cell r="J94" t="str">
            <v>Claudemir Nery de Lima</v>
          </cell>
          <cell r="K94">
            <v>3907581</v>
          </cell>
        </row>
        <row r="95">
          <cell r="C95">
            <v>160016</v>
          </cell>
          <cell r="D95">
            <v>1265763</v>
          </cell>
          <cell r="E95" t="str">
            <v>E.E. Professor Chaves</v>
          </cell>
          <cell r="F95" t="str">
            <v>Av. Fernando Costa, 714</v>
          </cell>
          <cell r="G95" t="str">
            <v>São Benedito</v>
          </cell>
          <cell r="H95" t="str">
            <v>3336-2901</v>
          </cell>
          <cell r="I95" t="str">
            <v>Uberaba</v>
          </cell>
          <cell r="J95" t="str">
            <v>Ariana de Oliveira Souto</v>
          </cell>
          <cell r="K95">
            <v>10963627</v>
          </cell>
        </row>
        <row r="96">
          <cell r="C96">
            <v>160059</v>
          </cell>
          <cell r="D96">
            <v>1263022</v>
          </cell>
          <cell r="E96" t="str">
            <v>E.E. Professor Hildebrando Pontes</v>
          </cell>
          <cell r="F96" t="str">
            <v>Praça Antônio Delfino, 53</v>
          </cell>
          <cell r="G96" t="str">
            <v>Boa Vista</v>
          </cell>
          <cell r="H96" t="str">
            <v>3338-6820</v>
          </cell>
          <cell r="I96" t="str">
            <v>Uberaba</v>
          </cell>
          <cell r="J96" t="str">
            <v>Silvana Bernardes Ferreira</v>
          </cell>
          <cell r="K96">
            <v>2501591</v>
          </cell>
        </row>
        <row r="97">
          <cell r="C97">
            <v>327280</v>
          </cell>
          <cell r="D97">
            <v>1262921</v>
          </cell>
          <cell r="E97" t="str">
            <v>E.E. Professor Minervino Cesarino</v>
          </cell>
          <cell r="F97" t="str">
            <v>Rua Dr Décio Moreira, 400</v>
          </cell>
          <cell r="G97" t="str">
            <v>Amoroso Costa</v>
          </cell>
          <cell r="H97" t="str">
            <v>3322-5334</v>
          </cell>
          <cell r="I97" t="str">
            <v>Uberaba</v>
          </cell>
          <cell r="J97" t="str">
            <v>Marise Alves Ranuzi</v>
          </cell>
          <cell r="K97">
            <v>2878718</v>
          </cell>
        </row>
        <row r="98">
          <cell r="C98">
            <v>160075</v>
          </cell>
          <cell r="D98">
            <v>1263922</v>
          </cell>
          <cell r="E98" t="str">
            <v>E.E. Quintiliano Jardim</v>
          </cell>
          <cell r="F98" t="str">
            <v>Rua Osvaldo Cruz, 300</v>
          </cell>
          <cell r="G98" t="str">
            <v>Estados Unidos</v>
          </cell>
          <cell r="H98" t="str">
            <v>3321-6619</v>
          </cell>
          <cell r="I98" t="str">
            <v>Uberaba</v>
          </cell>
          <cell r="J98" t="str">
            <v>José Ronan Borges</v>
          </cell>
          <cell r="K98">
            <v>9770520</v>
          </cell>
        </row>
        <row r="99">
          <cell r="C99">
            <v>160091</v>
          </cell>
          <cell r="D99">
            <v>1263152</v>
          </cell>
          <cell r="E99" t="str">
            <v>E.E. Rotary</v>
          </cell>
          <cell r="F99" t="str">
            <v>Alameda Granada, 585</v>
          </cell>
          <cell r="G99" t="str">
            <v>Leblon</v>
          </cell>
          <cell r="H99" t="str">
            <v>3314-2976</v>
          </cell>
          <cell r="I99" t="str">
            <v>Uberaba</v>
          </cell>
          <cell r="J99" t="str">
            <v>Kátia Lisidora de Sousa</v>
          </cell>
          <cell r="K99">
            <v>8850349</v>
          </cell>
        </row>
        <row r="100">
          <cell r="C100">
            <v>160130</v>
          </cell>
          <cell r="D100">
            <v>1265922</v>
          </cell>
          <cell r="E100" t="str">
            <v>E.E. Santa Terezinha</v>
          </cell>
          <cell r="F100" t="str">
            <v>Rua do Café, 120</v>
          </cell>
          <cell r="G100" t="str">
            <v>Amoroso Costa</v>
          </cell>
          <cell r="H100" t="str">
            <v>3322-2190</v>
          </cell>
          <cell r="I100" t="str">
            <v>Uberaba</v>
          </cell>
          <cell r="J100" t="str">
            <v>Stela Maris França</v>
          </cell>
          <cell r="K100">
            <v>6609135</v>
          </cell>
        </row>
        <row r="101">
          <cell r="C101">
            <v>160156</v>
          </cell>
          <cell r="D101">
            <v>1263169</v>
          </cell>
          <cell r="E101" t="str">
            <v>E.E. São Benedito</v>
          </cell>
          <cell r="F101" t="str">
            <v>Rua Varginha,  60</v>
          </cell>
          <cell r="G101" t="str">
            <v>São Benedito</v>
          </cell>
          <cell r="H101" t="str">
            <v>3314-7866</v>
          </cell>
          <cell r="I101" t="str">
            <v>Uberaba</v>
          </cell>
          <cell r="J101" t="str">
            <v>Henrique de Oliveira Moreira</v>
          </cell>
          <cell r="K101">
            <v>10656536</v>
          </cell>
        </row>
        <row r="102">
          <cell r="C102">
            <v>160253</v>
          </cell>
          <cell r="D102">
            <v>1263844</v>
          </cell>
          <cell r="E102" t="str">
            <v>Colégio Tiradentes da PMMG</v>
          </cell>
          <cell r="F102" t="str">
            <v>Praça Governador Magalhães Pinto, 464</v>
          </cell>
          <cell r="G102" t="str">
            <v>Fabrício</v>
          </cell>
          <cell r="H102" t="str">
            <v>3318-3829</v>
          </cell>
          <cell r="I102" t="str">
            <v>Uberaba</v>
          </cell>
          <cell r="J102" t="str">
            <v>Joana Darc Silva</v>
          </cell>
          <cell r="K102"/>
        </row>
        <row r="103">
          <cell r="C103">
            <v>349321</v>
          </cell>
          <cell r="D103">
            <v>1266920</v>
          </cell>
          <cell r="E103" t="str">
            <v>E.E. Francisco Cândido Xavier</v>
          </cell>
          <cell r="F103" t="str">
            <v xml:space="preserve">Av. Américo Pessato, 100 </v>
          </cell>
          <cell r="G103" t="str">
            <v>Pacaembu</v>
          </cell>
          <cell r="H103" t="str">
            <v>3311-2300</v>
          </cell>
          <cell r="I103" t="str">
            <v>Uberaba</v>
          </cell>
          <cell r="J103" t="str">
            <v>Lindomar Pires Ferreira</v>
          </cell>
          <cell r="K103">
            <v>11186830</v>
          </cell>
        </row>
        <row r="104">
          <cell r="C104">
            <v>349313</v>
          </cell>
          <cell r="D104">
            <v>1266919</v>
          </cell>
          <cell r="E104" t="str">
            <v>E.E. Professora Neide de Oliveira Gomes</v>
          </cell>
          <cell r="F104" t="str">
            <v>Av. Dra Maria Terezinha Rocha , 600</v>
          </cell>
          <cell r="G104" t="str">
            <v>Residencial 2000</v>
          </cell>
          <cell r="H104" t="str">
            <v>3312-1708</v>
          </cell>
          <cell r="I104" t="str">
            <v>Uberaba</v>
          </cell>
          <cell r="J104" t="str">
            <v>Francislene F. dos Reis Nascimento</v>
          </cell>
          <cell r="K104">
            <v>13199971</v>
          </cell>
        </row>
        <row r="105">
          <cell r="C105">
            <v>342556</v>
          </cell>
          <cell r="D105">
            <v>1266151</v>
          </cell>
          <cell r="E105" t="str">
            <v>E.E. Aloízio Castanheira</v>
          </cell>
          <cell r="F105" t="str">
            <v>Rua Sinhá Teodoro, 226</v>
          </cell>
          <cell r="G105" t="str">
            <v>Distrito de Ponte Alta</v>
          </cell>
          <cell r="H105" t="str">
            <v>3352-1611</v>
          </cell>
          <cell r="I105" t="str">
            <v>Uberaba</v>
          </cell>
          <cell r="J105" t="str">
            <v>Humberto Silva</v>
          </cell>
          <cell r="K105">
            <v>3796984</v>
          </cell>
        </row>
        <row r="106">
          <cell r="C106">
            <v>159310</v>
          </cell>
          <cell r="D106">
            <v>1264318</v>
          </cell>
          <cell r="E106" t="str">
            <v>E.E. Dom Pedro II</v>
          </cell>
          <cell r="F106" t="str">
            <v>Avenida Nove,  966</v>
          </cell>
          <cell r="G106" t="str">
            <v>Centro</v>
          </cell>
          <cell r="H106" t="str">
            <v>3456-1324</v>
          </cell>
          <cell r="I106" t="str">
            <v>União de Minas</v>
          </cell>
          <cell r="J106" t="str">
            <v>Paulo Sergio da Silva</v>
          </cell>
          <cell r="K106">
            <v>10844769</v>
          </cell>
        </row>
        <row r="107">
          <cell r="C107">
            <v>160326</v>
          </cell>
          <cell r="D107">
            <v>1264507</v>
          </cell>
          <cell r="E107" t="str">
            <v>E.E. Geraldino Rodrigues da Cunha</v>
          </cell>
          <cell r="F107" t="str">
            <v>Praça João Rosa,  s/nº</v>
          </cell>
          <cell r="G107" t="str">
            <v>Centro</v>
          </cell>
          <cell r="H107" t="str">
            <v>3323-1137</v>
          </cell>
          <cell r="I107" t="str">
            <v>Veríssimo</v>
          </cell>
          <cell r="J107" t="str">
            <v>Ana Maria Carvalho da Silva</v>
          </cell>
          <cell r="K107">
            <v>11313244</v>
          </cell>
        </row>
        <row r="108">
          <cell r="C108"/>
          <cell r="D108"/>
          <cell r="E108"/>
          <cell r="F108"/>
          <cell r="G108"/>
          <cell r="H108"/>
          <cell r="I108"/>
          <cell r="J108"/>
          <cell r="K108"/>
        </row>
        <row r="109">
          <cell r="C109"/>
          <cell r="D109"/>
          <cell r="E109"/>
          <cell r="F109"/>
          <cell r="G109"/>
          <cell r="H109"/>
          <cell r="I109"/>
          <cell r="J109"/>
          <cell r="K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</row>
        <row r="111">
          <cell r="C111"/>
          <cell r="D111"/>
          <cell r="E111"/>
          <cell r="F111"/>
          <cell r="G111"/>
          <cell r="H111"/>
          <cell r="I111"/>
          <cell r="J111"/>
          <cell r="K111"/>
        </row>
        <row r="112">
          <cell r="C112"/>
          <cell r="D112"/>
          <cell r="E112"/>
          <cell r="F112"/>
          <cell r="G112"/>
          <cell r="H112"/>
          <cell r="I112"/>
          <cell r="J112"/>
          <cell r="K112"/>
        </row>
        <row r="113">
          <cell r="C113"/>
          <cell r="D113"/>
          <cell r="E113"/>
          <cell r="F113"/>
          <cell r="G113"/>
          <cell r="H113"/>
          <cell r="I113"/>
          <cell r="J113"/>
          <cell r="K113"/>
        </row>
        <row r="114">
          <cell r="C114"/>
          <cell r="D114"/>
          <cell r="E114"/>
          <cell r="F114"/>
          <cell r="G114"/>
          <cell r="H114"/>
          <cell r="I114"/>
          <cell r="J114"/>
          <cell r="K114"/>
        </row>
        <row r="115">
          <cell r="C115"/>
          <cell r="D115"/>
          <cell r="E115"/>
          <cell r="F115"/>
          <cell r="G115"/>
          <cell r="H115"/>
          <cell r="I115"/>
          <cell r="J115"/>
          <cell r="K115"/>
        </row>
        <row r="116">
          <cell r="C116"/>
          <cell r="D116"/>
          <cell r="E116"/>
          <cell r="F116"/>
          <cell r="G116"/>
          <cell r="H116"/>
          <cell r="I116"/>
          <cell r="J116"/>
          <cell r="K116"/>
        </row>
        <row r="117">
          <cell r="C117"/>
          <cell r="D117"/>
          <cell r="E117"/>
          <cell r="F117"/>
          <cell r="G117"/>
          <cell r="H117"/>
          <cell r="I117"/>
          <cell r="J117"/>
          <cell r="K117"/>
        </row>
        <row r="118">
          <cell r="C118"/>
          <cell r="D118"/>
          <cell r="E118"/>
          <cell r="F118"/>
          <cell r="G118"/>
          <cell r="H118"/>
          <cell r="I118"/>
          <cell r="J118"/>
          <cell r="K118"/>
        </row>
        <row r="119">
          <cell r="C119"/>
          <cell r="D119"/>
          <cell r="E119"/>
          <cell r="F119"/>
          <cell r="G119"/>
          <cell r="H119"/>
          <cell r="I119"/>
          <cell r="J119"/>
          <cell r="K119"/>
        </row>
        <row r="120">
          <cell r="C120"/>
          <cell r="D120"/>
          <cell r="E120"/>
          <cell r="F120"/>
          <cell r="G120"/>
          <cell r="H120"/>
          <cell r="I120"/>
          <cell r="J120"/>
          <cell r="K120"/>
        </row>
        <row r="121">
          <cell r="C121"/>
          <cell r="D121"/>
          <cell r="E121"/>
          <cell r="F121"/>
          <cell r="G121"/>
          <cell r="H121"/>
          <cell r="I121"/>
          <cell r="J121"/>
          <cell r="K121"/>
        </row>
        <row r="122">
          <cell r="C122"/>
          <cell r="D122"/>
          <cell r="E122"/>
          <cell r="F122"/>
          <cell r="G122"/>
          <cell r="H122"/>
          <cell r="I122"/>
          <cell r="J122"/>
          <cell r="K122"/>
        </row>
        <row r="123">
          <cell r="C123"/>
          <cell r="D123"/>
          <cell r="E123"/>
          <cell r="F123"/>
          <cell r="G123"/>
          <cell r="H123"/>
          <cell r="I123"/>
          <cell r="J123"/>
          <cell r="K123"/>
        </row>
        <row r="124">
          <cell r="C124"/>
          <cell r="D124"/>
          <cell r="E124"/>
          <cell r="F124"/>
          <cell r="G124"/>
          <cell r="H124"/>
          <cell r="I124"/>
          <cell r="J124"/>
          <cell r="K124"/>
        </row>
        <row r="125">
          <cell r="C125"/>
          <cell r="D125"/>
          <cell r="E125"/>
          <cell r="F125"/>
          <cell r="G125"/>
          <cell r="H125"/>
          <cell r="I125"/>
          <cell r="J125"/>
          <cell r="K125"/>
        </row>
        <row r="126">
          <cell r="C126"/>
          <cell r="D126"/>
          <cell r="E126"/>
          <cell r="F126"/>
          <cell r="G126"/>
          <cell r="H126"/>
          <cell r="I126"/>
          <cell r="J126"/>
          <cell r="K126"/>
        </row>
        <row r="127">
          <cell r="C127"/>
          <cell r="D127"/>
          <cell r="E127"/>
          <cell r="F127"/>
          <cell r="G127"/>
          <cell r="H127"/>
          <cell r="I127"/>
          <cell r="J127"/>
          <cell r="K127"/>
        </row>
        <row r="128">
          <cell r="C128"/>
          <cell r="D128"/>
          <cell r="E128"/>
          <cell r="F128"/>
          <cell r="G128"/>
          <cell r="H128"/>
          <cell r="I128"/>
          <cell r="J128"/>
          <cell r="K128"/>
        </row>
        <row r="129">
          <cell r="C129"/>
          <cell r="D129"/>
          <cell r="E129"/>
          <cell r="F129"/>
          <cell r="G129"/>
          <cell r="H129"/>
          <cell r="I129"/>
          <cell r="J129"/>
          <cell r="K129"/>
        </row>
        <row r="130">
          <cell r="C130"/>
          <cell r="D130"/>
          <cell r="E130"/>
          <cell r="F130"/>
          <cell r="G130"/>
          <cell r="H130"/>
          <cell r="I130"/>
          <cell r="J130"/>
          <cell r="K130"/>
        </row>
        <row r="131">
          <cell r="C131"/>
          <cell r="D131"/>
          <cell r="E131"/>
          <cell r="F131"/>
          <cell r="G131"/>
          <cell r="H131"/>
          <cell r="I131"/>
          <cell r="J131"/>
          <cell r="K131"/>
        </row>
        <row r="132">
          <cell r="C132"/>
          <cell r="D132"/>
          <cell r="E132"/>
          <cell r="F132"/>
          <cell r="G132"/>
          <cell r="H132"/>
          <cell r="I132"/>
          <cell r="J132"/>
          <cell r="K132"/>
        </row>
        <row r="133">
          <cell r="C133"/>
          <cell r="D133"/>
          <cell r="E133"/>
          <cell r="F133"/>
          <cell r="G133"/>
          <cell r="H133"/>
          <cell r="I133"/>
          <cell r="J133"/>
          <cell r="K133"/>
        </row>
        <row r="134">
          <cell r="C134"/>
          <cell r="D134"/>
          <cell r="E134"/>
          <cell r="F134"/>
          <cell r="G134"/>
          <cell r="H134"/>
          <cell r="I134"/>
          <cell r="J134"/>
          <cell r="K134"/>
        </row>
        <row r="135">
          <cell r="C135"/>
          <cell r="D135"/>
          <cell r="E135"/>
          <cell r="F135"/>
          <cell r="G135"/>
          <cell r="H135"/>
          <cell r="I135"/>
          <cell r="J135"/>
          <cell r="K135"/>
        </row>
        <row r="136">
          <cell r="C136"/>
          <cell r="D136"/>
          <cell r="E136"/>
          <cell r="F136"/>
          <cell r="G136"/>
          <cell r="H136"/>
          <cell r="I136"/>
          <cell r="J136"/>
          <cell r="K136"/>
        </row>
        <row r="137">
          <cell r="C137"/>
          <cell r="D137"/>
          <cell r="E137"/>
          <cell r="F137"/>
          <cell r="G137"/>
          <cell r="H137"/>
          <cell r="I137"/>
          <cell r="J137"/>
          <cell r="K137"/>
        </row>
        <row r="138">
          <cell r="C138"/>
          <cell r="D138"/>
          <cell r="E138"/>
          <cell r="F138"/>
          <cell r="G138"/>
          <cell r="H138"/>
          <cell r="I138"/>
          <cell r="J138"/>
          <cell r="K138"/>
        </row>
        <row r="139">
          <cell r="C139"/>
          <cell r="D139"/>
          <cell r="E139"/>
          <cell r="F139"/>
          <cell r="G139"/>
          <cell r="H139"/>
          <cell r="I139"/>
          <cell r="J139"/>
          <cell r="K139"/>
        </row>
        <row r="140">
          <cell r="C140"/>
          <cell r="D140"/>
          <cell r="E140"/>
          <cell r="F140"/>
          <cell r="G140"/>
          <cell r="H140"/>
          <cell r="I140"/>
          <cell r="J140"/>
          <cell r="K140"/>
        </row>
        <row r="141">
          <cell r="C141"/>
          <cell r="D141"/>
          <cell r="E141"/>
          <cell r="F141"/>
          <cell r="G141"/>
          <cell r="H141"/>
          <cell r="I141"/>
          <cell r="J141"/>
          <cell r="K141"/>
        </row>
        <row r="142">
          <cell r="C142"/>
          <cell r="D142"/>
          <cell r="E142"/>
          <cell r="F142"/>
          <cell r="G142"/>
          <cell r="H142"/>
          <cell r="I142"/>
          <cell r="J142"/>
          <cell r="K142"/>
        </row>
        <row r="143">
          <cell r="C143"/>
          <cell r="D143"/>
          <cell r="E143"/>
          <cell r="F143"/>
          <cell r="G143"/>
          <cell r="H143"/>
          <cell r="I143"/>
          <cell r="J143"/>
          <cell r="K143"/>
        </row>
        <row r="144">
          <cell r="C144"/>
          <cell r="D144"/>
          <cell r="E144"/>
          <cell r="F144"/>
          <cell r="G144"/>
          <cell r="H144"/>
          <cell r="I144"/>
          <cell r="J144"/>
          <cell r="K144"/>
        </row>
        <row r="145">
          <cell r="C145"/>
          <cell r="D145"/>
          <cell r="E145"/>
          <cell r="F145"/>
          <cell r="G145"/>
          <cell r="H145"/>
          <cell r="I145"/>
          <cell r="J145"/>
          <cell r="K145"/>
        </row>
        <row r="146">
          <cell r="C146"/>
          <cell r="D146"/>
          <cell r="E146"/>
          <cell r="F146"/>
          <cell r="G146"/>
          <cell r="H146"/>
          <cell r="I146"/>
          <cell r="J146"/>
          <cell r="K146"/>
        </row>
        <row r="147">
          <cell r="C147"/>
          <cell r="D147"/>
          <cell r="E147"/>
          <cell r="F147"/>
          <cell r="G147"/>
          <cell r="H147"/>
          <cell r="I147"/>
          <cell r="J147"/>
          <cell r="K147"/>
        </row>
        <row r="148">
          <cell r="C148"/>
          <cell r="D148"/>
          <cell r="E148"/>
          <cell r="F148"/>
          <cell r="G148"/>
          <cell r="H148"/>
          <cell r="I148"/>
          <cell r="J148"/>
          <cell r="K148"/>
        </row>
        <row r="149">
          <cell r="C149"/>
          <cell r="D149"/>
          <cell r="E149"/>
          <cell r="F149"/>
          <cell r="G149"/>
          <cell r="H149"/>
          <cell r="I149"/>
          <cell r="J149"/>
          <cell r="K149"/>
        </row>
        <row r="150">
          <cell r="C150"/>
          <cell r="D150"/>
          <cell r="E150"/>
          <cell r="F150"/>
          <cell r="G150"/>
          <cell r="H150"/>
          <cell r="I150"/>
          <cell r="J150"/>
          <cell r="K150"/>
        </row>
        <row r="151">
          <cell r="C151"/>
          <cell r="D151"/>
          <cell r="E151"/>
          <cell r="F151"/>
          <cell r="G151"/>
          <cell r="H151"/>
          <cell r="I151"/>
          <cell r="J151"/>
          <cell r="K151"/>
        </row>
        <row r="152">
          <cell r="C152"/>
          <cell r="D152"/>
          <cell r="E152"/>
          <cell r="F152"/>
          <cell r="G152"/>
          <cell r="H152"/>
          <cell r="I152"/>
          <cell r="J152"/>
          <cell r="K152"/>
        </row>
        <row r="153">
          <cell r="C153"/>
          <cell r="D153"/>
          <cell r="E153"/>
          <cell r="F153"/>
          <cell r="G153"/>
          <cell r="H153"/>
          <cell r="I153"/>
          <cell r="J153"/>
          <cell r="K153"/>
        </row>
        <row r="154">
          <cell r="C154"/>
          <cell r="D154"/>
          <cell r="E154"/>
          <cell r="F154"/>
          <cell r="G154"/>
          <cell r="H154"/>
          <cell r="I154"/>
          <cell r="J154"/>
          <cell r="K154"/>
        </row>
        <row r="155">
          <cell r="C155"/>
          <cell r="D155"/>
          <cell r="E155"/>
          <cell r="F155"/>
          <cell r="G155"/>
          <cell r="H155"/>
          <cell r="I155"/>
          <cell r="J155"/>
          <cell r="K155"/>
        </row>
        <row r="156">
          <cell r="C156"/>
          <cell r="D156"/>
          <cell r="E156"/>
          <cell r="F156"/>
          <cell r="G156"/>
          <cell r="H156"/>
          <cell r="I156"/>
          <cell r="J156"/>
          <cell r="K156"/>
        </row>
        <row r="157">
          <cell r="C157"/>
          <cell r="D157"/>
          <cell r="E157"/>
          <cell r="F157"/>
          <cell r="G157"/>
          <cell r="H157"/>
          <cell r="I157"/>
          <cell r="J157"/>
          <cell r="K157"/>
        </row>
        <row r="158">
          <cell r="C158"/>
          <cell r="D158"/>
          <cell r="E158"/>
          <cell r="F158"/>
          <cell r="G158"/>
          <cell r="H158"/>
          <cell r="I158"/>
          <cell r="J158"/>
          <cell r="K158"/>
        </row>
        <row r="159">
          <cell r="C159"/>
          <cell r="D159"/>
          <cell r="E159"/>
          <cell r="F159"/>
          <cell r="G159"/>
          <cell r="H159"/>
          <cell r="I159"/>
          <cell r="J159"/>
          <cell r="K159"/>
        </row>
        <row r="160">
          <cell r="C160"/>
          <cell r="D160"/>
          <cell r="E160"/>
          <cell r="F160"/>
          <cell r="G160"/>
          <cell r="H160"/>
          <cell r="I160"/>
          <cell r="J160"/>
          <cell r="K160"/>
        </row>
        <row r="161">
          <cell r="C161"/>
          <cell r="D161"/>
          <cell r="E161"/>
          <cell r="F161"/>
          <cell r="G161"/>
          <cell r="H161"/>
          <cell r="I161"/>
          <cell r="J161"/>
          <cell r="K161"/>
        </row>
        <row r="162">
          <cell r="C162"/>
          <cell r="D162"/>
          <cell r="E162"/>
          <cell r="F162"/>
          <cell r="G162"/>
          <cell r="H162"/>
          <cell r="I162"/>
          <cell r="J162"/>
          <cell r="K162"/>
        </row>
        <row r="163">
          <cell r="C163"/>
          <cell r="D163"/>
          <cell r="E163"/>
          <cell r="F163"/>
          <cell r="G163"/>
          <cell r="H163"/>
          <cell r="I163"/>
          <cell r="J163"/>
          <cell r="K163"/>
        </row>
        <row r="164">
          <cell r="C164"/>
          <cell r="D164"/>
          <cell r="E164"/>
          <cell r="F164"/>
          <cell r="G164"/>
          <cell r="H164"/>
          <cell r="I164"/>
          <cell r="J164"/>
          <cell r="K164"/>
        </row>
        <row r="165">
          <cell r="C165"/>
          <cell r="D165"/>
          <cell r="E165"/>
          <cell r="F165"/>
          <cell r="G165"/>
          <cell r="H165"/>
          <cell r="I165"/>
          <cell r="J165"/>
          <cell r="K165"/>
        </row>
        <row r="166">
          <cell r="C166"/>
          <cell r="D166"/>
          <cell r="E166"/>
          <cell r="F166"/>
          <cell r="G166"/>
          <cell r="H166"/>
          <cell r="I166"/>
          <cell r="J166"/>
          <cell r="K166"/>
        </row>
        <row r="167">
          <cell r="C167"/>
          <cell r="D167"/>
          <cell r="E167"/>
          <cell r="F167"/>
          <cell r="G167"/>
          <cell r="H167"/>
          <cell r="I167"/>
          <cell r="J167"/>
          <cell r="K167"/>
        </row>
        <row r="168">
          <cell r="C168"/>
          <cell r="D168"/>
          <cell r="E168"/>
          <cell r="F168"/>
          <cell r="G168"/>
          <cell r="H168"/>
          <cell r="I168"/>
          <cell r="J168"/>
          <cell r="K168"/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</row>
        <row r="201">
          <cell r="C201"/>
          <cell r="D201"/>
          <cell r="E201"/>
          <cell r="F201"/>
          <cell r="G201"/>
          <cell r="H201"/>
          <cell r="I201"/>
          <cell r="J201"/>
          <cell r="K201"/>
        </row>
        <row r="202">
          <cell r="C202"/>
          <cell r="D202"/>
          <cell r="E202"/>
          <cell r="F202"/>
          <cell r="G202"/>
          <cell r="H202"/>
          <cell r="I202"/>
          <cell r="J202"/>
          <cell r="K202"/>
        </row>
        <row r="203">
          <cell r="C203"/>
          <cell r="D203"/>
          <cell r="E203"/>
          <cell r="F203"/>
          <cell r="G203"/>
          <cell r="H203"/>
          <cell r="I203"/>
          <cell r="J203"/>
          <cell r="K203"/>
        </row>
        <row r="204">
          <cell r="C204"/>
          <cell r="D204"/>
          <cell r="E204"/>
          <cell r="F204"/>
          <cell r="G204"/>
          <cell r="H204"/>
          <cell r="I204"/>
          <cell r="J204"/>
          <cell r="K204"/>
        </row>
        <row r="205">
          <cell r="C205"/>
          <cell r="D205"/>
          <cell r="E205"/>
          <cell r="F205"/>
          <cell r="G205"/>
          <cell r="H205"/>
          <cell r="I205"/>
          <cell r="J205"/>
          <cell r="K205"/>
        </row>
        <row r="206">
          <cell r="C206"/>
          <cell r="D206"/>
          <cell r="E206"/>
          <cell r="F206"/>
          <cell r="G206"/>
          <cell r="H206"/>
          <cell r="I206"/>
          <cell r="J206"/>
          <cell r="K206"/>
        </row>
        <row r="207">
          <cell r="C207"/>
          <cell r="D207"/>
          <cell r="E207"/>
          <cell r="F207"/>
          <cell r="G207"/>
          <cell r="H207"/>
          <cell r="I207"/>
          <cell r="J207"/>
          <cell r="K207"/>
        </row>
        <row r="208">
          <cell r="C208"/>
          <cell r="D208"/>
          <cell r="E208"/>
          <cell r="F208"/>
          <cell r="G208"/>
          <cell r="H208"/>
          <cell r="I208"/>
          <cell r="J208"/>
          <cell r="K208"/>
        </row>
        <row r="209">
          <cell r="C209"/>
          <cell r="D209"/>
          <cell r="E209"/>
          <cell r="F209"/>
          <cell r="G209"/>
          <cell r="H209"/>
          <cell r="I209"/>
          <cell r="J209"/>
          <cell r="K209"/>
        </row>
        <row r="210">
          <cell r="C210"/>
          <cell r="D210"/>
          <cell r="E210"/>
          <cell r="F210"/>
          <cell r="G210"/>
          <cell r="H210"/>
          <cell r="I210"/>
          <cell r="J210"/>
          <cell r="K210"/>
        </row>
        <row r="211">
          <cell r="C211"/>
          <cell r="D211"/>
          <cell r="E211"/>
          <cell r="F211"/>
          <cell r="G211"/>
          <cell r="H211"/>
          <cell r="I211"/>
          <cell r="J211"/>
          <cell r="K211"/>
        </row>
        <row r="212">
          <cell r="C212"/>
          <cell r="D212"/>
          <cell r="E212"/>
          <cell r="F212"/>
          <cell r="G212"/>
          <cell r="H212"/>
          <cell r="I212"/>
          <cell r="J212"/>
          <cell r="K212"/>
        </row>
        <row r="213">
          <cell r="C213"/>
          <cell r="D213"/>
          <cell r="E213"/>
          <cell r="F213"/>
          <cell r="G213"/>
          <cell r="H213"/>
          <cell r="I213"/>
          <cell r="J213"/>
          <cell r="K213"/>
        </row>
        <row r="214">
          <cell r="C214"/>
          <cell r="D214"/>
          <cell r="E214"/>
          <cell r="F214"/>
          <cell r="G214"/>
          <cell r="H214"/>
          <cell r="I214"/>
          <cell r="J214"/>
          <cell r="K214"/>
        </row>
        <row r="215">
          <cell r="C215"/>
          <cell r="D215"/>
          <cell r="E215"/>
          <cell r="F215"/>
          <cell r="G215"/>
          <cell r="H215"/>
          <cell r="I215"/>
          <cell r="J215"/>
          <cell r="K215"/>
        </row>
        <row r="216">
          <cell r="C216"/>
          <cell r="D216"/>
          <cell r="E216"/>
          <cell r="F216"/>
          <cell r="G216"/>
          <cell r="H216"/>
          <cell r="I216"/>
          <cell r="J216"/>
          <cell r="K216"/>
        </row>
        <row r="217">
          <cell r="C217"/>
          <cell r="D217"/>
          <cell r="E217"/>
          <cell r="F217"/>
          <cell r="G217"/>
          <cell r="H217"/>
          <cell r="I217"/>
          <cell r="J217"/>
          <cell r="K217"/>
        </row>
        <row r="218">
          <cell r="C218"/>
          <cell r="D218"/>
          <cell r="E218"/>
          <cell r="F218"/>
          <cell r="G218"/>
          <cell r="H218"/>
          <cell r="I218"/>
          <cell r="J218"/>
          <cell r="K218"/>
        </row>
        <row r="219">
          <cell r="C219"/>
          <cell r="D219"/>
          <cell r="E219"/>
          <cell r="F219"/>
          <cell r="G219"/>
          <cell r="H219"/>
          <cell r="I219"/>
          <cell r="J219"/>
          <cell r="K219"/>
        </row>
        <row r="220">
          <cell r="C220"/>
          <cell r="D220"/>
          <cell r="E220"/>
          <cell r="F220"/>
          <cell r="G220"/>
          <cell r="H220"/>
          <cell r="I220"/>
          <cell r="J220"/>
          <cell r="K220"/>
        </row>
        <row r="221">
          <cell r="C221"/>
          <cell r="D221"/>
          <cell r="E221"/>
          <cell r="F221"/>
          <cell r="G221"/>
          <cell r="H221"/>
          <cell r="I221"/>
          <cell r="J221"/>
          <cell r="K221"/>
        </row>
        <row r="222">
          <cell r="C222"/>
          <cell r="D222"/>
          <cell r="E222"/>
          <cell r="F222"/>
          <cell r="G222"/>
          <cell r="H222"/>
          <cell r="I222"/>
          <cell r="J222"/>
          <cell r="K222"/>
        </row>
        <row r="223">
          <cell r="C223"/>
          <cell r="D223"/>
          <cell r="E223"/>
          <cell r="F223"/>
          <cell r="G223"/>
          <cell r="H223"/>
          <cell r="I223"/>
          <cell r="J223"/>
          <cell r="K223"/>
        </row>
        <row r="224">
          <cell r="C224"/>
          <cell r="D224"/>
          <cell r="E224"/>
          <cell r="F224"/>
          <cell r="G224"/>
          <cell r="H224"/>
          <cell r="I224"/>
          <cell r="J224"/>
          <cell r="K224"/>
        </row>
        <row r="225">
          <cell r="C225"/>
          <cell r="D225"/>
          <cell r="E225"/>
          <cell r="F225"/>
          <cell r="G225"/>
          <cell r="H225"/>
          <cell r="I225"/>
          <cell r="J225"/>
          <cell r="K225"/>
        </row>
        <row r="226">
          <cell r="C226"/>
          <cell r="D226"/>
          <cell r="E226"/>
          <cell r="F226"/>
          <cell r="G226"/>
          <cell r="H226"/>
          <cell r="I226"/>
          <cell r="J226"/>
          <cell r="K226"/>
        </row>
        <row r="227">
          <cell r="C227"/>
          <cell r="D227"/>
          <cell r="E227"/>
          <cell r="F227"/>
          <cell r="G227"/>
          <cell r="H227"/>
          <cell r="I227"/>
          <cell r="J227"/>
          <cell r="K227"/>
        </row>
        <row r="228">
          <cell r="C228"/>
          <cell r="D228"/>
          <cell r="E228"/>
          <cell r="F228"/>
          <cell r="G228"/>
          <cell r="H228"/>
          <cell r="I228"/>
          <cell r="J228"/>
          <cell r="K228"/>
        </row>
        <row r="229">
          <cell r="C229"/>
          <cell r="D229"/>
          <cell r="E229"/>
          <cell r="F229"/>
          <cell r="G229"/>
          <cell r="H229"/>
          <cell r="I229"/>
          <cell r="J229"/>
          <cell r="K229"/>
        </row>
        <row r="230">
          <cell r="C230"/>
          <cell r="D230"/>
          <cell r="E230"/>
          <cell r="F230"/>
          <cell r="G230"/>
          <cell r="H230"/>
          <cell r="I230"/>
          <cell r="J230"/>
          <cell r="K230"/>
        </row>
        <row r="231">
          <cell r="C231"/>
          <cell r="D231"/>
          <cell r="E231"/>
          <cell r="F231"/>
          <cell r="G231"/>
          <cell r="H231"/>
          <cell r="I231"/>
          <cell r="J231"/>
          <cell r="K231"/>
        </row>
        <row r="232">
          <cell r="C232"/>
          <cell r="D232"/>
          <cell r="E232"/>
          <cell r="F232"/>
          <cell r="G232"/>
          <cell r="H232"/>
          <cell r="I232"/>
          <cell r="J232"/>
          <cell r="K232"/>
        </row>
        <row r="233">
          <cell r="C233"/>
          <cell r="D233"/>
          <cell r="E233"/>
          <cell r="F233"/>
          <cell r="G233"/>
          <cell r="H233"/>
          <cell r="I233"/>
          <cell r="J233"/>
          <cell r="K233"/>
        </row>
        <row r="234">
          <cell r="C234"/>
          <cell r="D234"/>
          <cell r="E234"/>
          <cell r="F234"/>
          <cell r="G234"/>
          <cell r="H234"/>
          <cell r="I234"/>
          <cell r="J234"/>
          <cell r="K234"/>
        </row>
        <row r="235">
          <cell r="C235"/>
          <cell r="D235"/>
          <cell r="E235"/>
          <cell r="F235"/>
          <cell r="G235"/>
          <cell r="H235"/>
          <cell r="I235"/>
          <cell r="J235"/>
          <cell r="K235"/>
        </row>
        <row r="236">
          <cell r="C236"/>
          <cell r="D236"/>
          <cell r="E236"/>
          <cell r="F236"/>
          <cell r="G236"/>
          <cell r="H236"/>
          <cell r="I236"/>
          <cell r="J236"/>
          <cell r="K236"/>
        </row>
        <row r="237">
          <cell r="C237"/>
          <cell r="D237"/>
          <cell r="E237"/>
          <cell r="F237"/>
          <cell r="G237"/>
          <cell r="H237"/>
          <cell r="I237"/>
          <cell r="J237"/>
          <cell r="K237"/>
        </row>
        <row r="238">
          <cell r="C238"/>
          <cell r="D238"/>
          <cell r="E238"/>
          <cell r="F238"/>
          <cell r="G238"/>
          <cell r="H238"/>
          <cell r="I238"/>
          <cell r="J238"/>
          <cell r="K238"/>
        </row>
        <row r="239">
          <cell r="C239"/>
          <cell r="D239"/>
          <cell r="E239"/>
          <cell r="F239"/>
          <cell r="G239"/>
          <cell r="H239"/>
          <cell r="I239"/>
          <cell r="J239"/>
          <cell r="K239"/>
        </row>
        <row r="240">
          <cell r="C240"/>
          <cell r="D240"/>
          <cell r="E240"/>
          <cell r="F240"/>
          <cell r="G240"/>
          <cell r="H240"/>
          <cell r="I240"/>
          <cell r="J240"/>
          <cell r="K240"/>
        </row>
        <row r="241">
          <cell r="C241"/>
          <cell r="D241"/>
          <cell r="E241"/>
          <cell r="F241"/>
          <cell r="G241"/>
          <cell r="H241"/>
          <cell r="I241"/>
          <cell r="J241"/>
          <cell r="K241"/>
        </row>
        <row r="242">
          <cell r="C242"/>
          <cell r="D242"/>
          <cell r="E242"/>
          <cell r="F242"/>
          <cell r="G242"/>
          <cell r="H242"/>
          <cell r="I242"/>
          <cell r="J242"/>
          <cell r="K242"/>
        </row>
        <row r="243">
          <cell r="C243"/>
          <cell r="D243"/>
          <cell r="E243"/>
          <cell r="F243"/>
          <cell r="G243"/>
          <cell r="H243"/>
          <cell r="I243"/>
          <cell r="J243"/>
          <cell r="K243"/>
        </row>
        <row r="244">
          <cell r="C244"/>
          <cell r="D244"/>
          <cell r="E244"/>
          <cell r="F244"/>
          <cell r="G244"/>
          <cell r="H244"/>
          <cell r="I244"/>
          <cell r="J244"/>
          <cell r="K244"/>
        </row>
        <row r="245">
          <cell r="C245"/>
          <cell r="D245"/>
          <cell r="E245"/>
          <cell r="F245"/>
          <cell r="G245"/>
          <cell r="H245"/>
          <cell r="I245"/>
          <cell r="J245"/>
          <cell r="K245"/>
        </row>
        <row r="246">
          <cell r="C246"/>
          <cell r="D246"/>
          <cell r="E246"/>
          <cell r="F246"/>
          <cell r="G246"/>
          <cell r="H246"/>
          <cell r="I246"/>
          <cell r="J246"/>
          <cell r="K246"/>
        </row>
        <row r="247">
          <cell r="C247"/>
          <cell r="D247"/>
          <cell r="E247"/>
          <cell r="F247"/>
          <cell r="G247"/>
          <cell r="H247"/>
          <cell r="I247"/>
          <cell r="J247"/>
          <cell r="K247"/>
        </row>
        <row r="248">
          <cell r="C248"/>
          <cell r="D248"/>
          <cell r="E248"/>
          <cell r="F248"/>
          <cell r="G248"/>
          <cell r="H248"/>
          <cell r="I248"/>
          <cell r="J248"/>
          <cell r="K248"/>
        </row>
        <row r="249">
          <cell r="C249"/>
          <cell r="D249"/>
          <cell r="E249"/>
          <cell r="F249"/>
          <cell r="G249"/>
          <cell r="H249"/>
          <cell r="I249"/>
          <cell r="J249"/>
          <cell r="K249"/>
        </row>
        <row r="250">
          <cell r="C250"/>
          <cell r="D250"/>
          <cell r="E250"/>
          <cell r="F250"/>
          <cell r="G250"/>
          <cell r="H250"/>
          <cell r="I250"/>
          <cell r="J250"/>
          <cell r="K250"/>
        </row>
        <row r="251">
          <cell r="C251"/>
          <cell r="D251"/>
          <cell r="E251"/>
          <cell r="F251"/>
          <cell r="G251"/>
          <cell r="H251"/>
          <cell r="I251"/>
          <cell r="J251"/>
          <cell r="K251"/>
        </row>
        <row r="252">
          <cell r="C252"/>
          <cell r="D252"/>
          <cell r="E252"/>
          <cell r="F252"/>
          <cell r="G252"/>
          <cell r="H252"/>
          <cell r="I252"/>
          <cell r="J252"/>
          <cell r="K252"/>
        </row>
        <row r="253">
          <cell r="C253"/>
          <cell r="D253"/>
          <cell r="E253"/>
          <cell r="F253"/>
          <cell r="G253"/>
          <cell r="H253"/>
          <cell r="I253"/>
          <cell r="J253"/>
          <cell r="K253"/>
        </row>
        <row r="254">
          <cell r="C254"/>
          <cell r="D254"/>
          <cell r="E254"/>
          <cell r="F254"/>
          <cell r="G254"/>
          <cell r="H254"/>
          <cell r="I254"/>
          <cell r="J254"/>
          <cell r="K254"/>
        </row>
        <row r="255">
          <cell r="C255"/>
          <cell r="D255"/>
          <cell r="E255"/>
          <cell r="F255"/>
          <cell r="G255"/>
          <cell r="H255"/>
          <cell r="I255"/>
          <cell r="J255"/>
          <cell r="K255"/>
        </row>
        <row r="256">
          <cell r="C256"/>
          <cell r="D256"/>
          <cell r="E256"/>
          <cell r="F256"/>
          <cell r="G256"/>
          <cell r="H256"/>
          <cell r="I256"/>
          <cell r="J256"/>
          <cell r="K256"/>
        </row>
        <row r="257">
          <cell r="C257"/>
          <cell r="D257"/>
          <cell r="E257"/>
          <cell r="F257"/>
          <cell r="G257"/>
          <cell r="H257"/>
          <cell r="I257"/>
          <cell r="J257"/>
          <cell r="K257"/>
        </row>
        <row r="258">
          <cell r="C258"/>
          <cell r="D258"/>
          <cell r="E258"/>
          <cell r="F258"/>
          <cell r="G258"/>
          <cell r="H258"/>
          <cell r="I258"/>
          <cell r="J258"/>
          <cell r="K258"/>
        </row>
        <row r="259">
          <cell r="C259"/>
          <cell r="D259"/>
          <cell r="E259"/>
          <cell r="F259"/>
          <cell r="G259"/>
          <cell r="H259"/>
          <cell r="I259"/>
          <cell r="J259"/>
          <cell r="K259"/>
        </row>
        <row r="260">
          <cell r="C260"/>
          <cell r="D260"/>
          <cell r="E260"/>
          <cell r="F260"/>
          <cell r="G260"/>
          <cell r="H260"/>
          <cell r="I260"/>
          <cell r="J260"/>
          <cell r="K260"/>
        </row>
        <row r="261">
          <cell r="C261"/>
          <cell r="D261"/>
          <cell r="E261"/>
          <cell r="F261"/>
          <cell r="G261"/>
          <cell r="H261"/>
          <cell r="I261"/>
          <cell r="J261"/>
          <cell r="K261"/>
        </row>
        <row r="262">
          <cell r="C262"/>
          <cell r="D262"/>
          <cell r="E262"/>
          <cell r="F262"/>
          <cell r="G262"/>
          <cell r="H262"/>
          <cell r="I262"/>
          <cell r="J262"/>
          <cell r="K262"/>
        </row>
        <row r="263">
          <cell r="C263"/>
          <cell r="D263"/>
          <cell r="E263"/>
          <cell r="F263"/>
          <cell r="G263"/>
          <cell r="H263"/>
          <cell r="I263"/>
          <cell r="J263"/>
          <cell r="K263"/>
        </row>
        <row r="264">
          <cell r="C264"/>
          <cell r="D264"/>
          <cell r="E264"/>
          <cell r="F264"/>
          <cell r="G264"/>
          <cell r="H264"/>
          <cell r="I264"/>
          <cell r="J264"/>
          <cell r="K264"/>
        </row>
        <row r="265">
          <cell r="C265"/>
          <cell r="D265"/>
          <cell r="E265"/>
          <cell r="F265"/>
          <cell r="G265"/>
          <cell r="H265"/>
          <cell r="I265"/>
          <cell r="J265"/>
          <cell r="K265"/>
        </row>
        <row r="266">
          <cell r="C266"/>
          <cell r="D266"/>
          <cell r="E266"/>
          <cell r="F266"/>
          <cell r="G266"/>
          <cell r="H266"/>
          <cell r="I266"/>
          <cell r="J266"/>
          <cell r="K266"/>
        </row>
        <row r="267">
          <cell r="C267"/>
          <cell r="D267"/>
          <cell r="E267"/>
          <cell r="F267"/>
          <cell r="G267"/>
          <cell r="H267"/>
          <cell r="I267"/>
          <cell r="J267"/>
          <cell r="K267"/>
        </row>
        <row r="268">
          <cell r="C268"/>
          <cell r="D268"/>
          <cell r="E268"/>
          <cell r="F268"/>
          <cell r="G268"/>
          <cell r="H268"/>
          <cell r="I268"/>
          <cell r="J268"/>
          <cell r="K268"/>
        </row>
        <row r="269">
          <cell r="C269">
            <v>200000</v>
          </cell>
          <cell r="D269">
            <v>2000000</v>
          </cell>
          <cell r="E269" t="str">
            <v>E.E. Fictícia Exemplo 2</v>
          </cell>
          <cell r="F269" t="str">
            <v>Rua Exemplo 2, 2222</v>
          </cell>
          <cell r="G269" t="str">
            <v>Exemplo 2</v>
          </cell>
          <cell r="H269" t="str">
            <v>2222-2222</v>
          </cell>
          <cell r="I269" t="str">
            <v>Exemplo de Município 2</v>
          </cell>
          <cell r="J269" t="str">
            <v>Carlos Drumond de Andrade</v>
          </cell>
          <cell r="K269">
            <v>22222222</v>
          </cell>
        </row>
      </sheetData>
      <sheetData sheetId="20"/>
      <sheetData sheetId="21"/>
      <sheetData sheetId="22"/>
      <sheetData sheetId="23"/>
      <sheetData sheetId="24"/>
      <sheetData sheetId="25">
        <row r="8">
          <cell r="C8">
            <v>1</v>
          </cell>
          <cell r="D8">
            <v>7</v>
          </cell>
          <cell r="E8">
            <v>0.23333333333333334</v>
          </cell>
          <cell r="G8">
            <v>1</v>
          </cell>
          <cell r="H8">
            <v>7</v>
          </cell>
          <cell r="I8">
            <v>0.23333333333333334</v>
          </cell>
        </row>
        <row r="9">
          <cell r="C9">
            <v>2</v>
          </cell>
          <cell r="D9">
            <v>14</v>
          </cell>
          <cell r="E9">
            <v>0.46666666666666667</v>
          </cell>
          <cell r="G9">
            <v>2</v>
          </cell>
          <cell r="H9">
            <v>14</v>
          </cell>
          <cell r="I9">
            <v>0.46666666666666667</v>
          </cell>
        </row>
        <row r="10">
          <cell r="C10">
            <v>3</v>
          </cell>
          <cell r="D10">
            <v>20</v>
          </cell>
          <cell r="E10">
            <v>0.66666666666666663</v>
          </cell>
          <cell r="G10">
            <v>3</v>
          </cell>
          <cell r="H10">
            <v>20</v>
          </cell>
          <cell r="I10">
            <v>0.66666666666666663</v>
          </cell>
        </row>
        <row r="11">
          <cell r="C11">
            <v>4</v>
          </cell>
          <cell r="D11">
            <v>27</v>
          </cell>
          <cell r="E11">
            <v>0.9</v>
          </cell>
          <cell r="G11">
            <v>4</v>
          </cell>
          <cell r="H11">
            <v>27</v>
          </cell>
          <cell r="I11">
            <v>0.9</v>
          </cell>
        </row>
        <row r="12">
          <cell r="C12">
            <v>5</v>
          </cell>
          <cell r="D12">
            <v>36</v>
          </cell>
          <cell r="E12">
            <v>1.2</v>
          </cell>
          <cell r="G12">
            <v>5</v>
          </cell>
          <cell r="H12">
            <v>36</v>
          </cell>
          <cell r="I12">
            <v>1.2</v>
          </cell>
        </row>
        <row r="13">
          <cell r="C13">
            <v>6</v>
          </cell>
          <cell r="D13">
            <v>41</v>
          </cell>
          <cell r="E13">
            <v>1.3666666666666667</v>
          </cell>
        </row>
        <row r="14">
          <cell r="C14">
            <v>7</v>
          </cell>
          <cell r="D14">
            <v>50</v>
          </cell>
          <cell r="E14">
            <v>1.6666666666666667</v>
          </cell>
        </row>
        <row r="15">
          <cell r="C15">
            <v>8</v>
          </cell>
          <cell r="D15">
            <v>54</v>
          </cell>
          <cell r="E15">
            <v>1.8</v>
          </cell>
        </row>
        <row r="16">
          <cell r="C16">
            <v>9</v>
          </cell>
          <cell r="D16">
            <v>61</v>
          </cell>
          <cell r="E16">
            <v>2.0333333333333332</v>
          </cell>
        </row>
        <row r="17">
          <cell r="C17">
            <v>10</v>
          </cell>
          <cell r="D17">
            <v>68</v>
          </cell>
          <cell r="E17">
            <v>2.2666666666666666</v>
          </cell>
        </row>
        <row r="18">
          <cell r="C18">
            <v>11</v>
          </cell>
          <cell r="D18">
            <v>74</v>
          </cell>
          <cell r="E18">
            <v>2.4666666666666668</v>
          </cell>
        </row>
        <row r="19">
          <cell r="C19">
            <v>12</v>
          </cell>
          <cell r="D19">
            <v>81</v>
          </cell>
          <cell r="E19">
            <v>2.7</v>
          </cell>
        </row>
        <row r="20">
          <cell r="C20">
            <v>13</v>
          </cell>
          <cell r="D20">
            <v>88</v>
          </cell>
          <cell r="E20">
            <v>2.9333333333333331</v>
          </cell>
        </row>
        <row r="21">
          <cell r="C21">
            <v>14</v>
          </cell>
          <cell r="D21">
            <v>95</v>
          </cell>
          <cell r="E21">
            <v>3.1666666666666665</v>
          </cell>
        </row>
        <row r="22">
          <cell r="C22">
            <v>15</v>
          </cell>
          <cell r="D22">
            <v>101</v>
          </cell>
          <cell r="E22">
            <v>3.3666666666666667</v>
          </cell>
        </row>
        <row r="23">
          <cell r="C23">
            <v>16</v>
          </cell>
          <cell r="D23">
            <v>108</v>
          </cell>
          <cell r="E23">
            <v>3.6</v>
          </cell>
        </row>
      </sheetData>
      <sheetData sheetId="26">
        <row r="4">
          <cell r="N4" t="str">
            <v>setecentos e oitenta e três reais e sete centavos</v>
          </cell>
        </row>
        <row r="5">
          <cell r="N5" t="str">
            <v>oitocentos e quarenta e sete reais e oitenta e sete centavos</v>
          </cell>
        </row>
      </sheetData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Cadastro"/>
      <sheetName val="Cálculo"/>
      <sheetName val="A.Pgto"/>
      <sheetName val="AI"/>
      <sheetName val="Guia 2"/>
      <sheetName val="Escolas"/>
      <sheetName val="Inst. Ensino"/>
      <sheetName val="Cursos"/>
      <sheetName val="Matérias"/>
      <sheetName val="C Horária"/>
      <sheetName val="Extenso"/>
      <sheetName val="Fev"/>
    </sheetNames>
    <sheetDataSet>
      <sheetData sheetId="0"/>
      <sheetData sheetId="1">
        <row r="6">
          <cell r="C6" t="str">
            <v>SECRETARIA DE ESTADO DE EDUCAÇÃO - MG</v>
          </cell>
        </row>
        <row r="8">
          <cell r="C8" t="str">
            <v>Superintendência Regional Ensino de</v>
          </cell>
          <cell r="I8" t="str">
            <v>Uberaba</v>
          </cell>
        </row>
        <row r="11">
          <cell r="C11" t="str">
            <v>Coordenador do Setor de Pagamento:</v>
          </cell>
          <cell r="I11" t="str">
            <v>Elizabet das Graças Limido Santos</v>
          </cell>
          <cell r="T11">
            <v>4440780</v>
          </cell>
        </row>
        <row r="21">
          <cell r="C21" t="str">
            <v>PEBD1</v>
          </cell>
          <cell r="E21">
            <v>1386</v>
          </cell>
          <cell r="G21" t="str">
            <v>PEBS1</v>
          </cell>
          <cell r="I21">
            <v>1316.7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Designacao.CargasHoraria" displayName="Designacao.CargasHoraria" ref="C28:J38" headerRowDxfId="456" dataDxfId="455" totalsRowDxfId="454">
  <autoFilter ref="C28:J38"/>
  <tableColumns count="8">
    <tableColumn id="1" name="Cód. Grupo" totalsRowLabel="Total" dataDxfId="453">
      <calculatedColumnFormula>IF(ISBLANK(D29),"",IF(D29&lt;100,7,11))</calculatedColumnFormula>
    </tableColumn>
    <tableColumn id="2" name="Cód. Natureza" dataDxfId="452"/>
    <tableColumn id="3" name="Tipo" dataDxfId="451"/>
    <tableColumn id="4" name="Nível" dataDxfId="450"/>
    <tableColumn id="5" name="Modalidade" dataDxfId="449"/>
    <tableColumn id="6" name="Matéria" dataDxfId="448"/>
    <tableColumn id="7" name="Qtd. Aulas" dataDxfId="447"/>
    <tableColumn id="8" name="Turno" totalsRowFunction="sum" dataDxfId="446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id="3" name="Categorias.Profissional" displayName="Categorias.Profissional" ref="O8:S11" totalsRowShown="0" headerRowDxfId="445" dataDxfId="444">
  <autoFilter ref="O8:S11"/>
  <tableColumns count="5">
    <tableColumn id="1" name="PEBD1A" dataDxfId="443"/>
    <tableColumn id="2" name="PEBS1A" dataDxfId="442"/>
    <tableColumn id="3" name="ASBD1A" dataDxfId="441"/>
    <tableColumn id="4" name="ATBD1A" dataDxfId="440"/>
    <tableColumn id="5" name="EEBD1A" dataDxfId="43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certo.Vantagens" displayName="Acerto.Vantagens" ref="C5:L12" totalsRowShown="0" headerRowDxfId="241" dataDxfId="240" tableBorderDxfId="239">
  <autoFilter ref="C5:L1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238"/>
    <tableColumn id="2" name="Verba" dataDxfId="237"/>
    <tableColumn id="3" name="Dt.inicio" dataDxfId="236"/>
    <tableColumn id="4" name="Dt.fim" dataDxfId="235"/>
    <tableColumn id="5" name="Qtd/Especif" dataDxfId="234"/>
    <tableColumn id="6" name="Valor" dataDxfId="233"/>
    <tableColumn id="7" name="Vigência" dataDxfId="232"/>
    <tableColumn id="8" name="Rf" dataDxfId="231"/>
    <tableColumn id="9" name="Dt" dataDxfId="230"/>
    <tableColumn id="10" name="Or" dataDxfId="229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7" name="Acerto.Descontos" displayName="Acerto.Descontos" ref="C5:L13" totalsRowShown="0" headerRowDxfId="228" dataDxfId="227" tableBorderDxfId="226">
  <autoFilter ref="C5:L1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Op" dataDxfId="225"/>
    <tableColumn id="2" name="Verba" dataDxfId="224"/>
    <tableColumn id="3" name="Dt.inicio" dataDxfId="223"/>
    <tableColumn id="4" name="Dt.fim" dataDxfId="222"/>
    <tableColumn id="5" name="Qtd/Especif" dataDxfId="221"/>
    <tableColumn id="6" name="Valor" dataDxfId="220"/>
    <tableColumn id="7" name="Vigência" dataDxfId="219"/>
    <tableColumn id="8" name="Rf" dataDxfId="218"/>
    <tableColumn id="9" name="Dt" dataDxfId="217"/>
    <tableColumn id="10" name="Or" dataDxfId="216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5" name="FaltasConsolidadasHistorico" displayName="FaltasConsolidadasHistorico" ref="C6:K33" totalsRowShown="0" headerRowDxfId="215" dataDxfId="214">
  <autoFilter ref="C6:K3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MaspDV" dataDxfId="213"/>
    <tableColumn id="2" name="Adm" dataDxfId="212"/>
    <tableColumn id="3" name="Mes/Ano Apuração" dataDxfId="211"/>
    <tableColumn id="4" name="Tipo de Falta" dataDxfId="210"/>
    <tableColumn id="5" name="Horas Aula / Dias" dataDxfId="209"/>
    <tableColumn id="6" name="Natureza" dataDxfId="208"/>
    <tableColumn id="7" name="Faltas / Horas" dataDxfId="207"/>
    <tableColumn id="8" name="Natureza " dataDxfId="206"/>
    <tableColumn id="10" name="Mês/Ano Reposição" dataDxfId="205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id="9" name="TiposFalta10" displayName="TiposFalta10" ref="P6:Q23" totalsRowShown="0" headerRowDxfId="204" dataDxfId="203">
  <autoFilter ref="P6:Q23">
    <filterColumn colId="0" hiddenButton="1"/>
    <filterColumn colId="1" hiddenButton="1"/>
  </autoFilter>
  <tableColumns count="2">
    <tableColumn id="1" name="Codigo" dataDxfId="202"/>
    <tableColumn id="2" name="Descricao" dataDxfId="20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1" name="NaturezaFalta12" displayName="NaturezaFalta12" ref="S6:U22" totalsRowShown="0" headerRowDxfId="200" dataDxfId="199">
  <autoFilter ref="S6:U22">
    <filterColumn colId="0" hiddenButton="1"/>
    <filterColumn colId="1" hiddenButton="1"/>
  </autoFilter>
  <tableColumns count="3">
    <tableColumn id="1" name="Cod" dataDxfId="198"/>
    <tableColumn id="2" name="Descricao" dataDxfId="197"/>
    <tableColumn id="6" name="Tipo" dataDxfId="19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2" name="RelatorioFaltasConsolidadasHistorico" displayName="RelatorioFaltasConsolidadasHistorico" ref="AB6:AK7" insertRow="1" totalsRowShown="0" headerRowDxfId="195" dataDxfId="194">
  <autoFilter ref="AB6:AK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Nome" dataDxfId="193"/>
    <tableColumn id="2" name="MaspDV" dataDxfId="192"/>
    <tableColumn id="3" name="Adm" dataDxfId="191"/>
    <tableColumn id="4" name="Mes/Ano Apuração" dataDxfId="190"/>
    <tableColumn id="5" name="Tipo de Falta" dataDxfId="189"/>
    <tableColumn id="6" name="Horas Aula / Dias" dataDxfId="188"/>
    <tableColumn id="7" name="Natureza" dataDxfId="187"/>
    <tableColumn id="8" name="Faltas / Horas" dataDxfId="186"/>
    <tableColumn id="9" name="Natureza " dataDxfId="185"/>
    <tableColumn id="20" name="Reposição" dataDxfId="184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id="13" name="FaltasConsolidadas" displayName="FaltasConsolidadas" ref="C6:J33" totalsRowShown="0" headerRowDxfId="183" dataDxfId="182">
  <autoFilter ref="C6:J3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MaspDV" dataDxfId="181"/>
    <tableColumn id="2" name="Adm" dataDxfId="180"/>
    <tableColumn id="3" name="Mes/Ano Apuração" dataDxfId="179"/>
    <tableColumn id="4" name="Tipo de Falta" dataDxfId="178"/>
    <tableColumn id="5" name="Horas Aula / Dias" dataDxfId="177"/>
    <tableColumn id="6" name="Natureza" dataDxfId="176"/>
    <tableColumn id="7" name="Faltas / Horas" dataDxfId="175"/>
    <tableColumn id="8" name="Natureza " dataDxfId="17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4" name="TiposFalta" displayName="TiposFalta" ref="O6:P23" totalsRowShown="0" headerRowDxfId="173" dataDxfId="172">
  <autoFilter ref="O6:P23">
    <filterColumn colId="0" hiddenButton="1"/>
    <filterColumn colId="1" hiddenButton="1"/>
  </autoFilter>
  <tableColumns count="2">
    <tableColumn id="1" name="Codigo" dataDxfId="171"/>
    <tableColumn id="2" name="Descricao" dataDxfId="17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5" name="NaturezaFalta" displayName="NaturezaFalta" ref="R6:T22" totalsRowShown="0" headerRowDxfId="169" dataDxfId="168">
  <autoFilter ref="R6:T22">
    <filterColumn colId="0" hiddenButton="1"/>
    <filterColumn colId="1" hiddenButton="1"/>
  </autoFilter>
  <tableColumns count="3">
    <tableColumn id="1" name="Cod" dataDxfId="167"/>
    <tableColumn id="2" name="Descricao" dataDxfId="166"/>
    <tableColumn id="6" name="Tipo" dataDxfId="16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8" name="RelatorioFaltasConsolidadas" displayName="RelatorioFaltasConsolidadas" ref="AA6:AI7" insertRow="1" totalsRowShown="0" headerRowDxfId="164" dataDxfId="163">
  <autoFilter ref="AA6:AI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Nome" dataDxfId="162"/>
    <tableColumn id="2" name="MaspDV" dataDxfId="161"/>
    <tableColumn id="3" name="Adm" dataDxfId="160"/>
    <tableColumn id="4" name="Mes/Ano Apuração" dataDxfId="159"/>
    <tableColumn id="5" name="Tipo de Falta" dataDxfId="158"/>
    <tableColumn id="6" name="Horas Aula / Dias" dataDxfId="157"/>
    <tableColumn id="7" name="Natureza" dataDxfId="156"/>
    <tableColumn id="8" name="Faltas / Horas" dataDxfId="155"/>
    <tableColumn id="9" name="Natureza " dataDxfId="154"/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6" name="ArvoreMenus" displayName="ArvoreMenus" ref="A1:I132" totalsRowShown="0">
  <sortState ref="A2:I127">
    <sortCondition ref="B1"/>
  </sortState>
  <tableColumns count="9">
    <tableColumn id="1" name="Titulo_Tela"/>
    <tableColumn id="2" name="Indice"/>
    <tableColumn id="3" name="Cod_Programa"/>
    <tableColumn id="4" name="Cod_Tela"/>
    <tableColumn id="6" name="Proxima_Tela"/>
    <tableColumn id="5" name="Anterior_Tela"/>
    <tableColumn id="8" name="Comando"/>
    <tableColumn id="9" name="Linha"/>
    <tableColumn id="10" name="Coluna" dataDxfId="153">
      <calculatedColumnFormula>LEN(ArvoreMenus[[#This Row],[Titulo_Tela]])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4" name="Escolas" displayName="Escolas" ref="C4:P107" totalsRowShown="0" headerRowDxfId="17" dataDxfId="15" headerRowBorderDxfId="16" tableBorderDxfId="14">
  <autoFilter ref="C4:P107"/>
  <tableColumns count="14">
    <tableColumn id="1" name="INEP" dataDxfId="13"/>
    <tableColumn id="2" name="SIAD" dataDxfId="12"/>
    <tableColumn id="3" name="ESCOLA" dataDxfId="11"/>
    <tableColumn id="4" name="ENDEREÇO" dataDxfId="10"/>
    <tableColumn id="5" name="BAIRRO" dataDxfId="9"/>
    <tableColumn id="6" name="TELEFONE" dataDxfId="8"/>
    <tableColumn id="7" name="MUNICÍPIO" dataDxfId="7"/>
    <tableColumn id="8" name="DIRETOR(A)" dataDxfId="6"/>
    <tableColumn id="9" name="MaSP" dataDxfId="5"/>
    <tableColumn id="10" name="2011" dataDxfId="4"/>
    <tableColumn id="11" name="2012" dataDxfId="3"/>
    <tableColumn id="12" name="2013" dataDxfId="2"/>
    <tableColumn id="13" name="2014" dataDxfId="1"/>
    <tableColumn id="14" name="2015" dataDxfId="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" name="Materias" displayName="Materias" ref="A1:B129" totalsRowShown="0">
  <autoFilter ref="A1:B129"/>
  <tableColumns count="2">
    <tableColumn id="1" name="Cod_Materia"/>
    <tableColumn id="2" name="Nome_Materi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63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13" Type="http://schemas.openxmlformats.org/officeDocument/2006/relationships/ctrlProp" Target="../ctrlProps/ctrlProp73.xml"/><Relationship Id="rId18" Type="http://schemas.openxmlformats.org/officeDocument/2006/relationships/ctrlProp" Target="../ctrlProps/ctrlProp78.xml"/><Relationship Id="rId26" Type="http://schemas.openxmlformats.org/officeDocument/2006/relationships/ctrlProp" Target="../ctrlProps/ctrlProp86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81.xml"/><Relationship Id="rId7" Type="http://schemas.openxmlformats.org/officeDocument/2006/relationships/ctrlProp" Target="../ctrlProps/ctrlProp67.xml"/><Relationship Id="rId12" Type="http://schemas.openxmlformats.org/officeDocument/2006/relationships/ctrlProp" Target="../ctrlProps/ctrlProp72.xml"/><Relationship Id="rId17" Type="http://schemas.openxmlformats.org/officeDocument/2006/relationships/ctrlProp" Target="../ctrlProps/ctrlProp77.xml"/><Relationship Id="rId25" Type="http://schemas.openxmlformats.org/officeDocument/2006/relationships/ctrlProp" Target="../ctrlProps/ctrlProp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6.xml"/><Relationship Id="rId20" Type="http://schemas.openxmlformats.org/officeDocument/2006/relationships/ctrlProp" Target="../ctrlProps/ctrlProp80.xml"/><Relationship Id="rId29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6.xml"/><Relationship Id="rId11" Type="http://schemas.openxmlformats.org/officeDocument/2006/relationships/ctrlProp" Target="../ctrlProps/ctrlProp71.xml"/><Relationship Id="rId24" Type="http://schemas.openxmlformats.org/officeDocument/2006/relationships/ctrlProp" Target="../ctrlProps/ctrlProp84.xml"/><Relationship Id="rId5" Type="http://schemas.openxmlformats.org/officeDocument/2006/relationships/ctrlProp" Target="../ctrlProps/ctrlProp65.xml"/><Relationship Id="rId15" Type="http://schemas.openxmlformats.org/officeDocument/2006/relationships/ctrlProp" Target="../ctrlProps/ctrlProp75.xml"/><Relationship Id="rId23" Type="http://schemas.openxmlformats.org/officeDocument/2006/relationships/ctrlProp" Target="../ctrlProps/ctrlProp83.xml"/><Relationship Id="rId28" Type="http://schemas.openxmlformats.org/officeDocument/2006/relationships/ctrlProp" Target="../ctrlProps/ctrlProp88.xml"/><Relationship Id="rId10" Type="http://schemas.openxmlformats.org/officeDocument/2006/relationships/ctrlProp" Target="../ctrlProps/ctrlProp70.xml"/><Relationship Id="rId19" Type="http://schemas.openxmlformats.org/officeDocument/2006/relationships/ctrlProp" Target="../ctrlProps/ctrlProp79.xml"/><Relationship Id="rId4" Type="http://schemas.openxmlformats.org/officeDocument/2006/relationships/ctrlProp" Target="../ctrlProps/ctrlProp64.xml"/><Relationship Id="rId9" Type="http://schemas.openxmlformats.org/officeDocument/2006/relationships/ctrlProp" Target="../ctrlProps/ctrlProp69.xml"/><Relationship Id="rId14" Type="http://schemas.openxmlformats.org/officeDocument/2006/relationships/ctrlProp" Target="../ctrlProps/ctrlProp74.xml"/><Relationship Id="rId22" Type="http://schemas.openxmlformats.org/officeDocument/2006/relationships/ctrlProp" Target="../ctrlProps/ctrlProp82.xml"/><Relationship Id="rId27" Type="http://schemas.openxmlformats.org/officeDocument/2006/relationships/ctrlProp" Target="../ctrlProps/ctrlProp87.xml"/><Relationship Id="rId30" Type="http://schemas.openxmlformats.org/officeDocument/2006/relationships/ctrlProp" Target="../ctrlProps/ctrlProp9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0" Type="http://schemas.openxmlformats.org/officeDocument/2006/relationships/ctrlProp" Target="../ctrlProps/ctrlProp101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M26"/>
  <sheetViews>
    <sheetView showRowColHeaders="0" zoomScaleNormal="100" workbookViewId="0"/>
  </sheetViews>
  <sheetFormatPr defaultRowHeight="15" x14ac:dyDescent="0.25"/>
  <cols>
    <col min="1" max="2" width="3.7109375" style="64" customWidth="1"/>
    <col min="3" max="12" width="9.42578125" style="64" customWidth="1"/>
    <col min="13" max="13" width="3.7109375" style="64" customWidth="1"/>
    <col min="14" max="14" width="4.7109375" style="64" customWidth="1"/>
    <col min="15" max="16" width="9.140625" style="64"/>
    <col min="17" max="17" width="3.7109375" style="64" customWidth="1"/>
    <col min="18" max="256" width="9.140625" style="64"/>
    <col min="257" max="258" width="3.7109375" style="64" customWidth="1"/>
    <col min="259" max="268" width="9.42578125" style="64" customWidth="1"/>
    <col min="269" max="269" width="3.7109375" style="64" customWidth="1"/>
    <col min="270" max="270" width="4.7109375" style="64" customWidth="1"/>
    <col min="271" max="272" width="9.140625" style="64"/>
    <col min="273" max="273" width="3.7109375" style="64" customWidth="1"/>
    <col min="274" max="512" width="9.140625" style="64"/>
    <col min="513" max="514" width="3.7109375" style="64" customWidth="1"/>
    <col min="515" max="524" width="9.42578125" style="64" customWidth="1"/>
    <col min="525" max="525" width="3.7109375" style="64" customWidth="1"/>
    <col min="526" max="526" width="4.7109375" style="64" customWidth="1"/>
    <col min="527" max="528" width="9.140625" style="64"/>
    <col min="529" max="529" width="3.7109375" style="64" customWidth="1"/>
    <col min="530" max="768" width="9.140625" style="64"/>
    <col min="769" max="770" width="3.7109375" style="64" customWidth="1"/>
    <col min="771" max="780" width="9.42578125" style="64" customWidth="1"/>
    <col min="781" max="781" width="3.7109375" style="64" customWidth="1"/>
    <col min="782" max="782" width="4.7109375" style="64" customWidth="1"/>
    <col min="783" max="784" width="9.140625" style="64"/>
    <col min="785" max="785" width="3.7109375" style="64" customWidth="1"/>
    <col min="786" max="1024" width="9.140625" style="64"/>
    <col min="1025" max="1026" width="3.7109375" style="64" customWidth="1"/>
    <col min="1027" max="1036" width="9.42578125" style="64" customWidth="1"/>
    <col min="1037" max="1037" width="3.7109375" style="64" customWidth="1"/>
    <col min="1038" max="1038" width="4.7109375" style="64" customWidth="1"/>
    <col min="1039" max="1040" width="9.140625" style="64"/>
    <col min="1041" max="1041" width="3.7109375" style="64" customWidth="1"/>
    <col min="1042" max="1280" width="9.140625" style="64"/>
    <col min="1281" max="1282" width="3.7109375" style="64" customWidth="1"/>
    <col min="1283" max="1292" width="9.42578125" style="64" customWidth="1"/>
    <col min="1293" max="1293" width="3.7109375" style="64" customWidth="1"/>
    <col min="1294" max="1294" width="4.7109375" style="64" customWidth="1"/>
    <col min="1295" max="1296" width="9.140625" style="64"/>
    <col min="1297" max="1297" width="3.7109375" style="64" customWidth="1"/>
    <col min="1298" max="1536" width="9.140625" style="64"/>
    <col min="1537" max="1538" width="3.7109375" style="64" customWidth="1"/>
    <col min="1539" max="1548" width="9.42578125" style="64" customWidth="1"/>
    <col min="1549" max="1549" width="3.7109375" style="64" customWidth="1"/>
    <col min="1550" max="1550" width="4.7109375" style="64" customWidth="1"/>
    <col min="1551" max="1552" width="9.140625" style="64"/>
    <col min="1553" max="1553" width="3.7109375" style="64" customWidth="1"/>
    <col min="1554" max="1792" width="9.140625" style="64"/>
    <col min="1793" max="1794" width="3.7109375" style="64" customWidth="1"/>
    <col min="1795" max="1804" width="9.42578125" style="64" customWidth="1"/>
    <col min="1805" max="1805" width="3.7109375" style="64" customWidth="1"/>
    <col min="1806" max="1806" width="4.7109375" style="64" customWidth="1"/>
    <col min="1807" max="1808" width="9.140625" style="64"/>
    <col min="1809" max="1809" width="3.7109375" style="64" customWidth="1"/>
    <col min="1810" max="2048" width="9.140625" style="64"/>
    <col min="2049" max="2050" width="3.7109375" style="64" customWidth="1"/>
    <col min="2051" max="2060" width="9.42578125" style="64" customWidth="1"/>
    <col min="2061" max="2061" width="3.7109375" style="64" customWidth="1"/>
    <col min="2062" max="2062" width="4.7109375" style="64" customWidth="1"/>
    <col min="2063" max="2064" width="9.140625" style="64"/>
    <col min="2065" max="2065" width="3.7109375" style="64" customWidth="1"/>
    <col min="2066" max="2304" width="9.140625" style="64"/>
    <col min="2305" max="2306" width="3.7109375" style="64" customWidth="1"/>
    <col min="2307" max="2316" width="9.42578125" style="64" customWidth="1"/>
    <col min="2317" max="2317" width="3.7109375" style="64" customWidth="1"/>
    <col min="2318" max="2318" width="4.7109375" style="64" customWidth="1"/>
    <col min="2319" max="2320" width="9.140625" style="64"/>
    <col min="2321" max="2321" width="3.7109375" style="64" customWidth="1"/>
    <col min="2322" max="2560" width="9.140625" style="64"/>
    <col min="2561" max="2562" width="3.7109375" style="64" customWidth="1"/>
    <col min="2563" max="2572" width="9.42578125" style="64" customWidth="1"/>
    <col min="2573" max="2573" width="3.7109375" style="64" customWidth="1"/>
    <col min="2574" max="2574" width="4.7109375" style="64" customWidth="1"/>
    <col min="2575" max="2576" width="9.140625" style="64"/>
    <col min="2577" max="2577" width="3.7109375" style="64" customWidth="1"/>
    <col min="2578" max="2816" width="9.140625" style="64"/>
    <col min="2817" max="2818" width="3.7109375" style="64" customWidth="1"/>
    <col min="2819" max="2828" width="9.42578125" style="64" customWidth="1"/>
    <col min="2829" max="2829" width="3.7109375" style="64" customWidth="1"/>
    <col min="2830" max="2830" width="4.7109375" style="64" customWidth="1"/>
    <col min="2831" max="2832" width="9.140625" style="64"/>
    <col min="2833" max="2833" width="3.7109375" style="64" customWidth="1"/>
    <col min="2834" max="3072" width="9.140625" style="64"/>
    <col min="3073" max="3074" width="3.7109375" style="64" customWidth="1"/>
    <col min="3075" max="3084" width="9.42578125" style="64" customWidth="1"/>
    <col min="3085" max="3085" width="3.7109375" style="64" customWidth="1"/>
    <col min="3086" max="3086" width="4.7109375" style="64" customWidth="1"/>
    <col min="3087" max="3088" width="9.140625" style="64"/>
    <col min="3089" max="3089" width="3.7109375" style="64" customWidth="1"/>
    <col min="3090" max="3328" width="9.140625" style="64"/>
    <col min="3329" max="3330" width="3.7109375" style="64" customWidth="1"/>
    <col min="3331" max="3340" width="9.42578125" style="64" customWidth="1"/>
    <col min="3341" max="3341" width="3.7109375" style="64" customWidth="1"/>
    <col min="3342" max="3342" width="4.7109375" style="64" customWidth="1"/>
    <col min="3343" max="3344" width="9.140625" style="64"/>
    <col min="3345" max="3345" width="3.7109375" style="64" customWidth="1"/>
    <col min="3346" max="3584" width="9.140625" style="64"/>
    <col min="3585" max="3586" width="3.7109375" style="64" customWidth="1"/>
    <col min="3587" max="3596" width="9.42578125" style="64" customWidth="1"/>
    <col min="3597" max="3597" width="3.7109375" style="64" customWidth="1"/>
    <col min="3598" max="3598" width="4.7109375" style="64" customWidth="1"/>
    <col min="3599" max="3600" width="9.140625" style="64"/>
    <col min="3601" max="3601" width="3.7109375" style="64" customWidth="1"/>
    <col min="3602" max="3840" width="9.140625" style="64"/>
    <col min="3841" max="3842" width="3.7109375" style="64" customWidth="1"/>
    <col min="3843" max="3852" width="9.42578125" style="64" customWidth="1"/>
    <col min="3853" max="3853" width="3.7109375" style="64" customWidth="1"/>
    <col min="3854" max="3854" width="4.7109375" style="64" customWidth="1"/>
    <col min="3855" max="3856" width="9.140625" style="64"/>
    <col min="3857" max="3857" width="3.7109375" style="64" customWidth="1"/>
    <col min="3858" max="4096" width="9.140625" style="64"/>
    <col min="4097" max="4098" width="3.7109375" style="64" customWidth="1"/>
    <col min="4099" max="4108" width="9.42578125" style="64" customWidth="1"/>
    <col min="4109" max="4109" width="3.7109375" style="64" customWidth="1"/>
    <col min="4110" max="4110" width="4.7109375" style="64" customWidth="1"/>
    <col min="4111" max="4112" width="9.140625" style="64"/>
    <col min="4113" max="4113" width="3.7109375" style="64" customWidth="1"/>
    <col min="4114" max="4352" width="9.140625" style="64"/>
    <col min="4353" max="4354" width="3.7109375" style="64" customWidth="1"/>
    <col min="4355" max="4364" width="9.42578125" style="64" customWidth="1"/>
    <col min="4365" max="4365" width="3.7109375" style="64" customWidth="1"/>
    <col min="4366" max="4366" width="4.7109375" style="64" customWidth="1"/>
    <col min="4367" max="4368" width="9.140625" style="64"/>
    <col min="4369" max="4369" width="3.7109375" style="64" customWidth="1"/>
    <col min="4370" max="4608" width="9.140625" style="64"/>
    <col min="4609" max="4610" width="3.7109375" style="64" customWidth="1"/>
    <col min="4611" max="4620" width="9.42578125" style="64" customWidth="1"/>
    <col min="4621" max="4621" width="3.7109375" style="64" customWidth="1"/>
    <col min="4622" max="4622" width="4.7109375" style="64" customWidth="1"/>
    <col min="4623" max="4624" width="9.140625" style="64"/>
    <col min="4625" max="4625" width="3.7109375" style="64" customWidth="1"/>
    <col min="4626" max="4864" width="9.140625" style="64"/>
    <col min="4865" max="4866" width="3.7109375" style="64" customWidth="1"/>
    <col min="4867" max="4876" width="9.42578125" style="64" customWidth="1"/>
    <col min="4877" max="4877" width="3.7109375" style="64" customWidth="1"/>
    <col min="4878" max="4878" width="4.7109375" style="64" customWidth="1"/>
    <col min="4879" max="4880" width="9.140625" style="64"/>
    <col min="4881" max="4881" width="3.7109375" style="64" customWidth="1"/>
    <col min="4882" max="5120" width="9.140625" style="64"/>
    <col min="5121" max="5122" width="3.7109375" style="64" customWidth="1"/>
    <col min="5123" max="5132" width="9.42578125" style="64" customWidth="1"/>
    <col min="5133" max="5133" width="3.7109375" style="64" customWidth="1"/>
    <col min="5134" max="5134" width="4.7109375" style="64" customWidth="1"/>
    <col min="5135" max="5136" width="9.140625" style="64"/>
    <col min="5137" max="5137" width="3.7109375" style="64" customWidth="1"/>
    <col min="5138" max="5376" width="9.140625" style="64"/>
    <col min="5377" max="5378" width="3.7109375" style="64" customWidth="1"/>
    <col min="5379" max="5388" width="9.42578125" style="64" customWidth="1"/>
    <col min="5389" max="5389" width="3.7109375" style="64" customWidth="1"/>
    <col min="5390" max="5390" width="4.7109375" style="64" customWidth="1"/>
    <col min="5391" max="5392" width="9.140625" style="64"/>
    <col min="5393" max="5393" width="3.7109375" style="64" customWidth="1"/>
    <col min="5394" max="5632" width="9.140625" style="64"/>
    <col min="5633" max="5634" width="3.7109375" style="64" customWidth="1"/>
    <col min="5635" max="5644" width="9.42578125" style="64" customWidth="1"/>
    <col min="5645" max="5645" width="3.7109375" style="64" customWidth="1"/>
    <col min="5646" max="5646" width="4.7109375" style="64" customWidth="1"/>
    <col min="5647" max="5648" width="9.140625" style="64"/>
    <col min="5649" max="5649" width="3.7109375" style="64" customWidth="1"/>
    <col min="5650" max="5888" width="9.140625" style="64"/>
    <col min="5889" max="5890" width="3.7109375" style="64" customWidth="1"/>
    <col min="5891" max="5900" width="9.42578125" style="64" customWidth="1"/>
    <col min="5901" max="5901" width="3.7109375" style="64" customWidth="1"/>
    <col min="5902" max="5902" width="4.7109375" style="64" customWidth="1"/>
    <col min="5903" max="5904" width="9.140625" style="64"/>
    <col min="5905" max="5905" width="3.7109375" style="64" customWidth="1"/>
    <col min="5906" max="6144" width="9.140625" style="64"/>
    <col min="6145" max="6146" width="3.7109375" style="64" customWidth="1"/>
    <col min="6147" max="6156" width="9.42578125" style="64" customWidth="1"/>
    <col min="6157" max="6157" width="3.7109375" style="64" customWidth="1"/>
    <col min="6158" max="6158" width="4.7109375" style="64" customWidth="1"/>
    <col min="6159" max="6160" width="9.140625" style="64"/>
    <col min="6161" max="6161" width="3.7109375" style="64" customWidth="1"/>
    <col min="6162" max="6400" width="9.140625" style="64"/>
    <col min="6401" max="6402" width="3.7109375" style="64" customWidth="1"/>
    <col min="6403" max="6412" width="9.42578125" style="64" customWidth="1"/>
    <col min="6413" max="6413" width="3.7109375" style="64" customWidth="1"/>
    <col min="6414" max="6414" width="4.7109375" style="64" customWidth="1"/>
    <col min="6415" max="6416" width="9.140625" style="64"/>
    <col min="6417" max="6417" width="3.7109375" style="64" customWidth="1"/>
    <col min="6418" max="6656" width="9.140625" style="64"/>
    <col min="6657" max="6658" width="3.7109375" style="64" customWidth="1"/>
    <col min="6659" max="6668" width="9.42578125" style="64" customWidth="1"/>
    <col min="6669" max="6669" width="3.7109375" style="64" customWidth="1"/>
    <col min="6670" max="6670" width="4.7109375" style="64" customWidth="1"/>
    <col min="6671" max="6672" width="9.140625" style="64"/>
    <col min="6673" max="6673" width="3.7109375" style="64" customWidth="1"/>
    <col min="6674" max="6912" width="9.140625" style="64"/>
    <col min="6913" max="6914" width="3.7109375" style="64" customWidth="1"/>
    <col min="6915" max="6924" width="9.42578125" style="64" customWidth="1"/>
    <col min="6925" max="6925" width="3.7109375" style="64" customWidth="1"/>
    <col min="6926" max="6926" width="4.7109375" style="64" customWidth="1"/>
    <col min="6927" max="6928" width="9.140625" style="64"/>
    <col min="6929" max="6929" width="3.7109375" style="64" customWidth="1"/>
    <col min="6930" max="7168" width="9.140625" style="64"/>
    <col min="7169" max="7170" width="3.7109375" style="64" customWidth="1"/>
    <col min="7171" max="7180" width="9.42578125" style="64" customWidth="1"/>
    <col min="7181" max="7181" width="3.7109375" style="64" customWidth="1"/>
    <col min="7182" max="7182" width="4.7109375" style="64" customWidth="1"/>
    <col min="7183" max="7184" width="9.140625" style="64"/>
    <col min="7185" max="7185" width="3.7109375" style="64" customWidth="1"/>
    <col min="7186" max="7424" width="9.140625" style="64"/>
    <col min="7425" max="7426" width="3.7109375" style="64" customWidth="1"/>
    <col min="7427" max="7436" width="9.42578125" style="64" customWidth="1"/>
    <col min="7437" max="7437" width="3.7109375" style="64" customWidth="1"/>
    <col min="7438" max="7438" width="4.7109375" style="64" customWidth="1"/>
    <col min="7439" max="7440" width="9.140625" style="64"/>
    <col min="7441" max="7441" width="3.7109375" style="64" customWidth="1"/>
    <col min="7442" max="7680" width="9.140625" style="64"/>
    <col min="7681" max="7682" width="3.7109375" style="64" customWidth="1"/>
    <col min="7683" max="7692" width="9.42578125" style="64" customWidth="1"/>
    <col min="7693" max="7693" width="3.7109375" style="64" customWidth="1"/>
    <col min="7694" max="7694" width="4.7109375" style="64" customWidth="1"/>
    <col min="7695" max="7696" width="9.140625" style="64"/>
    <col min="7697" max="7697" width="3.7109375" style="64" customWidth="1"/>
    <col min="7698" max="7936" width="9.140625" style="64"/>
    <col min="7937" max="7938" width="3.7109375" style="64" customWidth="1"/>
    <col min="7939" max="7948" width="9.42578125" style="64" customWidth="1"/>
    <col min="7949" max="7949" width="3.7109375" style="64" customWidth="1"/>
    <col min="7950" max="7950" width="4.7109375" style="64" customWidth="1"/>
    <col min="7951" max="7952" width="9.140625" style="64"/>
    <col min="7953" max="7953" width="3.7109375" style="64" customWidth="1"/>
    <col min="7954" max="8192" width="9.140625" style="64"/>
    <col min="8193" max="8194" width="3.7109375" style="64" customWidth="1"/>
    <col min="8195" max="8204" width="9.42578125" style="64" customWidth="1"/>
    <col min="8205" max="8205" width="3.7109375" style="64" customWidth="1"/>
    <col min="8206" max="8206" width="4.7109375" style="64" customWidth="1"/>
    <col min="8207" max="8208" width="9.140625" style="64"/>
    <col min="8209" max="8209" width="3.7109375" style="64" customWidth="1"/>
    <col min="8210" max="8448" width="9.140625" style="64"/>
    <col min="8449" max="8450" width="3.7109375" style="64" customWidth="1"/>
    <col min="8451" max="8460" width="9.42578125" style="64" customWidth="1"/>
    <col min="8461" max="8461" width="3.7109375" style="64" customWidth="1"/>
    <col min="8462" max="8462" width="4.7109375" style="64" customWidth="1"/>
    <col min="8463" max="8464" width="9.140625" style="64"/>
    <col min="8465" max="8465" width="3.7109375" style="64" customWidth="1"/>
    <col min="8466" max="8704" width="9.140625" style="64"/>
    <col min="8705" max="8706" width="3.7109375" style="64" customWidth="1"/>
    <col min="8707" max="8716" width="9.42578125" style="64" customWidth="1"/>
    <col min="8717" max="8717" width="3.7109375" style="64" customWidth="1"/>
    <col min="8718" max="8718" width="4.7109375" style="64" customWidth="1"/>
    <col min="8719" max="8720" width="9.140625" style="64"/>
    <col min="8721" max="8721" width="3.7109375" style="64" customWidth="1"/>
    <col min="8722" max="8960" width="9.140625" style="64"/>
    <col min="8961" max="8962" width="3.7109375" style="64" customWidth="1"/>
    <col min="8963" max="8972" width="9.42578125" style="64" customWidth="1"/>
    <col min="8973" max="8973" width="3.7109375" style="64" customWidth="1"/>
    <col min="8974" max="8974" width="4.7109375" style="64" customWidth="1"/>
    <col min="8975" max="8976" width="9.140625" style="64"/>
    <col min="8977" max="8977" width="3.7109375" style="64" customWidth="1"/>
    <col min="8978" max="9216" width="9.140625" style="64"/>
    <col min="9217" max="9218" width="3.7109375" style="64" customWidth="1"/>
    <col min="9219" max="9228" width="9.42578125" style="64" customWidth="1"/>
    <col min="9229" max="9229" width="3.7109375" style="64" customWidth="1"/>
    <col min="9230" max="9230" width="4.7109375" style="64" customWidth="1"/>
    <col min="9231" max="9232" width="9.140625" style="64"/>
    <col min="9233" max="9233" width="3.7109375" style="64" customWidth="1"/>
    <col min="9234" max="9472" width="9.140625" style="64"/>
    <col min="9473" max="9474" width="3.7109375" style="64" customWidth="1"/>
    <col min="9475" max="9484" width="9.42578125" style="64" customWidth="1"/>
    <col min="9485" max="9485" width="3.7109375" style="64" customWidth="1"/>
    <col min="9486" max="9486" width="4.7109375" style="64" customWidth="1"/>
    <col min="9487" max="9488" width="9.140625" style="64"/>
    <col min="9489" max="9489" width="3.7109375" style="64" customWidth="1"/>
    <col min="9490" max="9728" width="9.140625" style="64"/>
    <col min="9729" max="9730" width="3.7109375" style="64" customWidth="1"/>
    <col min="9731" max="9740" width="9.42578125" style="64" customWidth="1"/>
    <col min="9741" max="9741" width="3.7109375" style="64" customWidth="1"/>
    <col min="9742" max="9742" width="4.7109375" style="64" customWidth="1"/>
    <col min="9743" max="9744" width="9.140625" style="64"/>
    <col min="9745" max="9745" width="3.7109375" style="64" customWidth="1"/>
    <col min="9746" max="9984" width="9.140625" style="64"/>
    <col min="9985" max="9986" width="3.7109375" style="64" customWidth="1"/>
    <col min="9987" max="9996" width="9.42578125" style="64" customWidth="1"/>
    <col min="9997" max="9997" width="3.7109375" style="64" customWidth="1"/>
    <col min="9998" max="9998" width="4.7109375" style="64" customWidth="1"/>
    <col min="9999" max="10000" width="9.140625" style="64"/>
    <col min="10001" max="10001" width="3.7109375" style="64" customWidth="1"/>
    <col min="10002" max="10240" width="9.140625" style="64"/>
    <col min="10241" max="10242" width="3.7109375" style="64" customWidth="1"/>
    <col min="10243" max="10252" width="9.42578125" style="64" customWidth="1"/>
    <col min="10253" max="10253" width="3.7109375" style="64" customWidth="1"/>
    <col min="10254" max="10254" width="4.7109375" style="64" customWidth="1"/>
    <col min="10255" max="10256" width="9.140625" style="64"/>
    <col min="10257" max="10257" width="3.7109375" style="64" customWidth="1"/>
    <col min="10258" max="10496" width="9.140625" style="64"/>
    <col min="10497" max="10498" width="3.7109375" style="64" customWidth="1"/>
    <col min="10499" max="10508" width="9.42578125" style="64" customWidth="1"/>
    <col min="10509" max="10509" width="3.7109375" style="64" customWidth="1"/>
    <col min="10510" max="10510" width="4.7109375" style="64" customWidth="1"/>
    <col min="10511" max="10512" width="9.140625" style="64"/>
    <col min="10513" max="10513" width="3.7109375" style="64" customWidth="1"/>
    <col min="10514" max="10752" width="9.140625" style="64"/>
    <col min="10753" max="10754" width="3.7109375" style="64" customWidth="1"/>
    <col min="10755" max="10764" width="9.42578125" style="64" customWidth="1"/>
    <col min="10765" max="10765" width="3.7109375" style="64" customWidth="1"/>
    <col min="10766" max="10766" width="4.7109375" style="64" customWidth="1"/>
    <col min="10767" max="10768" width="9.140625" style="64"/>
    <col min="10769" max="10769" width="3.7109375" style="64" customWidth="1"/>
    <col min="10770" max="11008" width="9.140625" style="64"/>
    <col min="11009" max="11010" width="3.7109375" style="64" customWidth="1"/>
    <col min="11011" max="11020" width="9.42578125" style="64" customWidth="1"/>
    <col min="11021" max="11021" width="3.7109375" style="64" customWidth="1"/>
    <col min="11022" max="11022" width="4.7109375" style="64" customWidth="1"/>
    <col min="11023" max="11024" width="9.140625" style="64"/>
    <col min="11025" max="11025" width="3.7109375" style="64" customWidth="1"/>
    <col min="11026" max="11264" width="9.140625" style="64"/>
    <col min="11265" max="11266" width="3.7109375" style="64" customWidth="1"/>
    <col min="11267" max="11276" width="9.42578125" style="64" customWidth="1"/>
    <col min="11277" max="11277" width="3.7109375" style="64" customWidth="1"/>
    <col min="11278" max="11278" width="4.7109375" style="64" customWidth="1"/>
    <col min="11279" max="11280" width="9.140625" style="64"/>
    <col min="11281" max="11281" width="3.7109375" style="64" customWidth="1"/>
    <col min="11282" max="11520" width="9.140625" style="64"/>
    <col min="11521" max="11522" width="3.7109375" style="64" customWidth="1"/>
    <col min="11523" max="11532" width="9.42578125" style="64" customWidth="1"/>
    <col min="11533" max="11533" width="3.7109375" style="64" customWidth="1"/>
    <col min="11534" max="11534" width="4.7109375" style="64" customWidth="1"/>
    <col min="11535" max="11536" width="9.140625" style="64"/>
    <col min="11537" max="11537" width="3.7109375" style="64" customWidth="1"/>
    <col min="11538" max="11776" width="9.140625" style="64"/>
    <col min="11777" max="11778" width="3.7109375" style="64" customWidth="1"/>
    <col min="11779" max="11788" width="9.42578125" style="64" customWidth="1"/>
    <col min="11789" max="11789" width="3.7109375" style="64" customWidth="1"/>
    <col min="11790" max="11790" width="4.7109375" style="64" customWidth="1"/>
    <col min="11791" max="11792" width="9.140625" style="64"/>
    <col min="11793" max="11793" width="3.7109375" style="64" customWidth="1"/>
    <col min="11794" max="12032" width="9.140625" style="64"/>
    <col min="12033" max="12034" width="3.7109375" style="64" customWidth="1"/>
    <col min="12035" max="12044" width="9.42578125" style="64" customWidth="1"/>
    <col min="12045" max="12045" width="3.7109375" style="64" customWidth="1"/>
    <col min="12046" max="12046" width="4.7109375" style="64" customWidth="1"/>
    <col min="12047" max="12048" width="9.140625" style="64"/>
    <col min="12049" max="12049" width="3.7109375" style="64" customWidth="1"/>
    <col min="12050" max="12288" width="9.140625" style="64"/>
    <col min="12289" max="12290" width="3.7109375" style="64" customWidth="1"/>
    <col min="12291" max="12300" width="9.42578125" style="64" customWidth="1"/>
    <col min="12301" max="12301" width="3.7109375" style="64" customWidth="1"/>
    <col min="12302" max="12302" width="4.7109375" style="64" customWidth="1"/>
    <col min="12303" max="12304" width="9.140625" style="64"/>
    <col min="12305" max="12305" width="3.7109375" style="64" customWidth="1"/>
    <col min="12306" max="12544" width="9.140625" style="64"/>
    <col min="12545" max="12546" width="3.7109375" style="64" customWidth="1"/>
    <col min="12547" max="12556" width="9.42578125" style="64" customWidth="1"/>
    <col min="12557" max="12557" width="3.7109375" style="64" customWidth="1"/>
    <col min="12558" max="12558" width="4.7109375" style="64" customWidth="1"/>
    <col min="12559" max="12560" width="9.140625" style="64"/>
    <col min="12561" max="12561" width="3.7109375" style="64" customWidth="1"/>
    <col min="12562" max="12800" width="9.140625" style="64"/>
    <col min="12801" max="12802" width="3.7109375" style="64" customWidth="1"/>
    <col min="12803" max="12812" width="9.42578125" style="64" customWidth="1"/>
    <col min="12813" max="12813" width="3.7109375" style="64" customWidth="1"/>
    <col min="12814" max="12814" width="4.7109375" style="64" customWidth="1"/>
    <col min="12815" max="12816" width="9.140625" style="64"/>
    <col min="12817" max="12817" width="3.7109375" style="64" customWidth="1"/>
    <col min="12818" max="13056" width="9.140625" style="64"/>
    <col min="13057" max="13058" width="3.7109375" style="64" customWidth="1"/>
    <col min="13059" max="13068" width="9.42578125" style="64" customWidth="1"/>
    <col min="13069" max="13069" width="3.7109375" style="64" customWidth="1"/>
    <col min="13070" max="13070" width="4.7109375" style="64" customWidth="1"/>
    <col min="13071" max="13072" width="9.140625" style="64"/>
    <col min="13073" max="13073" width="3.7109375" style="64" customWidth="1"/>
    <col min="13074" max="13312" width="9.140625" style="64"/>
    <col min="13313" max="13314" width="3.7109375" style="64" customWidth="1"/>
    <col min="13315" max="13324" width="9.42578125" style="64" customWidth="1"/>
    <col min="13325" max="13325" width="3.7109375" style="64" customWidth="1"/>
    <col min="13326" max="13326" width="4.7109375" style="64" customWidth="1"/>
    <col min="13327" max="13328" width="9.140625" style="64"/>
    <col min="13329" max="13329" width="3.7109375" style="64" customWidth="1"/>
    <col min="13330" max="13568" width="9.140625" style="64"/>
    <col min="13569" max="13570" width="3.7109375" style="64" customWidth="1"/>
    <col min="13571" max="13580" width="9.42578125" style="64" customWidth="1"/>
    <col min="13581" max="13581" width="3.7109375" style="64" customWidth="1"/>
    <col min="13582" max="13582" width="4.7109375" style="64" customWidth="1"/>
    <col min="13583" max="13584" width="9.140625" style="64"/>
    <col min="13585" max="13585" width="3.7109375" style="64" customWidth="1"/>
    <col min="13586" max="13824" width="9.140625" style="64"/>
    <col min="13825" max="13826" width="3.7109375" style="64" customWidth="1"/>
    <col min="13827" max="13836" width="9.42578125" style="64" customWidth="1"/>
    <col min="13837" max="13837" width="3.7109375" style="64" customWidth="1"/>
    <col min="13838" max="13838" width="4.7109375" style="64" customWidth="1"/>
    <col min="13839" max="13840" width="9.140625" style="64"/>
    <col min="13841" max="13841" width="3.7109375" style="64" customWidth="1"/>
    <col min="13842" max="14080" width="9.140625" style="64"/>
    <col min="14081" max="14082" width="3.7109375" style="64" customWidth="1"/>
    <col min="14083" max="14092" width="9.42578125" style="64" customWidth="1"/>
    <col min="14093" max="14093" width="3.7109375" style="64" customWidth="1"/>
    <col min="14094" max="14094" width="4.7109375" style="64" customWidth="1"/>
    <col min="14095" max="14096" width="9.140625" style="64"/>
    <col min="14097" max="14097" width="3.7109375" style="64" customWidth="1"/>
    <col min="14098" max="14336" width="9.140625" style="64"/>
    <col min="14337" max="14338" width="3.7109375" style="64" customWidth="1"/>
    <col min="14339" max="14348" width="9.42578125" style="64" customWidth="1"/>
    <col min="14349" max="14349" width="3.7109375" style="64" customWidth="1"/>
    <col min="14350" max="14350" width="4.7109375" style="64" customWidth="1"/>
    <col min="14351" max="14352" width="9.140625" style="64"/>
    <col min="14353" max="14353" width="3.7109375" style="64" customWidth="1"/>
    <col min="14354" max="14592" width="9.140625" style="64"/>
    <col min="14593" max="14594" width="3.7109375" style="64" customWidth="1"/>
    <col min="14595" max="14604" width="9.42578125" style="64" customWidth="1"/>
    <col min="14605" max="14605" width="3.7109375" style="64" customWidth="1"/>
    <col min="14606" max="14606" width="4.7109375" style="64" customWidth="1"/>
    <col min="14607" max="14608" width="9.140625" style="64"/>
    <col min="14609" max="14609" width="3.7109375" style="64" customWidth="1"/>
    <col min="14610" max="14848" width="9.140625" style="64"/>
    <col min="14849" max="14850" width="3.7109375" style="64" customWidth="1"/>
    <col min="14851" max="14860" width="9.42578125" style="64" customWidth="1"/>
    <col min="14861" max="14861" width="3.7109375" style="64" customWidth="1"/>
    <col min="14862" max="14862" width="4.7109375" style="64" customWidth="1"/>
    <col min="14863" max="14864" width="9.140625" style="64"/>
    <col min="14865" max="14865" width="3.7109375" style="64" customWidth="1"/>
    <col min="14866" max="15104" width="9.140625" style="64"/>
    <col min="15105" max="15106" width="3.7109375" style="64" customWidth="1"/>
    <col min="15107" max="15116" width="9.42578125" style="64" customWidth="1"/>
    <col min="15117" max="15117" width="3.7109375" style="64" customWidth="1"/>
    <col min="15118" max="15118" width="4.7109375" style="64" customWidth="1"/>
    <col min="15119" max="15120" width="9.140625" style="64"/>
    <col min="15121" max="15121" width="3.7109375" style="64" customWidth="1"/>
    <col min="15122" max="15360" width="9.140625" style="64"/>
    <col min="15361" max="15362" width="3.7109375" style="64" customWidth="1"/>
    <col min="15363" max="15372" width="9.42578125" style="64" customWidth="1"/>
    <col min="15373" max="15373" width="3.7109375" style="64" customWidth="1"/>
    <col min="15374" max="15374" width="4.7109375" style="64" customWidth="1"/>
    <col min="15375" max="15376" width="9.140625" style="64"/>
    <col min="15377" max="15377" width="3.7109375" style="64" customWidth="1"/>
    <col min="15378" max="15616" width="9.140625" style="64"/>
    <col min="15617" max="15618" width="3.7109375" style="64" customWidth="1"/>
    <col min="15619" max="15628" width="9.42578125" style="64" customWidth="1"/>
    <col min="15629" max="15629" width="3.7109375" style="64" customWidth="1"/>
    <col min="15630" max="15630" width="4.7109375" style="64" customWidth="1"/>
    <col min="15631" max="15632" width="9.140625" style="64"/>
    <col min="15633" max="15633" width="3.7109375" style="64" customWidth="1"/>
    <col min="15634" max="15872" width="9.140625" style="64"/>
    <col min="15873" max="15874" width="3.7109375" style="64" customWidth="1"/>
    <col min="15875" max="15884" width="9.42578125" style="64" customWidth="1"/>
    <col min="15885" max="15885" width="3.7109375" style="64" customWidth="1"/>
    <col min="15886" max="15886" width="4.7109375" style="64" customWidth="1"/>
    <col min="15887" max="15888" width="9.140625" style="64"/>
    <col min="15889" max="15889" width="3.7109375" style="64" customWidth="1"/>
    <col min="15890" max="16128" width="9.140625" style="64"/>
    <col min="16129" max="16130" width="3.7109375" style="64" customWidth="1"/>
    <col min="16131" max="16140" width="9.42578125" style="64" customWidth="1"/>
    <col min="16141" max="16141" width="3.7109375" style="64" customWidth="1"/>
    <col min="16142" max="16142" width="4.7109375" style="64" customWidth="1"/>
    <col min="16143" max="16144" width="9.140625" style="64"/>
    <col min="16145" max="16145" width="3.7109375" style="64" customWidth="1"/>
    <col min="16146" max="16384" width="9.140625" style="64"/>
  </cols>
  <sheetData>
    <row r="1" spans="2:13" ht="3.95" customHeight="1" thickBot="1" x14ac:dyDescent="0.3"/>
    <row r="2" spans="2:13" ht="18" customHeight="1" thickTop="1" thickBot="1" x14ac:dyDescent="0.3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7"/>
    </row>
    <row r="3" spans="2:13" ht="3" customHeight="1" x14ac:dyDescent="0.25">
      <c r="B3" s="68"/>
      <c r="C3" s="1407"/>
      <c r="D3" s="1408"/>
      <c r="E3" s="1408"/>
      <c r="F3" s="1408"/>
      <c r="G3" s="1408"/>
      <c r="H3" s="1408"/>
      <c r="I3" s="1408"/>
      <c r="J3" s="1408"/>
      <c r="K3" s="1408"/>
      <c r="L3" s="1409"/>
      <c r="M3" s="69"/>
    </row>
    <row r="4" spans="2:13" s="95" customFormat="1" ht="14.1" customHeight="1" x14ac:dyDescent="0.3">
      <c r="B4" s="93"/>
      <c r="C4" s="1425"/>
      <c r="D4" s="1427" t="s">
        <v>375</v>
      </c>
      <c r="E4" s="1428"/>
      <c r="F4" s="1428"/>
      <c r="G4" s="1428"/>
      <c r="H4" s="1428"/>
      <c r="I4" s="1428"/>
      <c r="J4" s="1428"/>
      <c r="K4" s="1428"/>
      <c r="L4" s="1429"/>
      <c r="M4" s="94"/>
    </row>
    <row r="5" spans="2:13" s="95" customFormat="1" ht="14.1" customHeight="1" x14ac:dyDescent="0.3">
      <c r="B5" s="93"/>
      <c r="C5" s="1425"/>
      <c r="D5" s="1419" t="s">
        <v>372</v>
      </c>
      <c r="E5" s="1420"/>
      <c r="F5" s="1420"/>
      <c r="G5" s="1420"/>
      <c r="H5" s="1420"/>
      <c r="I5" s="1420"/>
      <c r="J5" s="1420"/>
      <c r="K5" s="1420"/>
      <c r="L5" s="1421"/>
      <c r="M5" s="94"/>
    </row>
    <row r="6" spans="2:13" s="95" customFormat="1" ht="14.1" customHeight="1" x14ac:dyDescent="0.3">
      <c r="B6" s="93"/>
      <c r="C6" s="1425"/>
      <c r="D6" s="1416" t="s">
        <v>371</v>
      </c>
      <c r="E6" s="1417"/>
      <c r="F6" s="1417"/>
      <c r="G6" s="1418"/>
      <c r="H6" s="1419" t="str">
        <f>Geral!I8</f>
        <v>Uberaba</v>
      </c>
      <c r="I6" s="1420"/>
      <c r="J6" s="1420"/>
      <c r="K6" s="1420"/>
      <c r="L6" s="1421"/>
      <c r="M6" s="94"/>
    </row>
    <row r="7" spans="2:13" s="95" customFormat="1" ht="14.1" customHeight="1" x14ac:dyDescent="0.3">
      <c r="B7" s="93"/>
      <c r="C7" s="1425"/>
      <c r="D7" s="1430" t="s">
        <v>373</v>
      </c>
      <c r="E7" s="1431"/>
      <c r="F7" s="1431"/>
      <c r="G7" s="1431"/>
      <c r="H7" s="1431"/>
      <c r="I7" s="1431"/>
      <c r="J7" s="1431"/>
      <c r="K7" s="1431"/>
      <c r="L7" s="1432"/>
      <c r="M7" s="94"/>
    </row>
    <row r="8" spans="2:13" s="95" customFormat="1" ht="14.1" customHeight="1" x14ac:dyDescent="0.3">
      <c r="B8" s="93"/>
      <c r="C8" s="1426"/>
      <c r="D8" s="1430" t="s">
        <v>374</v>
      </c>
      <c r="E8" s="1431"/>
      <c r="F8" s="1431"/>
      <c r="G8" s="1431"/>
      <c r="H8" s="1431"/>
      <c r="I8" s="1431"/>
      <c r="J8" s="1431"/>
      <c r="K8" s="1431"/>
      <c r="L8" s="1432"/>
      <c r="M8" s="94"/>
    </row>
    <row r="9" spans="2:13" ht="3" customHeight="1" thickBot="1" x14ac:dyDescent="0.3">
      <c r="B9" s="68"/>
      <c r="C9" s="1422"/>
      <c r="D9" s="1423"/>
      <c r="E9" s="1423"/>
      <c r="F9" s="1423"/>
      <c r="G9" s="1423"/>
      <c r="H9" s="1423"/>
      <c r="I9" s="1423"/>
      <c r="J9" s="1423"/>
      <c r="K9" s="1423"/>
      <c r="L9" s="1424"/>
      <c r="M9" s="69"/>
    </row>
    <row r="10" spans="2:13" ht="14.1" customHeight="1" x14ac:dyDescent="0.25">
      <c r="B10" s="70"/>
      <c r="C10" s="1410" t="s">
        <v>370</v>
      </c>
      <c r="D10" s="1411"/>
      <c r="E10" s="1411"/>
      <c r="F10" s="1411"/>
      <c r="G10" s="1411"/>
      <c r="H10" s="1411"/>
      <c r="I10" s="1411"/>
      <c r="J10" s="1411"/>
      <c r="K10" s="1411"/>
      <c r="L10" s="1412"/>
      <c r="M10" s="71"/>
    </row>
    <row r="11" spans="2:13" ht="14.1" customHeight="1" thickBot="1" x14ac:dyDescent="0.3">
      <c r="B11" s="70"/>
      <c r="C11" s="1413"/>
      <c r="D11" s="1414"/>
      <c r="E11" s="1414"/>
      <c r="F11" s="1414"/>
      <c r="G11" s="1414"/>
      <c r="H11" s="1414"/>
      <c r="I11" s="1414"/>
      <c r="J11" s="1414"/>
      <c r="K11" s="1414"/>
      <c r="L11" s="1415"/>
      <c r="M11" s="71"/>
    </row>
    <row r="12" spans="2:13" ht="3.95" customHeight="1" x14ac:dyDescent="0.25">
      <c r="B12" s="70"/>
      <c r="C12" s="82"/>
      <c r="D12" s="81"/>
      <c r="E12" s="81"/>
      <c r="F12" s="81"/>
      <c r="G12" s="81"/>
      <c r="H12" s="81"/>
      <c r="I12" s="81"/>
      <c r="J12" s="81"/>
      <c r="K12" s="81"/>
      <c r="L12" s="83"/>
      <c r="M12" s="71"/>
    </row>
    <row r="13" spans="2:13" ht="21.95" customHeight="1" x14ac:dyDescent="0.25">
      <c r="B13" s="70"/>
      <c r="C13" s="84"/>
      <c r="D13" s="72"/>
      <c r="E13" s="72"/>
      <c r="F13" s="72"/>
      <c r="G13" s="72"/>
      <c r="H13" s="72"/>
      <c r="I13" s="72"/>
      <c r="J13" s="72"/>
      <c r="K13" s="72"/>
      <c r="L13" s="85"/>
      <c r="M13" s="71"/>
    </row>
    <row r="14" spans="2:13" ht="21.95" customHeight="1" x14ac:dyDescent="0.25">
      <c r="B14" s="70"/>
      <c r="C14" s="86"/>
      <c r="D14" s="73"/>
      <c r="E14" s="73"/>
      <c r="F14" s="73"/>
      <c r="G14" s="73"/>
      <c r="H14" s="72"/>
      <c r="I14" s="72"/>
      <c r="J14" s="72"/>
      <c r="K14" s="72"/>
      <c r="L14" s="85"/>
      <c r="M14" s="71"/>
    </row>
    <row r="15" spans="2:13" ht="21.95" customHeight="1" x14ac:dyDescent="0.25">
      <c r="B15" s="70"/>
      <c r="C15" s="87"/>
      <c r="D15" s="74"/>
      <c r="E15" s="74"/>
      <c r="F15" s="74"/>
      <c r="G15" s="74"/>
      <c r="H15" s="74"/>
      <c r="I15" s="74"/>
      <c r="J15" s="74"/>
      <c r="K15" s="74"/>
      <c r="L15" s="88"/>
      <c r="M15" s="71"/>
    </row>
    <row r="16" spans="2:13" ht="21.95" customHeight="1" x14ac:dyDescent="0.25">
      <c r="B16" s="70"/>
      <c r="C16" s="84"/>
      <c r="D16" s="72"/>
      <c r="E16" s="72"/>
      <c r="F16" s="72"/>
      <c r="G16" s="72"/>
      <c r="H16" s="72"/>
      <c r="I16" s="72"/>
      <c r="J16" s="72"/>
      <c r="K16" s="72"/>
      <c r="L16" s="85"/>
      <c r="M16" s="71"/>
    </row>
    <row r="17" spans="2:13" ht="21.95" customHeight="1" x14ac:dyDescent="0.25">
      <c r="B17" s="75"/>
      <c r="C17" s="89"/>
      <c r="D17" s="76"/>
      <c r="E17" s="76"/>
      <c r="F17" s="76"/>
      <c r="G17" s="76"/>
      <c r="H17" s="76"/>
      <c r="I17" s="72"/>
      <c r="J17" s="72"/>
      <c r="K17" s="72"/>
      <c r="L17" s="85"/>
      <c r="M17" s="71"/>
    </row>
    <row r="18" spans="2:13" ht="21.95" customHeight="1" x14ac:dyDescent="0.25">
      <c r="B18" s="70"/>
      <c r="C18" s="84"/>
      <c r="D18" s="72"/>
      <c r="E18" s="72"/>
      <c r="F18" s="72"/>
      <c r="G18" s="72"/>
      <c r="H18" s="72"/>
      <c r="I18" s="72"/>
      <c r="J18" s="72"/>
      <c r="K18" s="72"/>
      <c r="L18" s="85"/>
      <c r="M18" s="71"/>
    </row>
    <row r="19" spans="2:13" ht="21.95" customHeight="1" x14ac:dyDescent="0.25">
      <c r="B19" s="70"/>
      <c r="C19" s="84"/>
      <c r="D19" s="72"/>
      <c r="E19" s="72"/>
      <c r="F19" s="72"/>
      <c r="G19" s="72"/>
      <c r="H19" s="72"/>
      <c r="I19" s="72"/>
      <c r="J19" s="72"/>
      <c r="K19" s="72"/>
      <c r="L19" s="85"/>
      <c r="M19" s="71"/>
    </row>
    <row r="20" spans="2:13" ht="21.95" customHeight="1" x14ac:dyDescent="0.25">
      <c r="B20" s="70"/>
      <c r="C20" s="84"/>
      <c r="D20" s="72"/>
      <c r="E20" s="72"/>
      <c r="F20" s="72"/>
      <c r="G20" s="72"/>
      <c r="H20" s="72"/>
      <c r="I20" s="72"/>
      <c r="J20" s="72"/>
      <c r="K20" s="72"/>
      <c r="L20" s="85"/>
      <c r="M20" s="71"/>
    </row>
    <row r="21" spans="2:13" ht="21.95" customHeight="1" x14ac:dyDescent="0.25">
      <c r="B21" s="70"/>
      <c r="C21" s="84"/>
      <c r="D21" s="72"/>
      <c r="E21" s="72"/>
      <c r="F21" s="72"/>
      <c r="G21" s="72"/>
      <c r="H21" s="72"/>
      <c r="I21" s="72"/>
      <c r="J21" s="72"/>
      <c r="K21" s="72"/>
      <c r="L21" s="85"/>
      <c r="M21" s="71"/>
    </row>
    <row r="22" spans="2:13" ht="21.95" customHeight="1" x14ac:dyDescent="0.25">
      <c r="B22" s="70"/>
      <c r="C22" s="84"/>
      <c r="D22" s="72"/>
      <c r="E22" s="72"/>
      <c r="F22" s="72"/>
      <c r="G22" s="72"/>
      <c r="H22" s="72"/>
      <c r="I22" s="72"/>
      <c r="J22" s="72"/>
      <c r="K22" s="72"/>
      <c r="L22" s="85"/>
      <c r="M22" s="71"/>
    </row>
    <row r="23" spans="2:13" ht="21.95" customHeight="1" x14ac:dyDescent="0.25">
      <c r="B23" s="70"/>
      <c r="C23" s="84"/>
      <c r="D23" s="72"/>
      <c r="E23" s="72"/>
      <c r="F23" s="72"/>
      <c r="G23" s="72"/>
      <c r="H23" s="72"/>
      <c r="I23" s="72"/>
      <c r="J23" s="72"/>
      <c r="K23" s="72"/>
      <c r="L23" s="85"/>
      <c r="M23" s="71"/>
    </row>
    <row r="24" spans="2:13" ht="21.95" customHeight="1" thickBot="1" x14ac:dyDescent="0.3">
      <c r="B24" s="70"/>
      <c r="C24" s="90"/>
      <c r="D24" s="91"/>
      <c r="E24" s="91"/>
      <c r="F24" s="91"/>
      <c r="G24" s="91"/>
      <c r="H24" s="91"/>
      <c r="I24" s="91"/>
      <c r="J24" s="91"/>
      <c r="K24" s="91"/>
      <c r="L24" s="92"/>
      <c r="M24" s="71"/>
    </row>
    <row r="25" spans="2:13" ht="18" customHeight="1" thickBot="1" x14ac:dyDescent="0.3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9"/>
    </row>
    <row r="26" spans="2:13" ht="15.75" thickTop="1" x14ac:dyDescent="0.25"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</row>
  </sheetData>
  <sheetProtection algorithmName="SHA-512" hashValue="TNo1RJCdxwbh2Z/Zl+apqWssujWzeTpkoFQMqp1V9F9dIatgVfTINaHm+j6hGPUInYPZLe6ha+32XYS70cZKrw==" saltValue="RE6A6dgMgw5xpmRmz26j8A==" spinCount="100000" sheet="1" objects="1" scenarios="1" selectLockedCells="1" selectUnlockedCells="1"/>
  <mergeCells count="10">
    <mergeCell ref="C3:L3"/>
    <mergeCell ref="C10:L11"/>
    <mergeCell ref="D6:G6"/>
    <mergeCell ref="H6:L6"/>
    <mergeCell ref="C9:L9"/>
    <mergeCell ref="C4:C8"/>
    <mergeCell ref="D4:L4"/>
    <mergeCell ref="D5:L5"/>
    <mergeCell ref="D7:L7"/>
    <mergeCell ref="D8:L8"/>
  </mergeCells>
  <printOptions horizontalCentered="1"/>
  <pageMargins left="0.39370078740157483" right="0.39370078740157483" top="0.39370078740157483" bottom="0.78740157480314965" header="0.31496062992125984" footer="0.31496062992125984"/>
  <pageSetup paperSize="9" orientation="portrait" verticalDpi="4294967294" r:id="rId1"/>
  <drawing r:id="rId2"/>
  <legacyDrawing r:id="rId3"/>
  <oleObjects>
    <mc:AlternateContent xmlns:mc="http://schemas.openxmlformats.org/markup-compatibility/2006">
      <mc:Choice Requires="x14">
        <oleObject progId="PBrush" shapeId="3073" r:id="rId4">
          <objectPr defaultSize="0" autoPict="0" r:id="rId5">
            <anchor moveWithCells="1" sizeWithCells="1">
              <from>
                <xdr:col>2</xdr:col>
                <xdr:colOff>38100</xdr:colOff>
                <xdr:row>3</xdr:row>
                <xdr:rowOff>0</xdr:rowOff>
              </from>
              <to>
                <xdr:col>3</xdr:col>
                <xdr:colOff>219075</xdr:colOff>
                <xdr:row>7</xdr:row>
                <xdr:rowOff>104775</xdr:rowOff>
              </to>
            </anchor>
          </objectPr>
        </oleObject>
      </mc:Choice>
      <mc:Fallback>
        <oleObject progId="PBrush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>
    <pageSetUpPr fitToPage="1"/>
  </sheetPr>
  <dimension ref="B1:BD101"/>
  <sheetViews>
    <sheetView showGridLines="0" showRowColHeaders="0" topLeftCell="A19" zoomScale="120" zoomScaleNormal="120" workbookViewId="0">
      <selection activeCell="V4" sqref="V4:V3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52" width="2.7109375" style="1" hidden="1" customWidth="1"/>
    <col min="53" max="53" width="7.5703125" style="1" bestFit="1" customWidth="1"/>
    <col min="54" max="54" width="15.42578125" style="1" bestFit="1" customWidth="1"/>
    <col min="55" max="16384" width="2.7109375" style="1"/>
  </cols>
  <sheetData>
    <row r="1" spans="2:56" ht="9.9499999999999993" customHeight="1" x14ac:dyDescent="0.4">
      <c r="BA1" s="922" t="str">
        <f>Q19</f>
        <v>2917</v>
      </c>
      <c r="BB1" s="924">
        <f>O19</f>
        <v>726.93133333333333</v>
      </c>
      <c r="BC1" s="920"/>
      <c r="BD1" s="920"/>
    </row>
    <row r="2" spans="2:56" ht="9.9499999999999993" customHeight="1" thickBot="1" x14ac:dyDescent="0.45">
      <c r="BA2" s="922">
        <f t="shared" ref="BA2:BA13" si="0">Q20</f>
        <v>2964</v>
      </c>
      <c r="BB2" s="924">
        <f t="shared" ref="BB2:BB18" si="1">O20</f>
        <v>56.136666666666663</v>
      </c>
      <c r="BC2" s="920"/>
      <c r="BD2" s="920"/>
    </row>
    <row r="3" spans="2:56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  <c r="X3" s="1101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722"/>
      <c r="BA3" s="922" t="str">
        <f t="shared" si="0"/>
        <v/>
      </c>
      <c r="BB3" s="924">
        <f t="shared" si="1"/>
        <v>0</v>
      </c>
      <c r="BC3" s="920"/>
      <c r="BD3" s="920"/>
    </row>
    <row r="4" spans="2:56" ht="15.95" customHeight="1" thickBot="1" x14ac:dyDescent="0.45">
      <c r="B4" s="1725"/>
      <c r="C4" s="195" t="str">
        <f>RIGHT(Q8,4)</f>
        <v>2018</v>
      </c>
      <c r="D4" s="163"/>
      <c r="E4" s="162"/>
      <c r="F4" s="1727" t="s">
        <v>0</v>
      </c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8" t="str">
        <f>LEFT(Q8,4)</f>
        <v>2002</v>
      </c>
      <c r="T4" s="1728"/>
      <c r="U4" s="196" t="str">
        <f>RIGHT(S4,2)</f>
        <v>02</v>
      </c>
      <c r="V4" s="1729">
        <v>2</v>
      </c>
      <c r="X4" s="44"/>
      <c r="Y4" s="1732" t="s">
        <v>347</v>
      </c>
      <c r="Z4" s="1733"/>
      <c r="AA4" s="1733"/>
      <c r="AB4" s="1733" t="s">
        <v>348</v>
      </c>
      <c r="AC4" s="1733"/>
      <c r="AD4" s="1733"/>
      <c r="AE4" s="1733"/>
      <c r="AF4" s="1733"/>
      <c r="AG4" s="1736" t="s">
        <v>349</v>
      </c>
      <c r="AH4" s="1737"/>
      <c r="AI4" s="1737"/>
      <c r="AJ4" s="1737"/>
      <c r="AK4" s="1738"/>
      <c r="AL4" s="1723"/>
      <c r="AM4" s="42"/>
      <c r="AN4" s="42"/>
      <c r="AO4" s="42"/>
      <c r="AP4" s="42"/>
      <c r="BA4" s="922" t="str">
        <f t="shared" si="0"/>
        <v/>
      </c>
      <c r="BB4" s="924" t="str">
        <f t="shared" si="1"/>
        <v/>
      </c>
      <c r="BC4" s="920"/>
      <c r="BD4" s="920"/>
    </row>
    <row r="5" spans="2:56" ht="3" customHeight="1" thickBot="1" x14ac:dyDescent="0.45">
      <c r="B5" s="1726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1730"/>
      <c r="X5" s="44"/>
      <c r="Y5" s="1734"/>
      <c r="Z5" s="1735"/>
      <c r="AA5" s="1735"/>
      <c r="AB5" s="1735"/>
      <c r="AC5" s="1735"/>
      <c r="AD5" s="1735"/>
      <c r="AE5" s="1735"/>
      <c r="AF5" s="1735"/>
      <c r="AG5" s="1739"/>
      <c r="AH5" s="1740"/>
      <c r="AI5" s="1740"/>
      <c r="AJ5" s="1740"/>
      <c r="AK5" s="1741"/>
      <c r="AL5" s="1723"/>
      <c r="AM5" s="42"/>
      <c r="AN5" s="42"/>
      <c r="AO5" s="42"/>
      <c r="AP5" s="42"/>
      <c r="BA5" s="922" t="str">
        <f t="shared" si="0"/>
        <v/>
      </c>
      <c r="BB5" s="924">
        <f t="shared" si="1"/>
        <v>0</v>
      </c>
      <c r="BC5" s="920"/>
      <c r="BD5" s="920"/>
    </row>
    <row r="6" spans="2:56" ht="15.95" customHeight="1" x14ac:dyDescent="0.4">
      <c r="B6" s="1726"/>
      <c r="C6" s="1752" t="s">
        <v>3</v>
      </c>
      <c r="D6" s="1753"/>
      <c r="E6" s="1753"/>
      <c r="F6" s="1753"/>
      <c r="G6" s="1754"/>
      <c r="H6" s="1754"/>
      <c r="I6" s="1754"/>
      <c r="J6" s="1754"/>
      <c r="K6" s="1754"/>
      <c r="L6" s="1754"/>
      <c r="M6" s="1754"/>
      <c r="N6" s="1754"/>
      <c r="O6" s="1754"/>
      <c r="P6" s="1754"/>
      <c r="Q6" s="1754"/>
      <c r="R6" s="1755" t="s">
        <v>1</v>
      </c>
      <c r="S6" s="1755"/>
      <c r="T6" s="1756">
        <v>12981338</v>
      </c>
      <c r="U6" s="1757"/>
      <c r="V6" s="1730"/>
      <c r="X6" s="44"/>
      <c r="Y6" s="1758" t="str">
        <f>[1]Geral!C21</f>
        <v>PEBD1A</v>
      </c>
      <c r="Z6" s="1759"/>
      <c r="AA6" s="1759"/>
      <c r="AB6" s="1675">
        <f>[1]Geral!E21</f>
        <v>1982.54</v>
      </c>
      <c r="AC6" s="1675"/>
      <c r="AD6" s="1675"/>
      <c r="AE6" s="1675"/>
      <c r="AF6" s="1675"/>
      <c r="AG6" s="1742">
        <v>1</v>
      </c>
      <c r="AH6" s="1743"/>
      <c r="AI6" s="1743"/>
      <c r="AJ6" s="1743"/>
      <c r="AK6" s="1744"/>
      <c r="AL6" s="1723"/>
      <c r="AM6" s="43"/>
      <c r="AN6" s="43"/>
      <c r="AO6" s="43"/>
      <c r="AP6" s="43"/>
      <c r="BA6" s="922" t="str">
        <f t="shared" si="0"/>
        <v/>
      </c>
      <c r="BB6" s="924">
        <f t="shared" si="1"/>
        <v>0</v>
      </c>
      <c r="BC6" s="920"/>
      <c r="BD6" s="920"/>
    </row>
    <row r="7" spans="2:56" ht="26.1" customHeight="1" thickBot="1" x14ac:dyDescent="0.45">
      <c r="B7" s="1726"/>
      <c r="C7" s="1745" t="s">
        <v>361</v>
      </c>
      <c r="D7" s="1746"/>
      <c r="E7" s="1746"/>
      <c r="F7" s="1746"/>
      <c r="G7" s="1103">
        <v>1</v>
      </c>
      <c r="H7" s="1104"/>
      <c r="I7" s="1104"/>
      <c r="J7" s="1104"/>
      <c r="K7" s="1104"/>
      <c r="L7" s="1104"/>
      <c r="M7" s="1104"/>
      <c r="N7" s="1104"/>
      <c r="O7" s="1104"/>
      <c r="P7" s="1105"/>
      <c r="Q7" s="1106"/>
      <c r="R7" s="1106"/>
      <c r="S7" s="1107"/>
      <c r="T7" s="1106"/>
      <c r="U7" s="1108"/>
      <c r="V7" s="1730"/>
      <c r="X7" s="44"/>
      <c r="Y7" s="1706" t="str">
        <f>[1]Geral!G21</f>
        <v>PEBS1A</v>
      </c>
      <c r="Z7" s="1707"/>
      <c r="AA7" s="1708"/>
      <c r="AB7" s="1712">
        <f>[1]Geral!I21</f>
        <v>1883.39</v>
      </c>
      <c r="AC7" s="1713"/>
      <c r="AD7" s="1713"/>
      <c r="AE7" s="1713"/>
      <c r="AF7" s="1714"/>
      <c r="AG7" s="1681"/>
      <c r="AH7" s="1682"/>
      <c r="AI7" s="1682"/>
      <c r="AJ7" s="1682"/>
      <c r="AK7" s="1683"/>
      <c r="AL7" s="1723"/>
      <c r="AM7" s="43"/>
      <c r="AN7" s="43"/>
      <c r="AO7" s="43"/>
      <c r="AP7" s="43"/>
      <c r="BA7" s="922" t="str">
        <f t="shared" si="0"/>
        <v/>
      </c>
      <c r="BB7" s="924" t="str">
        <f t="shared" si="1"/>
        <v/>
      </c>
      <c r="BC7" s="920"/>
      <c r="BD7" s="920"/>
    </row>
    <row r="8" spans="2:56" ht="3" customHeight="1" thickBot="1" x14ac:dyDescent="0.45">
      <c r="B8" s="1726"/>
      <c r="C8" s="1747"/>
      <c r="D8" s="1748"/>
      <c r="E8" s="1748"/>
      <c r="F8" s="1748"/>
      <c r="G8" s="179"/>
      <c r="H8" s="1749" t="str">
        <f>IF(AG6=1,Y6,IF(AG6=2,Y7,IF(AG6=3,J13,IF(AG6=4,Y11,IF(AG6=5,Y12,IF(AG6=6,Y13,IF(AG6=7,Y9,IF(AG6=8,J13))))))))</f>
        <v>PEBD1A</v>
      </c>
      <c r="I8" s="1749"/>
      <c r="J8" s="1749"/>
      <c r="K8" s="1749"/>
      <c r="L8" s="1749"/>
      <c r="M8" s="1749"/>
      <c r="N8" s="1749"/>
      <c r="O8" s="1749"/>
      <c r="P8" s="1109" t="s">
        <v>406</v>
      </c>
      <c r="Q8" s="1750" t="str">
        <f>IF(Q11&lt;100000,"0"&amp;LEFT(Q11,3)&amp;20&amp;RIGHT(Q11,2),LEFT(Q11,4)&amp;20&amp;RIGHT(Q11,2))</f>
        <v>20022018</v>
      </c>
      <c r="R8" s="1750"/>
      <c r="S8" s="1110" t="s">
        <v>405</v>
      </c>
      <c r="T8" s="1750" t="str">
        <f>IF(Q12&lt;100000,"0"&amp;LEFT(Q12,3)&amp;20&amp;RIGHT(Q12,2),LEFT(Q12,4)&amp;20&amp;RIGHT(Q12,2))</f>
        <v>28022018</v>
      </c>
      <c r="U8" s="1751"/>
      <c r="V8" s="1730"/>
      <c r="X8" s="44"/>
      <c r="Y8" s="1709"/>
      <c r="Z8" s="1710"/>
      <c r="AA8" s="1711"/>
      <c r="AB8" s="1715"/>
      <c r="AC8" s="1716"/>
      <c r="AD8" s="1716"/>
      <c r="AE8" s="1716"/>
      <c r="AF8" s="1717"/>
      <c r="AG8" s="1684"/>
      <c r="AH8" s="1685"/>
      <c r="AI8" s="1685"/>
      <c r="AJ8" s="1685"/>
      <c r="AK8" s="1686"/>
      <c r="AL8" s="1723"/>
      <c r="AM8" s="43"/>
      <c r="AN8" s="43"/>
      <c r="AO8" s="43"/>
      <c r="AP8" s="43"/>
      <c r="BA8" s="922" t="str">
        <f t="shared" si="0"/>
        <v/>
      </c>
      <c r="BB8" s="924">
        <f t="shared" si="1"/>
        <v>0</v>
      </c>
      <c r="BC8" s="920"/>
      <c r="BD8" s="920"/>
    </row>
    <row r="9" spans="2:56" ht="15.95" customHeight="1" thickBot="1" x14ac:dyDescent="0.45">
      <c r="B9" s="1726"/>
      <c r="C9" s="1699" t="s">
        <v>4</v>
      </c>
      <c r="D9" s="1700"/>
      <c r="E9" s="1701"/>
      <c r="F9" s="51">
        <f>IF(G9&lt;100,4,5)</f>
        <v>5</v>
      </c>
      <c r="G9" s="1702">
        <v>159891</v>
      </c>
      <c r="H9" s="1702"/>
      <c r="I9" s="1703" t="str">
        <f>IF(ISERROR(VLOOKUP(G9,[1]Escolas!C5:K269,3,FALSE)),"",VLOOKUP(G9,[1]Escolas!C5:K269,3,FALSE))</f>
        <v>E.E. Paulo José Derenusson</v>
      </c>
      <c r="J9" s="1703"/>
      <c r="K9" s="1703"/>
      <c r="L9" s="1703"/>
      <c r="M9" s="1703"/>
      <c r="N9" s="1703"/>
      <c r="O9" s="1703"/>
      <c r="P9" s="1703"/>
      <c r="Q9" s="1703"/>
      <c r="R9" s="1704" t="str">
        <f>IF(ISERROR(VLOOKUP(G9,[1]Escolas!C5:K269,7,FALSE)),"",VLOOKUP(G9,[1]Escolas!C5:K269,7,FALSE))</f>
        <v>Uberaba</v>
      </c>
      <c r="S9" s="1704"/>
      <c r="T9" s="1704"/>
      <c r="U9" s="1705"/>
      <c r="V9" s="1730"/>
      <c r="X9" s="44"/>
      <c r="Y9" s="1706" t="str">
        <f>[1]Geral!K21</f>
        <v>ASBD1A</v>
      </c>
      <c r="Z9" s="1707"/>
      <c r="AA9" s="1708"/>
      <c r="AB9" s="1712">
        <f>[1]Geral!M21</f>
        <v>1047.8399999999999</v>
      </c>
      <c r="AC9" s="1713"/>
      <c r="AD9" s="1713"/>
      <c r="AE9" s="1713"/>
      <c r="AF9" s="1714"/>
      <c r="AG9" s="1681"/>
      <c r="AH9" s="1682"/>
      <c r="AI9" s="1682"/>
      <c r="AJ9" s="1682"/>
      <c r="AK9" s="1683"/>
      <c r="AL9" s="1723"/>
      <c r="BA9" s="922" t="str">
        <f t="shared" si="0"/>
        <v/>
      </c>
      <c r="BB9" s="924">
        <f t="shared" si="1"/>
        <v>0</v>
      </c>
      <c r="BC9" s="920"/>
      <c r="BD9" s="920"/>
    </row>
    <row r="10" spans="2:56" ht="3" customHeight="1" thickBot="1" x14ac:dyDescent="0.45">
      <c r="B10" s="1726"/>
      <c r="C10" s="1549"/>
      <c r="D10" s="1550"/>
      <c r="E10" s="1550"/>
      <c r="F10" s="1550"/>
      <c r="G10" s="1550"/>
      <c r="H10" s="1550"/>
      <c r="I10" s="1550"/>
      <c r="J10" s="1550"/>
      <c r="K10" s="1550"/>
      <c r="L10" s="1550"/>
      <c r="M10" s="1550"/>
      <c r="N10" s="1550"/>
      <c r="O10" s="1550"/>
      <c r="P10" s="1550"/>
      <c r="Q10" s="1550"/>
      <c r="R10" s="1550"/>
      <c r="S10" s="1550"/>
      <c r="T10" s="1550"/>
      <c r="U10" s="1687"/>
      <c r="V10" s="1730"/>
      <c r="X10" s="44"/>
      <c r="Y10" s="1709"/>
      <c r="Z10" s="1710"/>
      <c r="AA10" s="1711"/>
      <c r="AB10" s="1715"/>
      <c r="AC10" s="1716"/>
      <c r="AD10" s="1716"/>
      <c r="AE10" s="1716"/>
      <c r="AF10" s="1717"/>
      <c r="AG10" s="1684"/>
      <c r="AH10" s="1685"/>
      <c r="AI10" s="1685"/>
      <c r="AJ10" s="1685"/>
      <c r="AK10" s="1686"/>
      <c r="AL10" s="1723"/>
      <c r="BA10" s="922" t="str">
        <f t="shared" si="0"/>
        <v/>
      </c>
      <c r="BB10" s="924" t="str">
        <f t="shared" si="1"/>
        <v/>
      </c>
      <c r="BC10" s="920"/>
      <c r="BD10" s="920"/>
    </row>
    <row r="11" spans="2:56" ht="18" customHeight="1" thickBot="1" x14ac:dyDescent="0.45">
      <c r="B11" s="1726"/>
      <c r="C11" s="1688"/>
      <c r="D11" s="1689"/>
      <c r="E11" s="1689"/>
      <c r="F11" s="1689"/>
      <c r="G11" s="1689"/>
      <c r="H11" s="1689"/>
      <c r="I11" s="1692" t="s">
        <v>8008</v>
      </c>
      <c r="J11" s="1692"/>
      <c r="K11" s="1692"/>
      <c r="L11" s="1692"/>
      <c r="M11" s="1650" t="s">
        <v>8004</v>
      </c>
      <c r="N11" s="1651"/>
      <c r="O11" s="1651"/>
      <c r="P11" s="1651"/>
      <c r="Q11" s="1693">
        <v>200218</v>
      </c>
      <c r="R11" s="1693"/>
      <c r="S11" s="1694">
        <f>DATEVALUE( TEXT( Q8, "##""/""##""/""####" ) &amp; "" )</f>
        <v>43151</v>
      </c>
      <c r="T11" s="1694"/>
      <c r="U11" s="1695"/>
      <c r="V11" s="1730"/>
      <c r="X11" s="44"/>
      <c r="Y11" s="1696" t="str">
        <f>[1]Geral!O21</f>
        <v>EEBD1A</v>
      </c>
      <c r="Z11" s="1697"/>
      <c r="AA11" s="1697"/>
      <c r="AB11" s="1698">
        <f>[1]Geral!Q21</f>
        <v>1982.54</v>
      </c>
      <c r="AC11" s="1698"/>
      <c r="AD11" s="1698"/>
      <c r="AE11" s="1698"/>
      <c r="AF11" s="1698"/>
      <c r="AG11" s="1657"/>
      <c r="AH11" s="1658"/>
      <c r="AI11" s="1658"/>
      <c r="AJ11" s="1658"/>
      <c r="AK11" s="1659"/>
      <c r="AL11" s="1723"/>
      <c r="BA11" s="922" t="str">
        <f t="shared" si="0"/>
        <v/>
      </c>
      <c r="BB11" s="924">
        <f t="shared" si="1"/>
        <v>0</v>
      </c>
      <c r="BC11" s="920"/>
      <c r="BD11" s="920"/>
    </row>
    <row r="12" spans="2:56" ht="18" customHeight="1" thickBot="1" x14ac:dyDescent="0.45">
      <c r="B12" s="1726"/>
      <c r="C12" s="1690"/>
      <c r="D12" s="1691"/>
      <c r="E12" s="1691"/>
      <c r="F12" s="1691"/>
      <c r="G12" s="1691"/>
      <c r="H12" s="1691"/>
      <c r="I12" s="164"/>
      <c r="J12" s="164"/>
      <c r="K12" s="164"/>
      <c r="L12" s="164"/>
      <c r="M12" s="1676" t="s">
        <v>403</v>
      </c>
      <c r="N12" s="1677"/>
      <c r="O12" s="1677"/>
      <c r="P12" s="1677"/>
      <c r="Q12" s="1678">
        <v>280218</v>
      </c>
      <c r="R12" s="1678"/>
      <c r="S12" s="1679">
        <f>DATEVALUE( TEXT( T8, "##""/""##""/""####" ) &amp; "" )</f>
        <v>43159</v>
      </c>
      <c r="T12" s="1679"/>
      <c r="U12" s="1680"/>
      <c r="V12" s="1730"/>
      <c r="X12" s="44"/>
      <c r="Y12" s="1653" t="str">
        <f>[1]Geral!S21</f>
        <v>ATBD1A</v>
      </c>
      <c r="Z12" s="1462"/>
      <c r="AA12" s="1463"/>
      <c r="AB12" s="1654">
        <f>[1]Geral!T21</f>
        <v>1369.7</v>
      </c>
      <c r="AC12" s="1655"/>
      <c r="AD12" s="1655"/>
      <c r="AE12" s="1655"/>
      <c r="AF12" s="1656"/>
      <c r="AG12" s="1657"/>
      <c r="AH12" s="1658"/>
      <c r="AI12" s="1658"/>
      <c r="AJ12" s="1658"/>
      <c r="AK12" s="1659"/>
      <c r="AL12" s="1723"/>
      <c r="BA12" s="922" t="str">
        <f t="shared" si="0"/>
        <v/>
      </c>
      <c r="BB12" s="924">
        <f t="shared" si="1"/>
        <v>0</v>
      </c>
      <c r="BC12" s="920"/>
      <c r="BD12" s="920"/>
    </row>
    <row r="13" spans="2:56" ht="30" customHeight="1" thickTop="1" thickBot="1" x14ac:dyDescent="0.45">
      <c r="B13" s="1726"/>
      <c r="C13" s="1690"/>
      <c r="D13" s="1691"/>
      <c r="E13" s="1691"/>
      <c r="F13" s="1691"/>
      <c r="G13" s="1691"/>
      <c r="H13" s="1691"/>
      <c r="I13" s="176" t="s">
        <v>408</v>
      </c>
      <c r="J13" s="1718">
        <v>1</v>
      </c>
      <c r="K13" s="1718"/>
      <c r="L13" s="329"/>
      <c r="M13" s="1646" t="s">
        <v>7998</v>
      </c>
      <c r="N13" s="1647"/>
      <c r="O13" s="1650"/>
      <c r="P13" s="1651"/>
      <c r="Q13" s="1651"/>
      <c r="R13" s="1651"/>
      <c r="S13" s="1651"/>
      <c r="T13" s="1651"/>
      <c r="U13" s="1652"/>
      <c r="V13" s="1730"/>
      <c r="X13" s="44"/>
      <c r="Y13" s="1653" t="str">
        <f>[1]Geral!S24</f>
        <v>ANEID1A</v>
      </c>
      <c r="Z13" s="1462"/>
      <c r="AA13" s="1463"/>
      <c r="AB13" s="1654">
        <f>[1]Geral!T24</f>
        <v>4956.3599999999997</v>
      </c>
      <c r="AC13" s="1655"/>
      <c r="AD13" s="1655"/>
      <c r="AE13" s="1655"/>
      <c r="AF13" s="1656"/>
      <c r="AG13" s="1657"/>
      <c r="AH13" s="1658"/>
      <c r="AI13" s="1658"/>
      <c r="AJ13" s="1658"/>
      <c r="AK13" s="1659"/>
      <c r="AL13" s="1723"/>
      <c r="BA13" s="922" t="str">
        <f t="shared" si="0"/>
        <v/>
      </c>
      <c r="BB13" s="926">
        <f>S31</f>
        <v>783.06799999999998</v>
      </c>
      <c r="BC13" s="920"/>
      <c r="BD13" s="920"/>
    </row>
    <row r="14" spans="2:56" ht="18" customHeight="1" thickBot="1" x14ac:dyDescent="0.45">
      <c r="B14" s="1726"/>
      <c r="C14" s="1628" t="s">
        <v>407</v>
      </c>
      <c r="D14" s="1629"/>
      <c r="E14" s="1629"/>
      <c r="F14" s="1630">
        <f>IF(AG6=1,AB6,IF(AG6=2,AB7,IF(AG6=3,K14+K15+K16,IF(AG6=4,AB11,IF(AG6=5,AB12,IF(AG6=6,AB13,IF(AG6=7,AB9,IF(AG6=8,K14+K15+K16))))))))</f>
        <v>1982.54</v>
      </c>
      <c r="G14" s="1630"/>
      <c r="H14" s="1631"/>
      <c r="I14" s="1632" t="s">
        <v>8005</v>
      </c>
      <c r="J14" s="1633"/>
      <c r="K14" s="1634">
        <v>1982.54</v>
      </c>
      <c r="L14" s="1635"/>
      <c r="M14" s="1646"/>
      <c r="N14" s="1647"/>
      <c r="O14" s="1636"/>
      <c r="P14" s="1638"/>
      <c r="Q14" s="1660"/>
      <c r="R14" s="327"/>
      <c r="S14" s="327"/>
      <c r="T14" s="1662" t="s">
        <v>8003</v>
      </c>
      <c r="U14" s="1665">
        <f>IF(AND(LEN(Q12)=6,LEFT(Q12,4)="2902",Y31="SIM"),S12-S11+2,IF(AND(LEN(Q12)=6,LEFT(Q12,4)="2802",Y31="SIM"),S12-S11+3,IF(Q12=Q11,1,IF(AND(LEN(Q12)=6,LEFT(Q12,2)="31"),S12-S11,S12-S11+1))))</f>
        <v>11</v>
      </c>
      <c r="V14" s="1730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723"/>
      <c r="BA14" s="922" t="str">
        <f>Q32</f>
        <v/>
      </c>
      <c r="BB14" s="924" t="str">
        <f t="shared" si="1"/>
        <v/>
      </c>
      <c r="BC14" s="920"/>
      <c r="BD14" s="920"/>
    </row>
    <row r="15" spans="2:56" ht="18" customHeight="1" thickBot="1" x14ac:dyDescent="0.45">
      <c r="B15" s="1726"/>
      <c r="C15" s="331" t="s">
        <v>7994</v>
      </c>
      <c r="D15" s="347">
        <v>16</v>
      </c>
      <c r="E15" s="1640" t="s">
        <v>7995</v>
      </c>
      <c r="F15" s="1640"/>
      <c r="G15" s="1641"/>
      <c r="H15" s="332" t="s">
        <v>7997</v>
      </c>
      <c r="I15" s="1642" t="s">
        <v>8006</v>
      </c>
      <c r="J15" s="1643"/>
      <c r="K15" s="1634"/>
      <c r="L15" s="1635"/>
      <c r="M15" s="1646"/>
      <c r="N15" s="1647"/>
      <c r="O15" s="1636"/>
      <c r="P15" s="1638"/>
      <c r="Q15" s="1660"/>
      <c r="R15" s="327"/>
      <c r="S15" s="327"/>
      <c r="T15" s="1663"/>
      <c r="U15" s="1665"/>
      <c r="V15" s="1730"/>
      <c r="X15" s="44"/>
      <c r="Y15" s="1100"/>
      <c r="Z15" s="1100"/>
      <c r="AA15" s="1100"/>
      <c r="AB15" s="1099"/>
      <c r="AC15" s="1099"/>
      <c r="AD15" s="1099"/>
      <c r="AE15" s="1099"/>
      <c r="AF15" s="1099"/>
      <c r="AG15" s="1100"/>
      <c r="AH15" s="1100"/>
      <c r="AI15" s="1100"/>
      <c r="AJ15" s="1100"/>
      <c r="AK15" s="1100"/>
      <c r="AL15" s="1723"/>
      <c r="BA15" s="922"/>
      <c r="BB15" s="924" t="str">
        <f t="shared" si="1"/>
        <v/>
      </c>
      <c r="BC15" s="920"/>
      <c r="BD15" s="920"/>
    </row>
    <row r="16" spans="2:56" ht="18" customHeight="1" thickBot="1" x14ac:dyDescent="0.45">
      <c r="B16" s="1726"/>
      <c r="C16" s="1644" t="s">
        <v>7996</v>
      </c>
      <c r="D16" s="1645"/>
      <c r="E16" s="1667">
        <f>IF(AG6=1,F14/'[1]C Horária'!D23,IF(AG6=2,F14/'[1]C Horária'!D23,IF(AG6=3,F14/H16)))</f>
        <v>18.35685185185185</v>
      </c>
      <c r="F16" s="1667"/>
      <c r="G16" s="1667"/>
      <c r="H16" s="330">
        <f>IF(AG6&gt;3,"",IF(OR(AG6=1,AG6=2),'[1]C Horária'!D23,IF(ISERROR(VLOOKUP(D15,'[1]C Horária'!C8:E23,2,FALSE)),"",VLOOKUP(D15,'[1]C Horária'!C8:E23,2,FALSE))))</f>
        <v>108</v>
      </c>
      <c r="I16" s="1668" t="s">
        <v>8007</v>
      </c>
      <c r="J16" s="1669"/>
      <c r="K16" s="1670"/>
      <c r="L16" s="1671"/>
      <c r="M16" s="1648"/>
      <c r="N16" s="1649"/>
      <c r="O16" s="1637"/>
      <c r="P16" s="1639"/>
      <c r="Q16" s="1661"/>
      <c r="R16" s="328"/>
      <c r="S16" s="328"/>
      <c r="T16" s="1664"/>
      <c r="U16" s="1666"/>
      <c r="V16" s="1730"/>
      <c r="X16" s="50"/>
      <c r="Y16" s="1672" t="s">
        <v>8002</v>
      </c>
      <c r="Z16" s="1673"/>
      <c r="AA16" s="1673"/>
      <c r="AB16" s="1673"/>
      <c r="AC16" s="1673"/>
      <c r="AD16" s="1674" t="str">
        <f>IF(AK16=1,"Cargo Vago", IF(AK16=2,"Substituição"))</f>
        <v>Cargo Vago</v>
      </c>
      <c r="AE16" s="1674"/>
      <c r="AF16" s="1674"/>
      <c r="AG16" s="1674"/>
      <c r="AH16" s="1674"/>
      <c r="AI16" s="1674"/>
      <c r="AJ16" s="1674"/>
      <c r="AK16" s="348">
        <v>1</v>
      </c>
      <c r="AL16" s="1724"/>
      <c r="BA16" s="921"/>
      <c r="BB16" s="924">
        <f t="shared" si="1"/>
        <v>0</v>
      </c>
      <c r="BC16" s="920"/>
      <c r="BD16" s="920"/>
    </row>
    <row r="17" spans="2:56" ht="3" customHeight="1" thickBot="1" x14ac:dyDescent="0.45">
      <c r="B17" s="1726"/>
      <c r="C17" s="1625"/>
      <c r="D17" s="1626"/>
      <c r="E17" s="1626"/>
      <c r="F17" s="1626"/>
      <c r="G17" s="1626"/>
      <c r="H17" s="1626"/>
      <c r="I17" s="1626"/>
      <c r="J17" s="1626"/>
      <c r="K17" s="1626"/>
      <c r="L17" s="1626"/>
      <c r="M17" s="1626"/>
      <c r="N17" s="1626"/>
      <c r="O17" s="1626"/>
      <c r="P17" s="1626"/>
      <c r="Q17" s="1626"/>
      <c r="R17" s="1626"/>
      <c r="S17" s="1626"/>
      <c r="T17" s="1626"/>
      <c r="U17" s="1627"/>
      <c r="V17" s="1730"/>
      <c r="BA17" s="921"/>
      <c r="BB17" s="924">
        <f t="shared" si="1"/>
        <v>0</v>
      </c>
      <c r="BC17" s="920"/>
      <c r="BD17" s="920"/>
    </row>
    <row r="18" spans="2:56" ht="14.1" customHeight="1" thickBot="1" x14ac:dyDescent="0.45">
      <c r="B18" s="1726"/>
      <c r="C18" s="1617" t="str">
        <f>IF(AG6&gt;3,"","Tipo de Aulas")</f>
        <v>Tipo de Aulas</v>
      </c>
      <c r="D18" s="1618"/>
      <c r="E18" s="1618"/>
      <c r="F18" s="152" t="str">
        <f>IF(AG6&gt;3,"","N.º")</f>
        <v>N.º</v>
      </c>
      <c r="G18" s="1619" t="str">
        <f>IF(AG6&gt;3,"","Mensal")</f>
        <v>Mensal</v>
      </c>
      <c r="H18" s="1619"/>
      <c r="I18" s="1619" t="str">
        <f>IF(AG6&gt;3,"","Diária")</f>
        <v>Diária</v>
      </c>
      <c r="J18" s="1619"/>
      <c r="K18" s="326" t="str">
        <f>IF(AG6&gt;3,"","Total")</f>
        <v>Total</v>
      </c>
      <c r="L18" s="1620" t="str">
        <f>IF(AG6&gt;3,"","Com Contribuição")</f>
        <v>Com Contribuição</v>
      </c>
      <c r="M18" s="1621"/>
      <c r="N18" s="1622"/>
      <c r="O18" s="1623" t="str">
        <f>IF(AG6&gt;3,"","A Pagar")</f>
        <v>A Pagar</v>
      </c>
      <c r="P18" s="1624"/>
      <c r="Q18" s="1619" t="s">
        <v>391</v>
      </c>
      <c r="R18" s="1619"/>
      <c r="S18" s="1602" t="s">
        <v>392</v>
      </c>
      <c r="T18" s="1603"/>
      <c r="U18" s="345" t="str">
        <f>IF(AG6&gt;3,"","Cód.")</f>
        <v>Cód.</v>
      </c>
      <c r="V18" s="1730"/>
      <c r="BA18" s="921"/>
      <c r="BB18" s="924">
        <f t="shared" si="1"/>
        <v>0</v>
      </c>
      <c r="BC18" s="920"/>
      <c r="BD18" s="920"/>
    </row>
    <row r="19" spans="2:56" ht="18" customHeight="1" thickTop="1" thickBot="1" x14ac:dyDescent="0.45">
      <c r="B19" s="1726"/>
      <c r="C19" s="1604" t="str">
        <f>IF(AG6&gt;3,"","Obrigatórias:")</f>
        <v>Obrigatórias:</v>
      </c>
      <c r="D19" s="1605"/>
      <c r="E19" s="1605"/>
      <c r="F19" s="740">
        <v>16</v>
      </c>
      <c r="G19" s="1606">
        <f>IF(AG6&gt;3,"",IF(OR(F19=0,F19="x",F19="-"),"",IF(ISERROR(VLOOKUP(F19,'[1]C Horária'!C8:E23,2,FALSE)),"",VLOOKUP(F19,'[1]C Horária'!C8:E23,2,FALSE))))</f>
        <v>108</v>
      </c>
      <c r="H19" s="1606"/>
      <c r="I19" s="1607">
        <f>IF(AG6&gt;3,"",IF(OR(F19=0,F19=""),"",IF(F19="x","",IF(F19="-","",G19/30))))</f>
        <v>3.6</v>
      </c>
      <c r="J19" s="1607"/>
      <c r="K19" s="741" t="str">
        <f>IF(OR(F19="",F19="X",F19="-",F19=0),"",IF(AG6&gt;3,"",IF(I19*U14&lt;100,LEFT(I19*U14,4),LEFT(I19*U14,5))))</f>
        <v>39,6</v>
      </c>
      <c r="L19" s="1608"/>
      <c r="M19" s="1609"/>
      <c r="N19" s="1610"/>
      <c r="O19" s="1611">
        <f>IF(G19="","",E16*I19*U14)</f>
        <v>726.93133333333333</v>
      </c>
      <c r="P19" s="1612"/>
      <c r="Q19" s="1613" t="str">
        <f>IF(O19="","",IF(OR(AG6=1,AG6=2),"2917","2915"))</f>
        <v>2917</v>
      </c>
      <c r="R19" s="1614"/>
      <c r="S19" s="1615"/>
      <c r="T19" s="1616"/>
      <c r="U19" s="742"/>
      <c r="V19" s="1730"/>
      <c r="X19" s="337"/>
      <c r="Y19" s="1600" t="s">
        <v>7999</v>
      </c>
      <c r="Z19" s="1600"/>
      <c r="AA19" s="1600"/>
      <c r="AB19" s="1600"/>
      <c r="AC19" s="1600"/>
      <c r="AD19" s="1600" t="str">
        <f>IF(AH19=1,"AULAS", IF(AH19=2,"TURMAS"))</f>
        <v>AULAS</v>
      </c>
      <c r="AE19" s="1600"/>
      <c r="AF19" s="1600"/>
      <c r="AG19" s="1600"/>
      <c r="AH19" s="1601">
        <v>1</v>
      </c>
      <c r="AI19" s="1601"/>
      <c r="AJ19" s="1601"/>
      <c r="AK19" s="1601"/>
      <c r="AL19" s="338"/>
      <c r="BA19" s="923">
        <f>C40</f>
        <v>2979</v>
      </c>
      <c r="BB19" s="924">
        <f>D40</f>
        <v>64.8</v>
      </c>
      <c r="BC19" s="920"/>
      <c r="BD19" s="920"/>
    </row>
    <row r="20" spans="2:56" ht="14.1" customHeight="1" thickTop="1" x14ac:dyDescent="0.4">
      <c r="B20" s="1726"/>
      <c r="C20" s="1558" t="str">
        <f>IF(O20=0,"",IF(O19="","","Abono R.B. 1:"))</f>
        <v>Abono R.B. 1:</v>
      </c>
      <c r="D20" s="1559"/>
      <c r="E20" s="1559"/>
      <c r="F20" s="1560"/>
      <c r="G20" s="1560"/>
      <c r="H20" s="1560"/>
      <c r="I20" s="1560"/>
      <c r="J20" s="1560"/>
      <c r="K20" s="1560"/>
      <c r="L20" s="1560"/>
      <c r="M20" s="1560"/>
      <c r="N20" s="1561"/>
      <c r="O20" s="1562">
        <f>IF(G19="","",IF(OR(AG6=1,AG6=3),[1]Geral!E22/108*Cálc!K19,IF(AG6=2,[1]Geral!I22/108*Cálc!K19,)))</f>
        <v>56.136666666666663</v>
      </c>
      <c r="P20" s="1563"/>
      <c r="Q20" s="1564">
        <f>IF(OR(O20="",O20&lt;0.01),"",2964)</f>
        <v>2964</v>
      </c>
      <c r="R20" s="1565"/>
      <c r="S20" s="1566"/>
      <c r="T20" s="1567"/>
      <c r="U20" s="789"/>
      <c r="V20" s="1730"/>
      <c r="X20" s="44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737"/>
      <c r="AL20" s="131"/>
      <c r="BA20" s="921"/>
      <c r="BB20" s="924"/>
      <c r="BC20" s="920"/>
      <c r="BD20" s="920"/>
    </row>
    <row r="21" spans="2:56" ht="14.1" customHeight="1" thickBot="1" x14ac:dyDescent="0.45">
      <c r="B21" s="1726"/>
      <c r="C21" s="1575" t="str">
        <f>IF(O21=0,"",IF(O19="","","Abono R.B. 2:"))</f>
        <v/>
      </c>
      <c r="D21" s="1576"/>
      <c r="E21" s="1576"/>
      <c r="F21" s="1577"/>
      <c r="G21" s="1577"/>
      <c r="H21" s="1577"/>
      <c r="I21" s="1577"/>
      <c r="J21" s="1577"/>
      <c r="K21" s="1577"/>
      <c r="L21" s="1577"/>
      <c r="M21" s="1577"/>
      <c r="N21" s="1578"/>
      <c r="O21" s="1579">
        <f>IF(G19="","",IF(OR(AG6=1,AG6=3),[1]Geral!E23/108*Cálc!K19,IF(AG6=2,[1]Geral!I23/108*Cálc!K19)))</f>
        <v>0</v>
      </c>
      <c r="P21" s="1580"/>
      <c r="Q21" s="1581" t="str">
        <f>IF(OR(O21="",O21&lt;0.01),"",2967)</f>
        <v/>
      </c>
      <c r="R21" s="1582"/>
      <c r="S21" s="1583"/>
      <c r="T21" s="1584"/>
      <c r="U21" s="743"/>
      <c r="V21" s="1730"/>
      <c r="X21" s="44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131"/>
      <c r="BA21" s="923">
        <f>G40</f>
        <v>8849</v>
      </c>
      <c r="BB21" s="924">
        <f>H40</f>
        <v>46.984079999999999</v>
      </c>
    </row>
    <row r="22" spans="2:56" ht="18" customHeight="1" thickTop="1" x14ac:dyDescent="0.4">
      <c r="B22" s="1726"/>
      <c r="C22" s="1585" t="str">
        <f>IF(AND(F19&lt;16,F19&gt;0,AG6=1),"",IF(AND(F19&lt;16,F19&gt;0,AG6=2),"",IF(AG6&gt;3,"",IF(AND(F19&lt;16,F19&gt;0,Y46="DESIGNADO"),"","Exig. Curricular:"))))</f>
        <v>Exig. Curricular:</v>
      </c>
      <c r="D22" s="1586"/>
      <c r="E22" s="1586"/>
      <c r="F22" s="744"/>
      <c r="G22" s="1587" t="str">
        <f>IF(C22="","",IF(AG6&gt;3,"",IF(AND(F19&lt;16,F19&gt;0,Y46="DESIGNADO"),"",IF(ISERROR(VLOOKUP(F22,'[1]C Horária'!G8:I12,2,FALSE)),"",VLOOKUP(F22,'[1]C Horária'!G8:I12,2,FALSE)))))</f>
        <v/>
      </c>
      <c r="H22" s="1587"/>
      <c r="I22" s="1588" t="str">
        <f>IF(AG6&gt;3,"",IF(G22="","",IF(F22=0,"",IF(F22="","",IF(F22&gt;0,G22/30)))))</f>
        <v/>
      </c>
      <c r="J22" s="1588"/>
      <c r="K22" s="745" t="str">
        <f>IF(OR(I22="",F22="",F22="X",F22="-",F22=0),"",IF(AG6&gt;3,"",IF(I22*U14&lt;10,LEFT(I22*U14,3),LEFT(I22*U14,4))))</f>
        <v/>
      </c>
      <c r="L22" s="1594"/>
      <c r="M22" s="1595"/>
      <c r="N22" s="1596"/>
      <c r="O22" s="1592" t="str">
        <f>IF(G22="","",E16*I22*U14)</f>
        <v/>
      </c>
      <c r="P22" s="1593"/>
      <c r="Q22" s="1568" t="str">
        <f>IF(O22="","",IF(OR(AG6=1,AG6=2),"2881",IF(AND(AG6=3,AJ22=1),"2881",IF(AND(AG6=3,AJ22=2),"2883"))))</f>
        <v/>
      </c>
      <c r="R22" s="1569"/>
      <c r="S22" s="1570"/>
      <c r="T22" s="1571"/>
      <c r="U22" s="746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1730"/>
      <c r="X22" s="340"/>
      <c r="Y22" s="1598" t="s">
        <v>8000</v>
      </c>
      <c r="Z22" s="1598"/>
      <c r="AA22" s="1598"/>
      <c r="AB22" s="1598"/>
      <c r="AC22" s="1598"/>
      <c r="AD22" s="1598"/>
      <c r="AE22" s="1598"/>
      <c r="AF22" s="1598"/>
      <c r="AG22" s="1598"/>
      <c r="AH22" s="1598" t="str">
        <f>IF(AJ22=1,"SIM", IF(AJ22=2,"NÃO"))</f>
        <v>NÃO</v>
      </c>
      <c r="AI22" s="1598"/>
      <c r="AJ22" s="1599">
        <v>2</v>
      </c>
      <c r="AK22" s="1599"/>
      <c r="AL22" s="341"/>
      <c r="BA22" s="921"/>
      <c r="BB22" s="924"/>
    </row>
    <row r="23" spans="2:56" ht="14.1" customHeight="1" x14ac:dyDescent="0.4">
      <c r="B23" s="1726"/>
      <c r="C23" s="1558" t="str">
        <f>IF(O23=0,"",IF(O22="","","Abono A.E.C. 1:"))</f>
        <v/>
      </c>
      <c r="D23" s="1559"/>
      <c r="E23" s="1559"/>
      <c r="F23" s="1560"/>
      <c r="G23" s="1560"/>
      <c r="H23" s="1560"/>
      <c r="I23" s="1560"/>
      <c r="J23" s="1560"/>
      <c r="K23" s="1560"/>
      <c r="L23" s="1560"/>
      <c r="M23" s="1560"/>
      <c r="N23" s="1561"/>
      <c r="O23" s="1562">
        <f>IF(G22="",0,IF(OR(AG6=1,AG6=3),[1]Geral!E22/108*Cálc!K22,IF(AG6=2,[1]Geral!I22/108*Cálc!K22)))</f>
        <v>0</v>
      </c>
      <c r="P23" s="1563"/>
      <c r="Q23" s="1564" t="str">
        <f>IF(OR(O23="",O23&lt;0.01),"",2966)</f>
        <v/>
      </c>
      <c r="R23" s="1565"/>
      <c r="S23" s="1566"/>
      <c r="T23" s="1567"/>
      <c r="U23" s="790"/>
      <c r="V23" s="1730"/>
      <c r="X23" s="44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737"/>
      <c r="AL23" s="131"/>
      <c r="BA23" s="921"/>
      <c r="BB23" s="924"/>
    </row>
    <row r="24" spans="2:56" ht="14.1" customHeight="1" x14ac:dyDescent="0.4">
      <c r="B24" s="1726"/>
      <c r="C24" s="1575" t="str">
        <f>IF(O24=0,"",IF(O22="","","Abono A.E.C. 2:"))</f>
        <v/>
      </c>
      <c r="D24" s="1576"/>
      <c r="E24" s="1576"/>
      <c r="F24" s="1577"/>
      <c r="G24" s="1577"/>
      <c r="H24" s="1577"/>
      <c r="I24" s="1577"/>
      <c r="J24" s="1577"/>
      <c r="K24" s="1577"/>
      <c r="L24" s="1577"/>
      <c r="M24" s="1577"/>
      <c r="N24" s="1578"/>
      <c r="O24" s="1579">
        <f>IF(G22="",0,IF(OR(AG6=1,AG6=3),[1]Geral!E23/108*Cálc!K22,IF(AG6=2,[1]Geral!I23/108*Cálc!K22)))</f>
        <v>0</v>
      </c>
      <c r="P24" s="1580"/>
      <c r="Q24" s="1581" t="str">
        <f>IF(OR(O24="",O24&lt;0.01),"",2977)</f>
        <v/>
      </c>
      <c r="R24" s="1582"/>
      <c r="S24" s="1583"/>
      <c r="T24" s="1584"/>
      <c r="U24" s="747"/>
      <c r="V24" s="1730"/>
      <c r="X24" s="44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737"/>
      <c r="AL24" s="131"/>
      <c r="BA24" s="921"/>
      <c r="BB24" s="924"/>
    </row>
    <row r="25" spans="2:56" ht="18" customHeight="1" thickBot="1" x14ac:dyDescent="0.45">
      <c r="B25" s="1726"/>
      <c r="C25" s="1585" t="str">
        <f>IF(OR(AG6&lt;&gt;3,AH19=2),"",IF(OR(AG6=1,AG6=2),"",IF(AND(F19&lt;16,Y46="DESIGNADO"),"",IF(Y46="DESIGNADO","","Extensão C.H.:"))))</f>
        <v/>
      </c>
      <c r="D25" s="1586"/>
      <c r="E25" s="1586"/>
      <c r="F25" s="744"/>
      <c r="G25" s="1587" t="str">
        <f>IF(C25="","",IF(AG6&gt;3,"",IF(ISERROR(VLOOKUP(F25,'[1]C Horária'!C8:E23,2,FALSE)),"",VLOOKUP(F25,'[1]C Horária'!C8:E23,2,FALSE))))</f>
        <v/>
      </c>
      <c r="H25" s="1587"/>
      <c r="I25" s="1588" t="str">
        <f>IF(AG6&gt;3,"",IF(G25="","",IF(F25=0,"",IF(F25="","",IF(F25&gt;0,G25/30)))))</f>
        <v/>
      </c>
      <c r="J25" s="1588"/>
      <c r="K25" s="745" t="str">
        <f>IF(C25="","",IF(OR(F25="",F25="X",F25="-",F25=0),"",IF(AG6&gt;3,"",IF(I25*U14&lt;100,LEFT(I25*U14,4),LEFT(I25*U14,5)))))</f>
        <v/>
      </c>
      <c r="L25" s="1594"/>
      <c r="M25" s="1595"/>
      <c r="N25" s="1596"/>
      <c r="O25" s="1592" t="str">
        <f>IF(G25="","",E16*I25*U14)</f>
        <v/>
      </c>
      <c r="P25" s="1593"/>
      <c r="Q25" s="1568" t="str">
        <f>IF(O25="","",IF(AND(AG6=3,AJ25=1),"2882",IF(AND(AG6=3,AJ25=2),"2884")))</f>
        <v/>
      </c>
      <c r="R25" s="1569"/>
      <c r="S25" s="1570"/>
      <c r="T25" s="1571"/>
      <c r="U25" s="746" t="str">
        <f>IF(O25="","",IF(AND(AK16=1,AJ25=1),"11 387",IF(AND(AK16=1,AJ25=2),"11 287",IF(AND(AK16=2,AJ25=1),"11 388",IF(AND(AK16=2,AJ25=2),"11 288")))))</f>
        <v/>
      </c>
      <c r="V25" s="1730"/>
      <c r="W25" s="333"/>
      <c r="X25" s="342"/>
      <c r="Y25" s="1597" t="s">
        <v>8001</v>
      </c>
      <c r="Z25" s="1597"/>
      <c r="AA25" s="1597"/>
      <c r="AB25" s="1597"/>
      <c r="AC25" s="1597"/>
      <c r="AD25" s="1597"/>
      <c r="AE25" s="1597"/>
      <c r="AF25" s="1597"/>
      <c r="AG25" s="1597"/>
      <c r="AH25" s="1597">
        <v>1</v>
      </c>
      <c r="AI25" s="1597"/>
      <c r="AJ25" s="1557">
        <v>2</v>
      </c>
      <c r="AK25" s="1557"/>
      <c r="AL25" s="343"/>
      <c r="AM25" s="41"/>
      <c r="AN25" s="41"/>
      <c r="BA25" s="921"/>
      <c r="BB25" s="924"/>
    </row>
    <row r="26" spans="2:56" ht="14.1" customHeight="1" thickTop="1" x14ac:dyDescent="0.4">
      <c r="B26" s="1726"/>
      <c r="C26" s="1558" t="str">
        <f>IF(O26=0,"",IF(O25="","","Abono A.E.J. 1:"))</f>
        <v/>
      </c>
      <c r="D26" s="1559"/>
      <c r="E26" s="1559"/>
      <c r="F26" s="1560"/>
      <c r="G26" s="1560"/>
      <c r="H26" s="1560"/>
      <c r="I26" s="1560"/>
      <c r="J26" s="1560"/>
      <c r="K26" s="1560"/>
      <c r="L26" s="1560"/>
      <c r="M26" s="1560"/>
      <c r="N26" s="1561"/>
      <c r="O26" s="1562">
        <f>IF(G25="",0,[1]Geral!E22/108*Cálc!K25)</f>
        <v>0</v>
      </c>
      <c r="P26" s="1563"/>
      <c r="Q26" s="1564" t="str">
        <f>IF(OR(O26="",O26&lt;0.01),"",2966)</f>
        <v/>
      </c>
      <c r="R26" s="1565"/>
      <c r="S26" s="1566"/>
      <c r="T26" s="1567"/>
      <c r="U26" s="790"/>
      <c r="V26" s="1730"/>
      <c r="W26" s="41"/>
      <c r="X26" s="44"/>
      <c r="Y26" s="734"/>
      <c r="Z26" s="734"/>
      <c r="AA26" s="734"/>
      <c r="AB26" s="734"/>
      <c r="AC26" s="734"/>
      <c r="AD26" s="734"/>
      <c r="AE26" s="734"/>
      <c r="AF26" s="734"/>
      <c r="AG26" s="734"/>
      <c r="AH26" s="734"/>
      <c r="AI26" s="734"/>
      <c r="AJ26" s="734"/>
      <c r="AK26" s="734"/>
      <c r="AL26" s="131"/>
      <c r="AM26" s="41"/>
      <c r="AN26" s="41"/>
      <c r="BA26" s="921"/>
      <c r="BB26" s="924"/>
    </row>
    <row r="27" spans="2:56" ht="14.1" customHeight="1" x14ac:dyDescent="0.4">
      <c r="B27" s="1726"/>
      <c r="C27" s="1575" t="str">
        <f>IF(O27=0,"",IF(O25="","","Abono A.E.J. 2:"))</f>
        <v/>
      </c>
      <c r="D27" s="1576"/>
      <c r="E27" s="1576"/>
      <c r="F27" s="1577"/>
      <c r="G27" s="1577"/>
      <c r="H27" s="1577"/>
      <c r="I27" s="1577"/>
      <c r="J27" s="1577"/>
      <c r="K27" s="1577"/>
      <c r="L27" s="1577"/>
      <c r="M27" s="1577"/>
      <c r="N27" s="1578"/>
      <c r="O27" s="1579">
        <f>IF(G25="",0,[1]Geral!E23/108*Cálc!K25)</f>
        <v>0</v>
      </c>
      <c r="P27" s="1580"/>
      <c r="Q27" s="1581" t="str">
        <f>IF(OR(O27="",O27&lt;0.01),"",2977)</f>
        <v/>
      </c>
      <c r="R27" s="1582"/>
      <c r="S27" s="1583"/>
      <c r="T27" s="1584"/>
      <c r="U27" s="747"/>
      <c r="V27" s="1730"/>
      <c r="W27" s="41"/>
      <c r="X27" s="44"/>
      <c r="Y27" s="734"/>
      <c r="Z27" s="734"/>
      <c r="AA27" s="734"/>
      <c r="AB27" s="734"/>
      <c r="AC27" s="734"/>
      <c r="AD27" s="734"/>
      <c r="AE27" s="734"/>
      <c r="AF27" s="734"/>
      <c r="AG27" s="734"/>
      <c r="AH27" s="734"/>
      <c r="AI27" s="734"/>
      <c r="AJ27" s="734"/>
      <c r="AK27" s="734"/>
      <c r="AL27" s="131"/>
      <c r="AM27" s="41"/>
      <c r="AN27" s="41"/>
      <c r="BA27" s="921"/>
      <c r="BB27" s="921"/>
    </row>
    <row r="28" spans="2:56" ht="18" customHeight="1" x14ac:dyDescent="0.4">
      <c r="B28" s="1726"/>
      <c r="C28" s="1585" t="str">
        <f>IF(OR(AG6&lt;&gt;3,AH19=2),"",IF(OR(AG6=1,AG6=2),"",IF(AG6&gt;3,"",IF(Y46="DESIGNADO","","Exig. Cur. Ext.:"))))</f>
        <v/>
      </c>
      <c r="D28" s="1586"/>
      <c r="E28" s="1586"/>
      <c r="F28" s="744"/>
      <c r="G28" s="1587" t="str">
        <f>IF(C28="","",IF(AG6&gt;3,"",IF(AND(F25&lt;16,F25&gt;0,Y46="DESIGNADO"),"",IF(ISERROR(VLOOKUP(F28,'[1]C Horária'!G8:I12,2,FALSE)),"",VLOOKUP(F28,'[1]C Horária'!G8:I12,2,FALSE)))))</f>
        <v/>
      </c>
      <c r="H28" s="1587"/>
      <c r="I28" s="1588" t="str">
        <f>IF(AG6&gt;3,"",IF(G28="","",IF(F28=0,"",IF(F28="","",IF(F28&gt;0,G28/30)))))</f>
        <v/>
      </c>
      <c r="J28" s="1588"/>
      <c r="K28" s="745" t="str">
        <f>IF(G28="","",IF(I28*U14&lt;10,LEFT(I28*U14,3),LEFT(I28*U14,4)))</f>
        <v/>
      </c>
      <c r="L28" s="1589"/>
      <c r="M28" s="1590"/>
      <c r="N28" s="1591"/>
      <c r="O28" s="1592" t="str">
        <f>IF(G28="","",E16*I28*U14)</f>
        <v/>
      </c>
      <c r="P28" s="1593"/>
      <c r="Q28" s="1568" t="str">
        <f>IF(O28="","",IF(AND(AG6=3,AJ25=1),"2881",IF(AND(AG6=3,AJ25=2),"2883")))</f>
        <v/>
      </c>
      <c r="R28" s="1569"/>
      <c r="S28" s="1570"/>
      <c r="T28" s="1571"/>
      <c r="U28" s="746" t="str">
        <f>IF(O28="","",IF(AJ25=1,"11 389",IF(AJ25=2,"11 289")))</f>
        <v/>
      </c>
      <c r="V28" s="1730"/>
      <c r="X28" s="44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131"/>
      <c r="BA28" s="921"/>
      <c r="BB28" s="921"/>
    </row>
    <row r="29" spans="2:56" ht="14.1" customHeight="1" x14ac:dyDescent="0.4">
      <c r="B29" s="1726"/>
      <c r="C29" s="1572" t="str">
        <f>IF(O29=0,"",IF(O28="","","Abono Ex.A.E.J. 1:"))</f>
        <v/>
      </c>
      <c r="D29" s="1573"/>
      <c r="E29" s="1573"/>
      <c r="F29" s="1560"/>
      <c r="G29" s="1560"/>
      <c r="H29" s="1560"/>
      <c r="I29" s="1560"/>
      <c r="J29" s="1560"/>
      <c r="K29" s="1560"/>
      <c r="L29" s="1560"/>
      <c r="M29" s="1560"/>
      <c r="N29" s="1560"/>
      <c r="O29" s="1562">
        <f>IF(G28="",0,[1]Geral!E22/108*Cálc!K28)</f>
        <v>0</v>
      </c>
      <c r="P29" s="1574"/>
      <c r="Q29" s="1564" t="str">
        <f>IF(OR(O29="",O29&lt;0.01),"",2966)</f>
        <v/>
      </c>
      <c r="R29" s="1565"/>
      <c r="S29" s="1566"/>
      <c r="T29" s="1567"/>
      <c r="U29" s="790"/>
      <c r="V29" s="1730"/>
      <c r="X29" s="44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131"/>
      <c r="BA29" s="921"/>
      <c r="BB29" s="921"/>
    </row>
    <row r="30" spans="2:56" ht="14.1" customHeight="1" thickBot="1" x14ac:dyDescent="0.45">
      <c r="B30" s="1726"/>
      <c r="C30" s="1540" t="str">
        <f>IF(O30=0,"",IF(O28="","","Abono Ex.A.E.J. 2:"))</f>
        <v/>
      </c>
      <c r="D30" s="1541"/>
      <c r="E30" s="1541"/>
      <c r="F30" s="1542"/>
      <c r="G30" s="1542"/>
      <c r="H30" s="1542"/>
      <c r="I30" s="1542"/>
      <c r="J30" s="1542"/>
      <c r="K30" s="1542"/>
      <c r="L30" s="1542"/>
      <c r="M30" s="1542"/>
      <c r="N30" s="1542"/>
      <c r="O30" s="1543">
        <f>IF(G28="",0,[1]Geral!E23/108*Cálc!K28)</f>
        <v>0</v>
      </c>
      <c r="P30" s="1544"/>
      <c r="Q30" s="1545" t="str">
        <f>IF(OR(O30="",O30&lt;0.01),"",2977)</f>
        <v/>
      </c>
      <c r="R30" s="1546"/>
      <c r="S30" s="1547"/>
      <c r="T30" s="1548"/>
      <c r="U30" s="791"/>
      <c r="V30" s="1730"/>
      <c r="X30" s="44"/>
      <c r="Y30" s="339"/>
      <c r="Z30" s="339"/>
      <c r="AA30" s="339"/>
      <c r="AB30" s="339"/>
      <c r="AC30" s="339"/>
      <c r="AD30" s="339"/>
      <c r="AE30" s="339"/>
      <c r="AF30" s="339"/>
      <c r="AG30" s="339"/>
      <c r="AH30" s="339"/>
      <c r="AI30" s="339"/>
      <c r="AJ30" s="339"/>
      <c r="AK30" s="339"/>
      <c r="AL30" s="131"/>
      <c r="BA30" s="921"/>
      <c r="BB30" s="921"/>
    </row>
    <row r="31" spans="2:56" ht="14.1" customHeight="1" thickBot="1" x14ac:dyDescent="0.45">
      <c r="B31" s="1726"/>
      <c r="C31" s="1549"/>
      <c r="D31" s="1550"/>
      <c r="E31" s="1550"/>
      <c r="F31" s="1089" t="s">
        <v>7959</v>
      </c>
      <c r="G31" s="1551"/>
      <c r="H31" s="1551"/>
      <c r="I31" s="1552" t="str">
        <f>IF(G31&lt;&gt;0,DATEVALUE( TEXT( G31, "##""/""##""/""##" ) &amp; "" ),"")</f>
        <v/>
      </c>
      <c r="J31" s="1552"/>
      <c r="K31" s="1552"/>
      <c r="L31" s="1552"/>
      <c r="M31" s="1552"/>
      <c r="N31" s="1553" t="s">
        <v>7961</v>
      </c>
      <c r="O31" s="1553"/>
      <c r="P31" s="1554"/>
      <c r="Q31" s="1555" t="str">
        <f>IF(OR(AG6=4,AG6=5,AG6=6,AG6=7),"2916",IF(AG6=8,2911,""))</f>
        <v/>
      </c>
      <c r="R31" s="1556"/>
      <c r="S31" s="1524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783.06799999999998</v>
      </c>
      <c r="T31" s="1525"/>
      <c r="U31" s="1526"/>
      <c r="V31" s="1730"/>
      <c r="X31" s="44"/>
      <c r="Y31" s="1527" t="str">
        <f>IF(AG31=1,"SIM", IF(AG31=2,"NÃO"))</f>
        <v>SIM</v>
      </c>
      <c r="Z31" s="1528"/>
      <c r="AA31" s="1528"/>
      <c r="AB31" s="1529"/>
      <c r="AC31" s="1529"/>
      <c r="AD31" s="1529"/>
      <c r="AE31" s="1529"/>
      <c r="AF31" s="1529"/>
      <c r="AG31" s="1530">
        <v>1</v>
      </c>
      <c r="AH31" s="1530"/>
      <c r="AI31" s="1530"/>
      <c r="AJ31" s="1530"/>
      <c r="AK31" s="1531"/>
      <c r="AL31" s="131"/>
      <c r="BA31" s="921"/>
      <c r="BB31" s="921"/>
    </row>
    <row r="32" spans="2:56" ht="14.1" customHeight="1" thickTop="1" x14ac:dyDescent="0.4">
      <c r="B32" s="1726"/>
      <c r="C32" s="794"/>
      <c r="D32" s="795"/>
      <c r="E32" s="797" t="str">
        <f>IF(AG6=8,"OK","")</f>
        <v/>
      </c>
      <c r="F32" s="797" t="str">
        <f>IF(E33="","",IF(AND(LEFT(J13,4)="ANEI",E33="OK"),LEFT(J13,4),IF(E33="OK",LEFT(J13,3))))</f>
        <v/>
      </c>
      <c r="G32" s="1532" t="str">
        <f>IF(AG6&lt;4,"",IF(E33="OK",F33,IF(AND([1]Geral!M22&gt;0,AG6=7),"ASB",IF(AND([1]Geral!Q22&gt;0,AG6=4),"EEB",IF(AND([1]Geral!T22&gt;0,AG6=5),"ATB",IF(AND([1]Geral!T25&gt;0,AG6=6),"ANEI"))))))</f>
        <v/>
      </c>
      <c r="H32" s="1532"/>
      <c r="I32" s="1533" t="str">
        <f>IF(OR(O32=0,O32="",G32=FALSE,G32=""),"","Abono Administrativo 1")</f>
        <v/>
      </c>
      <c r="J32" s="1533"/>
      <c r="K32" s="1533"/>
      <c r="L32" s="1533"/>
      <c r="M32" s="1533"/>
      <c r="N32" s="1533"/>
      <c r="O32" s="1534" t="str">
        <f>IF(G32=FALSE,"",IF(G32="","",IF(G32="ASB",[1]Geral!M22/30*Cálc!U14,IF(G32="EEB",[1]Geral!Q22/30*Cálc!U14,IF(G32="ATB",[1]Geral!T22/30*Cálc!U14,IF(G32="ANEI",[1]Geral!T25/30*Cálc!U14))))))</f>
        <v/>
      </c>
      <c r="P32" s="1534"/>
      <c r="Q32" s="1535" t="str">
        <f>IF(OR(O32=0,O32="",O32=FALSE),"","2964")</f>
        <v/>
      </c>
      <c r="R32" s="1536"/>
      <c r="S32" s="1537" t="s">
        <v>9384</v>
      </c>
      <c r="T32" s="1538"/>
      <c r="U32" s="1539"/>
      <c r="V32" s="1731"/>
      <c r="X32" s="44"/>
      <c r="Y32" s="738"/>
      <c r="Z32" s="737"/>
      <c r="AA32" s="737"/>
      <c r="AB32" s="739"/>
      <c r="AC32" s="739"/>
      <c r="AD32" s="739"/>
      <c r="AE32" s="739"/>
      <c r="AF32" s="739"/>
      <c r="AG32" s="792"/>
      <c r="AH32" s="792"/>
      <c r="AI32" s="792"/>
      <c r="AJ32" s="792"/>
      <c r="AK32" s="793"/>
      <c r="AL32" s="131"/>
      <c r="BA32" s="921"/>
      <c r="BB32" s="921"/>
    </row>
    <row r="33" spans="2:54" ht="14.1" customHeight="1" thickBot="1" x14ac:dyDescent="0.45">
      <c r="B33" s="1726"/>
      <c r="C33" s="796"/>
      <c r="D33" s="1111"/>
      <c r="E33" s="1112" t="str">
        <f>IF(AG6=8,"OK","")</f>
        <v/>
      </c>
      <c r="F33" s="1112" t="str">
        <f>IF(E33="","",IF(AND(LEFT(J13,4)="ANEI",E33="OK"),LEFT(J13,4),IF(E33="OK",LEFT(J13,3))))</f>
        <v/>
      </c>
      <c r="G33" s="1512" t="str">
        <f>IF(AG6&lt;4,"",IF(E33="OK",F33,IF(AND([1]Geral!M22&gt;0,AG6=7),"ASB",IF(AND([1]Geral!Q22&gt;0,AG6=4),"EEB",IF(AND([1]Geral!T22&gt;0,AG6=5),"ATB",IF(AND([1]Geral!T25&gt;0,AG6=6),"ANEI"))))))</f>
        <v/>
      </c>
      <c r="H33" s="1512"/>
      <c r="I33" s="1513" t="str">
        <f>IF(OR(O33=0,O33="",G33=FALSE,G33=""),"","Abono Administrativo 2")</f>
        <v/>
      </c>
      <c r="J33" s="1513"/>
      <c r="K33" s="1513"/>
      <c r="L33" s="1513"/>
      <c r="M33" s="1513"/>
      <c r="N33" s="1513"/>
      <c r="O33" s="1514" t="str">
        <f>IF(G33=FALSE,"",IF(G33="","",IF(G33="ASB",[1]Geral!M23/30*Cálc!U14,IF(G33="EEB",[1]Geral!Q23/30*Cálc!U14,IF(G33="ATB",[1]Geral!T23/30*Cálc!U14,IF(G33="ANEI",[1]Geral!T26/30*Cálc!U14))))))</f>
        <v/>
      </c>
      <c r="P33" s="1514"/>
      <c r="Q33" s="1515" t="str">
        <f>IF(OR(O33=0,O33="",O33=FALSE),"","2967")</f>
        <v/>
      </c>
      <c r="R33" s="1516"/>
      <c r="S33" s="1517">
        <f>IF(AND(O32="",O33=""),S31,S31+O32+O33)</f>
        <v>783.06799999999998</v>
      </c>
      <c r="T33" s="1518"/>
      <c r="U33" s="1519"/>
      <c r="V33" s="1731"/>
      <c r="X33" s="44"/>
      <c r="Y33" s="738"/>
      <c r="Z33" s="737"/>
      <c r="AA33" s="737"/>
      <c r="AB33" s="739"/>
      <c r="AC33" s="739"/>
      <c r="AD33" s="739"/>
      <c r="AE33" s="739"/>
      <c r="AF33" s="739"/>
      <c r="AG33" s="1098"/>
      <c r="AH33" s="1098"/>
      <c r="AI33" s="1098"/>
      <c r="AJ33" s="1098"/>
      <c r="AK33" s="776"/>
      <c r="AL33" s="131"/>
      <c r="BA33" s="921"/>
      <c r="BB33" s="921"/>
    </row>
    <row r="34" spans="2:54" ht="14.1" customHeight="1" thickBot="1" x14ac:dyDescent="0.45">
      <c r="B34" s="1726"/>
      <c r="C34" s="1520" t="str">
        <f>IF(S31="Aguard. Dados","(Aguardando a Digitação de Dados)",IF([1]Extenso!N4="","","(" &amp; [1]Extenso!N4 &amp; ")"))</f>
        <v>(setecentos e oitenta e três reais e sete centavos)</v>
      </c>
      <c r="D34" s="1521"/>
      <c r="E34" s="1521"/>
      <c r="F34" s="1521"/>
      <c r="G34" s="1521"/>
      <c r="H34" s="1521"/>
      <c r="I34" s="1521"/>
      <c r="J34" s="1521"/>
      <c r="K34" s="1521"/>
      <c r="L34" s="1521"/>
      <c r="M34" s="1521"/>
      <c r="N34" s="1521"/>
      <c r="O34" s="1521"/>
      <c r="P34" s="1521"/>
      <c r="Q34" s="1521"/>
      <c r="R34" s="1521"/>
      <c r="S34" s="1522"/>
      <c r="T34" s="1522"/>
      <c r="U34" s="1523"/>
      <c r="V34" s="1730"/>
      <c r="X34" s="44"/>
      <c r="Y34" s="1495" t="s">
        <v>9372</v>
      </c>
      <c r="Z34" s="1496"/>
      <c r="AA34" s="1496"/>
      <c r="AB34" s="1496"/>
      <c r="AC34" s="1496"/>
      <c r="AD34" s="1496"/>
      <c r="AE34" s="1496"/>
      <c r="AF34" s="1496"/>
      <c r="AG34" s="1496"/>
      <c r="AH34" s="1496"/>
      <c r="AI34" s="1496"/>
      <c r="AJ34" s="1496"/>
      <c r="AK34" s="1497"/>
      <c r="AL34" s="131"/>
      <c r="BA34" s="921"/>
      <c r="BB34" s="921"/>
    </row>
    <row r="35" spans="2:54" ht="14.1" customHeight="1" thickBot="1" x14ac:dyDescent="0.45">
      <c r="B35" s="1726"/>
      <c r="C35" s="1498" t="s">
        <v>9371</v>
      </c>
      <c r="D35" s="1499"/>
      <c r="E35" s="1499"/>
      <c r="F35" s="1499"/>
      <c r="G35" s="1499"/>
      <c r="H35" s="1500" t="str">
        <f>IF(AG6&gt;3,":"," "&amp;U14&amp;" dia(s)"&amp;", sendo: ")</f>
        <v xml:space="preserve"> 11 dia(s), sendo: </v>
      </c>
      <c r="I35" s="1500"/>
      <c r="J35" s="1500"/>
      <c r="K35" s="1500"/>
      <c r="L35" s="1500"/>
      <c r="M35" s="1500"/>
      <c r="N35" s="1500"/>
      <c r="O35" s="1500"/>
      <c r="P35" s="1500"/>
      <c r="Q35" s="1500"/>
      <c r="R35" s="1500"/>
      <c r="S35" s="1500"/>
      <c r="T35" s="1500"/>
      <c r="U35" s="1501"/>
      <c r="V35" s="1730"/>
      <c r="X35" s="50"/>
      <c r="Y35" s="766"/>
      <c r="Z35" s="766"/>
      <c r="AA35" s="766"/>
      <c r="AB35" s="766"/>
      <c r="AC35" s="766"/>
      <c r="AD35" s="766"/>
      <c r="AE35" s="766"/>
      <c r="AF35" s="766"/>
      <c r="AG35" s="766"/>
      <c r="AH35" s="766"/>
      <c r="AI35" s="766"/>
      <c r="AJ35" s="766"/>
      <c r="AK35" s="766"/>
      <c r="AL35" s="134"/>
      <c r="BA35" s="921"/>
      <c r="BB35" s="921"/>
    </row>
    <row r="36" spans="2:54" ht="14.1" customHeight="1" thickTop="1" thickBot="1" x14ac:dyDescent="0.45">
      <c r="B36" s="1726"/>
      <c r="C36" s="1502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39,6 h/a Obrigatórias do mês 02/2018, cargo PEBD1A, Adm.1.</v>
      </c>
      <c r="D36" s="1503"/>
      <c r="E36" s="1503"/>
      <c r="F36" s="1503"/>
      <c r="G36" s="1503"/>
      <c r="H36" s="1503"/>
      <c r="I36" s="1503"/>
      <c r="J36" s="1503"/>
      <c r="K36" s="1503"/>
      <c r="L36" s="1503"/>
      <c r="M36" s="1503"/>
      <c r="N36" s="1503"/>
      <c r="O36" s="1503"/>
      <c r="P36" s="1503"/>
      <c r="Q36" s="1503"/>
      <c r="R36" s="1503"/>
      <c r="S36" s="1503"/>
      <c r="T36" s="1503"/>
      <c r="U36" s="1504"/>
      <c r="V36" s="1730"/>
      <c r="X36" s="1505"/>
      <c r="Y36" s="1505"/>
      <c r="Z36" s="1505"/>
      <c r="AA36" s="1505"/>
      <c r="AB36" s="1505"/>
      <c r="AC36" s="1505"/>
      <c r="AD36" s="1505"/>
      <c r="AE36" s="1505"/>
      <c r="AF36" s="1505"/>
      <c r="AG36" s="1505"/>
      <c r="AH36" s="1505"/>
      <c r="AI36" s="1505"/>
      <c r="AJ36" s="1505"/>
      <c r="AK36" s="1505"/>
      <c r="AL36" s="1505"/>
      <c r="BA36" s="921"/>
      <c r="BB36" s="921"/>
    </row>
    <row r="37" spans="2:54" ht="5.0999999999999996" customHeight="1" thickBot="1" x14ac:dyDescent="0.45">
      <c r="B37" s="1090"/>
      <c r="C37" s="737"/>
      <c r="D37" s="767"/>
      <c r="E37" s="767"/>
      <c r="F37" s="767"/>
      <c r="G37" s="767"/>
      <c r="H37" s="767"/>
      <c r="I37" s="767"/>
      <c r="J37" s="767"/>
      <c r="K37" s="767"/>
      <c r="L37" s="767"/>
      <c r="M37" s="767"/>
      <c r="N37" s="767"/>
      <c r="O37" s="767"/>
      <c r="P37" s="767"/>
      <c r="Q37" s="767"/>
      <c r="R37" s="767"/>
      <c r="S37" s="767"/>
      <c r="T37" s="767"/>
      <c r="U37" s="767"/>
      <c r="V37" s="1091"/>
      <c r="X37" s="1506"/>
      <c r="Y37" s="1506"/>
      <c r="Z37" s="1506"/>
      <c r="AA37" s="1506"/>
      <c r="AB37" s="1506"/>
      <c r="AC37" s="1506"/>
      <c r="AD37" s="1506"/>
      <c r="AE37" s="1506"/>
      <c r="AF37" s="1506"/>
      <c r="AG37" s="1506"/>
      <c r="AH37" s="1506"/>
      <c r="AI37" s="1506"/>
      <c r="AJ37" s="1506"/>
      <c r="AK37" s="1506"/>
      <c r="AL37" s="1506"/>
      <c r="BA37" s="921"/>
      <c r="BB37" s="921"/>
    </row>
    <row r="38" spans="2:54" ht="15.95" customHeight="1" thickTop="1" thickBot="1" x14ac:dyDescent="0.45">
      <c r="B38" s="1090"/>
      <c r="C38" s="1507" t="s">
        <v>9373</v>
      </c>
      <c r="D38" s="1508"/>
      <c r="E38" s="1508"/>
      <c r="F38" s="1508"/>
      <c r="G38" s="1508"/>
      <c r="H38" s="774">
        <v>8</v>
      </c>
      <c r="I38" s="1509" t="s">
        <v>9381</v>
      </c>
      <c r="J38" s="1509"/>
      <c r="K38" s="1509"/>
      <c r="L38" s="1509"/>
      <c r="M38" s="1510">
        <f>S11</f>
        <v>43151</v>
      </c>
      <c r="N38" s="1510"/>
      <c r="O38" s="768" t="s">
        <v>7936</v>
      </c>
      <c r="P38" s="1511">
        <f>S12</f>
        <v>43159</v>
      </c>
      <c r="Q38" s="1511"/>
      <c r="R38" s="769" t="s">
        <v>9374</v>
      </c>
      <c r="S38" s="770"/>
      <c r="T38" s="770"/>
      <c r="U38" s="771"/>
      <c r="V38" s="1091"/>
      <c r="X38" s="44"/>
      <c r="Y38" s="1486" t="s">
        <v>9375</v>
      </c>
      <c r="Z38" s="1486"/>
      <c r="AA38" s="1486"/>
      <c r="AB38" s="1486"/>
      <c r="AC38" s="1486"/>
      <c r="AD38" s="1486"/>
      <c r="AE38" s="1486"/>
      <c r="AF38" s="1486"/>
      <c r="AG38" s="1486"/>
      <c r="AH38" s="1486" t="str">
        <f>IF(AJ38=1,"SIM", IF(AJ38=2,"NÃO"))</f>
        <v>SIM</v>
      </c>
      <c r="AI38" s="1486"/>
      <c r="AJ38" s="772">
        <v>1</v>
      </c>
      <c r="AK38" s="1097"/>
      <c r="AL38" s="131"/>
      <c r="BA38" s="921"/>
      <c r="BB38" s="921"/>
    </row>
    <row r="39" spans="2:54" ht="14.1" customHeight="1" thickBot="1" x14ac:dyDescent="0.45">
      <c r="B39" s="1090"/>
      <c r="C39" s="1487" t="b">
        <f>IF(AND(AG6&lt;4,O19=""),"CLICAR EM NÃO (AUXÍLIO TRANSPORTE SÓ É DEVIDO PARA AULAS OBRIGATÓRIAS)",IF(AND(AG6&gt;3,S33&gt;[1]Geral!F24),"CLICAR EM NÃO (RECEBEU MAIS QUE 03 SALÁRIOS MÍNIMOS)",IF(AND(AG6&lt;4,O19+O20+O21&gt;[1]Geral!F24),"CLICAR EM NÃO (RECEBEU MAIS QUE 03 SALÁRIOS MÍNIMOS)")))</f>
        <v>0</v>
      </c>
      <c r="D39" s="1488"/>
      <c r="E39" s="1488"/>
      <c r="F39" s="1488"/>
      <c r="G39" s="1488"/>
      <c r="H39" s="1488"/>
      <c r="I39" s="1488"/>
      <c r="J39" s="1488"/>
      <c r="K39" s="1488"/>
      <c r="L39" s="1488"/>
      <c r="M39" s="1488"/>
      <c r="N39" s="1488"/>
      <c r="O39" s="1488"/>
      <c r="P39" s="1488"/>
      <c r="Q39" s="1488"/>
      <c r="R39" s="1488"/>
      <c r="S39" s="1488"/>
      <c r="T39" s="1488"/>
      <c r="U39" s="1489"/>
      <c r="V39" s="1091"/>
      <c r="X39" s="44"/>
      <c r="Y39" s="1097"/>
      <c r="Z39" s="1097"/>
      <c r="AA39" s="1097"/>
      <c r="AB39" s="1097"/>
      <c r="AC39" s="1097"/>
      <c r="AD39" s="1097"/>
      <c r="AE39" s="1097"/>
      <c r="AF39" s="1097"/>
      <c r="AG39" s="1097"/>
      <c r="AH39" s="1097"/>
      <c r="AI39" s="1097"/>
      <c r="AJ39" s="1097"/>
      <c r="AK39" s="1097"/>
      <c r="AL39" s="131"/>
      <c r="BA39" s="921"/>
      <c r="BB39" s="921"/>
    </row>
    <row r="40" spans="2:54" ht="15.95" customHeight="1" thickBot="1" x14ac:dyDescent="0.45">
      <c r="B40" s="1090"/>
      <c r="C40" s="773">
        <f>IF(OR(F40=0,AJ38=2),"",2979)</f>
        <v>2979</v>
      </c>
      <c r="D40" s="1490">
        <f>IF(C40="","",IF(C40=2979,H38*[1]Geral!L25,IF(AJ38=2,"")))</f>
        <v>64.8</v>
      </c>
      <c r="E40" s="1490"/>
      <c r="F40" s="801">
        <f>IF(AND(O19="",AG6&lt;4),0,IF(AND(O19="",AG6&gt;3),S33*6%,IF(O19&gt;0,SUM(O19+O20+O21)*6%)))</f>
        <v>46.984079999999999</v>
      </c>
      <c r="G40" s="775">
        <f>IF(C40=2979,8849,"")</f>
        <v>8849</v>
      </c>
      <c r="H40" s="1491">
        <f>IF(J40&gt;=K40,F40,L40)</f>
        <v>46.984079999999999</v>
      </c>
      <c r="I40" s="1491"/>
      <c r="J40" s="802">
        <f>D40-F40</f>
        <v>17.815919999999998</v>
      </c>
      <c r="K40" s="803">
        <f>IF(S33&lt;[1]Geral!F24,H38*[1]Geral!Q25,0)</f>
        <v>14.4</v>
      </c>
      <c r="L40" s="801">
        <f>D40-K40</f>
        <v>50.4</v>
      </c>
      <c r="M40" s="1492" t="s">
        <v>9382</v>
      </c>
      <c r="N40" s="1492"/>
      <c r="O40" s="1492"/>
      <c r="P40" s="1492"/>
      <c r="Q40" s="1492"/>
      <c r="R40" s="1492"/>
      <c r="S40" s="1493">
        <f>IF(D40="",S33,D40+S33)</f>
        <v>847.86799999999994</v>
      </c>
      <c r="T40" s="1493"/>
      <c r="U40" s="1494"/>
      <c r="V40" s="1091"/>
      <c r="X40" s="44"/>
      <c r="Y40" s="1097"/>
      <c r="Z40" s="1097"/>
      <c r="AA40" s="1097"/>
      <c r="AB40" s="1097"/>
      <c r="AC40" s="1097"/>
      <c r="AD40" s="1097"/>
      <c r="AE40" s="1097"/>
      <c r="AF40" s="1097"/>
      <c r="AG40" s="1097"/>
      <c r="AH40" s="1097"/>
      <c r="AI40" s="1097"/>
      <c r="AJ40" s="1097"/>
      <c r="AK40" s="1097"/>
      <c r="AL40" s="131"/>
      <c r="BA40" s="921"/>
      <c r="BB40" s="921"/>
    </row>
    <row r="41" spans="2:54" ht="15.95" customHeight="1" thickBot="1" x14ac:dyDescent="0.45">
      <c r="B41" s="1477" t="s">
        <v>9424</v>
      </c>
      <c r="C41" s="1478"/>
      <c r="D41" s="1478"/>
      <c r="E41" s="1478"/>
      <c r="F41" s="1478"/>
      <c r="G41" s="1478"/>
      <c r="H41" s="1478"/>
      <c r="I41" s="1478"/>
      <c r="J41" s="1478"/>
      <c r="K41" s="919" t="str">
        <f>"Acerto de "&amp;C36</f>
        <v>Acerto de 39,6 h/a Obrigatórias do mês 02/2018, cargo PEBD1A, Adm.1.</v>
      </c>
      <c r="L41" s="1479"/>
      <c r="M41" s="1479"/>
      <c r="N41" s="1479"/>
      <c r="O41" s="1479"/>
      <c r="P41" s="1479"/>
      <c r="Q41" s="1479"/>
      <c r="R41" s="1479"/>
      <c r="S41" s="1479"/>
      <c r="T41" s="1479"/>
      <c r="U41" s="1479"/>
      <c r="V41" s="1480"/>
      <c r="X41" s="50"/>
      <c r="Y41" s="1481"/>
      <c r="Z41" s="1481"/>
      <c r="AA41" s="1481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4"/>
      <c r="BA41" s="921"/>
      <c r="BB41" s="921"/>
    </row>
    <row r="42" spans="2:54" ht="5.0999999999999996" customHeight="1" thickTop="1" thickBot="1" x14ac:dyDescent="0.45"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BA42" s="921"/>
      <c r="BB42" s="921"/>
    </row>
    <row r="43" spans="2:54" ht="15.95" customHeight="1" thickTop="1" thickBot="1" x14ac:dyDescent="0.45">
      <c r="B43" s="52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344"/>
      <c r="V43" s="55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BA43" s="921"/>
      <c r="BB43" s="921"/>
    </row>
    <row r="44" spans="2:54" s="3" customFormat="1" ht="15.95" customHeight="1" thickTop="1" thickBot="1" x14ac:dyDescent="0.3">
      <c r="B44" s="56"/>
      <c r="C44" s="1095"/>
      <c r="D44" s="1095"/>
      <c r="E44" s="1438" t="s">
        <v>352</v>
      </c>
      <c r="F44" s="1438"/>
      <c r="G44" s="1438"/>
      <c r="H44" s="1438"/>
      <c r="I44" s="1438"/>
      <c r="J44" s="1438"/>
      <c r="K44" s="1438"/>
      <c r="L44" s="1438"/>
      <c r="M44" s="1438"/>
      <c r="N44" s="1438"/>
      <c r="O44" s="1438"/>
      <c r="P44" s="1438"/>
      <c r="Q44" s="1438"/>
      <c r="R44" s="1438"/>
      <c r="S44" s="1438"/>
      <c r="T44" s="1438"/>
      <c r="U44" s="1438"/>
      <c r="V44" s="57"/>
      <c r="W44" s="161"/>
      <c r="X44" s="185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7"/>
      <c r="AM44" s="161"/>
      <c r="BA44" s="925"/>
      <c r="BB44" s="925"/>
    </row>
    <row r="45" spans="2:54" ht="15.95" customHeight="1" thickBot="1" x14ac:dyDescent="0.45">
      <c r="B45" s="58"/>
      <c r="C45" s="1092"/>
      <c r="D45" s="1094"/>
      <c r="E45" s="1482" t="s">
        <v>9209</v>
      </c>
      <c r="F45" s="1482"/>
      <c r="G45" s="1482"/>
      <c r="H45" s="1482"/>
      <c r="I45" s="1482"/>
      <c r="J45" s="1482"/>
      <c r="K45" s="1482"/>
      <c r="L45" s="1482"/>
      <c r="M45" s="1482"/>
      <c r="N45" s="1482"/>
      <c r="O45" s="1482"/>
      <c r="P45" s="1482"/>
      <c r="Q45" s="1482"/>
      <c r="R45" s="1482"/>
      <c r="S45" s="1482"/>
      <c r="T45" s="1482"/>
      <c r="U45" s="1482"/>
      <c r="V45" s="59"/>
      <c r="W45" s="41"/>
      <c r="X45" s="188"/>
      <c r="Y45" s="1483" t="s">
        <v>7862</v>
      </c>
      <c r="Z45" s="1484"/>
      <c r="AA45" s="1484"/>
      <c r="AB45" s="1484"/>
      <c r="AC45" s="1484"/>
      <c r="AD45" s="1484"/>
      <c r="AE45" s="1484"/>
      <c r="AF45" s="1484"/>
      <c r="AG45" s="1484"/>
      <c r="AH45" s="1484"/>
      <c r="AI45" s="1484"/>
      <c r="AJ45" s="1484"/>
      <c r="AK45" s="1485"/>
      <c r="AL45" s="190"/>
      <c r="AM45" s="41"/>
      <c r="BA45" s="921"/>
      <c r="BB45" s="921"/>
    </row>
    <row r="46" spans="2:54" ht="15.95" customHeight="1" x14ac:dyDescent="0.4">
      <c r="B46" s="58"/>
      <c r="C46" s="1434"/>
      <c r="D46" s="1434"/>
      <c r="E46" s="1434"/>
      <c r="F46" s="1434"/>
      <c r="G46" s="1434"/>
      <c r="H46" s="1434"/>
      <c r="I46" s="1434"/>
      <c r="J46" s="1434"/>
      <c r="K46" s="1434"/>
      <c r="L46" s="1434"/>
      <c r="M46" s="1434"/>
      <c r="N46" s="1434"/>
      <c r="O46" s="1434"/>
      <c r="P46" s="1434"/>
      <c r="Q46" s="1434"/>
      <c r="R46" s="1434"/>
      <c r="S46" s="1434"/>
      <c r="T46" s="1434"/>
      <c r="U46" s="1434"/>
      <c r="V46" s="59"/>
      <c r="W46" s="41"/>
      <c r="X46" s="188"/>
      <c r="Y46" s="1471" t="str">
        <f>IF(AG46=1,"Efetivo",IF(AG46=2,"Designado"))</f>
        <v>Designado</v>
      </c>
      <c r="Z46" s="1472"/>
      <c r="AA46" s="1472"/>
      <c r="AB46" s="1472"/>
      <c r="AC46" s="1472"/>
      <c r="AD46" s="1472"/>
      <c r="AE46" s="1472"/>
      <c r="AF46" s="1473"/>
      <c r="AG46" s="1474">
        <v>2</v>
      </c>
      <c r="AH46" s="1475"/>
      <c r="AI46" s="1475"/>
      <c r="AJ46" s="1475"/>
      <c r="AK46" s="1476"/>
      <c r="AL46" s="190"/>
      <c r="AM46" s="41"/>
      <c r="BA46" s="921"/>
      <c r="BB46" s="921"/>
    </row>
    <row r="47" spans="2:54" ht="15.95" customHeight="1" x14ac:dyDescent="0.4">
      <c r="B47" s="58"/>
      <c r="C47" s="1460" t="s">
        <v>354</v>
      </c>
      <c r="D47" s="1460"/>
      <c r="E47" s="1460"/>
      <c r="F47" s="1460"/>
      <c r="G47" s="1460"/>
      <c r="H47" s="1460"/>
      <c r="I47" s="1433" t="str">
        <f>[1]Geral!C6</f>
        <v>SECRETARIA DE ESTADO DE EDUCAÇÃO - MG</v>
      </c>
      <c r="J47" s="1433"/>
      <c r="K47" s="1433"/>
      <c r="L47" s="1433"/>
      <c r="M47" s="1433"/>
      <c r="N47" s="1433"/>
      <c r="O47" s="1433"/>
      <c r="P47" s="1433"/>
      <c r="Q47" s="1433"/>
      <c r="R47" s="1433"/>
      <c r="S47" s="1433"/>
      <c r="T47" s="1433"/>
      <c r="U47" s="1433"/>
      <c r="V47" s="59"/>
      <c r="X47" s="188"/>
      <c r="Y47" s="1461"/>
      <c r="Z47" s="1462"/>
      <c r="AA47" s="1462"/>
      <c r="AB47" s="1462"/>
      <c r="AC47" s="1462"/>
      <c r="AD47" s="1462"/>
      <c r="AE47" s="1462"/>
      <c r="AF47" s="1463"/>
      <c r="AG47" s="1464"/>
      <c r="AH47" s="1462"/>
      <c r="AI47" s="1462"/>
      <c r="AJ47" s="1462"/>
      <c r="AK47" s="1465"/>
      <c r="AL47" s="190"/>
      <c r="BA47" s="921"/>
      <c r="BB47" s="921"/>
    </row>
    <row r="48" spans="2:54" ht="15.95" customHeight="1" x14ac:dyDescent="0.4">
      <c r="B48" s="58"/>
      <c r="C48" s="1460" t="s">
        <v>356</v>
      </c>
      <c r="D48" s="1460"/>
      <c r="E48" s="1460"/>
      <c r="F48" s="1436" t="str">
        <f>[1]Geral!C8</f>
        <v>Superintendência Regional Ensino de</v>
      </c>
      <c r="G48" s="1436"/>
      <c r="H48" s="1436"/>
      <c r="I48" s="1436"/>
      <c r="J48" s="1436"/>
      <c r="K48" s="1436"/>
      <c r="L48" s="1436"/>
      <c r="M48" s="1436"/>
      <c r="N48" s="1433" t="str">
        <f>[1]Geral!I8</f>
        <v>Uberaba</v>
      </c>
      <c r="O48" s="1433"/>
      <c r="P48" s="1433"/>
      <c r="Q48" s="1433"/>
      <c r="R48" s="1433"/>
      <c r="S48" s="1433"/>
      <c r="T48" s="1433"/>
      <c r="U48" s="1433"/>
      <c r="V48" s="59"/>
      <c r="X48" s="188"/>
      <c r="Y48" s="1461"/>
      <c r="Z48" s="1462"/>
      <c r="AA48" s="1462"/>
      <c r="AB48" s="1462"/>
      <c r="AC48" s="1462"/>
      <c r="AD48" s="1462"/>
      <c r="AE48" s="1462"/>
      <c r="AF48" s="1463"/>
      <c r="AG48" s="1464"/>
      <c r="AH48" s="1462"/>
      <c r="AI48" s="1462"/>
      <c r="AJ48" s="1462"/>
      <c r="AK48" s="1465"/>
      <c r="AL48" s="190"/>
      <c r="BA48" s="921"/>
      <c r="BB48" s="921"/>
    </row>
    <row r="49" spans="2:54" ht="15.95" customHeight="1" thickBot="1" x14ac:dyDescent="0.45">
      <c r="B49" s="58"/>
      <c r="C49" s="1092"/>
      <c r="D49" s="1094"/>
      <c r="E49" s="1094"/>
      <c r="F49" s="1094"/>
      <c r="G49" s="1094"/>
      <c r="H49" s="1094"/>
      <c r="I49" s="1094"/>
      <c r="J49" s="1094"/>
      <c r="K49" s="1094"/>
      <c r="L49" s="1094"/>
      <c r="M49" s="1094"/>
      <c r="N49" s="1094"/>
      <c r="O49" s="1094"/>
      <c r="P49" s="1094"/>
      <c r="Q49" s="1094"/>
      <c r="R49" s="1094"/>
      <c r="S49" s="1094"/>
      <c r="T49" s="1094"/>
      <c r="U49" s="1094"/>
      <c r="V49" s="59"/>
      <c r="X49" s="188"/>
      <c r="Y49" s="1466"/>
      <c r="Z49" s="1467"/>
      <c r="AA49" s="1467"/>
      <c r="AB49" s="1467"/>
      <c r="AC49" s="1467"/>
      <c r="AD49" s="1467"/>
      <c r="AE49" s="1467"/>
      <c r="AF49" s="1468"/>
      <c r="AG49" s="1469"/>
      <c r="AH49" s="1467"/>
      <c r="AI49" s="1467"/>
      <c r="AJ49" s="1467"/>
      <c r="AK49" s="1470"/>
      <c r="AL49" s="190"/>
      <c r="BA49" s="921"/>
      <c r="BB49" s="921"/>
    </row>
    <row r="50" spans="2:54" ht="15.95" customHeight="1" x14ac:dyDescent="0.4">
      <c r="B50" s="58"/>
      <c r="C50" s="1433"/>
      <c r="D50" s="1433"/>
      <c r="E50" s="1433"/>
      <c r="F50" s="1433"/>
      <c r="G50" s="1456" t="s">
        <v>358</v>
      </c>
      <c r="H50" s="1456"/>
      <c r="I50" s="1456"/>
      <c r="J50" s="1456"/>
      <c r="K50" s="1456"/>
      <c r="L50" s="1456"/>
      <c r="M50" s="1456"/>
      <c r="N50" s="1456"/>
      <c r="O50" s="1456"/>
      <c r="P50" s="1456"/>
      <c r="Q50" s="1456"/>
      <c r="R50" s="1456"/>
      <c r="S50" s="1456"/>
      <c r="T50" s="1456"/>
      <c r="U50" s="1456"/>
      <c r="V50" s="59"/>
      <c r="X50" s="188"/>
      <c r="Y50" s="1457"/>
      <c r="Z50" s="1457"/>
      <c r="AA50" s="1457"/>
      <c r="AB50" s="1457"/>
      <c r="AC50" s="1457"/>
      <c r="AD50" s="1457"/>
      <c r="AE50" s="1457"/>
      <c r="AF50" s="1457"/>
      <c r="AG50" s="1457"/>
      <c r="AH50" s="1457"/>
      <c r="AI50" s="1457"/>
      <c r="AJ50" s="1457"/>
      <c r="AK50" s="1457"/>
      <c r="AL50" s="190"/>
    </row>
    <row r="51" spans="2:54" ht="15.95" customHeight="1" x14ac:dyDescent="0.4">
      <c r="B51" s="58"/>
      <c r="C51" s="1458">
        <f>G6</f>
        <v>0</v>
      </c>
      <c r="D51" s="1458"/>
      <c r="E51" s="1458"/>
      <c r="F51" s="1458"/>
      <c r="G51" s="1458"/>
      <c r="H51" s="1458"/>
      <c r="I51" s="1458"/>
      <c r="J51" s="1458"/>
      <c r="K51" s="1458"/>
      <c r="L51" s="1458"/>
      <c r="M51" s="1434" t="s">
        <v>360</v>
      </c>
      <c r="N51" s="1434"/>
      <c r="O51" s="1459">
        <f>IF(T6="","",T6)</f>
        <v>12981338</v>
      </c>
      <c r="P51" s="1459"/>
      <c r="Q51" s="1459"/>
      <c r="R51" s="1456" t="s">
        <v>359</v>
      </c>
      <c r="S51" s="1456"/>
      <c r="T51" s="1456"/>
      <c r="U51" s="1456"/>
      <c r="V51" s="59"/>
      <c r="X51" s="188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90"/>
    </row>
    <row r="52" spans="2:54" ht="15.95" customHeight="1" x14ac:dyDescent="0.4">
      <c r="B52" s="58"/>
      <c r="C52" s="1452">
        <f>S40</f>
        <v>847.86799999999994</v>
      </c>
      <c r="D52" s="1452"/>
      <c r="E52" s="1452"/>
      <c r="F52" s="1453" t="str">
        <f>IF(S31="Aguard. Dados","(Aguardando a Digitação de Dados)",IF([1]Extenso!N5="","","(" &amp; [1]Extenso!N5 &amp; ")"))</f>
        <v>(oitocentos e quarenta e sete reais e oitenta e sete centavos)</v>
      </c>
      <c r="G52" s="1453"/>
      <c r="H52" s="1453"/>
      <c r="I52" s="1453"/>
      <c r="J52" s="1453"/>
      <c r="K52" s="1453"/>
      <c r="L52" s="1453"/>
      <c r="M52" s="1453"/>
      <c r="N52" s="1453"/>
      <c r="O52" s="1453"/>
      <c r="P52" s="1453"/>
      <c r="Q52" s="1453"/>
      <c r="R52" s="1453"/>
      <c r="S52" s="1453"/>
      <c r="T52" s="1453"/>
      <c r="U52" s="1453"/>
      <c r="V52" s="59"/>
      <c r="X52" s="188"/>
      <c r="Y52" s="189"/>
      <c r="Z52" s="189"/>
      <c r="AA52" s="189"/>
      <c r="AB52" s="191"/>
      <c r="AC52" s="189"/>
      <c r="AD52" s="189"/>
      <c r="AE52" s="189"/>
      <c r="AF52" s="189"/>
      <c r="AG52" s="189"/>
      <c r="AH52" s="189"/>
      <c r="AI52" s="189"/>
      <c r="AJ52" s="189"/>
      <c r="AK52" s="189"/>
      <c r="AL52" s="190"/>
    </row>
    <row r="53" spans="2:54" ht="18" customHeight="1" x14ac:dyDescent="0.4">
      <c r="B53" s="58"/>
      <c r="C53" s="1433" t="str">
        <f>C35&amp;H35</f>
        <v xml:space="preserve">Referente ao acerto de 11 dia(s), sendo: </v>
      </c>
      <c r="D53" s="1433"/>
      <c r="E53" s="1433"/>
      <c r="F53" s="1433"/>
      <c r="G53" s="1433"/>
      <c r="H53" s="1433"/>
      <c r="I53" s="1433"/>
      <c r="J53" s="1433"/>
      <c r="K53" s="1433"/>
      <c r="L53" s="1433"/>
      <c r="M53" s="1433"/>
      <c r="N53" s="1433"/>
      <c r="O53" s="1433"/>
      <c r="P53" s="1433"/>
      <c r="Q53" s="1433"/>
      <c r="R53" s="1433"/>
      <c r="S53" s="1433"/>
      <c r="T53" s="1433"/>
      <c r="U53" s="1433"/>
      <c r="V53" s="59"/>
      <c r="X53" s="188"/>
      <c r="Y53" s="189"/>
      <c r="Z53" s="189"/>
      <c r="AA53" s="189"/>
      <c r="AB53" s="191"/>
      <c r="AC53" s="189"/>
      <c r="AD53" s="189"/>
      <c r="AE53" s="189"/>
      <c r="AF53" s="189"/>
      <c r="AG53" s="189"/>
      <c r="AH53" s="189"/>
      <c r="AI53" s="189"/>
      <c r="AJ53" s="189"/>
      <c r="AK53" s="189"/>
      <c r="AL53" s="190"/>
    </row>
    <row r="54" spans="2:54" ht="15.95" customHeight="1" x14ac:dyDescent="0.4">
      <c r="B54" s="58"/>
      <c r="C54" s="1454" t="str">
        <f>"° "&amp;C36</f>
        <v>° 39,6 h/a Obrigatórias do mês 02/2018, cargo PEBD1A, Adm.1.</v>
      </c>
      <c r="D54" s="1454"/>
      <c r="E54" s="1454"/>
      <c r="F54" s="1454"/>
      <c r="G54" s="1454"/>
      <c r="H54" s="1454"/>
      <c r="I54" s="1454"/>
      <c r="J54" s="1454"/>
      <c r="K54" s="1454"/>
      <c r="L54" s="1454"/>
      <c r="M54" s="1454"/>
      <c r="N54" s="1454"/>
      <c r="O54" s="1454"/>
      <c r="P54" s="1454"/>
      <c r="Q54" s="1454"/>
      <c r="R54" s="1454"/>
      <c r="S54" s="1454"/>
      <c r="T54" s="1454"/>
      <c r="U54" s="1454"/>
      <c r="V54" s="59"/>
      <c r="X54" s="188"/>
      <c r="Y54" s="189"/>
      <c r="Z54" s="189"/>
      <c r="AA54" s="189"/>
      <c r="AB54" s="191"/>
      <c r="AC54" s="189"/>
      <c r="AD54" s="189"/>
      <c r="AE54" s="189"/>
      <c r="AF54" s="189"/>
      <c r="AG54" s="189"/>
      <c r="AH54" s="189"/>
      <c r="AI54" s="189"/>
      <c r="AJ54" s="189"/>
      <c r="AK54" s="189"/>
      <c r="AL54" s="190"/>
    </row>
    <row r="55" spans="2:54" ht="15.95" customHeight="1" x14ac:dyDescent="0.4">
      <c r="B55" s="58"/>
      <c r="C55" s="1448" t="str">
        <f>IF(AND(L55="",Q55=""),"",IF(AND(L55&lt;&gt;"",Q55&lt;&gt;""),L55,IF(AND(L55="",Q55&lt;&gt;""),Q55,IF(AND(L55&lt;&gt;"",Q55=""),L55))))</f>
        <v>° Abono(s) Respectivo(s).</v>
      </c>
      <c r="D55" s="1448"/>
      <c r="E55" s="1448"/>
      <c r="F55" s="1448"/>
      <c r="G55" s="1448"/>
      <c r="H55" s="1448"/>
      <c r="I55" s="1448"/>
      <c r="J55" s="1448"/>
      <c r="K55" s="1448"/>
      <c r="L55" s="1455" t="str">
        <f>IF(AND([1]Geral!E22="",[1]Geral!E23="",[1]Geral!I22="",[1]Geral!I23="",[1]Geral!M22="",[1]Geral!M23="",[1]Geral!Q22="",[1]Geral!Q23="",[1]Geral!T22="",[1]Geral!T23="",[1]Geral!T25="",[1]Geral!T26=""),"","° Abono(s) Respectivo(s).")</f>
        <v>° Abono(s) Respectivo(s).</v>
      </c>
      <c r="M55" s="1455"/>
      <c r="N55" s="1455"/>
      <c r="O55" s="1455"/>
      <c r="P55" s="1455"/>
      <c r="Q55" s="1455" t="str">
        <f>IF(S40&gt;S33,"° "&amp;H38&amp;" dias úteis de Auxílio Transporte.","")</f>
        <v>° 8 dias úteis de Auxílio Transporte.</v>
      </c>
      <c r="R55" s="1455"/>
      <c r="S55" s="1455"/>
      <c r="T55" s="1455"/>
      <c r="U55" s="1455"/>
      <c r="V55" s="59"/>
      <c r="X55" s="188"/>
      <c r="Y55" s="189"/>
      <c r="Z55" s="189"/>
      <c r="AA55" s="189"/>
      <c r="AB55" s="191"/>
      <c r="AC55" s="189"/>
      <c r="AD55" s="189"/>
      <c r="AE55" s="189"/>
      <c r="AF55" s="189"/>
      <c r="AG55" s="189"/>
      <c r="AH55" s="189"/>
      <c r="AI55" s="189"/>
      <c r="AJ55" s="189"/>
      <c r="AK55" s="189"/>
      <c r="AL55" s="190"/>
    </row>
    <row r="56" spans="2:54" ht="15.95" customHeight="1" x14ac:dyDescent="0.4">
      <c r="B56" s="58"/>
      <c r="C56" s="1448" t="str">
        <f>IF(C55=Q55,"",IF(OR(Q55&lt;&gt;"",C55&lt;&gt;Q55),Q55,IF(OR(C55=L55,C55=Q55),"")))</f>
        <v>° 8 dias úteis de Auxílio Transporte.</v>
      </c>
      <c r="D56" s="1449"/>
      <c r="E56" s="1449"/>
      <c r="F56" s="1449"/>
      <c r="G56" s="1449"/>
      <c r="H56" s="1449"/>
      <c r="I56" s="1449"/>
      <c r="J56" s="1449"/>
      <c r="K56" s="1449"/>
      <c r="L56" s="1449"/>
      <c r="M56" s="1449"/>
      <c r="N56" s="1449"/>
      <c r="O56" s="1449"/>
      <c r="P56" s="1449"/>
      <c r="Q56" s="1449"/>
      <c r="R56" s="1449"/>
      <c r="S56" s="1449"/>
      <c r="T56" s="1449"/>
      <c r="U56" s="1449"/>
      <c r="V56" s="59"/>
      <c r="X56" s="188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90"/>
    </row>
    <row r="57" spans="2:54" ht="21.95" customHeight="1" thickBot="1" x14ac:dyDescent="0.45">
      <c r="B57" s="58"/>
      <c r="C57" s="1433" t="s">
        <v>363</v>
      </c>
      <c r="D57" s="1433"/>
      <c r="E57" s="1433"/>
      <c r="F57" s="1433"/>
      <c r="G57" s="1433"/>
      <c r="H57" s="1434"/>
      <c r="I57" s="1434"/>
      <c r="J57" s="1434"/>
      <c r="K57" s="1434"/>
      <c r="L57" s="1434"/>
      <c r="M57" s="1434"/>
      <c r="N57" s="1434"/>
      <c r="O57" s="1434"/>
      <c r="P57" s="1434"/>
      <c r="Q57" s="1434"/>
      <c r="R57" s="1434"/>
      <c r="S57" s="1434"/>
      <c r="T57" s="1434"/>
      <c r="U57" s="1434"/>
      <c r="V57" s="59"/>
      <c r="X57" s="192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4"/>
    </row>
    <row r="58" spans="2:54" ht="14.1" customHeight="1" thickTop="1" x14ac:dyDescent="0.4">
      <c r="B58" s="58"/>
      <c r="C58" s="1096" t="str">
        <f>IF(Q31&lt;&gt;"",Q31,IF(Q19&lt;&gt;"",Q19,""))</f>
        <v>2917</v>
      </c>
      <c r="D58" s="1450">
        <f>IF(Q31&lt;&gt;"",S31,IF(Q19&lt;&gt;"",O19,""))</f>
        <v>726.93133333333333</v>
      </c>
      <c r="E58" s="1450"/>
      <c r="F58" s="1450"/>
      <c r="G58" s="756">
        <f>IF(Q32="2964",Q32,IF(Q20&lt;&gt;"",Q20,IF(AND(Q32&lt;&gt;"2964",Q20=""),"")))</f>
        <v>2964</v>
      </c>
      <c r="H58" s="1441">
        <f>IF(Q32="2964",O32,IF(Q20&lt;&gt;"",O20,IF(AND(Q32&lt;&gt;"2964",Q20=""),"")))</f>
        <v>56.136666666666663</v>
      </c>
      <c r="I58" s="1441"/>
      <c r="J58" s="1441"/>
      <c r="K58" s="1451" t="str">
        <f>IF(Q22&lt;&gt;"",Q22,"")</f>
        <v/>
      </c>
      <c r="L58" s="1451"/>
      <c r="M58" s="1441" t="str">
        <f>IF(O22&lt;&gt;"",O22,"")</f>
        <v/>
      </c>
      <c r="N58" s="1441"/>
      <c r="O58" s="1441"/>
      <c r="P58" s="1451" t="str">
        <f>IF(Q25&lt;&gt;"",Q25,"")</f>
        <v/>
      </c>
      <c r="Q58" s="1451"/>
      <c r="R58" s="1441" t="str">
        <f>IF(O25&lt;&gt;"",O25,"")</f>
        <v/>
      </c>
      <c r="S58" s="1441"/>
      <c r="T58" s="1441"/>
      <c r="U58" s="755"/>
      <c r="V58" s="59"/>
    </row>
    <row r="59" spans="2:54" ht="14.1" customHeight="1" x14ac:dyDescent="0.4">
      <c r="B59" s="58"/>
      <c r="C59" s="1096" t="str">
        <f>IF(Q28&lt;&gt;"",Q28,"")</f>
        <v/>
      </c>
      <c r="D59" s="1441" t="str">
        <f>IF(O28&lt;&gt;"",O28,"")</f>
        <v/>
      </c>
      <c r="E59" s="1441"/>
      <c r="F59" s="1441"/>
      <c r="G59" s="756" t="str">
        <f>IF(OR(Q23=2966,Q26=2966,Q29=2966),2966,"")</f>
        <v/>
      </c>
      <c r="H59" s="1441" t="str">
        <f>IF(OR(Q23=2966,Q26=2966,Q29=2966),O23+O26+O29,"")</f>
        <v/>
      </c>
      <c r="I59" s="1441"/>
      <c r="J59" s="1441"/>
      <c r="K59" s="1446" t="str">
        <f>IF(Q33="2967",Q33,IF(Q21&lt;&gt;"",Q21,IF(AND(Q33&lt;&gt;"2967",Q21=""),"")))</f>
        <v/>
      </c>
      <c r="L59" s="1446"/>
      <c r="M59" s="1441" t="str">
        <f>IF(Q33="2967",O33,IF(Q21&lt;&gt;"",O21,IF(AND(Q33&lt;&gt;"2967",Q21=""),"")))</f>
        <v/>
      </c>
      <c r="N59" s="1441"/>
      <c r="O59" s="1441"/>
      <c r="P59" s="1447" t="str">
        <f>IF(OR(Q24=2977,Q27=2977,Q30=2977),2977,"")</f>
        <v/>
      </c>
      <c r="Q59" s="1447"/>
      <c r="R59" s="1441" t="str">
        <f>IF(OR(Q24=2977,Q27=2977,Q30=2977),O24+O27+O30,"")</f>
        <v/>
      </c>
      <c r="S59" s="1441"/>
      <c r="T59" s="1441"/>
      <c r="U59" s="1094"/>
      <c r="V59" s="59"/>
    </row>
    <row r="60" spans="2:54" ht="14.1" customHeight="1" x14ac:dyDescent="0.4">
      <c r="B60" s="58"/>
      <c r="C60" s="1096">
        <f>IF(C40&lt;&gt;"",C40,"")</f>
        <v>2979</v>
      </c>
      <c r="D60" s="1441">
        <f>IF(C40&lt;&gt;"",D40,"")</f>
        <v>64.8</v>
      </c>
      <c r="E60" s="1441"/>
      <c r="F60" s="1441"/>
      <c r="G60" s="1094"/>
      <c r="H60" s="1094"/>
      <c r="I60" s="1094"/>
      <c r="J60" s="1094"/>
      <c r="K60" s="1094"/>
      <c r="L60" s="1094"/>
      <c r="M60" s="1094"/>
      <c r="N60" s="1094"/>
      <c r="O60" s="1094"/>
      <c r="P60" s="1094"/>
      <c r="Q60" s="1094"/>
      <c r="R60" s="1094"/>
      <c r="S60" s="1094"/>
      <c r="T60" s="1094"/>
      <c r="U60" s="1094"/>
      <c r="V60" s="59"/>
    </row>
    <row r="61" spans="2:54" ht="12" customHeight="1" x14ac:dyDescent="0.4">
      <c r="B61" s="58"/>
      <c r="C61" s="1092"/>
      <c r="D61" s="1094"/>
      <c r="E61" s="1094"/>
      <c r="F61" s="1094"/>
      <c r="G61" s="1094"/>
      <c r="H61" s="1094"/>
      <c r="I61" s="1094"/>
      <c r="J61" s="1094"/>
      <c r="K61" s="1094"/>
      <c r="L61" s="1094"/>
      <c r="M61" s="1094"/>
      <c r="N61" s="1094"/>
      <c r="O61" s="1094"/>
      <c r="P61" s="1094"/>
      <c r="Q61" s="1094"/>
      <c r="R61" s="1094"/>
      <c r="S61" s="1094"/>
      <c r="T61" s="1094"/>
      <c r="U61" s="1094"/>
      <c r="V61" s="59"/>
    </row>
    <row r="62" spans="2:54" ht="15.95" customHeight="1" x14ac:dyDescent="0.4">
      <c r="B62" s="58"/>
      <c r="C62" s="1434" t="s">
        <v>362</v>
      </c>
      <c r="D62" s="1434"/>
      <c r="E62" s="1434"/>
      <c r="F62" s="1442" t="str">
        <f>I9</f>
        <v>E.E. Paulo José Derenusson</v>
      </c>
      <c r="G62" s="1442"/>
      <c r="H62" s="1442"/>
      <c r="I62" s="1442"/>
      <c r="J62" s="1442"/>
      <c r="K62" s="1442"/>
      <c r="L62" s="1442"/>
      <c r="M62" s="1442"/>
      <c r="N62" s="1442"/>
      <c r="O62" s="1443" t="s">
        <v>364</v>
      </c>
      <c r="P62" s="1443"/>
      <c r="Q62" s="1443"/>
      <c r="R62" s="1444" t="str">
        <f>R9</f>
        <v>Uberaba</v>
      </c>
      <c r="S62" s="1444"/>
      <c r="T62" s="1444"/>
      <c r="U62" s="1444"/>
      <c r="V62" s="59"/>
    </row>
    <row r="63" spans="2:54" ht="9.9499999999999993" customHeight="1" x14ac:dyDescent="0.4">
      <c r="B63" s="58"/>
      <c r="C63" s="1092"/>
      <c r="D63" s="1094"/>
      <c r="E63" s="1094"/>
      <c r="F63" s="1094"/>
      <c r="G63" s="1094"/>
      <c r="H63" s="1094"/>
      <c r="I63" s="1094"/>
      <c r="J63" s="1094"/>
      <c r="K63" s="1094"/>
      <c r="L63" s="1094"/>
      <c r="M63" s="1094"/>
      <c r="N63" s="1094"/>
      <c r="O63" s="1094"/>
      <c r="P63" s="1094"/>
      <c r="Q63" s="1094"/>
      <c r="R63" s="1094"/>
      <c r="S63" s="1094"/>
      <c r="T63" s="1094"/>
      <c r="U63" s="1094"/>
      <c r="V63" s="59"/>
    </row>
    <row r="64" spans="2:54" ht="15.95" customHeight="1" x14ac:dyDescent="0.4">
      <c r="B64" s="58"/>
      <c r="C64" s="1436" t="str">
        <f>[1]Geral!I8</f>
        <v>Uberaba</v>
      </c>
      <c r="D64" s="1436"/>
      <c r="E64" s="1436"/>
      <c r="F64" s="1436"/>
      <c r="G64" s="1436"/>
      <c r="H64" s="1436"/>
      <c r="I64" s="1436"/>
      <c r="J64" s="1436"/>
      <c r="K64" s="1436"/>
      <c r="L64" s="1092" t="s">
        <v>365</v>
      </c>
      <c r="M64" s="1445">
        <f ca="1">IF(G31&lt;&gt;0,I31,TODAY())</f>
        <v>43238</v>
      </c>
      <c r="N64" s="1445"/>
      <c r="O64" s="1445"/>
      <c r="P64" s="1445"/>
      <c r="Q64" s="1445"/>
      <c r="R64" s="1445"/>
      <c r="S64" s="1445"/>
      <c r="T64" s="1445"/>
      <c r="U64" s="1445"/>
      <c r="V64" s="59"/>
    </row>
    <row r="65" spans="2:22" ht="5.0999999999999996" customHeight="1" x14ac:dyDescent="0.4">
      <c r="B65" s="58"/>
      <c r="C65" s="1092"/>
      <c r="D65" s="1094"/>
      <c r="E65" s="1094"/>
      <c r="F65" s="1094"/>
      <c r="G65" s="1094"/>
      <c r="H65" s="1094"/>
      <c r="I65" s="1094"/>
      <c r="J65" s="1094"/>
      <c r="K65" s="1094"/>
      <c r="L65" s="1094"/>
      <c r="M65" s="1094"/>
      <c r="N65" s="1094"/>
      <c r="O65" s="1094"/>
      <c r="P65" s="1094"/>
      <c r="Q65" s="1094"/>
      <c r="R65" s="1094"/>
      <c r="S65" s="1094"/>
      <c r="T65" s="1094"/>
      <c r="U65" s="1094"/>
      <c r="V65" s="59"/>
    </row>
    <row r="66" spans="2:22" ht="15.95" customHeight="1" x14ac:dyDescent="0.4">
      <c r="B66" s="58"/>
      <c r="C66" s="1439" t="s">
        <v>366</v>
      </c>
      <c r="D66" s="1439"/>
      <c r="E66" s="1439"/>
      <c r="F66" s="1439"/>
      <c r="G66" s="1439"/>
      <c r="H66" s="1439"/>
      <c r="I66" s="1439"/>
      <c r="J66" s="1439"/>
      <c r="K66" s="1439"/>
      <c r="L66" s="1439"/>
      <c r="M66" s="1439"/>
      <c r="N66" s="1439"/>
      <c r="O66" s="1439"/>
      <c r="P66" s="1439"/>
      <c r="Q66" s="1439"/>
      <c r="R66" s="1439"/>
      <c r="S66" s="1439"/>
      <c r="T66" s="1439"/>
      <c r="U66" s="1439"/>
      <c r="V66" s="59"/>
    </row>
    <row r="67" spans="2:22" ht="3" customHeight="1" x14ac:dyDescent="0.4">
      <c r="B67" s="58"/>
      <c r="C67" s="1440"/>
      <c r="D67" s="1440"/>
      <c r="E67" s="1440"/>
      <c r="F67" s="1440"/>
      <c r="G67" s="1440"/>
      <c r="H67" s="1440"/>
      <c r="I67" s="1440"/>
      <c r="J67" s="1440"/>
      <c r="K67" s="1440"/>
      <c r="L67" s="1440"/>
      <c r="M67" s="1440"/>
      <c r="N67" s="1440"/>
      <c r="O67" s="1440"/>
      <c r="P67" s="1440"/>
      <c r="Q67" s="1440"/>
      <c r="R67" s="1440"/>
      <c r="S67" s="1440"/>
      <c r="T67" s="1440"/>
      <c r="U67" s="1440"/>
      <c r="V67" s="59"/>
    </row>
    <row r="68" spans="2:22" ht="15.95" customHeight="1" x14ac:dyDescent="0.4">
      <c r="B68" s="58"/>
      <c r="C68" s="1433" t="s">
        <v>367</v>
      </c>
      <c r="D68" s="1433"/>
      <c r="E68" s="1433" t="str">
        <f>[1]Geral!I10</f>
        <v>Alterar</v>
      </c>
      <c r="F68" s="1433"/>
      <c r="G68" s="1433"/>
      <c r="H68" s="1433"/>
      <c r="I68" s="1433"/>
      <c r="J68" s="1433"/>
      <c r="K68" s="1433"/>
      <c r="L68" s="1433"/>
      <c r="M68" s="1436" t="s">
        <v>1</v>
      </c>
      <c r="N68" s="1436"/>
      <c r="O68" s="1437">
        <f>[1]Geral!T10</f>
        <v>0</v>
      </c>
      <c r="P68" s="1437"/>
      <c r="Q68" s="1437"/>
      <c r="R68" s="1434"/>
      <c r="S68" s="1434"/>
      <c r="T68" s="1434"/>
      <c r="U68" s="1434"/>
      <c r="V68" s="59"/>
    </row>
    <row r="69" spans="2:22" ht="15.95" customHeight="1" x14ac:dyDescent="0.4">
      <c r="B69" s="58"/>
      <c r="C69" s="1434" t="s">
        <v>369</v>
      </c>
      <c r="D69" s="1434"/>
      <c r="E69" s="1092"/>
      <c r="F69" s="1092"/>
      <c r="G69" s="1092"/>
      <c r="H69" s="1092"/>
      <c r="I69" s="1092"/>
      <c r="J69" s="1092"/>
      <c r="K69" s="1092"/>
      <c r="L69" s="1092"/>
      <c r="M69" s="1093"/>
      <c r="N69" s="1093"/>
      <c r="O69" s="1092"/>
      <c r="P69" s="1092"/>
      <c r="Q69" s="1092"/>
      <c r="R69" s="1092"/>
      <c r="S69" s="1092"/>
      <c r="T69" s="1092"/>
      <c r="U69" s="1092"/>
      <c r="V69" s="59"/>
    </row>
    <row r="70" spans="2:22" ht="15.95" customHeight="1" x14ac:dyDescent="0.4">
      <c r="B70" s="58"/>
      <c r="C70" s="1092"/>
      <c r="D70" s="1094"/>
      <c r="E70" s="1094"/>
      <c r="F70" s="1094"/>
      <c r="G70" s="1094"/>
      <c r="H70" s="1094"/>
      <c r="I70" s="1094"/>
      <c r="J70" s="1094"/>
      <c r="K70" s="1094"/>
      <c r="L70" s="1094"/>
      <c r="M70" s="1094"/>
      <c r="N70" s="1094"/>
      <c r="O70" s="1094"/>
      <c r="P70" s="1094"/>
      <c r="Q70" s="1094"/>
      <c r="R70" s="1094"/>
      <c r="S70" s="1094"/>
      <c r="T70" s="1094"/>
      <c r="U70" s="1094"/>
      <c r="V70" s="59"/>
    </row>
    <row r="71" spans="2:22" ht="15.95" customHeight="1" x14ac:dyDescent="0.4">
      <c r="B71" s="58"/>
      <c r="C71" s="1435" t="s">
        <v>368</v>
      </c>
      <c r="D71" s="1435"/>
      <c r="E71" s="1435"/>
      <c r="F71" s="1435"/>
      <c r="G71" s="1435"/>
      <c r="H71" s="1435"/>
      <c r="I71" s="1435"/>
      <c r="J71" s="1435"/>
      <c r="K71" s="1435"/>
      <c r="L71" s="1435"/>
      <c r="M71" s="1435"/>
      <c r="N71" s="1435"/>
      <c r="O71" s="1435"/>
      <c r="P71" s="1435"/>
      <c r="Q71" s="1435"/>
      <c r="R71" s="1435"/>
      <c r="S71" s="1435"/>
      <c r="T71" s="1435"/>
      <c r="U71" s="1435"/>
      <c r="V71" s="59"/>
    </row>
    <row r="72" spans="2:22" ht="8.1" customHeight="1" x14ac:dyDescent="0.4">
      <c r="B72" s="58"/>
      <c r="C72" s="1092"/>
      <c r="D72" s="1094"/>
      <c r="E72" s="1094"/>
      <c r="F72" s="1094"/>
      <c r="G72" s="1094"/>
      <c r="H72" s="1094"/>
      <c r="I72" s="1094"/>
      <c r="J72" s="1094"/>
      <c r="K72" s="1094"/>
      <c r="L72" s="1094"/>
      <c r="M72" s="1094"/>
      <c r="N72" s="1094"/>
      <c r="O72" s="1094"/>
      <c r="P72" s="1094"/>
      <c r="Q72" s="1094"/>
      <c r="R72" s="1094"/>
      <c r="S72" s="1094"/>
      <c r="T72" s="1094"/>
      <c r="U72" s="1094"/>
      <c r="V72" s="59"/>
    </row>
    <row r="73" spans="2:22" ht="15.95" customHeight="1" x14ac:dyDescent="0.4">
      <c r="B73" s="58"/>
      <c r="C73" s="1435" t="str">
        <f>[1]Geral!C11</f>
        <v>Coordenador(a) Setor de Pagamento</v>
      </c>
      <c r="D73" s="1435"/>
      <c r="E73" s="1435"/>
      <c r="F73" s="1435"/>
      <c r="G73" s="1435"/>
      <c r="H73" s="1435"/>
      <c r="I73" s="1435"/>
      <c r="J73" s="1435"/>
      <c r="K73" s="1435"/>
      <c r="L73" s="1435"/>
      <c r="M73" s="1435"/>
      <c r="N73" s="1435"/>
      <c r="O73" s="1435"/>
      <c r="P73" s="1435"/>
      <c r="Q73" s="1435"/>
      <c r="R73" s="1435"/>
      <c r="S73" s="1435"/>
      <c r="T73" s="1435"/>
      <c r="U73" s="1435"/>
      <c r="V73" s="59"/>
    </row>
    <row r="74" spans="2:22" ht="3" customHeight="1" x14ac:dyDescent="0.4">
      <c r="B74" s="58"/>
      <c r="C74" s="1438"/>
      <c r="D74" s="1438"/>
      <c r="E74" s="1438"/>
      <c r="F74" s="1438"/>
      <c r="G74" s="1438"/>
      <c r="H74" s="1438"/>
      <c r="I74" s="1438"/>
      <c r="J74" s="1438"/>
      <c r="K74" s="1438"/>
      <c r="L74" s="1438"/>
      <c r="M74" s="1438"/>
      <c r="N74" s="1438"/>
      <c r="O74" s="1438"/>
      <c r="P74" s="1438"/>
      <c r="Q74" s="1438"/>
      <c r="R74" s="1438"/>
      <c r="S74" s="1438"/>
      <c r="T74" s="1438"/>
      <c r="U74" s="1438"/>
      <c r="V74" s="59"/>
    </row>
    <row r="75" spans="2:22" ht="15.95" customHeight="1" x14ac:dyDescent="0.4">
      <c r="B75" s="58"/>
      <c r="C75" s="1433" t="s">
        <v>367</v>
      </c>
      <c r="D75" s="1433"/>
      <c r="E75" s="1433" t="str">
        <f>[1]Geral!I11</f>
        <v>Elizabet das Graças Limido Santos</v>
      </c>
      <c r="F75" s="1433"/>
      <c r="G75" s="1433"/>
      <c r="H75" s="1433"/>
      <c r="I75" s="1433"/>
      <c r="J75" s="1433"/>
      <c r="K75" s="1433"/>
      <c r="L75" s="1433"/>
      <c r="M75" s="1436" t="s">
        <v>1</v>
      </c>
      <c r="N75" s="1436"/>
      <c r="O75" s="1437">
        <f>[1]Geral!T11</f>
        <v>4440780</v>
      </c>
      <c r="P75" s="1437"/>
      <c r="Q75" s="1437"/>
      <c r="R75" s="1434"/>
      <c r="S75" s="1434"/>
      <c r="T75" s="1434"/>
      <c r="U75" s="1434"/>
      <c r="V75" s="59"/>
    </row>
    <row r="76" spans="2:22" ht="15.95" customHeight="1" x14ac:dyDescent="0.4">
      <c r="B76" s="58"/>
      <c r="C76" s="1433" t="s">
        <v>369</v>
      </c>
      <c r="D76" s="1433"/>
      <c r="E76" s="1433"/>
      <c r="F76" s="1433"/>
      <c r="G76" s="1433"/>
      <c r="H76" s="1433"/>
      <c r="I76" s="1433"/>
      <c r="J76" s="1433"/>
      <c r="K76" s="1433"/>
      <c r="L76" s="1433"/>
      <c r="M76" s="1433"/>
      <c r="N76" s="1433"/>
      <c r="O76" s="1433"/>
      <c r="P76" s="1433"/>
      <c r="Q76" s="1433"/>
      <c r="R76" s="1433"/>
      <c r="S76" s="1433"/>
      <c r="T76" s="1433"/>
      <c r="U76" s="1433"/>
      <c r="V76" s="59"/>
    </row>
    <row r="77" spans="2:22" ht="15.95" customHeight="1" x14ac:dyDescent="0.4">
      <c r="B77" s="58"/>
      <c r="C77" s="1434"/>
      <c r="D77" s="1434"/>
      <c r="E77" s="1434"/>
      <c r="F77" s="1434"/>
      <c r="G77" s="1434"/>
      <c r="H77" s="1434"/>
      <c r="I77" s="1434"/>
      <c r="J77" s="1434"/>
      <c r="K77" s="1434"/>
      <c r="L77" s="1434"/>
      <c r="M77" s="1434"/>
      <c r="N77" s="1434"/>
      <c r="O77" s="1434"/>
      <c r="P77" s="1434"/>
      <c r="Q77" s="1434"/>
      <c r="R77" s="1434"/>
      <c r="S77" s="1434"/>
      <c r="T77" s="1434"/>
      <c r="U77" s="1434"/>
      <c r="V77" s="59"/>
    </row>
    <row r="78" spans="2:22" ht="15.95" customHeight="1" x14ac:dyDescent="0.4">
      <c r="B78" s="58"/>
      <c r="C78" s="1435" t="str">
        <f>IF(AND(S31&gt;=[1]Geral!F27,S31&lt;&gt;"Aguard. Dados"),[1]Geral!C12,"")</f>
        <v>Diretor(a) da Diretoria de Pessoal</v>
      </c>
      <c r="D78" s="1435"/>
      <c r="E78" s="1435"/>
      <c r="F78" s="1435"/>
      <c r="G78" s="1435"/>
      <c r="H78" s="1435"/>
      <c r="I78" s="1435"/>
      <c r="J78" s="1435"/>
      <c r="K78" s="1435"/>
      <c r="L78" s="1435"/>
      <c r="M78" s="1435"/>
      <c r="N78" s="1435"/>
      <c r="O78" s="1435"/>
      <c r="P78" s="1435"/>
      <c r="Q78" s="1435"/>
      <c r="R78" s="1435"/>
      <c r="S78" s="1435"/>
      <c r="T78" s="1435"/>
      <c r="U78" s="1435"/>
      <c r="V78" s="59"/>
    </row>
    <row r="79" spans="2:22" ht="3" customHeight="1" x14ac:dyDescent="0.4">
      <c r="B79" s="58"/>
      <c r="C79" s="1438"/>
      <c r="D79" s="1438"/>
      <c r="E79" s="1438"/>
      <c r="F79" s="1438"/>
      <c r="G79" s="1438"/>
      <c r="H79" s="1438"/>
      <c r="I79" s="1438"/>
      <c r="J79" s="1438"/>
      <c r="K79" s="1438"/>
      <c r="L79" s="1438"/>
      <c r="M79" s="1438"/>
      <c r="N79" s="1438"/>
      <c r="O79" s="1438"/>
      <c r="P79" s="1438"/>
      <c r="Q79" s="1438"/>
      <c r="R79" s="1438"/>
      <c r="S79" s="1438"/>
      <c r="T79" s="1438"/>
      <c r="U79" s="1438"/>
      <c r="V79" s="59"/>
    </row>
    <row r="80" spans="2:22" ht="15.95" customHeight="1" x14ac:dyDescent="0.4">
      <c r="B80" s="58"/>
      <c r="C80" s="1433" t="str">
        <f>IF(AND(S31&gt;=[1]Geral!F27,S31&lt;&gt;"Aguard. Dados"),"Nome:","")</f>
        <v>Nome:</v>
      </c>
      <c r="D80" s="1433"/>
      <c r="E80" s="1433" t="str">
        <f>IF(AND(S31&gt;=[1]Geral!F27,S31&lt;&gt;"Aguard. Dados"),[1]Geral!I12,"")</f>
        <v>Maria Célia da Cunha Ferreira</v>
      </c>
      <c r="F80" s="1433"/>
      <c r="G80" s="1433"/>
      <c r="H80" s="1433"/>
      <c r="I80" s="1433"/>
      <c r="J80" s="1433"/>
      <c r="K80" s="1433"/>
      <c r="L80" s="1433"/>
      <c r="M80" s="1436" t="str">
        <f>IF(AND(S31&gt;=[1]Geral!F27,S31&lt;&gt;"Aguard. Dados"),"MaSP:","")</f>
        <v>MaSP:</v>
      </c>
      <c r="N80" s="1436"/>
      <c r="O80" s="1437">
        <f>IF(AND(S31&gt;=[1]Geral!F27,S31&lt;&gt;"Aguard. Dados"),[1]Geral!T12,"")</f>
        <v>8173536</v>
      </c>
      <c r="P80" s="1437"/>
      <c r="Q80" s="1437"/>
      <c r="R80" s="1434"/>
      <c r="S80" s="1434"/>
      <c r="T80" s="1434"/>
      <c r="U80" s="1434"/>
      <c r="V80" s="59"/>
    </row>
    <row r="81" spans="2:22" ht="15.95" customHeight="1" x14ac:dyDescent="0.4">
      <c r="B81" s="58"/>
      <c r="C81" s="1433" t="str">
        <f>IF(AND(S31&gt;=[1]Geral!F27,S31&lt;&gt;"Aguard. Dados"),"Assinatura:","")</f>
        <v>Assinatura:</v>
      </c>
      <c r="D81" s="1433"/>
      <c r="E81" s="1433"/>
      <c r="F81" s="1433"/>
      <c r="G81" s="1433"/>
      <c r="H81" s="1433"/>
      <c r="I81" s="1433"/>
      <c r="J81" s="1433"/>
      <c r="K81" s="1433"/>
      <c r="L81" s="1433"/>
      <c r="M81" s="1433"/>
      <c r="N81" s="1433"/>
      <c r="O81" s="1433"/>
      <c r="P81" s="1433"/>
      <c r="Q81" s="1433"/>
      <c r="R81" s="1433"/>
      <c r="S81" s="1433"/>
      <c r="T81" s="1433"/>
      <c r="U81" s="1433"/>
      <c r="V81" s="59"/>
    </row>
    <row r="82" spans="2:22" ht="15.95" customHeight="1" x14ac:dyDescent="0.4">
      <c r="B82" s="58"/>
      <c r="C82" s="1434"/>
      <c r="D82" s="1434"/>
      <c r="E82" s="1434"/>
      <c r="F82" s="1434"/>
      <c r="G82" s="1434"/>
      <c r="H82" s="1434"/>
      <c r="I82" s="1434"/>
      <c r="J82" s="1434"/>
      <c r="K82" s="1434"/>
      <c r="L82" s="1434"/>
      <c r="M82" s="1434"/>
      <c r="N82" s="1434"/>
      <c r="O82" s="1434"/>
      <c r="P82" s="1434"/>
      <c r="Q82" s="1434"/>
      <c r="R82" s="1434"/>
      <c r="S82" s="1434"/>
      <c r="T82" s="1434"/>
      <c r="U82" s="1434"/>
      <c r="V82" s="59"/>
    </row>
    <row r="83" spans="2:22" ht="15.95" customHeight="1" x14ac:dyDescent="0.4">
      <c r="B83" s="58"/>
      <c r="C83" s="1434"/>
      <c r="D83" s="1434"/>
      <c r="E83" s="1434"/>
      <c r="F83" s="1434"/>
      <c r="G83" s="1434"/>
      <c r="H83" s="1434"/>
      <c r="I83" s="1434"/>
      <c r="J83" s="1434"/>
      <c r="K83" s="1434"/>
      <c r="L83" s="1434"/>
      <c r="M83" s="1434"/>
      <c r="N83" s="1434"/>
      <c r="O83" s="1434"/>
      <c r="P83" s="1434"/>
      <c r="Q83" s="1434"/>
      <c r="R83" s="1434"/>
      <c r="S83" s="1434"/>
      <c r="T83" s="1434"/>
      <c r="U83" s="1434"/>
      <c r="V83" s="59"/>
    </row>
    <row r="84" spans="2:22" ht="15.95" customHeight="1" x14ac:dyDescent="0.4">
      <c r="B84" s="58"/>
      <c r="C84" s="1435" t="str">
        <f>IF(AND(S31&gt;=[1]Geral!K27,S31&lt;&gt;"Aguard. Dados"),[1]Geral!C13,"")</f>
        <v>Diretor(a) da S.R.E.</v>
      </c>
      <c r="D84" s="1435"/>
      <c r="E84" s="1435"/>
      <c r="F84" s="1435"/>
      <c r="G84" s="1435"/>
      <c r="H84" s="1435"/>
      <c r="I84" s="1435"/>
      <c r="J84" s="1435"/>
      <c r="K84" s="1435"/>
      <c r="L84" s="1435"/>
      <c r="M84" s="1435"/>
      <c r="N84" s="1435"/>
      <c r="O84" s="1435"/>
      <c r="P84" s="1435"/>
      <c r="Q84" s="1435"/>
      <c r="R84" s="1435"/>
      <c r="S84" s="1435"/>
      <c r="T84" s="1435"/>
      <c r="U84" s="1435"/>
      <c r="V84" s="59"/>
    </row>
    <row r="85" spans="2:22" ht="3" customHeight="1" x14ac:dyDescent="0.4">
      <c r="B85" s="58"/>
      <c r="C85" s="1438"/>
      <c r="D85" s="1438"/>
      <c r="E85" s="1438"/>
      <c r="F85" s="1438"/>
      <c r="G85" s="1438"/>
      <c r="H85" s="1438"/>
      <c r="I85" s="1438"/>
      <c r="J85" s="1438"/>
      <c r="K85" s="1438"/>
      <c r="L85" s="1438"/>
      <c r="M85" s="1438"/>
      <c r="N85" s="1438"/>
      <c r="O85" s="1438"/>
      <c r="P85" s="1438"/>
      <c r="Q85" s="1438"/>
      <c r="R85" s="1438"/>
      <c r="S85" s="1438"/>
      <c r="T85" s="1438"/>
      <c r="U85" s="1438"/>
      <c r="V85" s="59"/>
    </row>
    <row r="86" spans="2:22" ht="15.95" customHeight="1" x14ac:dyDescent="0.4">
      <c r="B86" s="58"/>
      <c r="C86" s="1433" t="str">
        <f>IF(AND(S31&gt;=[1]Geral!K27,S31&lt;&gt;"Aguard. Dados"),"Nome:","")</f>
        <v>Nome:</v>
      </c>
      <c r="D86" s="1433"/>
      <c r="E86" s="1433" t="str">
        <f>IF(AND(S31&gt;=[1]Geral!K27,S31&lt;&gt;"Aguard. Dados"),[1]Geral!I13,"")</f>
        <v>Marilda Ribeiro Resende</v>
      </c>
      <c r="F86" s="1433"/>
      <c r="G86" s="1433"/>
      <c r="H86" s="1433"/>
      <c r="I86" s="1433"/>
      <c r="J86" s="1433"/>
      <c r="K86" s="1433"/>
      <c r="L86" s="1433"/>
      <c r="M86" s="1436" t="str">
        <f>IF(AND(S31&gt;=[1]Geral!K27,S31&lt;&gt;"Aguard. Dados"),"MaSP:","")</f>
        <v>MaSP:</v>
      </c>
      <c r="N86" s="1436"/>
      <c r="O86" s="1437">
        <f>IF(AND(S31&gt;=[1]Geral!K27,S31&lt;&gt;"Aguard. Dados"),[1]Geral!T13,"")</f>
        <v>2554624</v>
      </c>
      <c r="P86" s="1437"/>
      <c r="Q86" s="1437"/>
      <c r="R86" s="1434"/>
      <c r="S86" s="1434"/>
      <c r="T86" s="1434"/>
      <c r="U86" s="1434"/>
      <c r="V86" s="59"/>
    </row>
    <row r="87" spans="2:22" ht="15.95" customHeight="1" x14ac:dyDescent="0.4">
      <c r="B87" s="58"/>
      <c r="C87" s="1433" t="str">
        <f>IF(AND(S31&gt;=[1]Geral!K27,S31&lt;&gt;"Aguard. Dados"),"Assinatura:","")</f>
        <v>Assinatura:</v>
      </c>
      <c r="D87" s="1433"/>
      <c r="E87" s="1433"/>
      <c r="F87" s="1433"/>
      <c r="G87" s="1433"/>
      <c r="H87" s="1433"/>
      <c r="I87" s="1433"/>
      <c r="J87" s="1433"/>
      <c r="K87" s="1433"/>
      <c r="L87" s="1433"/>
      <c r="M87" s="1433"/>
      <c r="N87" s="1433"/>
      <c r="O87" s="1433"/>
      <c r="P87" s="1433"/>
      <c r="Q87" s="1433"/>
      <c r="R87" s="1433"/>
      <c r="S87" s="1433"/>
      <c r="T87" s="1433"/>
      <c r="U87" s="1433"/>
      <c r="V87" s="59"/>
    </row>
    <row r="88" spans="2:22" ht="15.95" customHeight="1" x14ac:dyDescent="0.4">
      <c r="B88" s="58"/>
      <c r="C88" s="1434"/>
      <c r="D88" s="1434"/>
      <c r="E88" s="1434"/>
      <c r="F88" s="1434"/>
      <c r="G88" s="1434"/>
      <c r="H88" s="1434"/>
      <c r="I88" s="1434"/>
      <c r="J88" s="1434"/>
      <c r="K88" s="1434"/>
      <c r="L88" s="1434"/>
      <c r="M88" s="1434"/>
      <c r="N88" s="1434"/>
      <c r="O88" s="1434"/>
      <c r="P88" s="1434"/>
      <c r="Q88" s="1434"/>
      <c r="R88" s="1434"/>
      <c r="S88" s="1434"/>
      <c r="T88" s="1434"/>
      <c r="U88" s="1434"/>
      <c r="V88" s="59"/>
    </row>
    <row r="89" spans="2:22" ht="15.95" customHeight="1" x14ac:dyDescent="0.4">
      <c r="B89" s="58"/>
      <c r="C89" s="1434"/>
      <c r="D89" s="1434"/>
      <c r="E89" s="1434"/>
      <c r="F89" s="1434"/>
      <c r="G89" s="1434"/>
      <c r="H89" s="1434"/>
      <c r="I89" s="1434"/>
      <c r="J89" s="1434"/>
      <c r="K89" s="1434"/>
      <c r="L89" s="1434"/>
      <c r="M89" s="1434"/>
      <c r="N89" s="1434"/>
      <c r="O89" s="1434"/>
      <c r="P89" s="1434"/>
      <c r="Q89" s="1434"/>
      <c r="R89" s="1434"/>
      <c r="S89" s="1434"/>
      <c r="T89" s="1434"/>
      <c r="U89" s="1434"/>
      <c r="V89" s="59"/>
    </row>
    <row r="90" spans="2:22" ht="15.95" customHeight="1" x14ac:dyDescent="0.4">
      <c r="B90" s="58"/>
      <c r="C90" s="1435" t="str">
        <f>IF(AND(S31&gt;=[1]Geral!P27,S31&lt;&gt;"Aguard. Dados"),[1]Geral!C15,"")</f>
        <v>Subsecretário G. Recursos Humanos</v>
      </c>
      <c r="D90" s="1435"/>
      <c r="E90" s="1435"/>
      <c r="F90" s="1435"/>
      <c r="G90" s="1435"/>
      <c r="H90" s="1435"/>
      <c r="I90" s="1435"/>
      <c r="J90" s="1435"/>
      <c r="K90" s="1435"/>
      <c r="L90" s="1435"/>
      <c r="M90" s="1435"/>
      <c r="N90" s="1435"/>
      <c r="O90" s="1435"/>
      <c r="P90" s="1435"/>
      <c r="Q90" s="1435"/>
      <c r="R90" s="1435"/>
      <c r="S90" s="1435"/>
      <c r="T90" s="1435"/>
      <c r="U90" s="1435"/>
      <c r="V90" s="59"/>
    </row>
    <row r="91" spans="2:22" ht="3" customHeight="1" x14ac:dyDescent="0.4">
      <c r="B91" s="58"/>
      <c r="C91" s="1438"/>
      <c r="D91" s="1438"/>
      <c r="E91" s="1438"/>
      <c r="F91" s="1438"/>
      <c r="G91" s="1438"/>
      <c r="H91" s="1438"/>
      <c r="I91" s="1438"/>
      <c r="J91" s="1438"/>
      <c r="K91" s="1438"/>
      <c r="L91" s="1438"/>
      <c r="M91" s="1438"/>
      <c r="N91" s="1438"/>
      <c r="O91" s="1438"/>
      <c r="P91" s="1438"/>
      <c r="Q91" s="1438"/>
      <c r="R91" s="1438"/>
      <c r="S91" s="1438"/>
      <c r="T91" s="1438"/>
      <c r="U91" s="1438"/>
      <c r="V91" s="59"/>
    </row>
    <row r="92" spans="2:22" ht="15.95" customHeight="1" x14ac:dyDescent="0.4">
      <c r="B92" s="58"/>
      <c r="C92" s="1433" t="str">
        <f>IF(AND(S31&gt;=[1]Geral!P27,S31&lt;&gt;"Aguard. Dados"),"Nome:","")</f>
        <v>Nome:</v>
      </c>
      <c r="D92" s="1433"/>
      <c r="E92" s="1433" t="str">
        <f>IF(AND(S31&gt;=[1]Geral!P27,S31&lt;&gt;"Aguard. Dados"),[1]Geral!I15,"")</f>
        <v>Antonio David de Sousa Junior</v>
      </c>
      <c r="F92" s="1433"/>
      <c r="G92" s="1433"/>
      <c r="H92" s="1433"/>
      <c r="I92" s="1433"/>
      <c r="J92" s="1433"/>
      <c r="K92" s="1433"/>
      <c r="L92" s="1433"/>
      <c r="M92" s="1436" t="str">
        <f>IF(AND(S31&gt;=[1]Geral!P27,S31&lt;&gt;"Aguard. Dados"),"MaSP:","")</f>
        <v>MaSP:</v>
      </c>
      <c r="N92" s="1436"/>
      <c r="O92" s="1437">
        <f>IF(AND(S31&gt;=[1]Geral!P27,S31&lt;&gt;"Aguard. Dados"),[1]Geral!T15,"")</f>
        <v>13843784</v>
      </c>
      <c r="P92" s="1437"/>
      <c r="Q92" s="1437"/>
      <c r="R92" s="1434"/>
      <c r="S92" s="1434"/>
      <c r="T92" s="1434"/>
      <c r="U92" s="1434"/>
      <c r="V92" s="59"/>
    </row>
    <row r="93" spans="2:22" ht="15.95" customHeight="1" x14ac:dyDescent="0.4">
      <c r="B93" s="58"/>
      <c r="C93" s="1433" t="str">
        <f>IF(AND(S31&gt;=[1]Geral!P27,S31&lt;&gt;"Aguard. Dados"),"Assinatura:","")</f>
        <v>Assinatura:</v>
      </c>
      <c r="D93" s="1433"/>
      <c r="E93" s="1433"/>
      <c r="F93" s="1433"/>
      <c r="G93" s="1433"/>
      <c r="H93" s="1433"/>
      <c r="I93" s="1433"/>
      <c r="J93" s="1433"/>
      <c r="K93" s="1433"/>
      <c r="L93" s="1433"/>
      <c r="M93" s="1433"/>
      <c r="N93" s="1433"/>
      <c r="O93" s="1433"/>
      <c r="P93" s="1433"/>
      <c r="Q93" s="1433"/>
      <c r="R93" s="1433"/>
      <c r="S93" s="1433"/>
      <c r="T93" s="1433"/>
      <c r="U93" s="1433"/>
      <c r="V93" s="59"/>
    </row>
    <row r="94" spans="2:22" ht="15.95" customHeight="1" x14ac:dyDescent="0.4">
      <c r="B94" s="58"/>
      <c r="C94" s="1434"/>
      <c r="D94" s="1434"/>
      <c r="E94" s="1434"/>
      <c r="F94" s="1434"/>
      <c r="G94" s="1434"/>
      <c r="H94" s="1434"/>
      <c r="I94" s="1434"/>
      <c r="J94" s="1434"/>
      <c r="K94" s="1434"/>
      <c r="L94" s="1434"/>
      <c r="M94" s="1434"/>
      <c r="N94" s="1434"/>
      <c r="O94" s="1434"/>
      <c r="P94" s="1434"/>
      <c r="Q94" s="1434"/>
      <c r="R94" s="1434"/>
      <c r="S94" s="1434"/>
      <c r="T94" s="1434"/>
      <c r="U94" s="1434"/>
      <c r="V94" s="59"/>
    </row>
    <row r="95" spans="2:22" ht="15.95" customHeight="1" x14ac:dyDescent="0.4">
      <c r="B95" s="58"/>
      <c r="C95" s="1434"/>
      <c r="D95" s="1434"/>
      <c r="E95" s="1434"/>
      <c r="F95" s="1434"/>
      <c r="G95" s="1434"/>
      <c r="H95" s="1434"/>
      <c r="I95" s="1434"/>
      <c r="J95" s="1434"/>
      <c r="K95" s="1434"/>
      <c r="L95" s="1434"/>
      <c r="M95" s="1434"/>
      <c r="N95" s="1434"/>
      <c r="O95" s="1434"/>
      <c r="P95" s="1434"/>
      <c r="Q95" s="1434"/>
      <c r="R95" s="1434"/>
      <c r="S95" s="1434"/>
      <c r="T95" s="1434"/>
      <c r="U95" s="1434"/>
      <c r="V95" s="59"/>
    </row>
    <row r="96" spans="2:22" ht="15.95" customHeight="1" x14ac:dyDescent="0.4">
      <c r="B96" s="58"/>
      <c r="C96" s="1435" t="str">
        <f>IF(AND(S31&gt;=[1]Geral!T27,S31&lt;&gt;"Aguard. Dados"),[1]Geral!C16,"")</f>
        <v>Secretário(a) de Estado de Educação</v>
      </c>
      <c r="D96" s="1435"/>
      <c r="E96" s="1435"/>
      <c r="F96" s="1435"/>
      <c r="G96" s="1435"/>
      <c r="H96" s="1435"/>
      <c r="I96" s="1435"/>
      <c r="J96" s="1435"/>
      <c r="K96" s="1435"/>
      <c r="L96" s="1435"/>
      <c r="M96" s="1435"/>
      <c r="N96" s="1435"/>
      <c r="O96" s="1435"/>
      <c r="P96" s="1435"/>
      <c r="Q96" s="1435"/>
      <c r="R96" s="1435"/>
      <c r="S96" s="1435"/>
      <c r="T96" s="1435"/>
      <c r="U96" s="1435"/>
      <c r="V96" s="59"/>
    </row>
    <row r="97" spans="2:22" ht="3" customHeight="1" x14ac:dyDescent="0.4">
      <c r="B97" s="58"/>
      <c r="C97" s="1434"/>
      <c r="D97" s="1434"/>
      <c r="E97" s="1434"/>
      <c r="F97" s="1434"/>
      <c r="G97" s="1434"/>
      <c r="H97" s="1434"/>
      <c r="I97" s="1434"/>
      <c r="J97" s="1434"/>
      <c r="K97" s="1434"/>
      <c r="L97" s="1434"/>
      <c r="M97" s="1434"/>
      <c r="N97" s="1434"/>
      <c r="O97" s="1434"/>
      <c r="P97" s="1434"/>
      <c r="Q97" s="1434"/>
      <c r="R97" s="1434"/>
      <c r="S97" s="1434"/>
      <c r="T97" s="1434"/>
      <c r="U97" s="1434"/>
      <c r="V97" s="59"/>
    </row>
    <row r="98" spans="2:22" ht="15.95" customHeight="1" x14ac:dyDescent="0.4">
      <c r="B98" s="58"/>
      <c r="C98" s="1433" t="str">
        <f>IF(AND(S31&gt;=[1]Geral!T27,S31&lt;&gt;"Aguard. Dados"),"Nome:","")</f>
        <v>Nome:</v>
      </c>
      <c r="D98" s="1433"/>
      <c r="E98" s="1433" t="str">
        <f>IF(AND(S31&gt;=[1]Geral!T27,S31&lt;&gt;"Aguard. Dados"),[1]Geral!I16,"")</f>
        <v>Wieland Silberschneider</v>
      </c>
      <c r="F98" s="1433"/>
      <c r="G98" s="1433"/>
      <c r="H98" s="1433"/>
      <c r="I98" s="1433"/>
      <c r="J98" s="1433"/>
      <c r="K98" s="1433"/>
      <c r="L98" s="1433"/>
      <c r="M98" s="1436" t="str">
        <f>IF(AND(S31&gt;=[1]Geral!T27,S31&lt;&gt;"Aguard. Dados"),"MaSP:","")</f>
        <v>MaSP:</v>
      </c>
      <c r="N98" s="1436"/>
      <c r="O98" s="1437">
        <f>IF(AND(S31&gt;=[1]Geral!T27,S31&lt;&gt;"Aguard. Dados"),[1]Geral!T16,"")</f>
        <v>3100377</v>
      </c>
      <c r="P98" s="1437"/>
      <c r="Q98" s="1437"/>
      <c r="R98" s="1434"/>
      <c r="S98" s="1434"/>
      <c r="T98" s="1434"/>
      <c r="U98" s="1434"/>
      <c r="V98" s="59"/>
    </row>
    <row r="99" spans="2:22" ht="15.95" customHeight="1" x14ac:dyDescent="0.4">
      <c r="B99" s="58"/>
      <c r="C99" s="1433" t="str">
        <f>IF(AND(S31&gt;=[1]Geral!T27,S31&lt;&gt;"Aguard. Dados"),"Assinatura:","")</f>
        <v>Assinatura:</v>
      </c>
      <c r="D99" s="1433"/>
      <c r="E99" s="1433"/>
      <c r="F99" s="1433"/>
      <c r="G99" s="1433"/>
      <c r="H99" s="1433"/>
      <c r="I99" s="1433"/>
      <c r="J99" s="1433"/>
      <c r="K99" s="1433"/>
      <c r="L99" s="1433"/>
      <c r="M99" s="1433"/>
      <c r="N99" s="1433"/>
      <c r="O99" s="1433"/>
      <c r="P99" s="1433"/>
      <c r="Q99" s="1433"/>
      <c r="R99" s="1433"/>
      <c r="S99" s="1433"/>
      <c r="T99" s="1433"/>
      <c r="U99" s="1433"/>
      <c r="V99" s="59"/>
    </row>
    <row r="100" spans="2:22" ht="15.95" customHeight="1" thickBot="1" x14ac:dyDescent="0.45">
      <c r="B100" s="60"/>
      <c r="C100" s="61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3"/>
    </row>
    <row r="101" spans="2:22" ht="15.95" customHeight="1" thickTop="1" x14ac:dyDescent="0.4"/>
  </sheetData>
  <sheetProtection selectLockedCells="1"/>
  <mergeCells count="305">
    <mergeCell ref="B3:V3"/>
    <mergeCell ref="AL3:AL16"/>
    <mergeCell ref="B4:B36"/>
    <mergeCell ref="F4:R4"/>
    <mergeCell ref="S4:T4"/>
    <mergeCell ref="V4:V36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M13:N16"/>
    <mergeCell ref="O13:U13"/>
    <mergeCell ref="Y19:AC19"/>
    <mergeCell ref="AD19:AG19"/>
    <mergeCell ref="AH19:AK19"/>
    <mergeCell ref="C20:E20"/>
    <mergeCell ref="F20:N20"/>
    <mergeCell ref="O20:P20"/>
    <mergeCell ref="Q20:R20"/>
    <mergeCell ref="S20:T20"/>
    <mergeCell ref="S18:T18"/>
    <mergeCell ref="C19:E19"/>
    <mergeCell ref="G19:H19"/>
    <mergeCell ref="I19:J19"/>
    <mergeCell ref="L19:N19"/>
    <mergeCell ref="O19:P19"/>
    <mergeCell ref="Q19:R19"/>
    <mergeCell ref="S19:T19"/>
    <mergeCell ref="C18:E18"/>
    <mergeCell ref="G18:H18"/>
    <mergeCell ref="I18:J18"/>
    <mergeCell ref="L18:N18"/>
    <mergeCell ref="O18:P18"/>
    <mergeCell ref="Q18:R18"/>
    <mergeCell ref="C21:E21"/>
    <mergeCell ref="F21:N21"/>
    <mergeCell ref="O21:P21"/>
    <mergeCell ref="Q21:R21"/>
    <mergeCell ref="S21:T21"/>
    <mergeCell ref="C22:E22"/>
    <mergeCell ref="G22:H22"/>
    <mergeCell ref="I22:J22"/>
    <mergeCell ref="L22:N22"/>
    <mergeCell ref="O22:P22"/>
    <mergeCell ref="Q22:R22"/>
    <mergeCell ref="S22:T22"/>
    <mergeCell ref="AJ22:AK22"/>
    <mergeCell ref="C23:E23"/>
    <mergeCell ref="F23:N23"/>
    <mergeCell ref="O23:P23"/>
    <mergeCell ref="Q23:R23"/>
    <mergeCell ref="S23:T23"/>
    <mergeCell ref="C24:E24"/>
    <mergeCell ref="F24:N24"/>
    <mergeCell ref="O24:P24"/>
    <mergeCell ref="Q24:R24"/>
    <mergeCell ref="S24:T24"/>
    <mergeCell ref="G25:H25"/>
    <mergeCell ref="I25:J25"/>
    <mergeCell ref="L25:N25"/>
    <mergeCell ref="O25:P25"/>
    <mergeCell ref="Q25:R25"/>
    <mergeCell ref="S25:T25"/>
    <mergeCell ref="Y25:AG25"/>
    <mergeCell ref="AH25:AI25"/>
    <mergeCell ref="Y22:AG22"/>
    <mergeCell ref="AH22:AI22"/>
    <mergeCell ref="AJ25:AK25"/>
    <mergeCell ref="C26:E26"/>
    <mergeCell ref="F26:N26"/>
    <mergeCell ref="O26:P26"/>
    <mergeCell ref="Q26:R26"/>
    <mergeCell ref="S26:T26"/>
    <mergeCell ref="Q28:R28"/>
    <mergeCell ref="S28:T28"/>
    <mergeCell ref="C29:E29"/>
    <mergeCell ref="F29:N29"/>
    <mergeCell ref="O29:P29"/>
    <mergeCell ref="Q29:R29"/>
    <mergeCell ref="S29:T29"/>
    <mergeCell ref="C27:E27"/>
    <mergeCell ref="F27:N27"/>
    <mergeCell ref="O27:P27"/>
    <mergeCell ref="Q27:R27"/>
    <mergeCell ref="S27:T27"/>
    <mergeCell ref="C28:E28"/>
    <mergeCell ref="G28:H28"/>
    <mergeCell ref="I28:J28"/>
    <mergeCell ref="L28:N28"/>
    <mergeCell ref="O28:P28"/>
    <mergeCell ref="C25:E25"/>
    <mergeCell ref="AG31:AK31"/>
    <mergeCell ref="G32:H32"/>
    <mergeCell ref="I32:N32"/>
    <mergeCell ref="O32:P32"/>
    <mergeCell ref="Q32:R32"/>
    <mergeCell ref="S32:U32"/>
    <mergeCell ref="C30:E30"/>
    <mergeCell ref="F30:N30"/>
    <mergeCell ref="O30:P30"/>
    <mergeCell ref="Q30:R30"/>
    <mergeCell ref="S30:T30"/>
    <mergeCell ref="C31:E31"/>
    <mergeCell ref="G31:H31"/>
    <mergeCell ref="I31:M31"/>
    <mergeCell ref="N31:P31"/>
    <mergeCell ref="Q31:R31"/>
    <mergeCell ref="G33:H33"/>
    <mergeCell ref="I33:N33"/>
    <mergeCell ref="O33:P33"/>
    <mergeCell ref="Q33:R33"/>
    <mergeCell ref="S33:U33"/>
    <mergeCell ref="C34:U34"/>
    <mergeCell ref="S31:U31"/>
    <mergeCell ref="Y31:AA31"/>
    <mergeCell ref="AB31:AF31"/>
    <mergeCell ref="AH38:AI38"/>
    <mergeCell ref="C39:U39"/>
    <mergeCell ref="D40:E40"/>
    <mergeCell ref="H40:I40"/>
    <mergeCell ref="M40:R40"/>
    <mergeCell ref="S40:U40"/>
    <mergeCell ref="Y34:AK34"/>
    <mergeCell ref="C35:G35"/>
    <mergeCell ref="H35:U35"/>
    <mergeCell ref="C36:U36"/>
    <mergeCell ref="X36:AL37"/>
    <mergeCell ref="C38:G38"/>
    <mergeCell ref="I38:L38"/>
    <mergeCell ref="M38:N38"/>
    <mergeCell ref="P38:Q38"/>
    <mergeCell ref="Y38:AG38"/>
    <mergeCell ref="C46:U46"/>
    <mergeCell ref="Y46:AF46"/>
    <mergeCell ref="AG46:AK46"/>
    <mergeCell ref="C47:H47"/>
    <mergeCell ref="I47:U47"/>
    <mergeCell ref="Y47:AF47"/>
    <mergeCell ref="AG47:AK47"/>
    <mergeCell ref="B41:J41"/>
    <mergeCell ref="L41:V41"/>
    <mergeCell ref="Y41:AA41"/>
    <mergeCell ref="E44:U44"/>
    <mergeCell ref="E45:U45"/>
    <mergeCell ref="Y45:AK45"/>
    <mergeCell ref="Y50:AF50"/>
    <mergeCell ref="AG50:AK50"/>
    <mergeCell ref="C51:L51"/>
    <mergeCell ref="M51:N51"/>
    <mergeCell ref="O51:Q51"/>
    <mergeCell ref="R51:U51"/>
    <mergeCell ref="C48:E48"/>
    <mergeCell ref="F48:M48"/>
    <mergeCell ref="N48:U48"/>
    <mergeCell ref="Y48:AF48"/>
    <mergeCell ref="AG48:AK48"/>
    <mergeCell ref="Y49:AF49"/>
    <mergeCell ref="AG49:AK49"/>
    <mergeCell ref="C52:E52"/>
    <mergeCell ref="F52:U52"/>
    <mergeCell ref="C53:U53"/>
    <mergeCell ref="C54:U54"/>
    <mergeCell ref="C55:K55"/>
    <mergeCell ref="L55:P55"/>
    <mergeCell ref="Q55:U55"/>
    <mergeCell ref="C50:F50"/>
    <mergeCell ref="G50:U50"/>
    <mergeCell ref="D59:F59"/>
    <mergeCell ref="H59:J59"/>
    <mergeCell ref="K59:L59"/>
    <mergeCell ref="M59:O59"/>
    <mergeCell ref="P59:Q59"/>
    <mergeCell ref="R59:T59"/>
    <mergeCell ref="C56:U56"/>
    <mergeCell ref="C57:G57"/>
    <mergeCell ref="H57:U57"/>
    <mergeCell ref="D58:F58"/>
    <mergeCell ref="H58:J58"/>
    <mergeCell ref="K58:L58"/>
    <mergeCell ref="M58:O58"/>
    <mergeCell ref="P58:Q58"/>
    <mergeCell ref="R58:T58"/>
    <mergeCell ref="C66:U66"/>
    <mergeCell ref="C67:U67"/>
    <mergeCell ref="C68:D68"/>
    <mergeCell ref="E68:L68"/>
    <mergeCell ref="M68:N68"/>
    <mergeCell ref="O68:Q68"/>
    <mergeCell ref="R68:U68"/>
    <mergeCell ref="D60:F60"/>
    <mergeCell ref="C62:E62"/>
    <mergeCell ref="F62:N62"/>
    <mergeCell ref="O62:Q62"/>
    <mergeCell ref="R62:U62"/>
    <mergeCell ref="C64:K64"/>
    <mergeCell ref="M64:U64"/>
    <mergeCell ref="C69:D69"/>
    <mergeCell ref="C71:U71"/>
    <mergeCell ref="C73:U73"/>
    <mergeCell ref="C74:U74"/>
    <mergeCell ref="C75:D75"/>
    <mergeCell ref="E75:L75"/>
    <mergeCell ref="M75:N75"/>
    <mergeCell ref="O75:Q75"/>
    <mergeCell ref="R75:U75"/>
    <mergeCell ref="C76:U76"/>
    <mergeCell ref="C77:U77"/>
    <mergeCell ref="C78:U78"/>
    <mergeCell ref="C79:U79"/>
    <mergeCell ref="C80:D80"/>
    <mergeCell ref="E80:L80"/>
    <mergeCell ref="M80:N80"/>
    <mergeCell ref="O80:Q80"/>
    <mergeCell ref="R80:U80"/>
    <mergeCell ref="C81:U81"/>
    <mergeCell ref="C82:U82"/>
    <mergeCell ref="C83:U83"/>
    <mergeCell ref="C84:U84"/>
    <mergeCell ref="C85:U85"/>
    <mergeCell ref="C86:D86"/>
    <mergeCell ref="E86:L86"/>
    <mergeCell ref="M86:N86"/>
    <mergeCell ref="O86:Q86"/>
    <mergeCell ref="R86:U86"/>
    <mergeCell ref="C87:U87"/>
    <mergeCell ref="C88:U88"/>
    <mergeCell ref="C89:U89"/>
    <mergeCell ref="C90:U90"/>
    <mergeCell ref="C91:U91"/>
    <mergeCell ref="C92:D92"/>
    <mergeCell ref="E92:L92"/>
    <mergeCell ref="M92:N92"/>
    <mergeCell ref="O92:Q92"/>
    <mergeCell ref="R92:U92"/>
    <mergeCell ref="C99:U99"/>
    <mergeCell ref="C93:U93"/>
    <mergeCell ref="C94:U94"/>
    <mergeCell ref="C95:U95"/>
    <mergeCell ref="C96:U96"/>
    <mergeCell ref="C97:U97"/>
    <mergeCell ref="C98:D98"/>
    <mergeCell ref="E98:L98"/>
    <mergeCell ref="M98:N98"/>
    <mergeCell ref="O98:Q98"/>
    <mergeCell ref="R98:U98"/>
  </mergeCells>
  <conditionalFormatting sqref="Q28">
    <cfRule type="expression" dxfId="636" priority="176">
      <formula>IF(Q28&lt;&gt;"",1,0)</formula>
    </cfRule>
  </conditionalFormatting>
  <conditionalFormatting sqref="Q19">
    <cfRule type="expression" dxfId="635" priority="175">
      <formula>IF(Q19&lt;&gt;"",1,0)</formula>
    </cfRule>
  </conditionalFormatting>
  <conditionalFormatting sqref="F19:F20">
    <cfRule type="expression" dxfId="634" priority="174">
      <formula>IF(AG6&gt;3,1,0)</formula>
    </cfRule>
  </conditionalFormatting>
  <conditionalFormatting sqref="F18">
    <cfRule type="expression" dxfId="633" priority="173">
      <formula>IF(AG6&gt;3,1,0)</formula>
    </cfRule>
  </conditionalFormatting>
  <conditionalFormatting sqref="G19:H19">
    <cfRule type="expression" dxfId="632" priority="172">
      <formula>IF(AG6&gt;3,1,0)</formula>
    </cfRule>
  </conditionalFormatting>
  <conditionalFormatting sqref="C18:E18">
    <cfRule type="expression" dxfId="631" priority="171">
      <formula>IF(AG6&gt;3,1,0)</formula>
    </cfRule>
  </conditionalFormatting>
  <conditionalFormatting sqref="G18:H18">
    <cfRule type="expression" dxfId="630" priority="170">
      <formula>IF(AG6&gt;3,1,0)</formula>
    </cfRule>
  </conditionalFormatting>
  <conditionalFormatting sqref="I18">
    <cfRule type="expression" dxfId="629" priority="169">
      <formula>IF(AG6&gt;3,1,0)</formula>
    </cfRule>
  </conditionalFormatting>
  <conditionalFormatting sqref="K18">
    <cfRule type="expression" dxfId="628" priority="168">
      <formula>IF(AG6&gt;3,1,0)</formula>
    </cfRule>
  </conditionalFormatting>
  <conditionalFormatting sqref="O18">
    <cfRule type="expression" dxfId="627" priority="167">
      <formula>IF(AG6&gt;3,1,0)</formula>
    </cfRule>
  </conditionalFormatting>
  <conditionalFormatting sqref="I13">
    <cfRule type="expression" dxfId="626" priority="166">
      <formula>IF(AND(AG6&lt;&gt;3,AG6&lt;&gt;8),1,0)</formula>
    </cfRule>
  </conditionalFormatting>
  <conditionalFormatting sqref="J13:K13">
    <cfRule type="expression" dxfId="625" priority="165">
      <formula>IF(AND(AG6&lt;&gt;3,AG6&lt;&gt;8),1,0)</formula>
    </cfRule>
  </conditionalFormatting>
  <conditionalFormatting sqref="I14">
    <cfRule type="expression" dxfId="624" priority="164">
      <formula>IF(AND(AG6&lt;&gt;3,AG6&lt;&gt;8),1,0)</formula>
    </cfRule>
  </conditionalFormatting>
  <conditionalFormatting sqref="F25:F27">
    <cfRule type="expression" dxfId="623" priority="162">
      <formula>IF(C25="",1,0)</formula>
    </cfRule>
  </conditionalFormatting>
  <conditionalFormatting sqref="F28:F30">
    <cfRule type="expression" dxfId="622" priority="161">
      <formula>IF(C28="",1,0)</formula>
    </cfRule>
  </conditionalFormatting>
  <conditionalFormatting sqref="I31:L31">
    <cfRule type="expression" dxfId="621" priority="160">
      <formula>IF(AG6&lt;4,1,0)</formula>
    </cfRule>
  </conditionalFormatting>
  <conditionalFormatting sqref="I16">
    <cfRule type="expression" dxfId="620" priority="177">
      <formula>IF(AND(AG6&lt;&gt;3,AG6&lt;&gt;8),1,0)</formula>
    </cfRule>
  </conditionalFormatting>
  <conditionalFormatting sqref="I15">
    <cfRule type="expression" dxfId="619" priority="159">
      <formula>IF(AND(AG6&lt;&gt;3,AG6&lt;&gt;8),1,0)</formula>
    </cfRule>
  </conditionalFormatting>
  <conditionalFormatting sqref="L13">
    <cfRule type="expression" dxfId="618" priority="158">
      <formula>IF(AND(AG6&lt;&gt;1,AG6&lt;&gt;2,AG6&lt;&gt;3),1,0)</formula>
    </cfRule>
  </conditionalFormatting>
  <conditionalFormatting sqref="C15">
    <cfRule type="expression" dxfId="617" priority="157">
      <formula>IF(AG6&lt;&gt;3,1,0)</formula>
    </cfRule>
  </conditionalFormatting>
  <conditionalFormatting sqref="D15">
    <cfRule type="expression" dxfId="616" priority="156">
      <formula>IF(AG6&lt;&gt;3,1,0)</formula>
    </cfRule>
  </conditionalFormatting>
  <conditionalFormatting sqref="E15">
    <cfRule type="expression" dxfId="615" priority="155">
      <formula>IF(AG6&lt;&gt;3,1,0)</formula>
    </cfRule>
  </conditionalFormatting>
  <conditionalFormatting sqref="C16:D16">
    <cfRule type="expression" dxfId="614" priority="133">
      <formula>IF(AG6&gt;3,1,0)</formula>
    </cfRule>
    <cfRule type="expression" dxfId="613" priority="154">
      <formula>IF(AND(AG6&lt;&gt;1,AG6&lt;&gt;2,AG6&lt;&gt;3),1,0)</formula>
    </cfRule>
  </conditionalFormatting>
  <conditionalFormatting sqref="E16:F16">
    <cfRule type="expression" dxfId="612" priority="153">
      <formula>IF(AND(AG6&lt;&gt;1,AG6&lt;&gt;2,AG6&lt;&gt;3),1,0)</formula>
    </cfRule>
  </conditionalFormatting>
  <conditionalFormatting sqref="H15">
    <cfRule type="expression" dxfId="611" priority="135">
      <formula>IF(AG6&gt;3,1,0)</formula>
    </cfRule>
    <cfRule type="expression" dxfId="610" priority="152">
      <formula>IF(AND(AG6&lt;&gt;1,AG6&lt;&gt;2,AG6&lt;&gt;3),1,0)</formula>
    </cfRule>
  </conditionalFormatting>
  <conditionalFormatting sqref="H16">
    <cfRule type="expression" dxfId="609" priority="134">
      <formula>IF(AG6&gt;3,1,0)</formula>
    </cfRule>
    <cfRule type="expression" dxfId="608" priority="151">
      <formula>IF(AND(AG6&lt;&gt;1,AG6&lt;&gt;2,AG6&lt;&gt;3),1,0)</formula>
    </cfRule>
  </conditionalFormatting>
  <conditionalFormatting sqref="K14:L14">
    <cfRule type="expression" dxfId="607" priority="150">
      <formula>IF(AND(AG6&lt;&gt;3,AG6&lt;&gt;8),1,0)</formula>
    </cfRule>
  </conditionalFormatting>
  <conditionalFormatting sqref="K15:L15">
    <cfRule type="expression" dxfId="606" priority="149">
      <formula>IF(AND(AG6&lt;&gt;3,AG6&lt;&gt;8),1,0)</formula>
    </cfRule>
  </conditionalFormatting>
  <conditionalFormatting sqref="K16:L16">
    <cfRule type="expression" dxfId="605" priority="148">
      <formula>IF(AND(AG6&lt;&gt;3,AG6&lt;&gt;8),1,0)</formula>
    </cfRule>
  </conditionalFormatting>
  <conditionalFormatting sqref="L18">
    <cfRule type="expression" dxfId="604" priority="147">
      <formula>IF(AG6&gt;3,1,0)</formula>
    </cfRule>
  </conditionalFormatting>
  <conditionalFormatting sqref="U18">
    <cfRule type="expression" dxfId="603" priority="129">
      <formula>IF(AG6&gt;3,1,0)</formula>
    </cfRule>
    <cfRule type="expression" dxfId="602" priority="146">
      <formula>IF(AG6&gt;3,1,0)</formula>
    </cfRule>
  </conditionalFormatting>
  <conditionalFormatting sqref="K19">
    <cfRule type="expression" dxfId="601" priority="69">
      <formula>IF(K19&lt;&gt;"",1,0)</formula>
    </cfRule>
    <cfRule type="expression" dxfId="600" priority="145">
      <formula>IF(AG6&gt;3,1,0)</formula>
    </cfRule>
  </conditionalFormatting>
  <conditionalFormatting sqref="K22">
    <cfRule type="expression" dxfId="599" priority="68">
      <formula>IF(K22&lt;&gt;"",1,0)</formula>
    </cfRule>
    <cfRule type="expression" dxfId="598" priority="144">
      <formula>IF(AG6&gt;3,1,0)</formula>
    </cfRule>
  </conditionalFormatting>
  <conditionalFormatting sqref="K25">
    <cfRule type="expression" dxfId="597" priority="67">
      <formula>IF(K25&lt;&gt;"",1,0)</formula>
    </cfRule>
    <cfRule type="expression" dxfId="596" priority="90">
      <formula>IF(AG6&lt;3,1,0)</formula>
    </cfRule>
    <cfRule type="expression" dxfId="595" priority="143">
      <formula>IF(AG6&gt;3,1,0)</formula>
    </cfRule>
  </conditionalFormatting>
  <conditionalFormatting sqref="K28">
    <cfRule type="expression" dxfId="594" priority="66">
      <formula>IF(Q28&lt;&gt;"",1,0)</formula>
    </cfRule>
    <cfRule type="expression" dxfId="593" priority="82">
      <formula>IF(AG6&lt;3,1,0)</formula>
    </cfRule>
    <cfRule type="expression" dxfId="592" priority="142">
      <formula>IF(AG6&gt;3,1,0)</formula>
    </cfRule>
  </conditionalFormatting>
  <conditionalFormatting sqref="I22:J22">
    <cfRule type="expression" dxfId="591" priority="141">
      <formula>IF(AG6&gt;3,1,0)</formula>
    </cfRule>
  </conditionalFormatting>
  <conditionalFormatting sqref="I25:J25">
    <cfRule type="expression" dxfId="590" priority="89">
      <formula>IF(AG6&lt;3,1,0)</formula>
    </cfRule>
    <cfRule type="expression" dxfId="589" priority="140">
      <formula>IF(AG6&gt;3,1,0)</formula>
    </cfRule>
  </conditionalFormatting>
  <conditionalFormatting sqref="I28:J28">
    <cfRule type="expression" dxfId="588" priority="77">
      <formula>IF(AG6&lt;3,1,0)</formula>
    </cfRule>
    <cfRule type="expression" dxfId="587" priority="139">
      <formula>IF(AG6&gt;3,1,0)</formula>
    </cfRule>
  </conditionalFormatting>
  <conditionalFormatting sqref="G22:H22">
    <cfRule type="expression" dxfId="586" priority="138">
      <formula>IF(AG6&gt;3,1,0)</formula>
    </cfRule>
  </conditionalFormatting>
  <conditionalFormatting sqref="G25:H25">
    <cfRule type="expression" dxfId="585" priority="91">
      <formula>IF(AG6&lt;3,1,0)</formula>
    </cfRule>
    <cfRule type="expression" dxfId="584" priority="137">
      <formula>IF(AG6&gt;3,1,0)</formula>
    </cfRule>
  </conditionalFormatting>
  <conditionalFormatting sqref="G28:H28">
    <cfRule type="expression" dxfId="583" priority="83">
      <formula>IF(AG6&lt;3,1,0)</formula>
    </cfRule>
    <cfRule type="expression" dxfId="582" priority="136">
      <formula>IF(AG6&gt;3,1,0)</formula>
    </cfRule>
  </conditionalFormatting>
  <conditionalFormatting sqref="E15:G15">
    <cfRule type="expression" dxfId="581" priority="132">
      <formula>IF(AG6&gt;3,1,0)</formula>
    </cfRule>
  </conditionalFormatting>
  <conditionalFormatting sqref="U19:U20">
    <cfRule type="expression" dxfId="580" priority="131">
      <formula>IF(AG6&gt;3,1,0)</formula>
    </cfRule>
  </conditionalFormatting>
  <conditionalFormatting sqref="U22:U24">
    <cfRule type="expression" dxfId="579" priority="130">
      <formula>IF(AG6&gt;3,1,0)</formula>
    </cfRule>
  </conditionalFormatting>
  <conditionalFormatting sqref="L19:N19">
    <cfRule type="expression" dxfId="578" priority="128">
      <formula>IF(AG6&gt;3,1,0)</formula>
    </cfRule>
  </conditionalFormatting>
  <conditionalFormatting sqref="Q19:R19">
    <cfRule type="expression" dxfId="577" priority="127">
      <formula>IF(AG6&gt;3,1,0)</formula>
    </cfRule>
  </conditionalFormatting>
  <conditionalFormatting sqref="C20:E20">
    <cfRule type="expression" dxfId="576" priority="126">
      <formula>IF(AG6&gt;3,1,0)</formula>
    </cfRule>
  </conditionalFormatting>
  <conditionalFormatting sqref="U20">
    <cfRule type="expression" dxfId="575" priority="121">
      <formula>IF(AG6&gt;3,1,0)</formula>
    </cfRule>
  </conditionalFormatting>
  <conditionalFormatting sqref="U23:U24">
    <cfRule type="expression" dxfId="574" priority="120">
      <formula>IF(AG6&gt;3,1,0)</formula>
    </cfRule>
  </conditionalFormatting>
  <conditionalFormatting sqref="S23:T23">
    <cfRule type="expression" dxfId="573" priority="119">
      <formula>IF(AG6&gt;3,1,0)</formula>
    </cfRule>
  </conditionalFormatting>
  <conditionalFormatting sqref="Q22:R22">
    <cfRule type="expression" dxfId="572" priority="111">
      <formula>IF(Q22&lt;&gt;"",1,0)</formula>
    </cfRule>
    <cfRule type="expression" dxfId="571" priority="118">
      <formula>IF(AG6&gt;3,1,0)</formula>
    </cfRule>
  </conditionalFormatting>
  <conditionalFormatting sqref="O22:P22">
    <cfRule type="expression" dxfId="570" priority="63">
      <formula>IF(Q22&lt;&gt;"",1,0)</formula>
    </cfRule>
    <cfRule type="expression" dxfId="569" priority="117">
      <formula>IF(AG6&gt;3,1,0)</formula>
    </cfRule>
  </conditionalFormatting>
  <conditionalFormatting sqref="L22:N22">
    <cfRule type="expression" dxfId="568" priority="116">
      <formula>IF(AG6&gt;3,1,0)</formula>
    </cfRule>
  </conditionalFormatting>
  <conditionalFormatting sqref="F20:N20">
    <cfRule type="expression" dxfId="567" priority="115">
      <formula>IF(AG6&gt;3,1,0)</formula>
    </cfRule>
    <cfRule type="expression" dxfId="566" priority="125">
      <formula>IF(AG6&gt;3,1,0)</formula>
    </cfRule>
  </conditionalFormatting>
  <conditionalFormatting sqref="S20:T20">
    <cfRule type="expression" dxfId="565" priority="114">
      <formula>IF(AG6&gt;3,1,0)</formula>
    </cfRule>
    <cfRule type="expression" dxfId="564" priority="122">
      <formula>IF(AG6&gt;3,1,0)</formula>
    </cfRule>
  </conditionalFormatting>
  <conditionalFormatting sqref="F23:N23">
    <cfRule type="expression" dxfId="563" priority="113">
      <formula>IF(AG6&gt;3,1,0)</formula>
    </cfRule>
  </conditionalFormatting>
  <conditionalFormatting sqref="C23:E23 C24">
    <cfRule type="expression" dxfId="562" priority="112">
      <formula>IF(AG6&gt;3,1,0)</formula>
    </cfRule>
  </conditionalFormatting>
  <conditionalFormatting sqref="L25:N25">
    <cfRule type="expression" dxfId="561" priority="55">
      <formula>IF(AG6=2,1,0)</formula>
    </cfRule>
    <cfRule type="expression" dxfId="560" priority="56">
      <formula>IF(AG6=1,1,0)</formula>
    </cfRule>
    <cfRule type="expression" dxfId="559" priority="110">
      <formula>IF(AG6&gt;3,1,0)</formula>
    </cfRule>
  </conditionalFormatting>
  <conditionalFormatting sqref="O25:P25">
    <cfRule type="expression" dxfId="558" priority="61">
      <formula>IF(Q25&lt;&gt;"",1,0)</formula>
    </cfRule>
    <cfRule type="expression" dxfId="557" priority="88">
      <formula>IF(AG6&lt;3,1,0)</formula>
    </cfRule>
    <cfRule type="expression" dxfId="556" priority="109">
      <formula>IF(AG6&gt;3,1,0)</formula>
    </cfRule>
  </conditionalFormatting>
  <conditionalFormatting sqref="F26:N26 F27">
    <cfRule type="expression" dxfId="555" priority="108">
      <formula>IF(AG6&gt;3,1,0)</formula>
    </cfRule>
  </conditionalFormatting>
  <conditionalFormatting sqref="S25:T25">
    <cfRule type="expression" dxfId="554" priority="87">
      <formula>IF(AG6&lt;3,1,0)</formula>
    </cfRule>
    <cfRule type="expression" dxfId="553" priority="107">
      <formula>IF(AG6&gt;3,1,0)</formula>
    </cfRule>
  </conditionalFormatting>
  <conditionalFormatting sqref="L28:N28">
    <cfRule type="expression" dxfId="552" priority="76">
      <formula>IF(AG6&lt;3,1,0)</formula>
    </cfRule>
    <cfRule type="expression" dxfId="551" priority="105">
      <formula>IF(AG6&gt;3,1,0)</formula>
    </cfRule>
  </conditionalFormatting>
  <conditionalFormatting sqref="O28:P28">
    <cfRule type="expression" dxfId="550" priority="59">
      <formula>IF(Q28&lt;&gt;"",1,0)</formula>
    </cfRule>
    <cfRule type="expression" dxfId="549" priority="81">
      <formula>IF(AG6&lt;3,1,0)</formula>
    </cfRule>
    <cfRule type="expression" dxfId="548" priority="104">
      <formula>IF(AG6&gt;3,1,0)</formula>
    </cfRule>
  </conditionalFormatting>
  <conditionalFormatting sqref="C26:E26 C27">
    <cfRule type="expression" dxfId="547" priority="103">
      <formula>IF(AG6&gt;3,1,0)</formula>
    </cfRule>
  </conditionalFormatting>
  <conditionalFormatting sqref="U26">
    <cfRule type="expression" dxfId="546" priority="102">
      <formula>IF(AG6&gt;3,1,0)</formula>
    </cfRule>
  </conditionalFormatting>
  <conditionalFormatting sqref="S28:T28">
    <cfRule type="expression" dxfId="545" priority="80">
      <formula>IF(AG6&lt;3,1,0)</formula>
    </cfRule>
    <cfRule type="expression" dxfId="544" priority="101">
      <formula>IF(AG6&gt;3,1,0)</formula>
    </cfRule>
  </conditionalFormatting>
  <conditionalFormatting sqref="S29:T29">
    <cfRule type="expression" dxfId="543" priority="4">
      <formula>IF(AG6&lt;3,1,0)</formula>
    </cfRule>
    <cfRule type="expression" dxfId="542" priority="100">
      <formula>IF(AG6&gt;3,1,0)</formula>
    </cfRule>
  </conditionalFormatting>
  <conditionalFormatting sqref="U29">
    <cfRule type="expression" dxfId="541" priority="99">
      <formula>IF(AG6&gt;3,1,0)</formula>
    </cfRule>
  </conditionalFormatting>
  <conditionalFormatting sqref="F29:N29 F30">
    <cfRule type="expression" dxfId="540" priority="96">
      <formula>IF(AG6&gt;3,1,0)</formula>
    </cfRule>
  </conditionalFormatting>
  <conditionalFormatting sqref="C29:E29 C30">
    <cfRule type="expression" dxfId="539" priority="95">
      <formula>IF(AG6&gt;3,1,0)</formula>
    </cfRule>
  </conditionalFormatting>
  <conditionalFormatting sqref="C25:E25">
    <cfRule type="expression" dxfId="538" priority="93">
      <formula>IF(AG6&lt;3,1,0)</formula>
    </cfRule>
  </conditionalFormatting>
  <conditionalFormatting sqref="F25">
    <cfRule type="expression" dxfId="537" priority="92">
      <formula>IF(AG6&lt;3,1,0)</formula>
    </cfRule>
  </conditionalFormatting>
  <conditionalFormatting sqref="U25">
    <cfRule type="expression" dxfId="536" priority="86">
      <formula>IF(AG6&lt;3,1,0)</formula>
    </cfRule>
  </conditionalFormatting>
  <conditionalFormatting sqref="C28:E28">
    <cfRule type="expression" dxfId="535" priority="79">
      <formula>IF(AG6&lt;3,1,0)</formula>
    </cfRule>
  </conditionalFormatting>
  <conditionalFormatting sqref="F28">
    <cfRule type="expression" dxfId="534" priority="78">
      <formula>IF(AG6&lt;3,1,0)</formula>
    </cfRule>
  </conditionalFormatting>
  <conditionalFormatting sqref="Q28:R28">
    <cfRule type="expression" dxfId="533" priority="75">
      <formula>IF(AG6&lt;3,1,0)</formula>
    </cfRule>
  </conditionalFormatting>
  <conditionalFormatting sqref="U28">
    <cfRule type="expression" dxfId="532" priority="74">
      <formula>IF(AG6&lt;3,1,0)</formula>
    </cfRule>
  </conditionalFormatting>
  <conditionalFormatting sqref="Q25:R25">
    <cfRule type="expression" dxfId="531" priority="72">
      <formula>IF(Q25&lt;&gt;"",1,0)</formula>
    </cfRule>
  </conditionalFormatting>
  <conditionalFormatting sqref="O19:P19">
    <cfRule type="expression" dxfId="530" priority="64">
      <formula>IF(Q19&lt;&gt;"",1,0)</formula>
    </cfRule>
  </conditionalFormatting>
  <conditionalFormatting sqref="C40">
    <cfRule type="expression" dxfId="529" priority="48">
      <formula>IF(C40=2979,1,0)</formula>
    </cfRule>
  </conditionalFormatting>
  <conditionalFormatting sqref="D40:E40">
    <cfRule type="expression" dxfId="528" priority="47">
      <formula>IF(C40=2979,1,0)</formula>
    </cfRule>
  </conditionalFormatting>
  <conditionalFormatting sqref="G40">
    <cfRule type="expression" dxfId="527" priority="46">
      <formula>IF(C40=2979,1,0)</formula>
    </cfRule>
  </conditionalFormatting>
  <conditionalFormatting sqref="H40:I40">
    <cfRule type="expression" dxfId="526" priority="45">
      <formula>IF(G40=8849,1,0)</formula>
    </cfRule>
  </conditionalFormatting>
  <conditionalFormatting sqref="O21:P21">
    <cfRule type="expression" dxfId="525" priority="43">
      <formula>IF(Q21&lt;&gt;"",1,0)</formula>
    </cfRule>
    <cfRule type="expression" dxfId="524" priority="44">
      <formula>IF(AG6&gt;3,1,0)</formula>
    </cfRule>
  </conditionalFormatting>
  <conditionalFormatting sqref="Q21:R21">
    <cfRule type="expression" dxfId="523" priority="41">
      <formula>IF(Q21&lt;&gt;"",1,0)</formula>
    </cfRule>
    <cfRule type="expression" dxfId="522" priority="42">
      <formula>IF(AG6&gt;3,1,0)</formula>
    </cfRule>
  </conditionalFormatting>
  <conditionalFormatting sqref="O24:P24">
    <cfRule type="expression" dxfId="521" priority="21">
      <formula>IF(Q24="",1,0)</formula>
    </cfRule>
    <cfRule type="expression" dxfId="520" priority="37">
      <formula>IF(Q24&lt;&gt;"",1,0)</formula>
    </cfRule>
    <cfRule type="expression" dxfId="519" priority="38">
      <formula>IF(AG6&gt;3,1,0)</formula>
    </cfRule>
  </conditionalFormatting>
  <conditionalFormatting sqref="Q24:R24">
    <cfRule type="expression" dxfId="518" priority="34">
      <formula>IF(Q24&lt;&gt;"",1,0)</formula>
    </cfRule>
    <cfRule type="expression" dxfId="517" priority="35">
      <formula>IF(AG6&gt;3,1,0)</formula>
    </cfRule>
  </conditionalFormatting>
  <conditionalFormatting sqref="O27:P27">
    <cfRule type="expression" dxfId="516" priority="7">
      <formula>IF(AG6&lt;3,1,0)</formula>
    </cfRule>
    <cfRule type="expression" dxfId="515" priority="23">
      <formula>IF(Q27="",1,0)</formula>
    </cfRule>
    <cfRule type="expression" dxfId="514" priority="32">
      <formula>IF(Q27&lt;&gt;"",1,0)</formula>
    </cfRule>
    <cfRule type="expression" dxfId="513" priority="33">
      <formula>IF(AG6&gt;3,1,0)</formula>
    </cfRule>
  </conditionalFormatting>
  <conditionalFormatting sqref="Q27:R27">
    <cfRule type="expression" dxfId="512" priority="29">
      <formula>IF(Q27&lt;&gt;"",1,0)</formula>
    </cfRule>
    <cfRule type="expression" dxfId="511" priority="30">
      <formula>IF(AG6&gt;3,1,0)</formula>
    </cfRule>
  </conditionalFormatting>
  <conditionalFormatting sqref="O29">
    <cfRule type="expression" dxfId="510" priority="52">
      <formula>IF(Q29="",1,0)</formula>
    </cfRule>
    <cfRule type="expression" dxfId="509" priority="58">
      <formula>IF(Q29&lt;&gt;"",1,0)</formula>
    </cfRule>
    <cfRule type="expression" dxfId="508" priority="98">
      <formula>IF(AG6&gt;3,1,0)</formula>
    </cfRule>
  </conditionalFormatting>
  <conditionalFormatting sqref="O30:P30">
    <cfRule type="expression" dxfId="507" priority="3">
      <formula>IF(AG6&lt;3,1,0)</formula>
    </cfRule>
    <cfRule type="expression" dxfId="506" priority="22">
      <formula>IF(Q30="",1,0)</formula>
    </cfRule>
    <cfRule type="expression" dxfId="505" priority="27">
      <formula>IF(Q30&lt;&gt;"",1,0)</formula>
    </cfRule>
    <cfRule type="expression" dxfId="504" priority="28">
      <formula>IF(AG6&gt;3,1,0)</formula>
    </cfRule>
  </conditionalFormatting>
  <conditionalFormatting sqref="Q30:R30">
    <cfRule type="expression" dxfId="503" priority="24">
      <formula>IF(Q30&lt;&gt;"",1,0)</formula>
    </cfRule>
    <cfRule type="expression" dxfId="502" priority="25">
      <formula>IF(AG6&gt;3,1,0)</formula>
    </cfRule>
  </conditionalFormatting>
  <conditionalFormatting sqref="O20:P20">
    <cfRule type="expression" dxfId="501" priority="65">
      <formula>IF(Q20&lt;&gt;"",1,0)</formula>
    </cfRule>
    <cfRule type="expression" dxfId="500" priority="124">
      <formula>IF(AG6&gt;3,1,0)</formula>
    </cfRule>
  </conditionalFormatting>
  <conditionalFormatting sqref="I32:I33">
    <cfRule type="expression" dxfId="499" priority="178">
      <formula>IF(AG6&lt;4,1,0)</formula>
    </cfRule>
  </conditionalFormatting>
  <conditionalFormatting sqref="F22:F24">
    <cfRule type="expression" dxfId="498" priority="179">
      <formula>IF(C22="",1,0)</formula>
    </cfRule>
    <cfRule type="expression" dxfId="497" priority="180">
      <formula>IF(AG6&gt;3,"",IF(Y46="COMISSIONADO","",IF(AND(F19&lt;18,Y46="DESIGNADO"),"")))</formula>
    </cfRule>
  </conditionalFormatting>
  <conditionalFormatting sqref="O32">
    <cfRule type="expression" dxfId="496" priority="51">
      <formula>IF(O32=0,1,0)</formula>
    </cfRule>
    <cfRule type="expression" dxfId="495" priority="94">
      <formula>IF(AG6&lt;4,1,0)</formula>
    </cfRule>
  </conditionalFormatting>
  <conditionalFormatting sqref="O33:P33">
    <cfRule type="expression" dxfId="494" priority="19">
      <formula>IF(O33=0,1,0)</formula>
    </cfRule>
    <cfRule type="expression" dxfId="493" priority="20">
      <formula>IF(AG6&lt;4,1,0)</formula>
    </cfRule>
  </conditionalFormatting>
  <conditionalFormatting sqref="Q20:R20">
    <cfRule type="expression" dxfId="492" priority="73">
      <formula>IF(Q20&lt;&gt;"",1,0)</formula>
    </cfRule>
    <cfRule type="expression" dxfId="491" priority="123">
      <formula>IF(AG6&gt;3,1,0)</formula>
    </cfRule>
  </conditionalFormatting>
  <conditionalFormatting sqref="S21:T21">
    <cfRule type="expression" dxfId="490" priority="18">
      <formula>IF(AG6&gt;3,1,0)</formula>
    </cfRule>
  </conditionalFormatting>
  <conditionalFormatting sqref="F21:N21">
    <cfRule type="expression" dxfId="489" priority="17">
      <formula>IF(AG6&gt;3,1,0)</formula>
    </cfRule>
  </conditionalFormatting>
  <conditionalFormatting sqref="F24:N24">
    <cfRule type="expression" dxfId="488" priority="16">
      <formula>IF(AG6&gt;3,1,0)</formula>
    </cfRule>
  </conditionalFormatting>
  <conditionalFormatting sqref="O23:P23">
    <cfRule type="expression" dxfId="487" priority="54">
      <formula>IF(Q23="",1,0)</formula>
    </cfRule>
    <cfRule type="expression" dxfId="486" priority="62">
      <formula>IF(Q23&lt;&gt;"",1,0)</formula>
    </cfRule>
  </conditionalFormatting>
  <conditionalFormatting sqref="Q23:R23">
    <cfRule type="expression" dxfId="485" priority="57">
      <formula>IF(Q23&lt;&gt;"",1,0)</formula>
    </cfRule>
    <cfRule type="expression" dxfId="484" priority="163">
      <formula>IF(AG6&gt;3,1,0)</formula>
    </cfRule>
  </conditionalFormatting>
  <conditionalFormatting sqref="S24:T24">
    <cfRule type="expression" dxfId="483" priority="15">
      <formula>IF(AG6&gt;3,1,0)</formula>
    </cfRule>
  </conditionalFormatting>
  <conditionalFormatting sqref="F27:N27">
    <cfRule type="expression" dxfId="482" priority="14">
      <formula>IF(AG6&gt;3,1,0)</formula>
    </cfRule>
  </conditionalFormatting>
  <conditionalFormatting sqref="O26:P26">
    <cfRule type="expression" dxfId="481" priority="53">
      <formula>IF(Q26="",1,0)</formula>
    </cfRule>
    <cfRule type="expression" dxfId="480" priority="60">
      <formula>IF(Q26&lt;&gt;"",1,0)</formula>
    </cfRule>
    <cfRule type="expression" dxfId="479" priority="84">
      <formula>IF(AG6&lt;3,1,0)</formula>
    </cfRule>
  </conditionalFormatting>
  <conditionalFormatting sqref="Q26:R26">
    <cfRule type="expression" dxfId="478" priority="71">
      <formula>IF(Q26&lt;&gt;"",1,0)</formula>
    </cfRule>
    <cfRule type="expression" dxfId="477" priority="85">
      <formula>IF(AG6&lt;3,1,0)</formula>
    </cfRule>
    <cfRule type="expression" dxfId="476" priority="106">
      <formula>IF(AG6&gt;3,1,0)</formula>
    </cfRule>
  </conditionalFormatting>
  <conditionalFormatting sqref="S27:T27">
    <cfRule type="expression" dxfId="475" priority="6">
      <formula>IF(AG6&lt;3,1,0)</formula>
    </cfRule>
    <cfRule type="expression" dxfId="474" priority="13">
      <formula>IF(AG6&gt;3,1,0)</formula>
    </cfRule>
  </conditionalFormatting>
  <conditionalFormatting sqref="Q29:R29">
    <cfRule type="expression" dxfId="473" priority="70">
      <formula>IF(Q29&lt;&gt;"",1,0)</formula>
    </cfRule>
    <cfRule type="expression" dxfId="472" priority="97">
      <formula>IF(AG6&gt;3,1,0)</formula>
    </cfRule>
  </conditionalFormatting>
  <conditionalFormatting sqref="S30:T30">
    <cfRule type="expression" dxfId="471" priority="2">
      <formula>IF(AG6&lt;3,1,0)</formula>
    </cfRule>
    <cfRule type="expression" dxfId="470" priority="12">
      <formula>IF(AG6&gt;3,1,0)</formula>
    </cfRule>
  </conditionalFormatting>
  <conditionalFormatting sqref="U30">
    <cfRule type="expression" dxfId="469" priority="11">
      <formula>IF(AG6&gt;3,1,0)</formula>
    </cfRule>
  </conditionalFormatting>
  <conditionalFormatting sqref="F30:N30">
    <cfRule type="expression" dxfId="468" priority="10">
      <formula>IF(AG6&gt;3,1,0)</formula>
    </cfRule>
  </conditionalFormatting>
  <conditionalFormatting sqref="C30:E30">
    <cfRule type="expression" dxfId="467" priority="9">
      <formula>IF(AG6&gt;3,1,0)</formula>
    </cfRule>
  </conditionalFormatting>
  <conditionalFormatting sqref="S26:T26">
    <cfRule type="expression" dxfId="466" priority="8">
      <formula>IF(AG6&lt;3,1,0)</formula>
    </cfRule>
  </conditionalFormatting>
  <conditionalFormatting sqref="O29:P29">
    <cfRule type="expression" dxfId="465" priority="5">
      <formula>IF(AG6&lt;3,1,0)</formula>
    </cfRule>
  </conditionalFormatting>
  <conditionalFormatting sqref="C39:U39">
    <cfRule type="expression" dxfId="464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38100</xdr:rowOff>
                  </from>
                  <to>
                    <xdr:col>11</xdr:col>
                    <xdr:colOff>200025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Option Button 2">
              <controlPr defaultSize="0" autoFill="0" autoLine="0" autoPict="0">
                <anchor>
                  <from>
                    <xdr:col>2</xdr:col>
                    <xdr:colOff>66675</xdr:colOff>
                    <xdr:row>10</xdr:row>
                    <xdr:rowOff>152400</xdr:rowOff>
                  </from>
                  <to>
                    <xdr:col>3</xdr:col>
                    <xdr:colOff>314325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5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152400</xdr:rowOff>
                  </from>
                  <to>
                    <xdr:col>5</xdr:col>
                    <xdr:colOff>295275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6" r:id="rId7" name="Option Button 4">
              <controlPr defaultSize="0" autoFill="0" autoLine="0" autoPict="0">
                <anchor>
                  <from>
                    <xdr:col>8</xdr:col>
                    <xdr:colOff>0</xdr:colOff>
                    <xdr:row>10</xdr:row>
                    <xdr:rowOff>152400</xdr:rowOff>
                  </from>
                  <to>
                    <xdr:col>9</xdr:col>
                    <xdr:colOff>209550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7" r:id="rId8" name="Option Button 5">
              <controlPr defaultSize="0" autoFill="0" autoLine="0" autoPict="0">
                <anchor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314325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8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28575</xdr:rowOff>
                  </from>
                  <to>
                    <xdr:col>5</xdr:col>
                    <xdr:colOff>295275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9" r:id="rId10" name="Option Button 7">
              <controlPr defaultSize="0" autoFill="0" autoLine="0" autoPict="0">
                <anchor>
                  <from>
                    <xdr:col>5</xdr:col>
                    <xdr:colOff>342900</xdr:colOff>
                    <xdr:row>12</xdr:row>
                    <xdr:rowOff>28575</xdr:rowOff>
                  </from>
                  <to>
                    <xdr:col>7</xdr:col>
                    <xdr:colOff>285750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0" r:id="rId11" name="Group Box 8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1" r:id="rId12" name="Option Button 9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2" r:id="rId13" name="Option Button 10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3" r:id="rId14" name="Option Button 11">
              <controlPr defaultSize="0" autoFill="0" autoLine="0" autoPict="0">
                <anchor>
                  <from>
                    <xdr:col>5</xdr:col>
                    <xdr:colOff>342900</xdr:colOff>
                    <xdr:row>10</xdr:row>
                    <xdr:rowOff>152400</xdr:rowOff>
                  </from>
                  <to>
                    <xdr:col>7</xdr:col>
                    <xdr:colOff>285750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4" r:id="rId15" name="Option Button 12">
              <controlPr defaultSize="0" autoFill="0" autoLine="0" autoPict="0">
                <anchor>
                  <from>
                    <xdr:col>9</xdr:col>
                    <xdr:colOff>276225</xdr:colOff>
                    <xdr:row>10</xdr:row>
                    <xdr:rowOff>152400</xdr:rowOff>
                  </from>
                  <to>
                    <xdr:col>11</xdr:col>
                    <xdr:colOff>171450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5" r:id="rId16" name="Group Box 13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28575</xdr:rowOff>
                  </from>
                  <to>
                    <xdr:col>20</xdr:col>
                    <xdr:colOff>161925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6" r:id="rId17" name="Option Button 14">
              <controlPr defaultSize="0" autoFill="0" autoLine="0" autoPict="0">
                <anchor>
                  <from>
                    <xdr:col>7</xdr:col>
                    <xdr:colOff>142875</xdr:colOff>
                    <xdr:row>6</xdr:row>
                    <xdr:rowOff>104775</xdr:rowOff>
                  </from>
                  <to>
                    <xdr:col>11</xdr:col>
                    <xdr:colOff>228600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7" r:id="rId18" name="Option Button 15">
              <controlPr defaultSize="0" autoFill="0" autoLine="0" autoPict="0">
                <anchor>
                  <from>
                    <xdr:col>11</xdr:col>
                    <xdr:colOff>295275</xdr:colOff>
                    <xdr:row>6</xdr:row>
                    <xdr:rowOff>104775</xdr:rowOff>
                  </from>
                  <to>
                    <xdr:col>16</xdr:col>
                    <xdr:colOff>76200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8" r:id="rId19" name="Group Box 16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9" r:id="rId20" name="Option Button 17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0" r:id="rId21" name="Option Button 18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1" r:id="rId22" name="Option Button 19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2" r:id="rId23" name="Option Button 20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3" r:id="rId24" name="Option Button 21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4" r:id="rId25" name="Option Button 22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5" r:id="rId26" name="Option Button 23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6" r:id="rId27" name="Option Button 24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7" r:id="rId28" name="Group Box 25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8" r:id="rId29" name="Group Box 26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9" r:id="rId30" name="Group Box 27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0" r:id="rId31" name="Option Button 28">
              <controlPr defaultSize="0" autoFill="0" autoLine="0" autoPict="0">
                <anchor>
                  <from>
                    <xdr:col>18</xdr:col>
                    <xdr:colOff>66675</xdr:colOff>
                    <xdr:row>37</xdr:row>
                    <xdr:rowOff>47625</xdr:rowOff>
                  </from>
                  <to>
                    <xdr:col>19</xdr:col>
                    <xdr:colOff>142875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1" r:id="rId32" name="Option Button 29">
              <controlPr defaultSize="0" autoFill="0" autoLine="0" autoPict="0">
                <anchor>
                  <from>
                    <xdr:col>19</xdr:col>
                    <xdr:colOff>209550</xdr:colOff>
                    <xdr:row>37</xdr:row>
                    <xdr:rowOff>47625</xdr:rowOff>
                  </from>
                  <to>
                    <xdr:col>20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2" r:id="rId33" name="Group Box 30">
              <controlPr defaultSize="0" autoFill="0" autoPict="0">
                <anchor moveWithCells="1">
                  <from>
                    <xdr:col>18</xdr:col>
                    <xdr:colOff>47625</xdr:colOff>
                    <xdr:row>37</xdr:row>
                    <xdr:rowOff>9525</xdr:rowOff>
                  </from>
                  <to>
                    <xdr:col>20</xdr:col>
                    <xdr:colOff>314325</xdr:colOff>
                    <xdr:row>38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D784C727-80A5-4F14-9A16-02028B96CE68}">
            <xm:f>IF('[Planilha Automatizada 0.2.4.1a.xlsm]Geral'!#REF!="",1,0)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49" id="{0FFC7FA7-7048-4945-90D3-6FCEE6A842A4}">
            <xm:f>IF(AND(AG6&gt;3,S33&gt;'[Planilha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50" id="{0C22BF85-FB7A-4EEE-AD90-65E728CF6141}">
            <xm:f>IF(AND(AG6&lt;4,O19+O20+O21&gt;'[Planilha Automatizada 0.2.4.1a.xlsm]Geral'!#REF!),1,0)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39" id="{16CD5F7A-5012-4AA3-812F-24B67A0A1570}">
            <xm:f>IF('[Planilha Automatizada 0.2.4.1a.xlsm]Geral'!#REF!="",1,0)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6" id="{4AD265EC-C201-4A32-A2FF-0AADB8CF0F2E}">
            <xm:f>IF('[Planilha Automatizada 0.2.4.1a.xlsm]Geral'!#REF!="",1,0)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1" id="{74A317C6-BC79-432E-AE3F-5070434701DC}">
            <xm:f>IF('[Planilha Automatizada 0.2.4.1a.xlsm]Geral'!#REF!="",1,0)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6" id="{2CD9A603-5F90-4D1B-B364-97E6ED1ABE1B}">
            <xm:f>IF('[Planilha Automatizada 0.2.4.1a.xlsm]Geral'!#REF!="",1,0)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eral">
    <pageSetUpPr fitToPage="1"/>
  </sheetPr>
  <dimension ref="A2:W32"/>
  <sheetViews>
    <sheetView showGridLines="0" showRowColHeaders="0" tabSelected="1" zoomScale="120" zoomScaleNormal="120" workbookViewId="0">
      <selection activeCell="I11" sqref="I11:Q11"/>
    </sheetView>
  </sheetViews>
  <sheetFormatPr defaultColWidth="2.7109375" defaultRowHeight="15.95" customHeight="1" x14ac:dyDescent="0.4"/>
  <cols>
    <col min="1" max="1" width="0.85546875" style="1" customWidth="1"/>
    <col min="2" max="2" width="2.7109375" style="1" customWidth="1"/>
    <col min="3" max="3" width="5.28515625" style="2" customWidth="1"/>
    <col min="4" max="8" width="5.28515625" style="1" customWidth="1"/>
    <col min="9" max="18" width="4.85546875" style="1" customWidth="1"/>
    <col min="19" max="19" width="6.7109375" style="1" customWidth="1"/>
    <col min="20" max="21" width="5.140625" style="1" customWidth="1"/>
    <col min="22" max="22" width="2.7109375" style="1" customWidth="1"/>
    <col min="23" max="16384" width="2.7109375" style="1"/>
  </cols>
  <sheetData>
    <row r="2" spans="2:22" ht="15.95" customHeight="1" thickBot="1" x14ac:dyDescent="0.45"/>
    <row r="3" spans="2:22" ht="15.95" customHeight="1" thickTop="1" thickBot="1" x14ac:dyDescent="0.45">
      <c r="B3" s="1818"/>
      <c r="C3" s="1819"/>
      <c r="D3" s="1819"/>
      <c r="E3" s="1819"/>
      <c r="F3" s="1819"/>
      <c r="G3" s="1819"/>
      <c r="H3" s="1819"/>
      <c r="I3" s="1819"/>
      <c r="J3" s="1819"/>
      <c r="K3" s="1819"/>
      <c r="L3" s="1819"/>
      <c r="M3" s="1819"/>
      <c r="N3" s="1819"/>
      <c r="O3" s="1819"/>
      <c r="P3" s="1819"/>
      <c r="Q3" s="1819"/>
      <c r="R3" s="1819"/>
      <c r="S3" s="1819"/>
      <c r="T3" s="1819"/>
      <c r="U3" s="1819"/>
      <c r="V3" s="1820"/>
    </row>
    <row r="4" spans="2:22" ht="15.95" customHeight="1" thickBot="1" x14ac:dyDescent="0.45">
      <c r="B4" s="751"/>
      <c r="C4" s="1821" t="s">
        <v>350</v>
      </c>
      <c r="D4" s="1727"/>
      <c r="E4" s="1727"/>
      <c r="F4" s="1727"/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7"/>
      <c r="T4" s="1727"/>
      <c r="U4" s="1822"/>
      <c r="V4" s="753"/>
    </row>
    <row r="5" spans="2:22" ht="5.0999999999999996" customHeight="1" thickBot="1" x14ac:dyDescent="0.45">
      <c r="B5" s="752"/>
      <c r="C5" s="1827"/>
      <c r="D5" s="1828"/>
      <c r="E5" s="1828"/>
      <c r="F5" s="1828"/>
      <c r="G5" s="1828"/>
      <c r="H5" s="1828"/>
      <c r="I5" s="1828"/>
      <c r="J5" s="1828"/>
      <c r="K5" s="1828"/>
      <c r="L5" s="1828"/>
      <c r="M5" s="1828"/>
      <c r="N5" s="1828"/>
      <c r="O5" s="1828"/>
      <c r="P5" s="1828"/>
      <c r="Q5" s="1828"/>
      <c r="R5" s="1828"/>
      <c r="S5" s="1828"/>
      <c r="T5" s="1828"/>
      <c r="U5" s="1829"/>
      <c r="V5" s="754"/>
    </row>
    <row r="6" spans="2:22" ht="15.95" customHeight="1" thickBot="1" x14ac:dyDescent="0.45">
      <c r="B6" s="752"/>
      <c r="C6" s="1834" t="s">
        <v>355</v>
      </c>
      <c r="D6" s="1835"/>
      <c r="E6" s="1835"/>
      <c r="F6" s="1835"/>
      <c r="G6" s="1835"/>
      <c r="H6" s="1835"/>
      <c r="I6" s="1835"/>
      <c r="J6" s="1835"/>
      <c r="K6" s="1835"/>
      <c r="L6" s="1835"/>
      <c r="M6" s="1835"/>
      <c r="N6" s="1835"/>
      <c r="O6" s="1835"/>
      <c r="P6" s="1835"/>
      <c r="Q6" s="1835"/>
      <c r="R6" s="1835"/>
      <c r="S6" s="1835"/>
      <c r="T6" s="1835"/>
      <c r="U6" s="1836"/>
      <c r="V6" s="754"/>
    </row>
    <row r="7" spans="2:22" ht="5.0999999999999996" customHeight="1" thickBot="1" x14ac:dyDescent="0.45">
      <c r="B7" s="752"/>
      <c r="C7" s="1549"/>
      <c r="D7" s="1550"/>
      <c r="E7" s="1550"/>
      <c r="F7" s="1550"/>
      <c r="G7" s="1550"/>
      <c r="H7" s="1550"/>
      <c r="I7" s="1550"/>
      <c r="J7" s="1550"/>
      <c r="K7" s="1550"/>
      <c r="L7" s="1550"/>
      <c r="M7" s="1550"/>
      <c r="N7" s="1550"/>
      <c r="O7" s="1550"/>
      <c r="P7" s="1550"/>
      <c r="Q7" s="1550"/>
      <c r="R7" s="1550"/>
      <c r="S7" s="1550"/>
      <c r="T7" s="1550"/>
      <c r="U7" s="1687"/>
      <c r="V7" s="754"/>
    </row>
    <row r="8" spans="2:22" ht="15.95" customHeight="1" thickBot="1" x14ac:dyDescent="0.45">
      <c r="B8" s="752"/>
      <c r="C8" s="1823" t="s">
        <v>357</v>
      </c>
      <c r="D8" s="1824"/>
      <c r="E8" s="1824"/>
      <c r="F8" s="1824"/>
      <c r="G8" s="1824"/>
      <c r="H8" s="1824"/>
      <c r="I8" s="1789" t="s">
        <v>149</v>
      </c>
      <c r="J8" s="1789"/>
      <c r="K8" s="1789"/>
      <c r="L8" s="1789"/>
      <c r="M8" s="1789"/>
      <c r="N8" s="1789"/>
      <c r="O8" s="1789"/>
      <c r="P8" s="1789"/>
      <c r="Q8" s="1789"/>
      <c r="R8" s="1789"/>
      <c r="S8" s="1789"/>
      <c r="T8" s="1789"/>
      <c r="U8" s="1790"/>
      <c r="V8" s="754"/>
    </row>
    <row r="9" spans="2:22" ht="5.0999999999999996" customHeight="1" thickBot="1" x14ac:dyDescent="0.45">
      <c r="B9" s="752"/>
      <c r="C9" s="1625"/>
      <c r="D9" s="1626"/>
      <c r="E9" s="1626"/>
      <c r="F9" s="1626"/>
      <c r="G9" s="1626"/>
      <c r="H9" s="1626"/>
      <c r="I9" s="1626"/>
      <c r="J9" s="1626"/>
      <c r="K9" s="1626"/>
      <c r="L9" s="1626"/>
      <c r="M9" s="1626"/>
      <c r="N9" s="1626"/>
      <c r="O9" s="1626"/>
      <c r="P9" s="1626"/>
      <c r="Q9" s="1626"/>
      <c r="R9" s="1626"/>
      <c r="S9" s="1626"/>
      <c r="T9" s="1626"/>
      <c r="U9" s="1627"/>
      <c r="V9" s="754"/>
    </row>
    <row r="10" spans="2:22" ht="15.95" customHeight="1" x14ac:dyDescent="0.4">
      <c r="B10" s="752"/>
      <c r="C10" s="1825" t="s">
        <v>9203</v>
      </c>
      <c r="D10" s="1826"/>
      <c r="E10" s="1826"/>
      <c r="F10" s="1826"/>
      <c r="G10" s="1826"/>
      <c r="H10" s="1826"/>
      <c r="I10" s="1830" t="s">
        <v>9774</v>
      </c>
      <c r="J10" s="1830"/>
      <c r="K10" s="1830"/>
      <c r="L10" s="1830"/>
      <c r="M10" s="1830"/>
      <c r="N10" s="1830"/>
      <c r="O10" s="1830"/>
      <c r="P10" s="1830"/>
      <c r="Q10" s="1830"/>
      <c r="R10" s="1831" t="s">
        <v>1</v>
      </c>
      <c r="S10" s="1831"/>
      <c r="T10" s="1832">
        <v>0</v>
      </c>
      <c r="U10" s="1833"/>
      <c r="V10" s="754"/>
    </row>
    <row r="11" spans="2:22" ht="15.95" customHeight="1" x14ac:dyDescent="0.4">
      <c r="B11" s="752"/>
      <c r="C11" s="1843" t="s">
        <v>9204</v>
      </c>
      <c r="D11" s="1844"/>
      <c r="E11" s="1844"/>
      <c r="F11" s="1844"/>
      <c r="G11" s="1844"/>
      <c r="H11" s="1844"/>
      <c r="I11" s="1806" t="s">
        <v>2</v>
      </c>
      <c r="J11" s="1806"/>
      <c r="K11" s="1806"/>
      <c r="L11" s="1806"/>
      <c r="M11" s="1806"/>
      <c r="N11" s="1806"/>
      <c r="O11" s="1806"/>
      <c r="P11" s="1806"/>
      <c r="Q11" s="1806"/>
      <c r="R11" s="1807" t="s">
        <v>1</v>
      </c>
      <c r="S11" s="1807"/>
      <c r="T11" s="1791">
        <v>4440780</v>
      </c>
      <c r="U11" s="1792"/>
      <c r="V11" s="754"/>
    </row>
    <row r="12" spans="2:22" ht="15.95" customHeight="1" thickBot="1" x14ac:dyDescent="0.45">
      <c r="B12" s="752"/>
      <c r="C12" s="1804" t="s">
        <v>9205</v>
      </c>
      <c r="D12" s="1805"/>
      <c r="E12" s="1805"/>
      <c r="F12" s="1805"/>
      <c r="G12" s="1805"/>
      <c r="H12" s="1805"/>
      <c r="I12" s="1806" t="s">
        <v>346</v>
      </c>
      <c r="J12" s="1806"/>
      <c r="K12" s="1806"/>
      <c r="L12" s="1806"/>
      <c r="M12" s="1806"/>
      <c r="N12" s="1806"/>
      <c r="O12" s="1806"/>
      <c r="P12" s="1806"/>
      <c r="Q12" s="1806"/>
      <c r="R12" s="1807" t="s">
        <v>1</v>
      </c>
      <c r="S12" s="1807"/>
      <c r="T12" s="1791">
        <v>8173536</v>
      </c>
      <c r="U12" s="1792"/>
      <c r="V12" s="754"/>
    </row>
    <row r="13" spans="2:22" ht="15.95" customHeight="1" thickBot="1" x14ac:dyDescent="0.45">
      <c r="B13" s="752"/>
      <c r="C13" s="1795" t="s">
        <v>9206</v>
      </c>
      <c r="D13" s="1796"/>
      <c r="E13" s="1796"/>
      <c r="F13" s="1796"/>
      <c r="G13" s="1796"/>
      <c r="H13" s="1796"/>
      <c r="I13" s="1797" t="s">
        <v>8216</v>
      </c>
      <c r="J13" s="1797"/>
      <c r="K13" s="1797"/>
      <c r="L13" s="1797"/>
      <c r="M13" s="1797"/>
      <c r="N13" s="1797"/>
      <c r="O13" s="1797"/>
      <c r="P13" s="1797"/>
      <c r="Q13" s="1797"/>
      <c r="R13" s="1798" t="s">
        <v>1</v>
      </c>
      <c r="S13" s="1798"/>
      <c r="T13" s="1799">
        <v>2554624</v>
      </c>
      <c r="U13" s="1800"/>
      <c r="V13" s="754"/>
    </row>
    <row r="14" spans="2:22" ht="5.0999999999999996" customHeight="1" thickBot="1" x14ac:dyDescent="0.45">
      <c r="B14" s="752"/>
      <c r="C14" s="1625"/>
      <c r="D14" s="1626"/>
      <c r="E14" s="1626"/>
      <c r="F14" s="1626"/>
      <c r="G14" s="1626"/>
      <c r="H14" s="1626"/>
      <c r="I14" s="1626"/>
      <c r="J14" s="1626"/>
      <c r="K14" s="1626"/>
      <c r="L14" s="1626"/>
      <c r="M14" s="1626"/>
      <c r="N14" s="1626"/>
      <c r="O14" s="1626"/>
      <c r="P14" s="1626"/>
      <c r="Q14" s="1626"/>
      <c r="R14" s="1626"/>
      <c r="S14" s="1626"/>
      <c r="T14" s="1626"/>
      <c r="U14" s="1627"/>
      <c r="V14" s="754"/>
    </row>
    <row r="15" spans="2:22" ht="15.95" customHeight="1" x14ac:dyDescent="0.4">
      <c r="B15" s="752"/>
      <c r="C15" s="1823" t="s">
        <v>9207</v>
      </c>
      <c r="D15" s="1824"/>
      <c r="E15" s="1824"/>
      <c r="F15" s="1824"/>
      <c r="G15" s="1824"/>
      <c r="H15" s="1824"/>
      <c r="I15" s="1845" t="s">
        <v>8189</v>
      </c>
      <c r="J15" s="1845"/>
      <c r="K15" s="1845"/>
      <c r="L15" s="1845"/>
      <c r="M15" s="1845"/>
      <c r="N15" s="1845"/>
      <c r="O15" s="1845"/>
      <c r="P15" s="1845"/>
      <c r="Q15" s="1845"/>
      <c r="R15" s="1831" t="s">
        <v>1</v>
      </c>
      <c r="S15" s="1831"/>
      <c r="T15" s="1756">
        <v>13843784</v>
      </c>
      <c r="U15" s="1757"/>
      <c r="V15" s="754"/>
    </row>
    <row r="16" spans="2:22" ht="15.95" customHeight="1" thickBot="1" x14ac:dyDescent="0.45">
      <c r="B16" s="752"/>
      <c r="C16" s="1846" t="s">
        <v>9208</v>
      </c>
      <c r="D16" s="1847"/>
      <c r="E16" s="1847"/>
      <c r="F16" s="1847"/>
      <c r="G16" s="1847"/>
      <c r="H16" s="1847"/>
      <c r="I16" s="1848" t="s">
        <v>9423</v>
      </c>
      <c r="J16" s="1848"/>
      <c r="K16" s="1848"/>
      <c r="L16" s="1848"/>
      <c r="M16" s="1848"/>
      <c r="N16" s="1848"/>
      <c r="O16" s="1848"/>
      <c r="P16" s="1848"/>
      <c r="Q16" s="1848"/>
      <c r="R16" s="1849" t="s">
        <v>1</v>
      </c>
      <c r="S16" s="1849"/>
      <c r="T16" s="1793">
        <v>3100377</v>
      </c>
      <c r="U16" s="1794"/>
      <c r="V16" s="754"/>
    </row>
    <row r="17" spans="1:23" ht="15.95" customHeight="1" thickBot="1" x14ac:dyDescent="0.45">
      <c r="B17" s="1850"/>
      <c r="C17" s="1851"/>
      <c r="D17" s="1851"/>
      <c r="E17" s="1851"/>
      <c r="F17" s="1851"/>
      <c r="G17" s="1851"/>
      <c r="H17" s="1851"/>
      <c r="I17" s="1851"/>
      <c r="J17" s="1851"/>
      <c r="K17" s="1851"/>
      <c r="L17" s="1851"/>
      <c r="M17" s="1851"/>
      <c r="N17" s="1851"/>
      <c r="O17" s="1851"/>
      <c r="P17" s="1851"/>
      <c r="Q17" s="1851"/>
      <c r="R17" s="1851"/>
      <c r="S17" s="1851"/>
      <c r="T17" s="1851"/>
      <c r="U17" s="1851"/>
      <c r="V17" s="1852"/>
    </row>
    <row r="18" spans="1:23" ht="5.0999999999999996" customHeight="1" thickTop="1" thickBot="1" x14ac:dyDescent="0.45">
      <c r="A18" s="41"/>
      <c r="B18" s="1808"/>
      <c r="C18" s="1808"/>
      <c r="D18" s="1808"/>
      <c r="E18" s="1808"/>
      <c r="F18" s="1808"/>
      <c r="G18" s="1808"/>
      <c r="H18" s="1808"/>
      <c r="I18" s="1808"/>
      <c r="J18" s="1808"/>
      <c r="K18" s="1808"/>
      <c r="L18" s="1808"/>
      <c r="M18" s="1808"/>
      <c r="N18" s="1808"/>
      <c r="O18" s="1808"/>
      <c r="P18" s="1808"/>
      <c r="Q18" s="1808"/>
      <c r="R18" s="1808"/>
      <c r="S18" s="1808"/>
      <c r="T18" s="1808"/>
      <c r="U18" s="1808"/>
      <c r="V18" s="1808"/>
      <c r="W18" s="41"/>
    </row>
    <row r="19" spans="1:23" ht="15.95" customHeight="1" thickTop="1" thickBot="1" x14ac:dyDescent="0.45">
      <c r="B19" s="1801"/>
      <c r="C19" s="1802"/>
      <c r="D19" s="1802"/>
      <c r="E19" s="1802"/>
      <c r="F19" s="1802"/>
      <c r="G19" s="1802"/>
      <c r="H19" s="1802"/>
      <c r="I19" s="1802"/>
      <c r="J19" s="1802"/>
      <c r="K19" s="1802"/>
      <c r="L19" s="1802"/>
      <c r="M19" s="1802"/>
      <c r="N19" s="1802"/>
      <c r="O19" s="1802"/>
      <c r="P19" s="1802"/>
      <c r="Q19" s="1802"/>
      <c r="R19" s="1802"/>
      <c r="S19" s="1802"/>
      <c r="T19" s="1802"/>
      <c r="U19" s="1802"/>
      <c r="V19" s="1803"/>
    </row>
    <row r="20" spans="1:23" ht="15.95" customHeight="1" x14ac:dyDescent="0.4">
      <c r="B20" s="752"/>
      <c r="C20" s="1809" t="s">
        <v>351</v>
      </c>
      <c r="D20" s="1810"/>
      <c r="E20" s="1810"/>
      <c r="F20" s="1810"/>
      <c r="G20" s="1810"/>
      <c r="H20" s="1810"/>
      <c r="I20" s="1810"/>
      <c r="J20" s="1810"/>
      <c r="K20" s="1810"/>
      <c r="L20" s="1810"/>
      <c r="M20" s="1810"/>
      <c r="N20" s="1810"/>
      <c r="O20" s="1810"/>
      <c r="P20" s="1810"/>
      <c r="Q20" s="1810"/>
      <c r="R20" s="1810"/>
      <c r="S20" s="1810"/>
      <c r="T20" s="1810"/>
      <c r="U20" s="1811"/>
      <c r="V20" s="754"/>
    </row>
    <row r="21" spans="1:23" ht="15.95" customHeight="1" x14ac:dyDescent="0.4">
      <c r="B21" s="752"/>
      <c r="C21" s="1812" t="s">
        <v>7983</v>
      </c>
      <c r="D21" s="1813"/>
      <c r="E21" s="1814">
        <v>1982.54</v>
      </c>
      <c r="F21" s="1788"/>
      <c r="G21" s="1815" t="s">
        <v>7984</v>
      </c>
      <c r="H21" s="1816"/>
      <c r="I21" s="1814">
        <v>1883.39</v>
      </c>
      <c r="J21" s="1788"/>
      <c r="K21" s="1815" t="s">
        <v>7985</v>
      </c>
      <c r="L21" s="1815"/>
      <c r="M21" s="1787">
        <v>1047.8399999999999</v>
      </c>
      <c r="N21" s="1788"/>
      <c r="O21" s="1815" t="s">
        <v>7986</v>
      </c>
      <c r="P21" s="1815"/>
      <c r="Q21" s="1787">
        <v>1982.54</v>
      </c>
      <c r="R21" s="1788"/>
      <c r="S21" s="735" t="s">
        <v>7987</v>
      </c>
      <c r="T21" s="1814">
        <v>1369.7</v>
      </c>
      <c r="U21" s="1817"/>
      <c r="V21" s="754"/>
    </row>
    <row r="22" spans="1:23" ht="15.95" customHeight="1" x14ac:dyDescent="0.4">
      <c r="B22" s="752"/>
      <c r="C22" s="1767" t="s">
        <v>9369</v>
      </c>
      <c r="D22" s="1768"/>
      <c r="E22" s="1769">
        <v>153.1</v>
      </c>
      <c r="F22" s="1764"/>
      <c r="G22" s="1762" t="s">
        <v>9369</v>
      </c>
      <c r="H22" s="1770"/>
      <c r="I22" s="1769">
        <v>145.44999999999999</v>
      </c>
      <c r="J22" s="1764"/>
      <c r="K22" s="1762" t="s">
        <v>9369</v>
      </c>
      <c r="L22" s="1762"/>
      <c r="M22" s="1760">
        <v>80.92</v>
      </c>
      <c r="N22" s="1761"/>
      <c r="O22" s="1762" t="s">
        <v>9369</v>
      </c>
      <c r="P22" s="1762"/>
      <c r="Q22" s="1763">
        <v>153.1</v>
      </c>
      <c r="R22" s="1764"/>
      <c r="S22" s="736" t="s">
        <v>9369</v>
      </c>
      <c r="T22" s="1765">
        <v>105.77</v>
      </c>
      <c r="U22" s="1766"/>
      <c r="V22" s="754"/>
    </row>
    <row r="23" spans="1:23" ht="15.95" customHeight="1" thickBot="1" x14ac:dyDescent="0.45">
      <c r="B23" s="777"/>
      <c r="C23" s="1767" t="s">
        <v>9383</v>
      </c>
      <c r="D23" s="1768"/>
      <c r="E23" s="1769"/>
      <c r="F23" s="1764"/>
      <c r="G23" s="1762" t="s">
        <v>9383</v>
      </c>
      <c r="H23" s="1770"/>
      <c r="I23" s="1769"/>
      <c r="J23" s="1764"/>
      <c r="K23" s="1762" t="s">
        <v>9383</v>
      </c>
      <c r="L23" s="1762"/>
      <c r="M23" s="1760"/>
      <c r="N23" s="1761"/>
      <c r="O23" s="1762" t="s">
        <v>9383</v>
      </c>
      <c r="P23" s="1762"/>
      <c r="Q23" s="1763"/>
      <c r="R23" s="1764"/>
      <c r="S23" s="787" t="s">
        <v>9383</v>
      </c>
      <c r="T23" s="1765"/>
      <c r="U23" s="1766"/>
      <c r="V23" s="778"/>
    </row>
    <row r="24" spans="1:23" ht="15.95" customHeight="1" x14ac:dyDescent="0.4">
      <c r="B24" s="752"/>
      <c r="C24" s="1778" t="s">
        <v>9380</v>
      </c>
      <c r="D24" s="1779"/>
      <c r="E24" s="1779"/>
      <c r="F24" s="1780">
        <f>F25*3</f>
        <v>2862</v>
      </c>
      <c r="G24" s="1781"/>
      <c r="H24" s="1776" t="s">
        <v>9379</v>
      </c>
      <c r="I24" s="1776"/>
      <c r="J24" s="1776"/>
      <c r="K24" s="1776"/>
      <c r="L24" s="1776"/>
      <c r="M24" s="1776"/>
      <c r="N24" s="1776"/>
      <c r="O24" s="1776"/>
      <c r="P24" s="1776"/>
      <c r="Q24" s="1776"/>
      <c r="R24" s="1777"/>
      <c r="S24" s="785" t="s">
        <v>7988</v>
      </c>
      <c r="T24" s="1771">
        <v>4956.3599999999997</v>
      </c>
      <c r="U24" s="1635"/>
      <c r="V24" s="754"/>
    </row>
    <row r="25" spans="1:23" ht="15.95" customHeight="1" thickBot="1" x14ac:dyDescent="0.45">
      <c r="B25" s="752"/>
      <c r="C25" s="1772" t="s">
        <v>9376</v>
      </c>
      <c r="D25" s="1773"/>
      <c r="E25" s="1773"/>
      <c r="F25" s="1774">
        <v>954</v>
      </c>
      <c r="G25" s="1775"/>
      <c r="H25" s="1856" t="s">
        <v>9377</v>
      </c>
      <c r="I25" s="1856"/>
      <c r="J25" s="1856"/>
      <c r="K25" s="1856"/>
      <c r="L25" s="1857">
        <v>8.1</v>
      </c>
      <c r="M25" s="1858"/>
      <c r="N25" s="1855" t="s">
        <v>9378</v>
      </c>
      <c r="O25" s="1855"/>
      <c r="P25" s="1855"/>
      <c r="Q25" s="1782">
        <v>1.8</v>
      </c>
      <c r="R25" s="1783"/>
      <c r="S25" s="786" t="s">
        <v>9369</v>
      </c>
      <c r="T25" s="1859">
        <v>382.74</v>
      </c>
      <c r="U25" s="1860"/>
      <c r="V25" s="754"/>
    </row>
    <row r="26" spans="1:23" ht="15.95" customHeight="1" thickBot="1" x14ac:dyDescent="0.45">
      <c r="B26" s="752"/>
      <c r="C26" s="1861" t="s">
        <v>7989</v>
      </c>
      <c r="D26" s="1862"/>
      <c r="E26" s="1862"/>
      <c r="F26" s="1862"/>
      <c r="G26" s="1862"/>
      <c r="H26" s="1862"/>
      <c r="I26" s="1862"/>
      <c r="J26" s="1862"/>
      <c r="K26" s="1862"/>
      <c r="L26" s="1862"/>
      <c r="M26" s="1862"/>
      <c r="N26" s="1862"/>
      <c r="O26" s="1862"/>
      <c r="P26" s="1862"/>
      <c r="Q26" s="1862"/>
      <c r="R26" s="1863"/>
      <c r="S26" s="788" t="s">
        <v>9383</v>
      </c>
      <c r="T26" s="1859"/>
      <c r="U26" s="1860"/>
      <c r="V26" s="754"/>
    </row>
    <row r="27" spans="1:23" ht="15.95" customHeight="1" thickBot="1" x14ac:dyDescent="0.45">
      <c r="B27" s="752"/>
      <c r="C27" s="1853" t="s">
        <v>7991</v>
      </c>
      <c r="D27" s="1854"/>
      <c r="E27" s="1854"/>
      <c r="F27" s="1837">
        <v>0.01</v>
      </c>
      <c r="G27" s="1838"/>
      <c r="H27" s="1841" t="s">
        <v>7992</v>
      </c>
      <c r="I27" s="1841"/>
      <c r="J27" s="1842"/>
      <c r="K27" s="1837">
        <v>0.01</v>
      </c>
      <c r="L27" s="1838"/>
      <c r="M27" s="1841" t="s">
        <v>7993</v>
      </c>
      <c r="N27" s="1841"/>
      <c r="O27" s="1842"/>
      <c r="P27" s="1837">
        <v>0.01</v>
      </c>
      <c r="Q27" s="1838"/>
      <c r="R27" s="1841" t="s">
        <v>7990</v>
      </c>
      <c r="S27" s="1842"/>
      <c r="T27" s="1839">
        <v>0.01</v>
      </c>
      <c r="U27" s="1840"/>
      <c r="V27" s="754"/>
    </row>
    <row r="28" spans="1:23" ht="15.75" customHeight="1" thickBot="1" x14ac:dyDescent="0.45">
      <c r="B28" s="752"/>
      <c r="C28" s="1784"/>
      <c r="D28" s="1785"/>
      <c r="E28" s="1785"/>
      <c r="F28" s="1785"/>
      <c r="G28" s="1785"/>
      <c r="H28" s="1785"/>
      <c r="I28" s="1785"/>
      <c r="J28" s="1785"/>
      <c r="K28" s="1785"/>
      <c r="L28" s="1785"/>
      <c r="M28" s="1785"/>
      <c r="N28" s="1785"/>
      <c r="O28" s="1785"/>
      <c r="P28" s="1785"/>
      <c r="Q28" s="1785"/>
      <c r="R28" s="1785"/>
      <c r="S28" s="1785"/>
      <c r="T28" s="1785"/>
      <c r="U28" s="1786"/>
      <c r="V28" s="754"/>
    </row>
    <row r="29" spans="1:23" ht="15.95" customHeight="1" thickBot="1" x14ac:dyDescent="0.45">
      <c r="B29" s="748"/>
      <c r="C29" s="749"/>
      <c r="D29" s="749"/>
      <c r="E29" s="749"/>
      <c r="F29" s="749"/>
      <c r="G29" s="749"/>
      <c r="H29" s="749"/>
      <c r="I29" s="749"/>
      <c r="J29" s="749"/>
      <c r="K29" s="749"/>
      <c r="L29" s="749"/>
      <c r="M29" s="749"/>
      <c r="N29" s="749"/>
      <c r="O29" s="749"/>
      <c r="P29" s="749"/>
      <c r="Q29" s="749"/>
      <c r="R29" s="749"/>
      <c r="S29" s="749"/>
      <c r="T29" s="749"/>
      <c r="U29" s="749"/>
      <c r="V29" s="750"/>
    </row>
    <row r="30" spans="1:23" ht="15.95" customHeight="1" thickTop="1" x14ac:dyDescent="0.4"/>
    <row r="32" spans="1:23" s="3" customFormat="1" ht="15.95" customHeight="1" x14ac:dyDescent="0.25"/>
  </sheetData>
  <sheetProtection algorithmName="SHA-512" hashValue="hDmtvBic60utfSM1z1juNgQjMk0KJnrZp+mh8JouLNDQA5aszsKuXuDvVbZdxsNXBLfJBZahrrIM0WYs0ZtqmQ==" saltValue="0kbevYJxss3Muiq5cJnl9Q==" spinCount="100000" sheet="1" objects="1" scenarios="1" selectLockedCells="1"/>
  <mergeCells count="86">
    <mergeCell ref="N25:P25"/>
    <mergeCell ref="H25:K25"/>
    <mergeCell ref="L25:M25"/>
    <mergeCell ref="T25:U25"/>
    <mergeCell ref="T26:U26"/>
    <mergeCell ref="C26:R26"/>
    <mergeCell ref="C27:E27"/>
    <mergeCell ref="F27:G27"/>
    <mergeCell ref="H27:J27"/>
    <mergeCell ref="K27:L27"/>
    <mergeCell ref="M27:O27"/>
    <mergeCell ref="P27:Q27"/>
    <mergeCell ref="T27:U27"/>
    <mergeCell ref="R27:S27"/>
    <mergeCell ref="C11:H11"/>
    <mergeCell ref="I11:Q11"/>
    <mergeCell ref="C14:U14"/>
    <mergeCell ref="C15:H15"/>
    <mergeCell ref="I15:Q15"/>
    <mergeCell ref="R15:S15"/>
    <mergeCell ref="T15:U15"/>
    <mergeCell ref="R11:S11"/>
    <mergeCell ref="O21:P21"/>
    <mergeCell ref="C16:H16"/>
    <mergeCell ref="I16:Q16"/>
    <mergeCell ref="R16:S16"/>
    <mergeCell ref="B17:V17"/>
    <mergeCell ref="B3:V3"/>
    <mergeCell ref="C4:U4"/>
    <mergeCell ref="C8:H8"/>
    <mergeCell ref="C9:U9"/>
    <mergeCell ref="C10:H10"/>
    <mergeCell ref="C5:U5"/>
    <mergeCell ref="I10:Q10"/>
    <mergeCell ref="R10:S10"/>
    <mergeCell ref="T10:U10"/>
    <mergeCell ref="C6:U6"/>
    <mergeCell ref="B18:V18"/>
    <mergeCell ref="C20:U20"/>
    <mergeCell ref="C21:D21"/>
    <mergeCell ref="E21:F21"/>
    <mergeCell ref="G21:H21"/>
    <mergeCell ref="I21:J21"/>
    <mergeCell ref="T21:U21"/>
    <mergeCell ref="K21:L21"/>
    <mergeCell ref="C28:U28"/>
    <mergeCell ref="Q21:R21"/>
    <mergeCell ref="I8:U8"/>
    <mergeCell ref="C7:U7"/>
    <mergeCell ref="T11:U11"/>
    <mergeCell ref="T16:U16"/>
    <mergeCell ref="C13:H13"/>
    <mergeCell ref="I13:Q13"/>
    <mergeCell ref="R13:S13"/>
    <mergeCell ref="T13:U13"/>
    <mergeCell ref="B19:V19"/>
    <mergeCell ref="C12:H12"/>
    <mergeCell ref="I12:Q12"/>
    <mergeCell ref="R12:S12"/>
    <mergeCell ref="T12:U12"/>
    <mergeCell ref="M21:N21"/>
    <mergeCell ref="Q22:R22"/>
    <mergeCell ref="T22:U22"/>
    <mergeCell ref="T24:U24"/>
    <mergeCell ref="C25:E25"/>
    <mergeCell ref="F25:G25"/>
    <mergeCell ref="H24:R24"/>
    <mergeCell ref="C24:E24"/>
    <mergeCell ref="F24:G24"/>
    <mergeCell ref="C22:D22"/>
    <mergeCell ref="G22:H22"/>
    <mergeCell ref="K22:L22"/>
    <mergeCell ref="O22:P22"/>
    <mergeCell ref="E22:F22"/>
    <mergeCell ref="I22:J22"/>
    <mergeCell ref="M22:N22"/>
    <mergeCell ref="Q25:R25"/>
    <mergeCell ref="M23:N23"/>
    <mergeCell ref="O23:P23"/>
    <mergeCell ref="Q23:R23"/>
    <mergeCell ref="T23:U23"/>
    <mergeCell ref="C23:D23"/>
    <mergeCell ref="E23:F23"/>
    <mergeCell ref="G23:H23"/>
    <mergeCell ref="I23:J23"/>
    <mergeCell ref="K23:L2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esquisaRapida"/>
  <dimension ref="A3"/>
  <sheetViews>
    <sheetView showGridLines="0" showRowColHeaders="0" topLeftCell="E121" workbookViewId="0">
      <selection activeCell="B149" sqref="B149"/>
    </sheetView>
  </sheetViews>
  <sheetFormatPr defaultRowHeight="15" x14ac:dyDescent="0.25"/>
  <cols>
    <col min="1" max="16384" width="9.140625" style="1366"/>
  </cols>
  <sheetData>
    <row r="3" ht="17.25" customHeight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Servidor"/>
  <dimension ref="A1:G16"/>
  <sheetViews>
    <sheetView showGridLines="0" showRowColHeaders="0" zoomScaleNormal="100" workbookViewId="0">
      <selection activeCell="D5" sqref="D5"/>
    </sheetView>
  </sheetViews>
  <sheetFormatPr defaultColWidth="0" defaultRowHeight="0" customHeight="1" zeroHeight="1" x14ac:dyDescent="0.25"/>
  <cols>
    <col min="1" max="1" width="1.7109375" style="1322" customWidth="1"/>
    <col min="2" max="2" width="2.7109375" style="1329" customWidth="1"/>
    <col min="3" max="3" width="28.140625" style="1336" customWidth="1"/>
    <col min="4" max="4" width="86.28515625" style="1336" customWidth="1"/>
    <col min="5" max="5" width="2.7109375" style="1337" customWidth="1"/>
    <col min="6" max="6" width="1.7109375" style="1323" customWidth="1"/>
    <col min="7" max="7" width="12.7109375" style="1328" hidden="1" customWidth="1"/>
    <col min="8" max="16384" width="3.85546875" style="1329" hidden="1"/>
  </cols>
  <sheetData>
    <row r="1" spans="1:7" s="1322" customFormat="1" ht="18.75" customHeight="1" thickBot="1" x14ac:dyDescent="0.3">
      <c r="C1" s="1323"/>
      <c r="D1" s="1323"/>
      <c r="E1" s="1323"/>
      <c r="F1" s="1323"/>
      <c r="G1" s="1324"/>
    </row>
    <row r="2" spans="1:7" ht="15" customHeight="1" thickTop="1" thickBot="1" x14ac:dyDescent="0.3">
      <c r="B2" s="1325"/>
      <c r="C2" s="1326"/>
      <c r="D2" s="1326"/>
      <c r="E2" s="1327"/>
    </row>
    <row r="3" spans="1:7" ht="26.25" thickBot="1" x14ac:dyDescent="0.3">
      <c r="B3" s="1330"/>
      <c r="C3" s="1864" t="s">
        <v>9612</v>
      </c>
      <c r="D3" s="1865"/>
      <c r="E3" s="1307"/>
      <c r="F3" s="1308"/>
    </row>
    <row r="4" spans="1:7" s="1333" customFormat="1" ht="5.0999999999999996" customHeight="1" thickBot="1" x14ac:dyDescent="0.3">
      <c r="A4" s="1322"/>
      <c r="B4" s="1331"/>
      <c r="C4" s="1868"/>
      <c r="D4" s="1869"/>
      <c r="E4" s="1307"/>
      <c r="F4" s="1308"/>
      <c r="G4" s="1332"/>
    </row>
    <row r="5" spans="1:7" ht="25.5" x14ac:dyDescent="0.25">
      <c r="B5" s="1330"/>
      <c r="C5" s="1119" t="s">
        <v>13</v>
      </c>
      <c r="D5" s="1117">
        <v>0</v>
      </c>
      <c r="E5" s="1309"/>
      <c r="F5" s="1310"/>
    </row>
    <row r="6" spans="1:7" ht="26.25" thickBot="1" x14ac:dyDescent="0.3">
      <c r="B6" s="1330"/>
      <c r="C6" s="1120" t="s">
        <v>9427</v>
      </c>
      <c r="D6" s="1118">
        <v>0</v>
      </c>
      <c r="E6" s="1311"/>
      <c r="F6" s="1312"/>
    </row>
    <row r="7" spans="1:7" s="1333" customFormat="1" ht="5.0999999999999996" customHeight="1" thickBot="1" x14ac:dyDescent="0.3">
      <c r="A7" s="1322"/>
      <c r="B7" s="1331"/>
      <c r="C7" s="1866"/>
      <c r="D7" s="1867"/>
      <c r="E7" s="1311"/>
      <c r="F7" s="1312"/>
      <c r="G7" s="1332"/>
    </row>
    <row r="8" spans="1:7" ht="25.5" x14ac:dyDescent="0.25">
      <c r="B8" s="1330"/>
      <c r="C8" s="1119" t="s">
        <v>411</v>
      </c>
      <c r="D8" s="1121"/>
      <c r="E8" s="1313"/>
      <c r="F8" s="1314"/>
      <c r="G8" s="1334"/>
    </row>
    <row r="9" spans="1:7" s="1333" customFormat="1" ht="25.5" x14ac:dyDescent="0.25">
      <c r="A9" s="1322"/>
      <c r="B9" s="1331"/>
      <c r="C9" s="1122" t="s">
        <v>9472</v>
      </c>
      <c r="D9" s="1123"/>
      <c r="E9" s="1313"/>
      <c r="F9" s="1314"/>
      <c r="G9" s="1332">
        <v>2</v>
      </c>
    </row>
    <row r="10" spans="1:7" ht="25.5" x14ac:dyDescent="0.25">
      <c r="B10" s="1330"/>
      <c r="C10" s="1124" t="s">
        <v>9471</v>
      </c>
      <c r="D10" s="1125"/>
      <c r="E10" s="1313"/>
      <c r="F10" s="1314"/>
      <c r="G10" s="1328">
        <v>2</v>
      </c>
    </row>
    <row r="11" spans="1:7" ht="25.5" x14ac:dyDescent="0.25">
      <c r="B11" s="1330"/>
      <c r="C11" s="1122" t="s">
        <v>9428</v>
      </c>
      <c r="D11" s="1126"/>
      <c r="E11" s="1315"/>
      <c r="F11" s="1316"/>
    </row>
    <row r="12" spans="1:7" ht="25.5" x14ac:dyDescent="0.25">
      <c r="B12" s="1330"/>
      <c r="C12" s="1122" t="s">
        <v>9429</v>
      </c>
      <c r="D12" s="1126"/>
      <c r="E12" s="1315"/>
      <c r="F12" s="1316"/>
    </row>
    <row r="13" spans="1:7" ht="26.25" thickBot="1" x14ac:dyDescent="0.3">
      <c r="B13" s="1330"/>
      <c r="C13" s="1122" t="s">
        <v>9430</v>
      </c>
      <c r="D13" s="1126"/>
      <c r="E13" s="1315"/>
      <c r="F13" s="1316"/>
    </row>
    <row r="14" spans="1:7" ht="26.25" hidden="1" thickBot="1" x14ac:dyDescent="0.3">
      <c r="B14" s="1330"/>
      <c r="C14" s="1317" t="s">
        <v>9473</v>
      </c>
      <c r="D14" s="1396">
        <v>0</v>
      </c>
      <c r="E14" s="1315"/>
      <c r="F14" s="1316"/>
    </row>
    <row r="15" spans="1:7" ht="15" customHeight="1" thickBot="1" x14ac:dyDescent="0.3">
      <c r="B15" s="1335"/>
      <c r="C15" s="1318"/>
      <c r="D15" s="1319"/>
      <c r="E15" s="1320"/>
      <c r="F15" s="1316"/>
    </row>
    <row r="16" spans="1:7" s="1322" customFormat="1" ht="408.95" customHeight="1" thickTop="1" x14ac:dyDescent="0.25">
      <c r="E16" s="1321"/>
      <c r="F16" s="1321"/>
      <c r="G16" s="1324"/>
    </row>
  </sheetData>
  <sheetProtection sheet="1" objects="1" scenarios="1" selectLockedCells="1"/>
  <dataConsolidate/>
  <mergeCells count="3">
    <mergeCell ref="C3:D3"/>
    <mergeCell ref="C7:D7"/>
    <mergeCell ref="C4:D4"/>
  </mergeCells>
  <dataValidations count="2">
    <dataValidation type="whole" showInputMessage="1" showErrorMessage="1" sqref="E6:F7 D6">
      <formula1>1</formula1>
      <formula2>9</formula2>
    </dataValidation>
    <dataValidation type="whole" showInputMessage="1" showErrorMessage="1" sqref="D5:F5">
      <formula1>999999</formula1>
      <formula2>99999999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dosFormularios"/>
  <dimension ref="A1:G7"/>
  <sheetViews>
    <sheetView workbookViewId="0">
      <selection activeCell="D4" sqref="D4"/>
    </sheetView>
  </sheetViews>
  <sheetFormatPr defaultRowHeight="15" x14ac:dyDescent="0.25"/>
  <cols>
    <col min="1" max="1" width="14.28515625" customWidth="1"/>
    <col min="2" max="2" width="11.5703125" customWidth="1"/>
  </cols>
  <sheetData>
    <row r="1" spans="1:7" x14ac:dyDescent="0.25">
      <c r="B1" t="s">
        <v>9773</v>
      </c>
      <c r="C1" t="s">
        <v>9773</v>
      </c>
    </row>
    <row r="4" spans="1:7" x14ac:dyDescent="0.25">
      <c r="A4" t="s">
        <v>9703</v>
      </c>
    </row>
    <row r="5" spans="1:7" x14ac:dyDescent="0.25">
      <c r="A5" t="b">
        <v>0</v>
      </c>
    </row>
    <row r="6" spans="1:7" x14ac:dyDescent="0.25">
      <c r="A6">
        <v>-6</v>
      </c>
      <c r="B6">
        <v>-6</v>
      </c>
      <c r="C6">
        <v>-6</v>
      </c>
      <c r="D6">
        <v>0</v>
      </c>
      <c r="E6">
        <v>-6</v>
      </c>
      <c r="F6">
        <v>-6</v>
      </c>
      <c r="G6">
        <v>-6</v>
      </c>
    </row>
    <row r="7" spans="1:7" x14ac:dyDescent="0.25">
      <c r="A7">
        <v>-5</v>
      </c>
      <c r="B7">
        <v>-5</v>
      </c>
      <c r="C7">
        <v>-5</v>
      </c>
      <c r="D7">
        <v>0</v>
      </c>
      <c r="E7">
        <v>-5</v>
      </c>
      <c r="F7">
        <v>-5</v>
      </c>
      <c r="G7">
        <v>-5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esignacao"/>
  <dimension ref="A1:S56"/>
  <sheetViews>
    <sheetView showGridLines="0" showRowColHeaders="0" zoomScaleNormal="100" workbookViewId="0">
      <selection activeCell="D30" sqref="D30"/>
    </sheetView>
  </sheetViews>
  <sheetFormatPr defaultColWidth="0" defaultRowHeight="15.75" zeroHeight="1" x14ac:dyDescent="0.25"/>
  <cols>
    <col min="1" max="1" width="3.7109375" style="1127" customWidth="1"/>
    <col min="2" max="2" width="2.7109375" style="1136" customWidth="1"/>
    <col min="3" max="3" width="19.42578125" style="1169" customWidth="1"/>
    <col min="4" max="4" width="18.140625" style="1170" customWidth="1"/>
    <col min="5" max="5" width="9.42578125" style="1170" bestFit="1" customWidth="1"/>
    <col min="6" max="6" width="10.28515625" style="1170" bestFit="1" customWidth="1"/>
    <col min="7" max="7" width="16.28515625" style="1170" customWidth="1"/>
    <col min="8" max="8" width="12.5703125" style="1170" bestFit="1" customWidth="1"/>
    <col min="9" max="9" width="14.7109375" style="1170" bestFit="1" customWidth="1"/>
    <col min="10" max="10" width="10.7109375" style="1170" customWidth="1"/>
    <col min="11" max="11" width="2.7109375" style="1135" customWidth="1"/>
    <col min="12" max="12" width="3.7109375" style="1130" customWidth="1"/>
    <col min="13" max="13" width="10.7109375" style="1135" hidden="1" customWidth="1"/>
    <col min="14" max="19" width="6.42578125" style="1136" hidden="1" customWidth="1"/>
    <col min="20" max="16384" width="9.140625" style="1136" hidden="1"/>
  </cols>
  <sheetData>
    <row r="1" spans="2:19" s="1127" customFormat="1" ht="16.5" thickBot="1" x14ac:dyDescent="0.3">
      <c r="C1" s="1128"/>
      <c r="D1" s="1129"/>
      <c r="E1" s="1129"/>
      <c r="F1" s="1129"/>
      <c r="G1" s="1129"/>
      <c r="H1" s="1129"/>
      <c r="I1" s="1129"/>
      <c r="J1" s="1129"/>
      <c r="K1" s="1130"/>
      <c r="L1" s="1130"/>
      <c r="M1" s="1130"/>
    </row>
    <row r="2" spans="2:19" ht="17.25" thickTop="1" thickBot="1" x14ac:dyDescent="0.3">
      <c r="B2" s="1131"/>
      <c r="C2" s="1132"/>
      <c r="D2" s="1133"/>
      <c r="E2" s="1133"/>
      <c r="F2" s="1133"/>
      <c r="G2" s="1133"/>
      <c r="H2" s="1133"/>
      <c r="I2" s="1133"/>
      <c r="J2" s="1133"/>
      <c r="K2" s="1134"/>
    </row>
    <row r="3" spans="2:19" ht="16.5" thickBot="1" x14ac:dyDescent="0.3">
      <c r="B3" s="1137"/>
      <c r="C3" s="1870" t="s">
        <v>9598</v>
      </c>
      <c r="D3" s="1871"/>
      <c r="E3" s="1871"/>
      <c r="F3" s="1871"/>
      <c r="G3" s="1871"/>
      <c r="H3" s="1871"/>
      <c r="I3" s="1871"/>
      <c r="J3" s="1872"/>
      <c r="K3" s="1138"/>
    </row>
    <row r="4" spans="2:19" ht="5.0999999999999996" customHeight="1" thickBot="1" x14ac:dyDescent="0.3">
      <c r="B4" s="1137"/>
      <c r="C4" s="1139"/>
      <c r="D4" s="1140"/>
      <c r="E4" s="1140"/>
      <c r="F4" s="1140"/>
      <c r="G4" s="1140"/>
      <c r="H4" s="1140"/>
      <c r="I4" s="1140"/>
      <c r="J4" s="1140"/>
      <c r="K4" s="1138"/>
    </row>
    <row r="5" spans="2:19" x14ac:dyDescent="0.25">
      <c r="B5" s="1137"/>
      <c r="C5" s="1875" t="s">
        <v>9433</v>
      </c>
      <c r="D5" s="1876"/>
      <c r="E5" s="1876"/>
      <c r="F5" s="1876"/>
      <c r="G5" s="1876"/>
      <c r="H5" s="1876"/>
      <c r="I5" s="1876"/>
      <c r="J5" s="1877"/>
      <c r="K5" s="1141"/>
      <c r="L5" s="1142"/>
      <c r="M5" s="1143"/>
    </row>
    <row r="6" spans="2:19" ht="16.5" thickBot="1" x14ac:dyDescent="0.3">
      <c r="B6" s="1137"/>
      <c r="C6" s="1145" t="s">
        <v>9434</v>
      </c>
      <c r="D6" s="1878">
        <v>0</v>
      </c>
      <c r="E6" s="1878"/>
      <c r="F6" s="1878"/>
      <c r="G6" s="1878"/>
      <c r="H6" s="1878"/>
      <c r="I6" s="1878"/>
      <c r="J6" s="1879"/>
      <c r="K6" s="1138"/>
      <c r="L6" s="1146"/>
    </row>
    <row r="7" spans="2:19" ht="4.5" customHeight="1" thickBot="1" x14ac:dyDescent="0.3">
      <c r="B7" s="1137"/>
      <c r="C7" s="1148"/>
      <c r="D7" s="1140"/>
      <c r="E7" s="1140"/>
      <c r="F7" s="1140"/>
      <c r="G7" s="1140"/>
      <c r="H7" s="1140"/>
      <c r="I7" s="1140"/>
      <c r="J7" s="1140"/>
      <c r="K7" s="1138"/>
      <c r="L7" s="1146"/>
      <c r="M7" s="1149"/>
    </row>
    <row r="8" spans="2:19" x14ac:dyDescent="0.25">
      <c r="B8" s="1137"/>
      <c r="C8" s="1875" t="s">
        <v>9435</v>
      </c>
      <c r="D8" s="1876"/>
      <c r="E8" s="1876"/>
      <c r="F8" s="1876"/>
      <c r="G8" s="1876"/>
      <c r="H8" s="1876"/>
      <c r="I8" s="1876"/>
      <c r="J8" s="1877"/>
      <c r="K8" s="1141"/>
      <c r="L8" s="1142"/>
      <c r="M8" s="1143"/>
      <c r="O8" s="1136" t="s">
        <v>7983</v>
      </c>
      <c r="P8" s="1136" t="s">
        <v>7984</v>
      </c>
      <c r="Q8" s="1136" t="s">
        <v>7985</v>
      </c>
      <c r="R8" s="1144" t="s">
        <v>7987</v>
      </c>
      <c r="S8" s="1144" t="s">
        <v>7986</v>
      </c>
    </row>
    <row r="9" spans="2:19" x14ac:dyDescent="0.25">
      <c r="B9" s="1137"/>
      <c r="C9" s="1151" t="s">
        <v>411</v>
      </c>
      <c r="D9" s="1873">
        <f>Servidor.Nome</f>
        <v>0</v>
      </c>
      <c r="E9" s="1873"/>
      <c r="F9" s="1873"/>
      <c r="G9" s="1873"/>
      <c r="H9" s="1873"/>
      <c r="I9" s="1873"/>
      <c r="J9" s="1874"/>
      <c r="K9" s="1138"/>
      <c r="N9" s="1136" t="str">
        <f>IFERROR(VLOOKUP(Designacao.UnidadeAdministrativa, Escolas.Municipios,5,0),"0")</f>
        <v>0</v>
      </c>
      <c r="O9" s="1147"/>
      <c r="P9" s="1147"/>
      <c r="Q9" s="1147">
        <v>206</v>
      </c>
      <c r="R9" s="1147">
        <v>256</v>
      </c>
      <c r="S9" s="1147">
        <v>104</v>
      </c>
    </row>
    <row r="10" spans="2:19" x14ac:dyDescent="0.25">
      <c r="B10" s="1137"/>
      <c r="C10" s="1151" t="s">
        <v>9436</v>
      </c>
      <c r="D10" s="1873">
        <f>Servidor.MaspDv</f>
        <v>0</v>
      </c>
      <c r="E10" s="1873"/>
      <c r="F10" s="1873"/>
      <c r="G10" s="1873"/>
      <c r="H10" s="1873"/>
      <c r="I10" s="1873"/>
      <c r="J10" s="1874"/>
      <c r="K10" s="1138"/>
      <c r="N10" s="1136" t="str">
        <f>IFERROR(VLOOKUP(Designacao.UnidadeAdministrativa, Escolas.Municipios,7,0),"N")</f>
        <v>N</v>
      </c>
      <c r="O10" s="1147"/>
      <c r="P10" s="1147"/>
      <c r="Q10" s="1147"/>
      <c r="R10" s="1147">
        <v>552</v>
      </c>
      <c r="S10" s="1147">
        <v>102</v>
      </c>
    </row>
    <row r="11" spans="2:19" x14ac:dyDescent="0.25">
      <c r="B11" s="1137"/>
      <c r="C11" s="1151" t="s">
        <v>9427</v>
      </c>
      <c r="D11" s="1873">
        <f>Servidor.Admissao</f>
        <v>0</v>
      </c>
      <c r="E11" s="1873"/>
      <c r="F11" s="1873"/>
      <c r="G11" s="1873"/>
      <c r="H11" s="1873"/>
      <c r="I11" s="1873"/>
      <c r="J11" s="1874"/>
      <c r="K11" s="1138"/>
      <c r="O11" s="1150"/>
      <c r="P11" s="1147"/>
      <c r="Q11" s="1147"/>
      <c r="R11" s="1147"/>
      <c r="S11" s="1147"/>
    </row>
    <row r="12" spans="2:19" x14ac:dyDescent="0.25">
      <c r="B12" s="1137"/>
      <c r="C12" s="1151" t="s">
        <v>9428</v>
      </c>
      <c r="D12" s="1883" t="s">
        <v>8057</v>
      </c>
      <c r="E12" s="1883"/>
      <c r="F12" s="1883"/>
      <c r="G12" s="1883"/>
      <c r="H12" s="1883"/>
      <c r="I12" s="1883"/>
      <c r="J12" s="1884"/>
      <c r="K12" s="1138"/>
    </row>
    <row r="13" spans="2:19" ht="16.5" thickBot="1" x14ac:dyDescent="0.3">
      <c r="B13" s="1137"/>
      <c r="C13" s="1152" t="s">
        <v>9597</v>
      </c>
      <c r="D13" s="1878"/>
      <c r="E13" s="1878"/>
      <c r="F13" s="1878"/>
      <c r="G13" s="1878"/>
      <c r="H13" s="1878"/>
      <c r="I13" s="1878"/>
      <c r="J13" s="1879"/>
      <c r="K13" s="1138"/>
    </row>
    <row r="14" spans="2:19" ht="5.0999999999999996" customHeight="1" thickBot="1" x14ac:dyDescent="0.3">
      <c r="B14" s="1137"/>
      <c r="C14" s="1148"/>
      <c r="D14" s="1140"/>
      <c r="E14" s="1140"/>
      <c r="F14" s="1140"/>
      <c r="G14" s="1140"/>
      <c r="H14" s="1140"/>
      <c r="I14" s="1140"/>
      <c r="J14" s="1140"/>
      <c r="K14" s="1138"/>
    </row>
    <row r="15" spans="2:19" x14ac:dyDescent="0.25">
      <c r="B15" s="1137"/>
      <c r="C15" s="1885" t="s">
        <v>9437</v>
      </c>
      <c r="D15" s="1886"/>
      <c r="E15" s="1886"/>
      <c r="F15" s="1886"/>
      <c r="G15" s="1886"/>
      <c r="H15" s="1886"/>
      <c r="I15" s="1886"/>
      <c r="J15" s="1887"/>
      <c r="K15" s="1141"/>
      <c r="L15" s="1142"/>
      <c r="M15" s="1143"/>
    </row>
    <row r="16" spans="2:19" ht="16.5" thickBot="1" x14ac:dyDescent="0.3">
      <c r="B16" s="1137"/>
      <c r="C16" s="1145" t="s">
        <v>9438</v>
      </c>
      <c r="D16" s="1878">
        <v>0</v>
      </c>
      <c r="E16" s="1878"/>
      <c r="F16" s="1878"/>
      <c r="G16" s="1878"/>
      <c r="H16" s="1878"/>
      <c r="I16" s="1878"/>
      <c r="J16" s="1879"/>
      <c r="K16" s="1138"/>
    </row>
    <row r="17" spans="2:13" ht="5.0999999999999996" customHeight="1" thickBot="1" x14ac:dyDescent="0.3">
      <c r="B17" s="1137"/>
      <c r="C17" s="1148"/>
      <c r="D17" s="1140"/>
      <c r="E17" s="1140"/>
      <c r="F17" s="1140"/>
      <c r="G17" s="1140"/>
      <c r="H17" s="1140"/>
      <c r="I17" s="1140"/>
      <c r="J17" s="1140"/>
      <c r="K17" s="1138"/>
    </row>
    <row r="18" spans="2:13" x14ac:dyDescent="0.25">
      <c r="B18" s="1137"/>
      <c r="C18" s="1885" t="s">
        <v>9439</v>
      </c>
      <c r="D18" s="1886"/>
      <c r="E18" s="1886"/>
      <c r="F18" s="1886"/>
      <c r="G18" s="1886"/>
      <c r="H18" s="1886"/>
      <c r="I18" s="1886"/>
      <c r="J18" s="1887"/>
      <c r="K18" s="1141"/>
      <c r="L18" s="1142"/>
      <c r="M18" s="1143"/>
    </row>
    <row r="19" spans="2:13" x14ac:dyDescent="0.25">
      <c r="B19" s="1137"/>
      <c r="C19" s="1151" t="s">
        <v>9440</v>
      </c>
      <c r="D19" s="1888"/>
      <c r="E19" s="1888"/>
      <c r="F19" s="1888"/>
      <c r="G19" s="1888"/>
      <c r="H19" s="1888"/>
      <c r="I19" s="1888"/>
      <c r="J19" s="1889"/>
      <c r="K19" s="1153"/>
      <c r="L19" s="1154"/>
      <c r="M19" s="1155"/>
    </row>
    <row r="20" spans="2:13" ht="16.5" thickBot="1" x14ac:dyDescent="0.3">
      <c r="B20" s="1137"/>
      <c r="C20" s="1145" t="s">
        <v>9441</v>
      </c>
      <c r="D20" s="1890">
        <v>43465</v>
      </c>
      <c r="E20" s="1890"/>
      <c r="F20" s="1890"/>
      <c r="G20" s="1890"/>
      <c r="H20" s="1890"/>
      <c r="I20" s="1890"/>
      <c r="J20" s="1891"/>
      <c r="K20" s="1153"/>
      <c r="L20" s="1156"/>
      <c r="M20" s="1157"/>
    </row>
    <row r="21" spans="2:13" ht="5.0999999999999996" customHeight="1" thickBot="1" x14ac:dyDescent="0.3">
      <c r="B21" s="1137"/>
      <c r="C21" s="1148"/>
      <c r="D21" s="1158"/>
      <c r="E21" s="1158"/>
      <c r="F21" s="1158"/>
      <c r="G21" s="1158"/>
      <c r="H21" s="1158"/>
      <c r="I21" s="1158"/>
      <c r="J21" s="1158"/>
      <c r="K21" s="1153"/>
      <c r="L21" s="1156"/>
      <c r="M21" s="1157"/>
    </row>
    <row r="22" spans="2:13" x14ac:dyDescent="0.25">
      <c r="B22" s="1137"/>
      <c r="C22" s="1885" t="s">
        <v>9442</v>
      </c>
      <c r="D22" s="1886"/>
      <c r="E22" s="1886"/>
      <c r="F22" s="1886"/>
      <c r="G22" s="1886"/>
      <c r="H22" s="1886"/>
      <c r="I22" s="1886"/>
      <c r="J22" s="1887"/>
      <c r="K22" s="1141"/>
      <c r="L22" s="1142"/>
      <c r="M22" s="1143"/>
    </row>
    <row r="23" spans="2:13" x14ac:dyDescent="0.25">
      <c r="B23" s="1137"/>
      <c r="C23" s="1151" t="s">
        <v>9443</v>
      </c>
      <c r="D23" s="1883"/>
      <c r="E23" s="1883"/>
      <c r="F23" s="1883"/>
      <c r="G23" s="1883"/>
      <c r="H23" s="1883"/>
      <c r="I23" s="1883"/>
      <c r="J23" s="1884"/>
      <c r="K23" s="1138"/>
    </row>
    <row r="24" spans="2:13" x14ac:dyDescent="0.25">
      <c r="B24" s="1137"/>
      <c r="C24" s="1151" t="s">
        <v>9427</v>
      </c>
      <c r="D24" s="1883"/>
      <c r="E24" s="1883"/>
      <c r="F24" s="1883"/>
      <c r="G24" s="1883"/>
      <c r="H24" s="1883"/>
      <c r="I24" s="1883"/>
      <c r="J24" s="1884"/>
      <c r="K24" s="1138"/>
    </row>
    <row r="25" spans="2:13" ht="16.5" thickBot="1" x14ac:dyDescent="0.3">
      <c r="B25" s="1137"/>
      <c r="C25" s="1145" t="s">
        <v>9444</v>
      </c>
      <c r="D25" s="1878"/>
      <c r="E25" s="1878"/>
      <c r="F25" s="1878"/>
      <c r="G25" s="1878"/>
      <c r="H25" s="1878"/>
      <c r="I25" s="1878"/>
      <c r="J25" s="1879"/>
      <c r="K25" s="1138"/>
    </row>
    <row r="26" spans="2:13" ht="5.0999999999999996" customHeight="1" thickBot="1" x14ac:dyDescent="0.3">
      <c r="B26" s="1137"/>
      <c r="C26" s="1148"/>
      <c r="D26" s="1140"/>
      <c r="E26" s="1140"/>
      <c r="F26" s="1140"/>
      <c r="G26" s="1140"/>
      <c r="H26" s="1140"/>
      <c r="I26" s="1140"/>
      <c r="J26" s="1140"/>
      <c r="K26" s="1138"/>
    </row>
    <row r="27" spans="2:13" x14ac:dyDescent="0.25">
      <c r="B27" s="1137"/>
      <c r="C27" s="1880" t="s">
        <v>9445</v>
      </c>
      <c r="D27" s="1881"/>
      <c r="E27" s="1881"/>
      <c r="F27" s="1881"/>
      <c r="G27" s="1881"/>
      <c r="H27" s="1881"/>
      <c r="I27" s="1881"/>
      <c r="J27" s="1882"/>
      <c r="K27" s="1141"/>
      <c r="L27" s="1142"/>
      <c r="M27" s="1143"/>
    </row>
    <row r="28" spans="2:13" x14ac:dyDescent="0.25">
      <c r="B28" s="1137"/>
      <c r="C28" s="1159" t="s">
        <v>9446</v>
      </c>
      <c r="D28" s="1140" t="s">
        <v>9447</v>
      </c>
      <c r="E28" s="1140" t="s">
        <v>9448</v>
      </c>
      <c r="F28" s="1140" t="s">
        <v>3901</v>
      </c>
      <c r="G28" s="1140" t="s">
        <v>9449</v>
      </c>
      <c r="H28" s="1140" t="s">
        <v>9450</v>
      </c>
      <c r="I28" s="1140" t="s">
        <v>9451</v>
      </c>
      <c r="J28" s="1160" t="s">
        <v>9452</v>
      </c>
      <c r="K28" s="1138"/>
    </row>
    <row r="29" spans="2:13" x14ac:dyDescent="0.25">
      <c r="B29" s="1137"/>
      <c r="C29" s="1368" t="str">
        <f t="shared" ref="C29:C38" si="0">IF(ISBLANK(D29),"",IF(D29&lt;100,7,11))</f>
        <v/>
      </c>
      <c r="D29" s="1161"/>
      <c r="E29" s="1161"/>
      <c r="F29" s="1161"/>
      <c r="G29" s="1161"/>
      <c r="H29" s="1161"/>
      <c r="I29" s="1161"/>
      <c r="J29" s="1162"/>
      <c r="K29" s="1138"/>
    </row>
    <row r="30" spans="2:13" x14ac:dyDescent="0.25">
      <c r="B30" s="1137"/>
      <c r="C30" s="1368" t="str">
        <f t="shared" si="0"/>
        <v/>
      </c>
      <c r="D30" s="1161"/>
      <c r="E30" s="1161"/>
      <c r="F30" s="1161"/>
      <c r="G30" s="1161"/>
      <c r="H30" s="1161"/>
      <c r="I30" s="1161"/>
      <c r="J30" s="1162"/>
      <c r="K30" s="1138"/>
    </row>
    <row r="31" spans="2:13" x14ac:dyDescent="0.25">
      <c r="B31" s="1137"/>
      <c r="C31" s="1368" t="str">
        <f t="shared" si="0"/>
        <v/>
      </c>
      <c r="D31" s="1161"/>
      <c r="E31" s="1161"/>
      <c r="F31" s="1161"/>
      <c r="G31" s="1161"/>
      <c r="H31" s="1161"/>
      <c r="I31" s="1161"/>
      <c r="J31" s="1162"/>
      <c r="K31" s="1138"/>
    </row>
    <row r="32" spans="2:13" x14ac:dyDescent="0.25">
      <c r="B32" s="1137"/>
      <c r="C32" s="1368" t="str">
        <f t="shared" si="0"/>
        <v/>
      </c>
      <c r="D32" s="1161"/>
      <c r="E32" s="1161"/>
      <c r="F32" s="1161"/>
      <c r="G32" s="1161"/>
      <c r="H32" s="1161"/>
      <c r="I32" s="1161"/>
      <c r="J32" s="1162"/>
      <c r="K32" s="1138"/>
    </row>
    <row r="33" spans="2:13" x14ac:dyDescent="0.25">
      <c r="B33" s="1137"/>
      <c r="C33" s="1368" t="str">
        <f t="shared" si="0"/>
        <v/>
      </c>
      <c r="D33" s="1161"/>
      <c r="E33" s="1161"/>
      <c r="F33" s="1161"/>
      <c r="G33" s="1161"/>
      <c r="H33" s="1161"/>
      <c r="I33" s="1161"/>
      <c r="J33" s="1162"/>
      <c r="K33" s="1138"/>
    </row>
    <row r="34" spans="2:13" x14ac:dyDescent="0.25">
      <c r="B34" s="1137"/>
      <c r="C34" s="1368" t="str">
        <f t="shared" si="0"/>
        <v/>
      </c>
      <c r="D34" s="1161"/>
      <c r="E34" s="1161"/>
      <c r="F34" s="1161"/>
      <c r="G34" s="1161"/>
      <c r="H34" s="1161"/>
      <c r="I34" s="1161"/>
      <c r="J34" s="1162"/>
      <c r="K34" s="1138"/>
    </row>
    <row r="35" spans="2:13" x14ac:dyDescent="0.25">
      <c r="B35" s="1137"/>
      <c r="C35" s="1368" t="str">
        <f t="shared" si="0"/>
        <v/>
      </c>
      <c r="D35" s="1161"/>
      <c r="E35" s="1161"/>
      <c r="F35" s="1161"/>
      <c r="G35" s="1161"/>
      <c r="H35" s="1161"/>
      <c r="I35" s="1161"/>
      <c r="J35" s="1162"/>
      <c r="K35" s="1138"/>
    </row>
    <row r="36" spans="2:13" x14ac:dyDescent="0.25">
      <c r="B36" s="1137"/>
      <c r="C36" s="1368" t="str">
        <f t="shared" si="0"/>
        <v/>
      </c>
      <c r="D36" s="1161"/>
      <c r="E36" s="1161"/>
      <c r="F36" s="1161"/>
      <c r="G36" s="1161"/>
      <c r="H36" s="1161"/>
      <c r="I36" s="1161"/>
      <c r="J36" s="1162"/>
      <c r="K36" s="1138"/>
    </row>
    <row r="37" spans="2:13" x14ac:dyDescent="0.25">
      <c r="B37" s="1137"/>
      <c r="C37" s="1369" t="str">
        <f t="shared" si="0"/>
        <v/>
      </c>
      <c r="D37" s="1161"/>
      <c r="E37" s="1161"/>
      <c r="F37" s="1161"/>
      <c r="G37" s="1161"/>
      <c r="H37" s="1161"/>
      <c r="I37" s="1161"/>
      <c r="J37" s="1162"/>
      <c r="K37" s="1138"/>
    </row>
    <row r="38" spans="2:13" ht="16.5" thickBot="1" x14ac:dyDescent="0.3">
      <c r="B38" s="1137"/>
      <c r="C38" s="1370" t="str">
        <f t="shared" si="0"/>
        <v/>
      </c>
      <c r="D38" s="1163"/>
      <c r="E38" s="1163"/>
      <c r="F38" s="1163"/>
      <c r="G38" s="1163"/>
      <c r="H38" s="1163"/>
      <c r="I38" s="1163"/>
      <c r="J38" s="1164"/>
      <c r="K38" s="1138"/>
    </row>
    <row r="39" spans="2:13" ht="15" customHeight="1" thickBot="1" x14ac:dyDescent="0.3">
      <c r="B39" s="1165"/>
      <c r="C39" s="1166"/>
      <c r="D39" s="1167"/>
      <c r="E39" s="1167"/>
      <c r="F39" s="1167"/>
      <c r="G39" s="1167"/>
      <c r="H39" s="1167"/>
      <c r="I39" s="1167"/>
      <c r="J39" s="1167"/>
      <c r="K39" s="1168"/>
    </row>
    <row r="40" spans="2:13" s="1127" customFormat="1" ht="16.5" thickTop="1" x14ac:dyDescent="0.25">
      <c r="C40" s="1128"/>
      <c r="D40" s="1129"/>
      <c r="E40" s="1129"/>
      <c r="F40" s="1129"/>
      <c r="G40" s="1129"/>
      <c r="H40" s="1129"/>
      <c r="I40" s="1129"/>
      <c r="J40" s="1129"/>
      <c r="K40" s="1130"/>
      <c r="L40" s="1130"/>
      <c r="M40" s="1130"/>
    </row>
    <row r="41" spans="2:13" s="1127" customFormat="1" x14ac:dyDescent="0.25">
      <c r="C41" s="1128"/>
      <c r="D41" s="1129"/>
      <c r="E41" s="1129"/>
      <c r="F41" s="1129"/>
      <c r="G41" s="1129"/>
      <c r="H41" s="1129"/>
      <c r="I41" s="1129"/>
      <c r="J41" s="1129"/>
      <c r="K41" s="1130"/>
      <c r="L41" s="1130"/>
      <c r="M41" s="1130"/>
    </row>
    <row r="42" spans="2:13" s="1127" customFormat="1" x14ac:dyDescent="0.25">
      <c r="C42" s="1128"/>
      <c r="D42" s="1129"/>
      <c r="E42" s="1129"/>
      <c r="F42" s="1129"/>
      <c r="G42" s="1129"/>
      <c r="H42" s="1129"/>
      <c r="I42" s="1129"/>
      <c r="J42" s="1129"/>
      <c r="K42" s="1130"/>
      <c r="L42" s="1130"/>
      <c r="M42" s="1130"/>
    </row>
    <row r="43" spans="2:13" s="1127" customFormat="1" x14ac:dyDescent="0.25">
      <c r="C43" s="1128"/>
      <c r="D43" s="1129"/>
      <c r="E43" s="1129"/>
      <c r="F43" s="1129"/>
      <c r="G43" s="1129"/>
      <c r="H43" s="1129"/>
      <c r="I43" s="1129"/>
      <c r="J43" s="1129"/>
      <c r="K43" s="1130"/>
      <c r="L43" s="1130"/>
      <c r="M43" s="1130"/>
    </row>
    <row r="44" spans="2:13" s="1127" customFormat="1" x14ac:dyDescent="0.25">
      <c r="C44" s="1128"/>
      <c r="D44" s="1129"/>
      <c r="E44" s="1129"/>
      <c r="F44" s="1129"/>
      <c r="G44" s="1129"/>
      <c r="H44" s="1129"/>
      <c r="I44" s="1129"/>
      <c r="J44" s="1129"/>
      <c r="K44" s="1130"/>
      <c r="L44" s="1130"/>
      <c r="M44" s="1130"/>
    </row>
    <row r="45" spans="2:13" s="1127" customFormat="1" x14ac:dyDescent="0.25">
      <c r="C45" s="1128"/>
      <c r="D45" s="1129"/>
      <c r="E45" s="1129"/>
      <c r="F45" s="1129"/>
      <c r="G45" s="1129"/>
      <c r="H45" s="1129"/>
      <c r="I45" s="1129"/>
      <c r="J45" s="1129"/>
      <c r="K45" s="1130"/>
      <c r="L45" s="1130"/>
      <c r="M45" s="1130"/>
    </row>
    <row r="46" spans="2:13" s="1127" customFormat="1" x14ac:dyDescent="0.25">
      <c r="C46" s="1128"/>
      <c r="D46" s="1129"/>
      <c r="E46" s="1129"/>
      <c r="F46" s="1129"/>
      <c r="G46" s="1129"/>
      <c r="H46" s="1129"/>
      <c r="I46" s="1129"/>
      <c r="J46" s="1129"/>
      <c r="K46" s="1130"/>
      <c r="L46" s="1130"/>
      <c r="M46" s="1130"/>
    </row>
    <row r="47" spans="2:13" s="1127" customFormat="1" x14ac:dyDescent="0.25">
      <c r="C47" s="1128"/>
      <c r="D47" s="1129"/>
      <c r="E47" s="1129"/>
      <c r="F47" s="1129"/>
      <c r="G47" s="1129"/>
      <c r="H47" s="1129"/>
      <c r="I47" s="1129"/>
      <c r="J47" s="1129"/>
      <c r="K47" s="1130"/>
      <c r="L47" s="1130"/>
      <c r="M47" s="1130"/>
    </row>
    <row r="48" spans="2:13" s="1127" customFormat="1" x14ac:dyDescent="0.25">
      <c r="C48" s="1128"/>
      <c r="D48" s="1129"/>
      <c r="E48" s="1129"/>
      <c r="F48" s="1129"/>
      <c r="G48" s="1129"/>
      <c r="H48" s="1129"/>
      <c r="I48" s="1129"/>
      <c r="J48" s="1129"/>
      <c r="K48" s="1130"/>
      <c r="L48" s="1130"/>
      <c r="M48" s="1130"/>
    </row>
    <row r="49" spans="3:13" s="1127" customFormat="1" x14ac:dyDescent="0.25">
      <c r="C49" s="1128"/>
      <c r="D49" s="1129"/>
      <c r="E49" s="1129"/>
      <c r="F49" s="1129"/>
      <c r="G49" s="1129"/>
      <c r="H49" s="1129"/>
      <c r="I49" s="1129"/>
      <c r="J49" s="1129"/>
      <c r="K49" s="1130"/>
      <c r="L49" s="1130"/>
      <c r="M49" s="1130"/>
    </row>
    <row r="50" spans="3:13" s="1127" customFormat="1" x14ac:dyDescent="0.25">
      <c r="C50" s="1128"/>
      <c r="D50" s="1129"/>
      <c r="E50" s="1129"/>
      <c r="F50" s="1129"/>
      <c r="G50" s="1129"/>
      <c r="H50" s="1129"/>
      <c r="I50" s="1129"/>
      <c r="J50" s="1129"/>
      <c r="K50" s="1130"/>
      <c r="L50" s="1130"/>
      <c r="M50" s="1130"/>
    </row>
    <row r="51" spans="3:13" s="1127" customFormat="1" x14ac:dyDescent="0.25">
      <c r="C51" s="1128"/>
      <c r="D51" s="1129"/>
      <c r="E51" s="1129"/>
      <c r="F51" s="1129"/>
      <c r="G51" s="1129"/>
      <c r="H51" s="1129"/>
      <c r="I51" s="1129"/>
      <c r="J51" s="1129"/>
      <c r="K51" s="1130"/>
      <c r="L51" s="1130"/>
      <c r="M51" s="1130"/>
    </row>
    <row r="52" spans="3:13" s="1127" customFormat="1" x14ac:dyDescent="0.25">
      <c r="C52" s="1128"/>
      <c r="D52" s="1129"/>
      <c r="E52" s="1129"/>
      <c r="F52" s="1129"/>
      <c r="G52" s="1129"/>
      <c r="H52" s="1129"/>
      <c r="I52" s="1129"/>
      <c r="J52" s="1129"/>
      <c r="K52" s="1130"/>
      <c r="L52" s="1130"/>
      <c r="M52" s="1130"/>
    </row>
    <row r="53" spans="3:13" s="1127" customFormat="1" x14ac:dyDescent="0.25">
      <c r="C53" s="1128"/>
      <c r="D53" s="1129"/>
      <c r="E53" s="1129"/>
      <c r="F53" s="1129"/>
      <c r="G53" s="1129"/>
      <c r="H53" s="1129"/>
      <c r="I53" s="1129"/>
      <c r="J53" s="1129"/>
      <c r="K53" s="1130"/>
      <c r="L53" s="1130"/>
      <c r="M53" s="1130"/>
    </row>
    <row r="54" spans="3:13" s="1127" customFormat="1" x14ac:dyDescent="0.25">
      <c r="C54" s="1128"/>
      <c r="D54" s="1129"/>
      <c r="E54" s="1129"/>
      <c r="F54" s="1129"/>
      <c r="G54" s="1129"/>
      <c r="H54" s="1129"/>
      <c r="I54" s="1129"/>
      <c r="J54" s="1129"/>
      <c r="K54" s="1130"/>
      <c r="L54" s="1130"/>
      <c r="M54" s="1130"/>
    </row>
    <row r="55" spans="3:13" s="1127" customFormat="1" hidden="1" x14ac:dyDescent="0.25">
      <c r="C55" s="1128"/>
      <c r="D55" s="1129"/>
      <c r="E55" s="1129"/>
      <c r="F55" s="1129"/>
      <c r="G55" s="1129"/>
      <c r="H55" s="1129"/>
      <c r="I55" s="1129"/>
      <c r="J55" s="1129"/>
      <c r="K55" s="1130"/>
      <c r="L55" s="1130"/>
      <c r="M55" s="1130"/>
    </row>
    <row r="56" spans="3:13" s="1127" customFormat="1" hidden="1" x14ac:dyDescent="0.25">
      <c r="C56" s="1128"/>
      <c r="D56" s="1129"/>
      <c r="E56" s="1129"/>
      <c r="F56" s="1129"/>
      <c r="G56" s="1129"/>
      <c r="H56" s="1129"/>
      <c r="I56" s="1129"/>
      <c r="J56" s="1129"/>
      <c r="K56" s="1130"/>
      <c r="L56" s="1130"/>
      <c r="M56" s="1130"/>
    </row>
  </sheetData>
  <sheetProtection sheet="1" selectLockedCells="1"/>
  <mergeCells count="19">
    <mergeCell ref="C27:J27"/>
    <mergeCell ref="D12:J12"/>
    <mergeCell ref="D13:J13"/>
    <mergeCell ref="C15:J15"/>
    <mergeCell ref="D16:J16"/>
    <mergeCell ref="C18:J18"/>
    <mergeCell ref="D19:J19"/>
    <mergeCell ref="D20:J20"/>
    <mergeCell ref="C22:J22"/>
    <mergeCell ref="D23:J23"/>
    <mergeCell ref="D24:J24"/>
    <mergeCell ref="D25:J25"/>
    <mergeCell ref="C3:J3"/>
    <mergeCell ref="D11:J11"/>
    <mergeCell ref="C5:J5"/>
    <mergeCell ref="D6:J6"/>
    <mergeCell ref="C8:J8"/>
    <mergeCell ref="D9:J9"/>
    <mergeCell ref="D10:J10"/>
  </mergeCells>
  <dataValidations count="15">
    <dataValidation type="list" showInputMessage="1" showErrorMessage="1" sqref="D6:L7 M7">
      <formula1>Escolas.Municipios.CodEscolas</formula1>
    </dataValidation>
    <dataValidation type="whole" showInputMessage="1" showErrorMessage="1" sqref="D10:M10">
      <formula1>999999</formula1>
      <formula2>99999999</formula2>
    </dataValidation>
    <dataValidation type="whole" showInputMessage="1" showErrorMessage="1" sqref="D11:M11">
      <formula1>1</formula1>
      <formula2>9</formula2>
    </dataValidation>
    <dataValidation type="whole" showInputMessage="1" showErrorMessage="1" sqref="D16:M17 I29:M38 E29:E38">
      <formula1>1</formula1>
      <formula2>99</formula2>
    </dataValidation>
    <dataValidation type="date" showInputMessage="1" showErrorMessage="1" sqref="D19:M19">
      <formula1>DATE(YEAR(TODAY()),1,1)</formula1>
      <formula2>TODAY()</formula2>
    </dataValidation>
    <dataValidation showInputMessage="1" showErrorMessage="1" sqref="D9:M9"/>
    <dataValidation type="whole" allowBlank="1" showInputMessage="1" showErrorMessage="1" sqref="D24:M24 F29:G38">
      <formula1>1</formula1>
      <formula2>9</formula2>
    </dataValidation>
    <dataValidation type="whole" allowBlank="1" showInputMessage="1" showErrorMessage="1" sqref="D25:M26">
      <formula1>1</formula1>
      <formula2>99</formula2>
    </dataValidation>
    <dataValidation type="whole" allowBlank="1" showInputMessage="1" showErrorMessage="1" sqref="D23:M23">
      <formula1>999999</formula1>
      <formula2>99999999</formula2>
    </dataValidation>
    <dataValidation type="whole" showInputMessage="1" showErrorMessage="1" sqref="D29:D38">
      <formula1>1</formula1>
      <formula2>999</formula2>
    </dataValidation>
    <dataValidation type="list" allowBlank="1" showInputMessage="1" showErrorMessage="1" sqref="H29:H38">
      <formula1>Materias.Cod</formula1>
    </dataValidation>
    <dataValidation type="list" showInputMessage="1" showErrorMessage="1" sqref="D12:M12">
      <formula1>"PEBD1A,PEBS1A,ASBD1A,ATBD1A,EEBD1A"</formula1>
    </dataValidation>
    <dataValidation type="list" operator="equal" showInputMessage="1" showErrorMessage="1" sqref="D13:M14">
      <formula1>INDIRECT(CONCATENATE("Categorias.Profissional.",Designacao.Cargo))</formula1>
    </dataValidation>
    <dataValidation type="whole" operator="equal" showInputMessage="1" showErrorMessage="1" sqref="C29:C38">
      <formula1>IF(D29&lt;100,7,11)</formula1>
    </dataValidation>
    <dataValidation type="date" showInputMessage="1" showErrorMessage="1" sqref="D20:M21">
      <formula1>D19</formula1>
      <formula2>DATE(YEAR(D19),31,12)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certoDesignacao">
    <pageSetUpPr fitToPage="1"/>
  </sheetPr>
  <dimension ref="A1:BP101"/>
  <sheetViews>
    <sheetView showGridLines="0" showRowColHeaders="0" topLeftCell="A25" zoomScale="120" zoomScaleNormal="120" workbookViewId="0">
      <selection activeCell="F25" sqref="F25"/>
    </sheetView>
  </sheetViews>
  <sheetFormatPr defaultColWidth="0" defaultRowHeight="15.95" customHeight="1" x14ac:dyDescent="0.4"/>
  <cols>
    <col min="1" max="2" width="2.7109375" style="1171" customWidth="1"/>
    <col min="3" max="3" width="5.28515625" style="1172" customWidth="1"/>
    <col min="4" max="8" width="5.28515625" style="1171" customWidth="1"/>
    <col min="9" max="19" width="4.85546875" style="1171" customWidth="1"/>
    <col min="20" max="21" width="5.140625" style="1171" customWidth="1"/>
    <col min="22" max="22" width="2.7109375" style="1171" customWidth="1"/>
    <col min="23" max="23" width="3.7109375" style="1171" customWidth="1"/>
    <col min="24" max="40" width="5.7109375" style="1171" hidden="1" customWidth="1"/>
    <col min="41" max="41" width="13.7109375" style="1171" hidden="1" customWidth="1"/>
    <col min="42" max="68" width="5.7109375" style="1171" hidden="1" customWidth="1"/>
    <col min="69" max="16384" width="2.7109375" style="1171" hidden="1"/>
  </cols>
  <sheetData>
    <row r="1" spans="2:56" ht="9.9499999999999993" customHeight="1" x14ac:dyDescent="0.4">
      <c r="BA1" s="1173" t="str">
        <f>Q19</f>
        <v/>
      </c>
      <c r="BB1" s="1174" t="str">
        <f>O19</f>
        <v/>
      </c>
      <c r="BC1" s="1175"/>
      <c r="BD1" s="1175"/>
    </row>
    <row r="2" spans="2:56" ht="9.9499999999999993" customHeight="1" thickBot="1" x14ac:dyDescent="0.45">
      <c r="BA2" s="1173" t="str">
        <f t="shared" ref="BA2:BA13" si="0">Q20</f>
        <v/>
      </c>
      <c r="BB2" s="1174" t="str">
        <f t="shared" ref="BB2:BB18" si="1">O20</f>
        <v/>
      </c>
      <c r="BC2" s="1175"/>
      <c r="BD2" s="1175"/>
    </row>
    <row r="3" spans="2:56" ht="15.95" customHeight="1" thickTop="1" thickBot="1" x14ac:dyDescent="0.45">
      <c r="B3" s="2120"/>
      <c r="C3" s="2121"/>
      <c r="D3" s="2121"/>
      <c r="E3" s="2121"/>
      <c r="F3" s="2121"/>
      <c r="G3" s="2121"/>
      <c r="H3" s="2121"/>
      <c r="I3" s="2121"/>
      <c r="J3" s="2121"/>
      <c r="K3" s="2121"/>
      <c r="L3" s="2121"/>
      <c r="M3" s="2121"/>
      <c r="N3" s="2121"/>
      <c r="O3" s="2121"/>
      <c r="P3" s="2121"/>
      <c r="Q3" s="2121"/>
      <c r="R3" s="2121"/>
      <c r="S3" s="2121"/>
      <c r="T3" s="2121"/>
      <c r="U3" s="2121"/>
      <c r="V3" s="2122"/>
      <c r="X3" s="1176"/>
      <c r="Y3" s="1177"/>
      <c r="Z3" s="1177"/>
      <c r="AA3" s="1177"/>
      <c r="AB3" s="1177"/>
      <c r="AC3" s="1177"/>
      <c r="AD3" s="1177"/>
      <c r="AE3" s="1177"/>
      <c r="AF3" s="1177"/>
      <c r="AG3" s="1177"/>
      <c r="AH3" s="1177"/>
      <c r="AI3" s="1177"/>
      <c r="AJ3" s="1177"/>
      <c r="AK3" s="1177"/>
      <c r="AL3" s="2070"/>
      <c r="AN3" s="1178"/>
      <c r="AO3" s="1178"/>
      <c r="AP3" s="1178"/>
      <c r="AQ3" s="1178"/>
      <c r="AR3" s="1178"/>
      <c r="AS3" s="1178"/>
      <c r="BA3" s="1173" t="str">
        <f t="shared" si="0"/>
        <v/>
      </c>
      <c r="BB3" s="1174" t="str">
        <f t="shared" si="1"/>
        <v/>
      </c>
      <c r="BC3" s="1175"/>
      <c r="BD3" s="1175"/>
    </row>
    <row r="4" spans="2:56" ht="15.75" customHeight="1" thickBot="1" x14ac:dyDescent="0.45">
      <c r="B4" s="2123"/>
      <c r="C4" s="1179" t="str">
        <f ca="1">RIGHT(Q8,4)</f>
        <v>20</v>
      </c>
      <c r="D4" s="1180"/>
      <c r="E4" s="1181"/>
      <c r="F4" s="2144" t="s">
        <v>0</v>
      </c>
      <c r="G4" s="2144"/>
      <c r="H4" s="2144"/>
      <c r="I4" s="2144"/>
      <c r="J4" s="2144"/>
      <c r="K4" s="2144"/>
      <c r="L4" s="2144"/>
      <c r="M4" s="2144"/>
      <c r="N4" s="2144"/>
      <c r="O4" s="2144"/>
      <c r="P4" s="2144"/>
      <c r="Q4" s="2144"/>
      <c r="R4" s="2144"/>
      <c r="S4" s="2145" t="str">
        <f ca="1">LEFT(Q8,4)</f>
        <v>20</v>
      </c>
      <c r="T4" s="2145"/>
      <c r="U4" s="1182" t="str">
        <f ca="1">RIGHT(S4,2)</f>
        <v>20</v>
      </c>
      <c r="V4" s="2125"/>
      <c r="X4" s="1183"/>
      <c r="Y4" s="2098" t="s">
        <v>347</v>
      </c>
      <c r="Z4" s="2099"/>
      <c r="AA4" s="2099"/>
      <c r="AB4" s="2099" t="s">
        <v>348</v>
      </c>
      <c r="AC4" s="2099"/>
      <c r="AD4" s="2099"/>
      <c r="AE4" s="2099"/>
      <c r="AF4" s="2099"/>
      <c r="AG4" s="2073" t="s">
        <v>349</v>
      </c>
      <c r="AH4" s="2074"/>
      <c r="AI4" s="2074"/>
      <c r="AJ4" s="2074"/>
      <c r="AK4" s="2075"/>
      <c r="AL4" s="2071"/>
      <c r="AM4" s="1184"/>
      <c r="AN4" s="1185"/>
      <c r="AO4" s="1185"/>
      <c r="AP4" s="1185"/>
      <c r="AQ4" s="1185"/>
      <c r="AR4" s="1185"/>
      <c r="AS4" s="1185"/>
      <c r="BA4" s="1173" t="str">
        <f t="shared" si="0"/>
        <v/>
      </c>
      <c r="BB4" s="1174" t="str">
        <f t="shared" si="1"/>
        <v/>
      </c>
      <c r="BC4" s="1175"/>
      <c r="BD4" s="1175"/>
    </row>
    <row r="5" spans="2:56" ht="3" customHeight="1" thickBot="1" x14ac:dyDescent="0.45">
      <c r="B5" s="2124"/>
      <c r="C5" s="2060"/>
      <c r="D5" s="2061"/>
      <c r="E5" s="2061"/>
      <c r="F5" s="2061"/>
      <c r="G5" s="2061"/>
      <c r="H5" s="2061"/>
      <c r="I5" s="2061"/>
      <c r="J5" s="2061"/>
      <c r="K5" s="2061"/>
      <c r="L5" s="2061"/>
      <c r="M5" s="2061"/>
      <c r="N5" s="2061"/>
      <c r="O5" s="2061"/>
      <c r="P5" s="2061"/>
      <c r="Q5" s="2061"/>
      <c r="R5" s="2061"/>
      <c r="S5" s="2061"/>
      <c r="T5" s="2061"/>
      <c r="U5" s="2062"/>
      <c r="V5" s="2126"/>
      <c r="X5" s="1183"/>
      <c r="Y5" s="2100"/>
      <c r="Z5" s="2101"/>
      <c r="AA5" s="2101"/>
      <c r="AB5" s="2101"/>
      <c r="AC5" s="2101"/>
      <c r="AD5" s="2101"/>
      <c r="AE5" s="2101"/>
      <c r="AF5" s="2101"/>
      <c r="AG5" s="2076"/>
      <c r="AH5" s="2077"/>
      <c r="AI5" s="2077"/>
      <c r="AJ5" s="2077"/>
      <c r="AK5" s="2078"/>
      <c r="AL5" s="2071"/>
      <c r="AM5" s="1184"/>
      <c r="AN5" s="1185"/>
      <c r="AO5" s="1185"/>
      <c r="AP5" s="1185"/>
      <c r="AQ5" s="1185"/>
      <c r="AR5" s="1185"/>
      <c r="AS5" s="1185"/>
      <c r="BA5" s="1173" t="str">
        <f t="shared" si="0"/>
        <v/>
      </c>
      <c r="BB5" s="1174">
        <f t="shared" si="1"/>
        <v>0</v>
      </c>
      <c r="BC5" s="1175"/>
      <c r="BD5" s="1175"/>
    </row>
    <row r="6" spans="2:56" ht="15.95" customHeight="1" x14ac:dyDescent="0.4">
      <c r="B6" s="2124"/>
      <c r="C6" s="1823" t="s">
        <v>3</v>
      </c>
      <c r="D6" s="1824"/>
      <c r="E6" s="1824"/>
      <c r="F6" s="1824"/>
      <c r="G6" s="2146">
        <f>Servidor.Nome</f>
        <v>0</v>
      </c>
      <c r="H6" s="2146"/>
      <c r="I6" s="2146"/>
      <c r="J6" s="2146"/>
      <c r="K6" s="2146"/>
      <c r="L6" s="2146"/>
      <c r="M6" s="2146"/>
      <c r="N6" s="2146"/>
      <c r="O6" s="2146"/>
      <c r="P6" s="2146"/>
      <c r="Q6" s="2146"/>
      <c r="R6" s="2128" t="s">
        <v>1</v>
      </c>
      <c r="S6" s="2128"/>
      <c r="T6" s="2129">
        <f>Servidor.MaspDv</f>
        <v>0</v>
      </c>
      <c r="U6" s="2130"/>
      <c r="V6" s="2126"/>
      <c r="X6" s="1183"/>
      <c r="Y6" s="2102" t="str">
        <f>Geral!C21</f>
        <v>PEBD1A</v>
      </c>
      <c r="Z6" s="2103"/>
      <c r="AA6" s="2103"/>
      <c r="AB6" s="2104">
        <f>Geral!E21</f>
        <v>1982.54</v>
      </c>
      <c r="AC6" s="2104"/>
      <c r="AD6" s="2104"/>
      <c r="AE6" s="2104"/>
      <c r="AF6" s="2104"/>
      <c r="AG6" s="2079">
        <f>IFERROR(VLOOKUP(Designacao.Cargo,AO7:AP16,2,FALSE), 0)</f>
        <v>0</v>
      </c>
      <c r="AH6" s="2080"/>
      <c r="AI6" s="2080"/>
      <c r="AJ6" s="2080"/>
      <c r="AK6" s="2081"/>
      <c r="AL6" s="2071"/>
      <c r="AM6" s="1186"/>
      <c r="AN6" s="1185"/>
      <c r="AO6" s="1187" t="s">
        <v>9428</v>
      </c>
      <c r="AP6" s="1187" t="s">
        <v>9474</v>
      </c>
      <c r="AQ6" s="1185"/>
      <c r="AR6" s="1185"/>
      <c r="AS6" s="1185"/>
      <c r="BA6" s="1173" t="str">
        <f t="shared" si="0"/>
        <v/>
      </c>
      <c r="BB6" s="1174">
        <f t="shared" si="1"/>
        <v>0</v>
      </c>
      <c r="BC6" s="1175"/>
      <c r="BD6" s="1175"/>
    </row>
    <row r="7" spans="2:56" ht="26.1" customHeight="1" thickBot="1" x14ac:dyDescent="0.45">
      <c r="B7" s="2124"/>
      <c r="C7" s="1846" t="s">
        <v>361</v>
      </c>
      <c r="D7" s="1847"/>
      <c r="E7" s="1847"/>
      <c r="F7" s="1847"/>
      <c r="G7" s="1188">
        <f>Servidor.Admissao</f>
        <v>0</v>
      </c>
      <c r="H7" s="1189"/>
      <c r="I7" s="1189"/>
      <c r="J7" s="1189"/>
      <c r="K7" s="1189"/>
      <c r="L7" s="1189"/>
      <c r="M7" s="1189"/>
      <c r="N7" s="1189"/>
      <c r="O7" s="1189"/>
      <c r="P7" s="177"/>
      <c r="Q7" s="178"/>
      <c r="R7" s="178"/>
      <c r="S7" s="178"/>
      <c r="T7" s="178"/>
      <c r="U7" s="1190"/>
      <c r="V7" s="2126"/>
      <c r="X7" s="1183"/>
      <c r="Y7" s="2105" t="str">
        <f>Geral!G21</f>
        <v>PEBS1A</v>
      </c>
      <c r="Z7" s="2106"/>
      <c r="AA7" s="2107"/>
      <c r="AB7" s="2111">
        <f>Geral!I21</f>
        <v>1883.39</v>
      </c>
      <c r="AC7" s="2112"/>
      <c r="AD7" s="2112"/>
      <c r="AE7" s="2112"/>
      <c r="AF7" s="2113"/>
      <c r="AG7" s="2085"/>
      <c r="AH7" s="2086"/>
      <c r="AI7" s="2086"/>
      <c r="AJ7" s="2086"/>
      <c r="AK7" s="2087"/>
      <c r="AL7" s="2071"/>
      <c r="AM7" s="1186"/>
      <c r="AN7" s="1185"/>
      <c r="AO7" s="1892" t="s">
        <v>7983</v>
      </c>
      <c r="AP7" s="1893">
        <v>1</v>
      </c>
      <c r="AQ7" s="1185"/>
      <c r="AR7" s="1185"/>
      <c r="AS7" s="1185"/>
      <c r="BA7" s="1173" t="str">
        <f t="shared" si="0"/>
        <v/>
      </c>
      <c r="BB7" s="1174" t="str">
        <f t="shared" si="1"/>
        <v/>
      </c>
      <c r="BC7" s="1175"/>
      <c r="BD7" s="1175"/>
    </row>
    <row r="8" spans="2:56" ht="3" customHeight="1" thickBot="1" x14ac:dyDescent="0.45">
      <c r="B8" s="2124"/>
      <c r="C8" s="2155"/>
      <c r="D8" s="2156"/>
      <c r="E8" s="2156"/>
      <c r="F8" s="2156"/>
      <c r="G8" s="1191"/>
      <c r="H8" s="2154" t="b">
        <f>IF(AG6=1,Y6,IF(AG6=2,Y7,IF(AG6=3,J13,IF(AG6=4,Y11,IF(AG6=5,Y12,IF(AG6=6,Y13,IF(AG6=7,Y9,IF(AG6=8,J13))))))))</f>
        <v>0</v>
      </c>
      <c r="I8" s="2154"/>
      <c r="J8" s="2154"/>
      <c r="K8" s="2154"/>
      <c r="L8" s="2154"/>
      <c r="M8" s="2154"/>
      <c r="N8" s="2154"/>
      <c r="O8" s="2154"/>
      <c r="P8" s="180" t="s">
        <v>406</v>
      </c>
      <c r="Q8" s="2157" t="str">
        <f ca="1">IF(Q11&lt;100000,"0"&amp;LEFT(Q11,3)&amp;20&amp;RIGHT(Q11,2),LEFT(Q11,4)&amp;20&amp;RIGHT(Q11,2))</f>
        <v>20</v>
      </c>
      <c r="R8" s="2157"/>
      <c r="S8" s="181" t="s">
        <v>405</v>
      </c>
      <c r="T8" s="2157" t="str">
        <f ca="1">IF(Q12&lt;100000,"0"&amp;LEFT(Q12,3)&amp;20&amp;RIGHT(Q12,2),LEFT(Q12,4)&amp;20&amp;RIGHT(Q12,2))</f>
        <v>30042018</v>
      </c>
      <c r="U8" s="2158"/>
      <c r="V8" s="2126"/>
      <c r="X8" s="1183"/>
      <c r="Y8" s="2108"/>
      <c r="Z8" s="2109"/>
      <c r="AA8" s="2110"/>
      <c r="AB8" s="2114"/>
      <c r="AC8" s="2115"/>
      <c r="AD8" s="2115"/>
      <c r="AE8" s="2115"/>
      <c r="AF8" s="2116"/>
      <c r="AG8" s="2088"/>
      <c r="AH8" s="2089"/>
      <c r="AI8" s="2089"/>
      <c r="AJ8" s="2089"/>
      <c r="AK8" s="2090"/>
      <c r="AL8" s="2071"/>
      <c r="AM8" s="1186"/>
      <c r="AN8" s="1185"/>
      <c r="AO8" s="1892"/>
      <c r="AP8" s="1894"/>
      <c r="AQ8" s="1185"/>
      <c r="AR8" s="1185"/>
      <c r="AS8" s="1185"/>
      <c r="BA8" s="1173" t="str">
        <f t="shared" si="0"/>
        <v/>
      </c>
      <c r="BB8" s="1174">
        <f t="shared" si="1"/>
        <v>0</v>
      </c>
      <c r="BC8" s="1175"/>
      <c r="BD8" s="1175"/>
    </row>
    <row r="9" spans="2:56" ht="15.95" customHeight="1" thickBot="1" x14ac:dyDescent="0.45">
      <c r="B9" s="2124"/>
      <c r="C9" s="2150" t="s">
        <v>4</v>
      </c>
      <c r="D9" s="2151"/>
      <c r="E9" s="2152"/>
      <c r="F9" s="1192">
        <f>IF(G9&lt;100,4,5)</f>
        <v>4</v>
      </c>
      <c r="G9" s="2153">
        <f>Designacao.UnidadeAdministrativa</f>
        <v>0</v>
      </c>
      <c r="H9" s="2153"/>
      <c r="I9" s="2053" t="str">
        <f>IF(ISERROR(VLOOKUP(G9,Escolas!C5:K269,3,FALSE)),"",VLOOKUP(G9,Escolas!C5:K269,3,FALSE))</f>
        <v/>
      </c>
      <c r="J9" s="2053"/>
      <c r="K9" s="2053"/>
      <c r="L9" s="2053"/>
      <c r="M9" s="2053"/>
      <c r="N9" s="2053"/>
      <c r="O9" s="2053"/>
      <c r="P9" s="2053"/>
      <c r="Q9" s="2053"/>
      <c r="R9" s="2053" t="str">
        <f>IF(ISERROR(VLOOKUP(G9,Escolas!C5:K269,7,FALSE)),"",VLOOKUP(G9,Escolas!C5:K269,7,FALSE))</f>
        <v/>
      </c>
      <c r="S9" s="2053"/>
      <c r="T9" s="2053"/>
      <c r="U9" s="2054"/>
      <c r="V9" s="2126"/>
      <c r="X9" s="1183"/>
      <c r="Y9" s="2105" t="str">
        <f>Geral!K21</f>
        <v>ASBD1A</v>
      </c>
      <c r="Z9" s="2106"/>
      <c r="AA9" s="2107"/>
      <c r="AB9" s="2111">
        <f>Geral!M21</f>
        <v>1047.8399999999999</v>
      </c>
      <c r="AC9" s="2112"/>
      <c r="AD9" s="2112"/>
      <c r="AE9" s="2112"/>
      <c r="AF9" s="2113"/>
      <c r="AG9" s="2085"/>
      <c r="AH9" s="2086"/>
      <c r="AI9" s="2086"/>
      <c r="AJ9" s="2086"/>
      <c r="AK9" s="2087"/>
      <c r="AL9" s="2071"/>
      <c r="AN9" s="1185"/>
      <c r="AO9" s="1193" t="s">
        <v>7984</v>
      </c>
      <c r="AP9" s="1193">
        <v>2</v>
      </c>
      <c r="AQ9" s="1185"/>
      <c r="AR9" s="1185"/>
      <c r="AS9" s="1185"/>
      <c r="BA9" s="1173" t="str">
        <f t="shared" si="0"/>
        <v/>
      </c>
      <c r="BB9" s="1174">
        <f t="shared" si="1"/>
        <v>0</v>
      </c>
      <c r="BC9" s="1175"/>
      <c r="BD9" s="1175"/>
    </row>
    <row r="10" spans="2:56" ht="3" customHeight="1" thickBot="1" x14ac:dyDescent="0.45">
      <c r="B10" s="2124"/>
      <c r="C10" s="1995"/>
      <c r="D10" s="1996"/>
      <c r="E10" s="1996"/>
      <c r="F10" s="1996"/>
      <c r="G10" s="1996"/>
      <c r="H10" s="1996"/>
      <c r="I10" s="1996"/>
      <c r="J10" s="1996"/>
      <c r="K10" s="1996"/>
      <c r="L10" s="1996"/>
      <c r="M10" s="1996"/>
      <c r="N10" s="1996"/>
      <c r="O10" s="1996"/>
      <c r="P10" s="1996"/>
      <c r="Q10" s="1996"/>
      <c r="R10" s="1996"/>
      <c r="S10" s="1996"/>
      <c r="T10" s="1996"/>
      <c r="U10" s="2051"/>
      <c r="V10" s="2126"/>
      <c r="X10" s="1183"/>
      <c r="Y10" s="2108"/>
      <c r="Z10" s="2109"/>
      <c r="AA10" s="2110"/>
      <c r="AB10" s="2114"/>
      <c r="AC10" s="2115"/>
      <c r="AD10" s="2115"/>
      <c r="AE10" s="2115"/>
      <c r="AF10" s="2116"/>
      <c r="AG10" s="2088"/>
      <c r="AH10" s="2089"/>
      <c r="AI10" s="2089"/>
      <c r="AJ10" s="2089"/>
      <c r="AK10" s="2090"/>
      <c r="AL10" s="2071"/>
      <c r="AN10" s="1185"/>
      <c r="AO10" s="1892" t="s">
        <v>9475</v>
      </c>
      <c r="AP10" s="1892">
        <v>3</v>
      </c>
      <c r="AQ10" s="1185"/>
      <c r="AR10" s="1185"/>
      <c r="AS10" s="1185"/>
      <c r="BA10" s="1173" t="str">
        <f t="shared" si="0"/>
        <v/>
      </c>
      <c r="BB10" s="1174" t="str">
        <f t="shared" si="1"/>
        <v/>
      </c>
      <c r="BC10" s="1175"/>
      <c r="BD10" s="1175"/>
    </row>
    <row r="11" spans="2:56" ht="18" customHeight="1" thickBot="1" x14ac:dyDescent="0.45">
      <c r="B11" s="2124"/>
      <c r="C11" s="2026" t="str">
        <f>Designacao.Cargo</f>
        <v>-</v>
      </c>
      <c r="D11" s="2027"/>
      <c r="E11" s="2027"/>
      <c r="F11" s="2027"/>
      <c r="G11" s="2027"/>
      <c r="H11" s="2027"/>
      <c r="I11" s="2030"/>
      <c r="J11" s="2030"/>
      <c r="K11" s="2030"/>
      <c r="L11" s="2030"/>
      <c r="M11" s="1650" t="s">
        <v>8004</v>
      </c>
      <c r="N11" s="1651"/>
      <c r="O11" s="1651"/>
      <c r="P11" s="1651"/>
      <c r="Q11" s="2138" t="str">
        <f ca="1">IF(MONTH(S12) = MONTH(Designacao.DataInicial),TEXT(Designacao.DataInicial, "ddmmaa"),"")</f>
        <v/>
      </c>
      <c r="R11" s="2138"/>
      <c r="S11" s="2139" t="str">
        <f ca="1">IFERROR(DATEVALUE( TEXT( Q8, "##""/""##""/""####" ) &amp; "" ), "Não Há acerto")</f>
        <v>Não Há acerto</v>
      </c>
      <c r="T11" s="2139"/>
      <c r="U11" s="2140"/>
      <c r="V11" s="2126"/>
      <c r="X11" s="1183"/>
      <c r="Y11" s="2095" t="str">
        <f>Geral!O21</f>
        <v>EEBD1A</v>
      </c>
      <c r="Z11" s="2096"/>
      <c r="AA11" s="2096"/>
      <c r="AB11" s="2097">
        <f>Geral!Q21</f>
        <v>1982.54</v>
      </c>
      <c r="AC11" s="2097"/>
      <c r="AD11" s="2097"/>
      <c r="AE11" s="2097"/>
      <c r="AF11" s="2097"/>
      <c r="AG11" s="2082"/>
      <c r="AH11" s="2083"/>
      <c r="AI11" s="2083"/>
      <c r="AJ11" s="2083"/>
      <c r="AK11" s="2084"/>
      <c r="AL11" s="2071"/>
      <c r="AN11" s="1185"/>
      <c r="AO11" s="1892"/>
      <c r="AP11" s="1892"/>
      <c r="AQ11" s="1185"/>
      <c r="AR11" s="1185"/>
      <c r="AS11" s="1185"/>
      <c r="BA11" s="1173" t="str">
        <f t="shared" si="0"/>
        <v/>
      </c>
      <c r="BB11" s="1174">
        <f t="shared" si="1"/>
        <v>0</v>
      </c>
      <c r="BC11" s="1175"/>
      <c r="BD11" s="1175"/>
    </row>
    <row r="12" spans="2:56" ht="18" customHeight="1" thickBot="1" x14ac:dyDescent="0.45">
      <c r="B12" s="2124"/>
      <c r="C12" s="2028"/>
      <c r="D12" s="2029"/>
      <c r="E12" s="2029"/>
      <c r="F12" s="2029"/>
      <c r="G12" s="2029"/>
      <c r="H12" s="2029"/>
      <c r="I12" s="1194"/>
      <c r="J12" s="1194"/>
      <c r="K12" s="1194"/>
      <c r="L12" s="1194"/>
      <c r="M12" s="1676" t="s">
        <v>403</v>
      </c>
      <c r="N12" s="1677"/>
      <c r="O12" s="1677"/>
      <c r="P12" s="1677"/>
      <c r="Q12" s="2141" t="str">
        <f ca="1">IF(DATE(YEAR(TODAY()),MONTH(TODAY()),1)-1&gt;=Designacao.DataFinal,TEXT(Designacao.DataFinal,"ddmmaa"),TEXT(DATE(YEAR(TODAY()),MONTH(TODAY()),1)-1,"ddmmaa"))</f>
        <v>300418</v>
      </c>
      <c r="R12" s="2141"/>
      <c r="S12" s="2142">
        <f ca="1">DATEVALUE( TEXT( T8, "##""/""##""/""####" ) &amp; "" )</f>
        <v>43220</v>
      </c>
      <c r="T12" s="2142"/>
      <c r="U12" s="2143"/>
      <c r="V12" s="2126"/>
      <c r="X12" s="1183"/>
      <c r="Y12" s="2091" t="str">
        <f>Geral!S21</f>
        <v>ATBD1A</v>
      </c>
      <c r="Z12" s="1903"/>
      <c r="AA12" s="1904"/>
      <c r="AB12" s="2092">
        <f>Geral!T21</f>
        <v>1369.7</v>
      </c>
      <c r="AC12" s="2093"/>
      <c r="AD12" s="2093"/>
      <c r="AE12" s="2093"/>
      <c r="AF12" s="2094"/>
      <c r="AG12" s="2082"/>
      <c r="AH12" s="2083"/>
      <c r="AI12" s="2083"/>
      <c r="AJ12" s="2083"/>
      <c r="AK12" s="2084"/>
      <c r="AL12" s="2071"/>
      <c r="AN12" s="1185"/>
      <c r="AO12" s="1193" t="s">
        <v>7986</v>
      </c>
      <c r="AP12" s="1193">
        <v>4</v>
      </c>
      <c r="AQ12" s="1185"/>
      <c r="AR12" s="1185"/>
      <c r="AS12" s="1185"/>
      <c r="BA12" s="1173" t="str">
        <f t="shared" si="0"/>
        <v/>
      </c>
      <c r="BB12" s="1174">
        <f t="shared" si="1"/>
        <v>0</v>
      </c>
      <c r="BC12" s="1175"/>
      <c r="BD12" s="1175"/>
    </row>
    <row r="13" spans="2:56" ht="30" customHeight="1" thickTop="1" thickBot="1" x14ac:dyDescent="0.45">
      <c r="B13" s="2124"/>
      <c r="C13" s="2028"/>
      <c r="D13" s="2029"/>
      <c r="E13" s="2029"/>
      <c r="F13" s="2029"/>
      <c r="G13" s="2029"/>
      <c r="H13" s="2029"/>
      <c r="I13" s="176" t="s">
        <v>408</v>
      </c>
      <c r="J13" s="2052">
        <v>1</v>
      </c>
      <c r="K13" s="2052"/>
      <c r="L13" s="1195"/>
      <c r="M13" s="1646" t="s">
        <v>7998</v>
      </c>
      <c r="N13" s="1647"/>
      <c r="O13" s="2042"/>
      <c r="P13" s="2043"/>
      <c r="Q13" s="2043"/>
      <c r="R13" s="2043"/>
      <c r="S13" s="2043"/>
      <c r="T13" s="2043"/>
      <c r="U13" s="2044"/>
      <c r="V13" s="2126"/>
      <c r="X13" s="1183"/>
      <c r="Y13" s="2091" t="str">
        <f>Geral!S24</f>
        <v>ANEID1A</v>
      </c>
      <c r="Z13" s="1903"/>
      <c r="AA13" s="1904"/>
      <c r="AB13" s="2092">
        <f>Geral!T24</f>
        <v>4956.3599999999997</v>
      </c>
      <c r="AC13" s="2093"/>
      <c r="AD13" s="2093"/>
      <c r="AE13" s="2093"/>
      <c r="AF13" s="2094"/>
      <c r="AG13" s="2082"/>
      <c r="AH13" s="2083"/>
      <c r="AI13" s="2083"/>
      <c r="AJ13" s="2083"/>
      <c r="AK13" s="2084"/>
      <c r="AL13" s="2071"/>
      <c r="AN13" s="1185"/>
      <c r="AO13" s="1193" t="s">
        <v>7987</v>
      </c>
      <c r="AP13" s="1193">
        <v>5</v>
      </c>
      <c r="AQ13" s="1185"/>
      <c r="AR13" s="1185"/>
      <c r="AS13" s="1185"/>
      <c r="BA13" s="1173" t="str">
        <f t="shared" si="0"/>
        <v/>
      </c>
      <c r="BB13" s="1196" t="str">
        <f>S31</f>
        <v>Aguard. Dados</v>
      </c>
      <c r="BC13" s="1175"/>
      <c r="BD13" s="1175"/>
    </row>
    <row r="14" spans="2:56" ht="18" customHeight="1" thickBot="1" x14ac:dyDescent="0.45">
      <c r="B14" s="2124"/>
      <c r="C14" s="2033" t="s">
        <v>407</v>
      </c>
      <c r="D14" s="2034"/>
      <c r="E14" s="2034"/>
      <c r="F14" s="2031" t="b">
        <f>IF(AG6=1,AB6,IF(AG6=2,AB7,IF(AG6=3,K14+K15+K16,IF(AG6=4,AB11,IF(AG6=5,AB12,IF(AG6=6,AB13,IF(AG6=7,AB9,IF(AG6=8,K14+K15+K16))))))))</f>
        <v>0</v>
      </c>
      <c r="G14" s="2031"/>
      <c r="H14" s="2032"/>
      <c r="I14" s="1642" t="s">
        <v>8005</v>
      </c>
      <c r="J14" s="1643"/>
      <c r="K14" s="2040">
        <v>1982.54</v>
      </c>
      <c r="L14" s="2041"/>
      <c r="M14" s="1646"/>
      <c r="N14" s="1647"/>
      <c r="O14" s="2045"/>
      <c r="P14" s="2047"/>
      <c r="Q14" s="2049"/>
      <c r="R14" s="1299"/>
      <c r="S14" s="1299"/>
      <c r="T14" s="2057" t="s">
        <v>8003</v>
      </c>
      <c r="U14" s="2055" t="e">
        <f ca="1">IF(AND(LEN(Q12)=6,LEFT(Q12,4)="2902",Y31="SIM"),S12-S11+2,IF(AND(LEN(Q12)=6,LEFT(Q12,4)="2802",Y31="SIM"),S12-S11+3,IF(Q12=Q11,1,IF(AND(LEN(Q12)=6,LEFT(Q12,2)="31"),S12-S11,S12-S11+1))))</f>
        <v>#VALUE!</v>
      </c>
      <c r="V14" s="2126"/>
      <c r="X14" s="1183"/>
      <c r="Y14" s="1197"/>
      <c r="Z14" s="1198"/>
      <c r="AA14" s="1199"/>
      <c r="AB14" s="1200"/>
      <c r="AC14" s="1201"/>
      <c r="AD14" s="1201"/>
      <c r="AE14" s="1201"/>
      <c r="AF14" s="1202"/>
      <c r="AG14" s="1203"/>
      <c r="AH14" s="1198"/>
      <c r="AI14" s="1198"/>
      <c r="AJ14" s="1198"/>
      <c r="AK14" s="1204"/>
      <c r="AL14" s="2071"/>
      <c r="AN14" s="1185"/>
      <c r="AO14" s="1193" t="s">
        <v>7988</v>
      </c>
      <c r="AP14" s="1193">
        <v>6</v>
      </c>
      <c r="AQ14" s="1185"/>
      <c r="AR14" s="1185"/>
      <c r="AS14" s="1185"/>
      <c r="BA14" s="1173" t="str">
        <f>Q32</f>
        <v/>
      </c>
      <c r="BB14" s="1174" t="str">
        <f t="shared" si="1"/>
        <v/>
      </c>
      <c r="BC14" s="1175"/>
      <c r="BD14" s="1175"/>
    </row>
    <row r="15" spans="2:56" ht="18" customHeight="1" thickBot="1" x14ac:dyDescent="0.45">
      <c r="B15" s="2124"/>
      <c r="C15" s="1205" t="s">
        <v>7994</v>
      </c>
      <c r="D15" s="1206">
        <v>16</v>
      </c>
      <c r="E15" s="2035" t="s">
        <v>7995</v>
      </c>
      <c r="F15" s="2035"/>
      <c r="G15" s="2036"/>
      <c r="H15" s="1207" t="s">
        <v>7997</v>
      </c>
      <c r="I15" s="1642" t="s">
        <v>8006</v>
      </c>
      <c r="J15" s="1643"/>
      <c r="K15" s="2040"/>
      <c r="L15" s="2041"/>
      <c r="M15" s="1646"/>
      <c r="N15" s="1647"/>
      <c r="O15" s="2045"/>
      <c r="P15" s="2047"/>
      <c r="Q15" s="2049"/>
      <c r="R15" s="1299"/>
      <c r="S15" s="1299"/>
      <c r="T15" s="2058"/>
      <c r="U15" s="2055"/>
      <c r="V15" s="2126"/>
      <c r="X15" s="1183"/>
      <c r="Y15" s="1208"/>
      <c r="Z15" s="1208"/>
      <c r="AA15" s="1208"/>
      <c r="AB15" s="1209"/>
      <c r="AC15" s="1209"/>
      <c r="AD15" s="1209"/>
      <c r="AE15" s="1209"/>
      <c r="AF15" s="1209"/>
      <c r="AG15" s="1208"/>
      <c r="AH15" s="1208"/>
      <c r="AI15" s="1208"/>
      <c r="AJ15" s="1208"/>
      <c r="AK15" s="1208"/>
      <c r="AL15" s="2071"/>
      <c r="AN15" s="1185"/>
      <c r="AO15" s="1193" t="s">
        <v>7985</v>
      </c>
      <c r="AP15" s="1193">
        <v>7</v>
      </c>
      <c r="AQ15" s="1185"/>
      <c r="AR15" s="1185"/>
      <c r="AS15" s="1185"/>
      <c r="BA15" s="1173"/>
      <c r="BB15" s="1174" t="str">
        <f t="shared" si="1"/>
        <v/>
      </c>
      <c r="BC15" s="1175"/>
      <c r="BD15" s="1175"/>
    </row>
    <row r="16" spans="2:56" ht="18" customHeight="1" thickBot="1" x14ac:dyDescent="0.45">
      <c r="B16" s="2124"/>
      <c r="C16" s="2037" t="s">
        <v>7996</v>
      </c>
      <c r="D16" s="2038"/>
      <c r="E16" s="2039" t="b">
        <f>IF(AG6=1,F14/'C Horária'!D23,IF(AG6=2,F14/'C Horária'!D23,IF(AG6=3,F14/H16)))</f>
        <v>0</v>
      </c>
      <c r="F16" s="2039"/>
      <c r="G16" s="2039"/>
      <c r="H16" s="1210">
        <f>IF(AG6&gt;3,"",IF(OR(AG6=1,AG6=2),'C Horária'!D23,IF(ISERROR(VLOOKUP(D15,'C Horária'!C8:E23,2,FALSE)),"",VLOOKUP(D15,'C Horária'!C8:E23,2,FALSE))))</f>
        <v>108</v>
      </c>
      <c r="I16" s="1668" t="s">
        <v>8007</v>
      </c>
      <c r="J16" s="1669"/>
      <c r="K16" s="2068"/>
      <c r="L16" s="2069"/>
      <c r="M16" s="1648"/>
      <c r="N16" s="1649"/>
      <c r="O16" s="2046"/>
      <c r="P16" s="2048"/>
      <c r="Q16" s="2050"/>
      <c r="R16" s="1300"/>
      <c r="S16" s="1300"/>
      <c r="T16" s="2059"/>
      <c r="U16" s="2056"/>
      <c r="V16" s="2126"/>
      <c r="X16" s="1211"/>
      <c r="Y16" s="2117" t="s">
        <v>8002</v>
      </c>
      <c r="Z16" s="2118"/>
      <c r="AA16" s="2118"/>
      <c r="AB16" s="2118"/>
      <c r="AC16" s="2118"/>
      <c r="AD16" s="2119" t="str">
        <f>IF(AK16=1,"Cargo Vago", IF(AK16=2,"Substituição"))</f>
        <v>Cargo Vago</v>
      </c>
      <c r="AE16" s="2119"/>
      <c r="AF16" s="2119"/>
      <c r="AG16" s="2119"/>
      <c r="AH16" s="2119"/>
      <c r="AI16" s="2119"/>
      <c r="AJ16" s="2119"/>
      <c r="AK16" s="1212">
        <v>1</v>
      </c>
      <c r="AL16" s="2072"/>
      <c r="AN16" s="1185"/>
      <c r="AO16" s="1193" t="s">
        <v>9476</v>
      </c>
      <c r="AP16" s="1193">
        <v>8</v>
      </c>
      <c r="AQ16" s="1185"/>
      <c r="AR16" s="1185"/>
      <c r="AS16" s="1185"/>
      <c r="BA16" s="1213"/>
      <c r="BB16" s="1174">
        <f t="shared" si="1"/>
        <v>0</v>
      </c>
      <c r="BC16" s="1175"/>
      <c r="BD16" s="1175"/>
    </row>
    <row r="17" spans="2:56" ht="3" customHeight="1" thickBot="1" x14ac:dyDescent="0.45">
      <c r="B17" s="2124"/>
      <c r="C17" s="2060"/>
      <c r="D17" s="2061"/>
      <c r="E17" s="2061"/>
      <c r="F17" s="2061"/>
      <c r="G17" s="2061"/>
      <c r="H17" s="2061"/>
      <c r="I17" s="2061"/>
      <c r="J17" s="2061"/>
      <c r="K17" s="2061"/>
      <c r="L17" s="2061"/>
      <c r="M17" s="2061"/>
      <c r="N17" s="2061"/>
      <c r="O17" s="2061"/>
      <c r="P17" s="2061"/>
      <c r="Q17" s="2061"/>
      <c r="R17" s="2061"/>
      <c r="S17" s="2061"/>
      <c r="T17" s="2061"/>
      <c r="U17" s="2062"/>
      <c r="V17" s="2126"/>
      <c r="AN17" s="1185"/>
      <c r="AO17" s="1185"/>
      <c r="AP17" s="1185"/>
      <c r="AQ17" s="1185"/>
      <c r="AR17" s="1185"/>
      <c r="AS17" s="1185"/>
      <c r="BA17" s="1213"/>
      <c r="BB17" s="1174">
        <f t="shared" si="1"/>
        <v>0</v>
      </c>
      <c r="BC17" s="1175"/>
      <c r="BD17" s="1175"/>
    </row>
    <row r="18" spans="2:56" ht="14.1" customHeight="1" thickBot="1" x14ac:dyDescent="0.45">
      <c r="B18" s="2124"/>
      <c r="C18" s="2066" t="str">
        <f>IF(AG6&gt;3,"","Tipo de Aulas")</f>
        <v>Tipo de Aulas</v>
      </c>
      <c r="D18" s="2067"/>
      <c r="E18" s="2067"/>
      <c r="F18" s="1301" t="str">
        <f>IF(AG6&gt;3,"","N.º")</f>
        <v>N.º</v>
      </c>
      <c r="G18" s="2065" t="str">
        <f>IF(AG6&gt;3,"","Mensal")</f>
        <v>Mensal</v>
      </c>
      <c r="H18" s="2065"/>
      <c r="I18" s="2065" t="str">
        <f>IF(AG6&gt;3,"","Diária")</f>
        <v>Diária</v>
      </c>
      <c r="J18" s="2065"/>
      <c r="K18" s="1302" t="str">
        <f>IF(AG6&gt;3,"","Total")</f>
        <v>Total</v>
      </c>
      <c r="L18" s="1620" t="str">
        <f>IF(AG6&gt;3,"","Com Contribuição")</f>
        <v>Com Contribuição</v>
      </c>
      <c r="M18" s="1621"/>
      <c r="N18" s="1622"/>
      <c r="O18" s="2063" t="str">
        <f>IF(AG6&gt;3,"","A Pagar")</f>
        <v>A Pagar</v>
      </c>
      <c r="P18" s="2064"/>
      <c r="Q18" s="2065" t="s">
        <v>391</v>
      </c>
      <c r="R18" s="2065"/>
      <c r="S18" s="1602" t="s">
        <v>392</v>
      </c>
      <c r="T18" s="1603"/>
      <c r="U18" s="1303" t="str">
        <f>IF(AG6&gt;3,"","Cód.")</f>
        <v>Cód.</v>
      </c>
      <c r="V18" s="2126"/>
      <c r="AN18" s="1185"/>
      <c r="AO18" s="1214"/>
      <c r="AP18" s="1185"/>
      <c r="AQ18" s="1185"/>
      <c r="AR18" s="1185"/>
      <c r="AS18" s="1185"/>
      <c r="BA18" s="1213"/>
      <c r="BB18" s="1174">
        <f t="shared" si="1"/>
        <v>0</v>
      </c>
      <c r="BC18" s="1175"/>
      <c r="BD18" s="1175"/>
    </row>
    <row r="19" spans="2:56" ht="18" customHeight="1" thickTop="1" thickBot="1" x14ac:dyDescent="0.45">
      <c r="B19" s="2124"/>
      <c r="C19" s="2024" t="str">
        <f>IF(AG6&gt;3,"","Obrigatórias:")</f>
        <v>Obrigatórias:</v>
      </c>
      <c r="D19" s="2025"/>
      <c r="E19" s="2025"/>
      <c r="F19" s="1215">
        <v>0</v>
      </c>
      <c r="G19" s="2011" t="str">
        <f>IF(AG6&gt;3,"",IF(OR(F19=0,F19="x",F19="-"),"",IF(ISERROR(VLOOKUP(F19,'C Horária'!C8:E23,2,FALSE)),"",VLOOKUP(F19,'C Horária'!C8:E23,2,FALSE))))</f>
        <v/>
      </c>
      <c r="H19" s="2011"/>
      <c r="I19" s="2012" t="str">
        <f>IF(AG6&gt;3,"",IF(OR(F19=0,F19=""),"",IF(F19="x","",IF(F19="-","",G19/30))))</f>
        <v/>
      </c>
      <c r="J19" s="2012"/>
      <c r="K19" s="1216" t="str">
        <f>IF(OR(F19="",F19="X",F19="-",F19=0),"",IF(AG6&gt;3,"",IF(I19*U14&lt;100,LEFT(I19*U14,4),LEFT(I19*U14,5))))</f>
        <v/>
      </c>
      <c r="L19" s="2147"/>
      <c r="M19" s="2148"/>
      <c r="N19" s="2149"/>
      <c r="O19" s="2021" t="str">
        <f>IF(G19="","",E16*I19*U14)</f>
        <v/>
      </c>
      <c r="P19" s="2022"/>
      <c r="Q19" s="2017" t="str">
        <f>IF(O19="","",IF(OR(AG6=1,AG6=2),"2917","2915"))</f>
        <v/>
      </c>
      <c r="R19" s="2018"/>
      <c r="S19" s="2013"/>
      <c r="T19" s="2014"/>
      <c r="U19" s="1217"/>
      <c r="V19" s="2126"/>
      <c r="X19" s="1218"/>
      <c r="Y19" s="2023" t="s">
        <v>7999</v>
      </c>
      <c r="Z19" s="2023"/>
      <c r="AA19" s="2023"/>
      <c r="AB19" s="2023"/>
      <c r="AC19" s="2023"/>
      <c r="AD19" s="2023" t="str">
        <f>IF(AH19=1,"AULAS", IF(AH19=2,"TURMAS"))</f>
        <v>AULAS</v>
      </c>
      <c r="AE19" s="2023"/>
      <c r="AF19" s="2023"/>
      <c r="AG19" s="2023"/>
      <c r="AH19" s="2008">
        <v>1</v>
      </c>
      <c r="AI19" s="2008"/>
      <c r="AJ19" s="2008"/>
      <c r="AK19" s="2008"/>
      <c r="AL19" s="1219"/>
      <c r="AN19" s="1185"/>
      <c r="AO19" s="1185"/>
      <c r="AP19" s="1185"/>
      <c r="AQ19" s="1185"/>
      <c r="AR19" s="1185"/>
      <c r="AS19" s="1185"/>
      <c r="BA19" s="1220" t="str">
        <f>C40</f>
        <v/>
      </c>
      <c r="BB19" s="1174" t="str">
        <f>D40</f>
        <v/>
      </c>
      <c r="BC19" s="1175"/>
      <c r="BD19" s="1175"/>
    </row>
    <row r="20" spans="2:56" ht="14.1" customHeight="1" thickTop="1" x14ac:dyDescent="0.4">
      <c r="B20" s="2124"/>
      <c r="C20" s="2006" t="str">
        <f>IF(O20=0,"",IF(O19="","","Abono R.B. 1:"))</f>
        <v/>
      </c>
      <c r="D20" s="2007"/>
      <c r="E20" s="2007"/>
      <c r="F20" s="1897"/>
      <c r="G20" s="1897"/>
      <c r="H20" s="1897"/>
      <c r="I20" s="1897"/>
      <c r="J20" s="1897"/>
      <c r="K20" s="1897"/>
      <c r="L20" s="1897"/>
      <c r="M20" s="1897"/>
      <c r="N20" s="1898"/>
      <c r="O20" s="2019" t="str">
        <f>IF(G19="","",IF(OR(AG6=1,AG6=3),Geral!E22/108*'Acerto - Designação'!K19,IF(AG6=2,Geral!I22/108*'Acerto - Designação'!K19,)))</f>
        <v/>
      </c>
      <c r="P20" s="2020"/>
      <c r="Q20" s="1915" t="str">
        <f>IF(OR(O20="",O20&lt;0.01),"",2964)</f>
        <v/>
      </c>
      <c r="R20" s="1916"/>
      <c r="S20" s="1905"/>
      <c r="T20" s="1906"/>
      <c r="U20" s="1221"/>
      <c r="V20" s="2126"/>
      <c r="X20" s="1183"/>
      <c r="Y20" s="1222"/>
      <c r="Z20" s="1222"/>
      <c r="AA20" s="1222"/>
      <c r="AB20" s="1222"/>
      <c r="AC20" s="1222"/>
      <c r="AD20" s="1222"/>
      <c r="AE20" s="1222"/>
      <c r="AF20" s="1222"/>
      <c r="AG20" s="1222"/>
      <c r="AH20" s="1222"/>
      <c r="AI20" s="1222"/>
      <c r="AJ20" s="1222"/>
      <c r="AK20" s="1222"/>
      <c r="AL20" s="1223"/>
      <c r="AN20" s="1185"/>
      <c r="AO20" s="1185"/>
      <c r="AP20" s="1185"/>
      <c r="AQ20" s="1185"/>
      <c r="AR20" s="1185"/>
      <c r="AS20" s="1185"/>
      <c r="BA20" s="1213"/>
      <c r="BB20" s="1174"/>
      <c r="BC20" s="1175"/>
      <c r="BD20" s="1175"/>
    </row>
    <row r="21" spans="2:56" ht="14.1" customHeight="1" thickBot="1" x14ac:dyDescent="0.45">
      <c r="B21" s="2124"/>
      <c r="C21" s="1917" t="str">
        <f>IF(O21=0,"",IF(O19="","","Abono R.B. 2:"))</f>
        <v/>
      </c>
      <c r="D21" s="1918"/>
      <c r="E21" s="1918"/>
      <c r="F21" s="2000"/>
      <c r="G21" s="2000"/>
      <c r="H21" s="2000"/>
      <c r="I21" s="2000"/>
      <c r="J21" s="2000"/>
      <c r="K21" s="2000"/>
      <c r="L21" s="2000"/>
      <c r="M21" s="2000"/>
      <c r="N21" s="2001"/>
      <c r="O21" s="2002" t="str">
        <f>IF(G19="","",IF(OR(AG6=1,AG6=3),Geral!E23/108*'Acerto - Designação'!K19,IF(AG6=2,Geral!I23/108*'Acerto - Designação'!K19)))</f>
        <v/>
      </c>
      <c r="P21" s="2003"/>
      <c r="Q21" s="2004" t="str">
        <f>IF(OR(O21="",O21&lt;0.01),"",2967)</f>
        <v/>
      </c>
      <c r="R21" s="2005"/>
      <c r="S21" s="1907"/>
      <c r="T21" s="1908"/>
      <c r="U21" s="1224"/>
      <c r="V21" s="2126"/>
      <c r="X21" s="1183"/>
      <c r="Y21" s="1222"/>
      <c r="Z21" s="1222"/>
      <c r="AA21" s="1222"/>
      <c r="AB21" s="1222"/>
      <c r="AC21" s="1222"/>
      <c r="AD21" s="1222"/>
      <c r="AE21" s="1222"/>
      <c r="AF21" s="1222"/>
      <c r="AG21" s="1222"/>
      <c r="AH21" s="1222"/>
      <c r="AI21" s="1222"/>
      <c r="AJ21" s="1222"/>
      <c r="AK21" s="1222"/>
      <c r="AL21" s="1223"/>
      <c r="BA21" s="1220" t="str">
        <f>G40</f>
        <v/>
      </c>
      <c r="BB21" s="1174" t="e">
        <f>H40</f>
        <v>#VALUE!</v>
      </c>
    </row>
    <row r="22" spans="2:56" ht="18" customHeight="1" thickTop="1" x14ac:dyDescent="0.4">
      <c r="B22" s="2124"/>
      <c r="C22" s="1921" t="str">
        <f>IF(AND(F19&lt;16,F19&gt;0,AG6=1),"",IF(AND(F19&lt;16,F19&gt;0,AG6=2),"",IF(AG6&gt;3,"",IF(AND(F19&lt;16,F19&gt;0,Y46="DESIGNADO"),"","Exig. Curricular:"))))</f>
        <v>Exig. Curricular:</v>
      </c>
      <c r="D22" s="1922"/>
      <c r="E22" s="1922"/>
      <c r="F22" s="1225">
        <v>0</v>
      </c>
      <c r="G22" s="1923" t="str">
        <f>IF(C22="","",IF(AG6&gt;3,"",IF(AND(F19&lt;16,F19&gt;0,Y46="DESIGNADO"),"",IF(ISERROR(VLOOKUP(F22,'C Horária'!G8:I12,2,FALSE)),"",VLOOKUP(F22,'C Horária'!G8:I12,2,FALSE)))))</f>
        <v/>
      </c>
      <c r="H22" s="1923"/>
      <c r="I22" s="1924" t="str">
        <f>IF(AG6&gt;3,"",IF(G22="","",IF(F22=0,"",IF(F22="","",IF(F22&gt;0,G22/30)))))</f>
        <v/>
      </c>
      <c r="J22" s="1924"/>
      <c r="K22" s="1226" t="str">
        <f>IF(OR(I22="",F22="",F22="X",F22="-",F22=0),"",IF(AG6&gt;3,"",IF(I22*U14&lt;10,LEFT(I22*U14,3),LEFT(I22*U14,4))))</f>
        <v/>
      </c>
      <c r="L22" s="1941"/>
      <c r="M22" s="1942"/>
      <c r="N22" s="1943"/>
      <c r="O22" s="1913" t="str">
        <f>IF(G22="","",E16*I22*U14)</f>
        <v/>
      </c>
      <c r="P22" s="1914"/>
      <c r="Q22" s="1919" t="str">
        <f>IF(O22="","",IF(OR(AG6=1,AG6=2),"2881",IF(AND(AG6=3,AJ22=1),"2881",IF(AND(AG6=3,AJ22=2),"2883"))))</f>
        <v/>
      </c>
      <c r="R22" s="1920"/>
      <c r="S22" s="2015"/>
      <c r="T22" s="2016"/>
      <c r="U22" s="1227" t="str">
        <f>IF(O22="","",IF(AND(AG6=1,AH19=2),"11 378",IF(AND(AG6=2,AH19=2),"11 378",IF(AND(AG6=1,AH19=1),"11 379",IF(AND(AG6=2,AH19=1),"11 379",IF(AND(AJ22=1,AH19=1),"11 379",IF(AND(AJ22=1,AH19=2),"11 378",IF(AND(AJ22=2,AH19=1),"11 279",IF(AND(AJ22=2,AH19=2),"11 278")))))))))</f>
        <v/>
      </c>
      <c r="V22" s="2126"/>
      <c r="X22" s="1228"/>
      <c r="Y22" s="2009" t="s">
        <v>8000</v>
      </c>
      <c r="Z22" s="2009"/>
      <c r="AA22" s="2009"/>
      <c r="AB22" s="2009"/>
      <c r="AC22" s="2009"/>
      <c r="AD22" s="2009"/>
      <c r="AE22" s="2009"/>
      <c r="AF22" s="2009"/>
      <c r="AG22" s="2009"/>
      <c r="AH22" s="2009" t="str">
        <f>IF(AJ22=1,"SIM", IF(AJ22=2,"NÃO"))</f>
        <v>NÃO</v>
      </c>
      <c r="AI22" s="2009"/>
      <c r="AJ22" s="2010">
        <v>2</v>
      </c>
      <c r="AK22" s="2010"/>
      <c r="AL22" s="1229"/>
      <c r="BA22" s="1213"/>
      <c r="BB22" s="1174"/>
    </row>
    <row r="23" spans="2:56" ht="14.1" customHeight="1" x14ac:dyDescent="0.4">
      <c r="B23" s="2124"/>
      <c r="C23" s="2006" t="str">
        <f>IF(O23=0,"",IF(O22="","","Abono A.E.C. 1:"))</f>
        <v/>
      </c>
      <c r="D23" s="2007"/>
      <c r="E23" s="2007"/>
      <c r="F23" s="1897"/>
      <c r="G23" s="1897"/>
      <c r="H23" s="1897"/>
      <c r="I23" s="1897"/>
      <c r="J23" s="1897"/>
      <c r="K23" s="1897"/>
      <c r="L23" s="1897"/>
      <c r="M23" s="1897"/>
      <c r="N23" s="1898"/>
      <c r="O23" s="2019">
        <f>IF(G22="",0,IF(OR(AG6=1,AG6=3),Geral!E22/108*'Acerto - Designação'!K22,IF(AG6=2,Geral!I22/108*'Acerto - Designação'!K22)))</f>
        <v>0</v>
      </c>
      <c r="P23" s="2020"/>
      <c r="Q23" s="1915" t="str">
        <f>IF(OR(O23="",O23&lt;0.01),"",2966)</f>
        <v/>
      </c>
      <c r="R23" s="1916"/>
      <c r="S23" s="1905"/>
      <c r="T23" s="1906"/>
      <c r="U23" s="1230"/>
      <c r="V23" s="2126"/>
      <c r="X23" s="1183"/>
      <c r="Y23" s="1222"/>
      <c r="Z23" s="1222"/>
      <c r="AA23" s="1222"/>
      <c r="AB23" s="1222"/>
      <c r="AC23" s="1222"/>
      <c r="AD23" s="1222"/>
      <c r="AE23" s="1222"/>
      <c r="AF23" s="1222"/>
      <c r="AG23" s="1222"/>
      <c r="AH23" s="1222"/>
      <c r="AI23" s="1222"/>
      <c r="AJ23" s="1222"/>
      <c r="AK23" s="1222"/>
      <c r="AL23" s="1223"/>
      <c r="BA23" s="1213"/>
      <c r="BB23" s="1174"/>
    </row>
    <row r="24" spans="2:56" ht="14.1" customHeight="1" x14ac:dyDescent="0.4">
      <c r="B24" s="2124"/>
      <c r="C24" s="1917" t="str">
        <f>IF(O24=0,"",IF(O22="","","Abono A.E.C. 2:"))</f>
        <v/>
      </c>
      <c r="D24" s="1918"/>
      <c r="E24" s="1918"/>
      <c r="F24" s="2000"/>
      <c r="G24" s="2000"/>
      <c r="H24" s="2000"/>
      <c r="I24" s="2000"/>
      <c r="J24" s="2000"/>
      <c r="K24" s="2000"/>
      <c r="L24" s="2000"/>
      <c r="M24" s="2000"/>
      <c r="N24" s="2001"/>
      <c r="O24" s="2002">
        <f>IF(G22="",0,IF(OR(AG6=1,AG6=3),Geral!E23/108*'Acerto - Designação'!K22,IF(AG6=2,Geral!I23/108*'Acerto - Designação'!K22)))</f>
        <v>0</v>
      </c>
      <c r="P24" s="2003"/>
      <c r="Q24" s="2004" t="str">
        <f>IF(OR(O24="",O24&lt;0.01),"",2977)</f>
        <v/>
      </c>
      <c r="R24" s="2005"/>
      <c r="S24" s="1907"/>
      <c r="T24" s="1908"/>
      <c r="U24" s="1231"/>
      <c r="V24" s="2126"/>
      <c r="X24" s="1183"/>
      <c r="Y24" s="1222"/>
      <c r="Z24" s="1222"/>
      <c r="AA24" s="1222"/>
      <c r="AB24" s="1222"/>
      <c r="AC24" s="1222"/>
      <c r="AD24" s="1222"/>
      <c r="AE24" s="1222"/>
      <c r="AF24" s="1222"/>
      <c r="AG24" s="1222"/>
      <c r="AH24" s="1222"/>
      <c r="AI24" s="1222"/>
      <c r="AJ24" s="1222"/>
      <c r="AK24" s="1222"/>
      <c r="AL24" s="1223"/>
      <c r="BA24" s="1213"/>
      <c r="BB24" s="1174"/>
    </row>
    <row r="25" spans="2:56" ht="18" customHeight="1" thickBot="1" x14ac:dyDescent="0.45">
      <c r="B25" s="2124"/>
      <c r="C25" s="1921" t="str">
        <f>IF(OR(AG6&lt;&gt;3,AH19=2),"",IF(OR(AG6=1,AG6=2),"",IF(AND(F19&lt;16,Y46="DESIGNADO"),"",IF(Y46="DESIGNADO","","Extensão C.H.:"))))</f>
        <v/>
      </c>
      <c r="D25" s="1922"/>
      <c r="E25" s="1922"/>
      <c r="F25" s="1232">
        <v>1</v>
      </c>
      <c r="G25" s="1923" t="str">
        <f>IF(C25="","",IF(AG6&gt;3,"",IF(ISERROR(VLOOKUP(F25,'C Horária'!C8:E23,2,FALSE)),"",VLOOKUP(F25,'C Horária'!C8:E23,2,FALSE))))</f>
        <v/>
      </c>
      <c r="H25" s="1923"/>
      <c r="I25" s="1924" t="str">
        <f>IF(AG6&gt;3,"",IF(G25="","",IF(F25=0,"",IF(F25="","",IF(F25&gt;0,G25/30)))))</f>
        <v/>
      </c>
      <c r="J25" s="1924"/>
      <c r="K25" s="1226" t="str">
        <f>IF(C25="","",IF(OR(F25="",F25="X",F25="-",F25=0),"",IF(AG6&gt;3,"",IF(I25*U14&lt;100,LEFT(I25*U14,4),LEFT(I25*U14,5)))))</f>
        <v/>
      </c>
      <c r="L25" s="1941"/>
      <c r="M25" s="1942"/>
      <c r="N25" s="1943"/>
      <c r="O25" s="1913" t="str">
        <f>IF(G25="","",E16*I25*U14)</f>
        <v/>
      </c>
      <c r="P25" s="1914"/>
      <c r="Q25" s="1919" t="str">
        <f>IF(O25="","",IF(AND(AG6=3,AJ25=1),"2882",IF(AND(AG6=3,AJ25=2),"2884")))</f>
        <v/>
      </c>
      <c r="R25" s="1920"/>
      <c r="S25" s="2015"/>
      <c r="T25" s="2016"/>
      <c r="U25" s="1227" t="str">
        <f>IF(O25="","",IF(AND(AK16=1,AJ25=1),"11 387",IF(AND(AK16=1,AJ25=2),"11 287",IF(AND(AK16=2,AJ25=1),"11 388",IF(AND(AK16=2,AJ25=2),"11 288")))))</f>
        <v/>
      </c>
      <c r="V25" s="2126"/>
      <c r="W25" s="1233"/>
      <c r="X25" s="1234"/>
      <c r="Y25" s="1909" t="s">
        <v>8001</v>
      </c>
      <c r="Z25" s="1909"/>
      <c r="AA25" s="1909"/>
      <c r="AB25" s="1909"/>
      <c r="AC25" s="1909"/>
      <c r="AD25" s="1909"/>
      <c r="AE25" s="1909"/>
      <c r="AF25" s="1909"/>
      <c r="AG25" s="1909"/>
      <c r="AH25" s="1909">
        <v>1</v>
      </c>
      <c r="AI25" s="1909"/>
      <c r="AJ25" s="1929">
        <v>2</v>
      </c>
      <c r="AK25" s="1929"/>
      <c r="AL25" s="1235"/>
      <c r="AM25" s="1236"/>
      <c r="AN25" s="1236"/>
      <c r="BA25" s="1213"/>
      <c r="BB25" s="1174"/>
    </row>
    <row r="26" spans="2:56" ht="14.1" customHeight="1" thickTop="1" x14ac:dyDescent="0.4">
      <c r="B26" s="2124"/>
      <c r="C26" s="2006" t="str">
        <f>IF(O26=0,"",IF(O25="","","Abono A.E.J. 1:"))</f>
        <v/>
      </c>
      <c r="D26" s="2007"/>
      <c r="E26" s="2007"/>
      <c r="F26" s="1897"/>
      <c r="G26" s="1897"/>
      <c r="H26" s="1897"/>
      <c r="I26" s="1897"/>
      <c r="J26" s="1897"/>
      <c r="K26" s="1897"/>
      <c r="L26" s="1897"/>
      <c r="M26" s="1897"/>
      <c r="N26" s="1898"/>
      <c r="O26" s="2019">
        <f>IF(G25="",0,Geral!E22/108*'Acerto - Designação'!K25)</f>
        <v>0</v>
      </c>
      <c r="P26" s="2020"/>
      <c r="Q26" s="1915" t="str">
        <f>IF(OR(O26="",O26&lt;0.01),"",2966)</f>
        <v/>
      </c>
      <c r="R26" s="1916"/>
      <c r="S26" s="1905"/>
      <c r="T26" s="1906"/>
      <c r="U26" s="1230"/>
      <c r="V26" s="2126"/>
      <c r="W26" s="1236"/>
      <c r="X26" s="1183"/>
      <c r="Y26" s="1237"/>
      <c r="Z26" s="1237"/>
      <c r="AA26" s="1237"/>
      <c r="AB26" s="1237"/>
      <c r="AC26" s="1237"/>
      <c r="AD26" s="1237"/>
      <c r="AE26" s="1237"/>
      <c r="AF26" s="1237"/>
      <c r="AG26" s="1237"/>
      <c r="AH26" s="1237"/>
      <c r="AI26" s="1237"/>
      <c r="AJ26" s="1237"/>
      <c r="AK26" s="1237"/>
      <c r="AL26" s="1223"/>
      <c r="AM26" s="1236"/>
      <c r="AN26" s="1236"/>
      <c r="BA26" s="1213"/>
      <c r="BB26" s="1174"/>
    </row>
    <row r="27" spans="2:56" ht="14.1" customHeight="1" x14ac:dyDescent="0.4">
      <c r="B27" s="2124"/>
      <c r="C27" s="1917" t="str">
        <f>IF(O27=0,"",IF(O25="","","Abono A.E.J. 2:"))</f>
        <v/>
      </c>
      <c r="D27" s="1918"/>
      <c r="E27" s="1918"/>
      <c r="F27" s="2000"/>
      <c r="G27" s="2000"/>
      <c r="H27" s="2000"/>
      <c r="I27" s="2000"/>
      <c r="J27" s="2000"/>
      <c r="K27" s="2000"/>
      <c r="L27" s="2000"/>
      <c r="M27" s="2000"/>
      <c r="N27" s="2001"/>
      <c r="O27" s="2002">
        <f>IF(G25="",0,Geral!E23/108*'Acerto - Designação'!K25)</f>
        <v>0</v>
      </c>
      <c r="P27" s="2003"/>
      <c r="Q27" s="2004" t="str">
        <f>IF(OR(O27="",O27&lt;0.01),"",2977)</f>
        <v/>
      </c>
      <c r="R27" s="2005"/>
      <c r="S27" s="1907"/>
      <c r="T27" s="1908"/>
      <c r="U27" s="1231"/>
      <c r="V27" s="2126"/>
      <c r="W27" s="1236"/>
      <c r="X27" s="1183"/>
      <c r="Y27" s="1237"/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7"/>
      <c r="AL27" s="1223"/>
      <c r="AM27" s="1236"/>
      <c r="AN27" s="1236"/>
      <c r="BA27" s="1213"/>
      <c r="BB27" s="1213"/>
    </row>
    <row r="28" spans="2:56" ht="18" customHeight="1" x14ac:dyDescent="0.4">
      <c r="B28" s="2124"/>
      <c r="C28" s="1921" t="str">
        <f>IF(OR(AG6&lt;&gt;3,AH19=2),"",IF(OR(AG6=1,AG6=2),"",IF(AG6&gt;3,"",IF(Y46="DESIGNADO","","Exig. Cur. Ext.:"))))</f>
        <v/>
      </c>
      <c r="D28" s="1922"/>
      <c r="E28" s="1922"/>
      <c r="F28" s="1232"/>
      <c r="G28" s="1923" t="str">
        <f>IF(C28="","",IF(AG6&gt;3,"",IF(AND(F25&lt;16,F25&gt;0,Y46="DESIGNADO"),"",IF(ISERROR(VLOOKUP(F28,'C Horária'!G8:I12,2,FALSE)),"",VLOOKUP(F28,'C Horária'!G8:I12,2,FALSE)))))</f>
        <v/>
      </c>
      <c r="H28" s="1923"/>
      <c r="I28" s="1924" t="str">
        <f>IF(AG6&gt;3,"",IF(G28="","",IF(F28=0,"",IF(F28="","",IF(F28&gt;0,G28/30)))))</f>
        <v/>
      </c>
      <c r="J28" s="1924"/>
      <c r="K28" s="1226" t="str">
        <f>IF(G28="","",IF(I28*U14&lt;10,LEFT(I28*U14,3),LEFT(I28*U14,4)))</f>
        <v/>
      </c>
      <c r="L28" s="1997"/>
      <c r="M28" s="1998"/>
      <c r="N28" s="1999"/>
      <c r="O28" s="1913" t="str">
        <f>IF(G28="","",E16*I28*U14)</f>
        <v/>
      </c>
      <c r="P28" s="1914"/>
      <c r="Q28" s="1919" t="str">
        <f>IF(O28="","",IF(AND(AG6=3,AJ25=1),"2881",IF(AND(AG6=3,AJ25=2),"2883")))</f>
        <v/>
      </c>
      <c r="R28" s="1920"/>
      <c r="S28" s="2015"/>
      <c r="T28" s="2016"/>
      <c r="U28" s="1227" t="str">
        <f>IF(O28="","",IF(AJ25=1,"11 389",IF(AJ25=2,"11 289")))</f>
        <v/>
      </c>
      <c r="V28" s="2126"/>
      <c r="X28" s="1183"/>
      <c r="Y28" s="1238"/>
      <c r="Z28" s="1238"/>
      <c r="AA28" s="1238"/>
      <c r="AB28" s="1238"/>
      <c r="AC28" s="1238"/>
      <c r="AD28" s="1238"/>
      <c r="AE28" s="1238"/>
      <c r="AF28" s="1238"/>
      <c r="AG28" s="1238"/>
      <c r="AH28" s="1238"/>
      <c r="AI28" s="1238"/>
      <c r="AJ28" s="1238"/>
      <c r="AK28" s="1238"/>
      <c r="AL28" s="1223"/>
      <c r="BA28" s="1213"/>
      <c r="BB28" s="1213"/>
    </row>
    <row r="29" spans="2:56" ht="14.1" customHeight="1" x14ac:dyDescent="0.4">
      <c r="B29" s="2124"/>
      <c r="C29" s="2006" t="str">
        <f>IF(O29=0,"",IF(O28="","","Abono Ex.A.E.J. 1:"))</f>
        <v/>
      </c>
      <c r="D29" s="2007"/>
      <c r="E29" s="2007"/>
      <c r="F29" s="1897"/>
      <c r="G29" s="1897"/>
      <c r="H29" s="1897"/>
      <c r="I29" s="1897"/>
      <c r="J29" s="1897"/>
      <c r="K29" s="1897"/>
      <c r="L29" s="1897"/>
      <c r="M29" s="1897"/>
      <c r="N29" s="1897"/>
      <c r="O29" s="2019">
        <f>IF(G28="",0,Geral!E22/108*'Acerto - Designação'!K28)</f>
        <v>0</v>
      </c>
      <c r="P29" s="2183"/>
      <c r="Q29" s="1915" t="str">
        <f>IF(OR(O29="",O29&lt;0.01),"",2966)</f>
        <v/>
      </c>
      <c r="R29" s="1916"/>
      <c r="S29" s="1905"/>
      <c r="T29" s="1906"/>
      <c r="U29" s="1230"/>
      <c r="V29" s="2126"/>
      <c r="X29" s="1183"/>
      <c r="Y29" s="1238"/>
      <c r="Z29" s="1238"/>
      <c r="AA29" s="1238"/>
      <c r="AB29" s="1238"/>
      <c r="AC29" s="1238"/>
      <c r="AD29" s="1238"/>
      <c r="AE29" s="1238"/>
      <c r="AF29" s="1238"/>
      <c r="AG29" s="1238"/>
      <c r="AH29" s="1238"/>
      <c r="AI29" s="1238"/>
      <c r="AJ29" s="1238"/>
      <c r="AK29" s="1238"/>
      <c r="AL29" s="1223"/>
      <c r="BA29" s="1213"/>
      <c r="BB29" s="1213"/>
    </row>
    <row r="30" spans="2:56" ht="14.1" customHeight="1" thickBot="1" x14ac:dyDescent="0.45">
      <c r="B30" s="2124"/>
      <c r="C30" s="2174" t="str">
        <f>IF(O30=0,"",IF(O28="","","Abono Ex.A.E.J. 2:"))</f>
        <v/>
      </c>
      <c r="D30" s="2175"/>
      <c r="E30" s="2175"/>
      <c r="F30" s="2176"/>
      <c r="G30" s="2176"/>
      <c r="H30" s="2176"/>
      <c r="I30" s="2176"/>
      <c r="J30" s="2176"/>
      <c r="K30" s="2176"/>
      <c r="L30" s="2176"/>
      <c r="M30" s="2176"/>
      <c r="N30" s="2176"/>
      <c r="O30" s="2177">
        <f>IF(G28="",0,Geral!E23/108*'Acerto - Designação'!K28)</f>
        <v>0</v>
      </c>
      <c r="P30" s="2178"/>
      <c r="Q30" s="2179" t="str">
        <f>IF(OR(O30="",O30&lt;0.01),"",2977)</f>
        <v/>
      </c>
      <c r="R30" s="2180"/>
      <c r="S30" s="2181"/>
      <c r="T30" s="2182"/>
      <c r="U30" s="1239"/>
      <c r="V30" s="2126"/>
      <c r="X30" s="1183"/>
      <c r="Y30" s="1238"/>
      <c r="Z30" s="1238"/>
      <c r="AA30" s="1238"/>
      <c r="AB30" s="1238"/>
      <c r="AC30" s="1238"/>
      <c r="AD30" s="1238"/>
      <c r="AE30" s="1238"/>
      <c r="AF30" s="1238"/>
      <c r="AG30" s="1238"/>
      <c r="AH30" s="1238"/>
      <c r="AI30" s="1238"/>
      <c r="AJ30" s="1238"/>
      <c r="AK30" s="1238"/>
      <c r="AL30" s="1223"/>
      <c r="BA30" s="1213"/>
      <c r="BB30" s="1213"/>
    </row>
    <row r="31" spans="2:56" ht="14.1" customHeight="1" thickBot="1" x14ac:dyDescent="0.45">
      <c r="B31" s="2124"/>
      <c r="C31" s="1995"/>
      <c r="D31" s="1996"/>
      <c r="E31" s="1996"/>
      <c r="F31" s="1240" t="s">
        <v>7959</v>
      </c>
      <c r="G31" s="1989"/>
      <c r="H31" s="1989"/>
      <c r="I31" s="1896" t="str">
        <f>IF(G31&lt;&gt;0,DATEVALUE( TEXT( G31, "##""/""##""/""##" ) &amp; "" ),"")</f>
        <v/>
      </c>
      <c r="J31" s="1896"/>
      <c r="K31" s="1896"/>
      <c r="L31" s="1896"/>
      <c r="M31" s="1896"/>
      <c r="N31" s="2159" t="s">
        <v>7961</v>
      </c>
      <c r="O31" s="2159"/>
      <c r="P31" s="2160"/>
      <c r="Q31" s="1971" t="str">
        <f>IF(OR(AG6=4,AG6=5,AG6=6,AG6=7),"2916",IF(AG6=8,2911,""))</f>
        <v/>
      </c>
      <c r="R31" s="1972"/>
      <c r="S31" s="2131" t="str">
        <f>IF(AG6&gt;3,F14/30*U14,IF(AND(Q19="",Q22="",Q25="",Q28="",Q31=""),"Aguard. Dados",IF(AND(O19&lt;&gt;"",O22&lt;&gt;"",O25&lt;&gt;"",O28&lt;&gt;""),O19+O20+O21+O22+O23+O24+O25+O26+O27+O28+O29+O30,IF(AND(O19&lt;&gt;"",O22="",O25="",O28&lt;&gt;""),O19+O20+O21+O28+O29+O30,IF(AND(O19="",O22&lt;&gt;"",O25&lt;&gt;"",O28&lt;&gt;""),O22+O23+O24+O25+O26+O27+O28+O29+O30,IF(AND(O19&lt;&gt;"",O22&lt;&gt;"",O25="",O28&lt;&gt;""),O19+O20+O21+O22+O23+O24+O28+O29+O30,IF(AND(O19&lt;&gt;"",O22="",O25="",O28=""),O19+O20+O21,IF(AND(O19&lt;&gt;"",O22&lt;&gt;"",O25&lt;&gt;"",O28=""),O19+O20+O21+O22+O23+O24+O25+O26+O27,IF(AND(O19="",O22&lt;&gt;"",O25="",O28=""),O22+O23+O24,IF(AND(O19="",O22&lt;&gt;"",O25&lt;&gt;"",O28=""),O22+O23+O24+O25+O26+O27,IF(AND(O19="",O22="",O25&lt;&gt;"",O28=""),O25+O26+O27,IF(AND(O19&lt;&gt;"",O22&lt;&gt;"",O25="",O28=""),O19+O20+O21+O22+O23+O24,IF(AND(O19&lt;&gt;"",O22="",O25&lt;&gt;"",O28=""),O19+O20+O21+O25+O26+O27,IF(AND(O19&lt;&gt;"",O22="",O25&lt;&gt;"",O28&lt;&gt;""),O19+O20+O21+O25+O26+O27+O28+O29+O30,IF(AND(O19="",O22&lt;&gt;"",O25="",O28&lt;&gt;""),O22+O23+O24+O28+O29+O30,IF(AND(O19="",O22="",O25&lt;&gt;"",O28&lt;&gt;""),O25+O26+O27+O28+O29+O30,IF(AND(O19="",O22="",O25="",O28&lt;&gt;""),O28+O29+O30)))))))))))))))))</f>
        <v>Aguard. Dados</v>
      </c>
      <c r="T31" s="2132"/>
      <c r="U31" s="2133"/>
      <c r="V31" s="2126"/>
      <c r="X31" s="1183"/>
      <c r="Y31" s="1960" t="str">
        <f>IF(AG31=1,"SIM", IF(AG31=2,"NÃO"))</f>
        <v>SIM</v>
      </c>
      <c r="Z31" s="1961"/>
      <c r="AA31" s="1961"/>
      <c r="AB31" s="1936"/>
      <c r="AC31" s="1936"/>
      <c r="AD31" s="1936"/>
      <c r="AE31" s="1936"/>
      <c r="AF31" s="1936"/>
      <c r="AG31" s="1944">
        <v>1</v>
      </c>
      <c r="AH31" s="1944"/>
      <c r="AI31" s="1944"/>
      <c r="AJ31" s="1944"/>
      <c r="AK31" s="1945"/>
      <c r="AL31" s="1223"/>
      <c r="BA31" s="1213"/>
      <c r="BB31" s="1213"/>
    </row>
    <row r="32" spans="2:56" ht="14.1" customHeight="1" thickTop="1" x14ac:dyDescent="0.4">
      <c r="B32" s="2124"/>
      <c r="C32" s="1241"/>
      <c r="D32" s="1242"/>
      <c r="E32" s="1243" t="str">
        <f>IF(AG6=8,"OK","")</f>
        <v/>
      </c>
      <c r="F32" s="1243" t="str">
        <f>IF(E33="","",IF(AND(LEFT(J13,4)="ANEI",E33="OK"),LEFT(J13,4),IF(E33="OK",LEFT(J13,3))))</f>
        <v/>
      </c>
      <c r="G32" s="1991" t="str">
        <f>IF(AG6&lt;4,"",IF(E33="OK",F33,IF(AND(Geral!M22&gt;0,AG6=7),"ASB",IF(AND(Geral!Q22&gt;0,AG6=4),"EEB",IF(AND(Geral!T22&gt;0,AG6=5),"ATB",IF(AND(Geral!T25&gt;0,AG6=6),"ANEI"))))))</f>
        <v/>
      </c>
      <c r="H32" s="1991"/>
      <c r="I32" s="1990" t="str">
        <f>IF(OR(O32=0,O32="",G32=FALSE,G32=""),"","Abono Administrativo 1")</f>
        <v/>
      </c>
      <c r="J32" s="1990"/>
      <c r="K32" s="1990"/>
      <c r="L32" s="1990"/>
      <c r="M32" s="1990"/>
      <c r="N32" s="1990"/>
      <c r="O32" s="1992" t="str">
        <f>IF(G32=FALSE,"",IF(G32="","",IF(G32="ASB",Geral!M22/30*'Acerto - Designação'!U14,IF(G32="EEB",Geral!Q22/30*'Acerto - Designação'!U14,IF(G32="ATB",Geral!T22/30*'Acerto - Designação'!U14,IF(G32="ANEI",Geral!T25/30*'Acerto - Designação'!U14))))))</f>
        <v/>
      </c>
      <c r="P32" s="1992"/>
      <c r="Q32" s="1993" t="str">
        <f>IF(OR(O32=0,O32="",O32=FALSE),"","2964")</f>
        <v/>
      </c>
      <c r="R32" s="1994"/>
      <c r="S32" s="1973" t="s">
        <v>9384</v>
      </c>
      <c r="T32" s="1974"/>
      <c r="U32" s="1975"/>
      <c r="V32" s="2127"/>
      <c r="X32" s="1183"/>
      <c r="Y32" s="1244"/>
      <c r="Z32" s="1222"/>
      <c r="AA32" s="1222"/>
      <c r="AB32" s="1245"/>
      <c r="AC32" s="1245"/>
      <c r="AD32" s="1245"/>
      <c r="AE32" s="1245"/>
      <c r="AF32" s="1245"/>
      <c r="AG32" s="1246"/>
      <c r="AH32" s="1246"/>
      <c r="AI32" s="1246"/>
      <c r="AJ32" s="1246"/>
      <c r="AK32" s="1247"/>
      <c r="AL32" s="1223"/>
      <c r="BA32" s="1213"/>
      <c r="BB32" s="1213"/>
    </row>
    <row r="33" spans="2:54" ht="14.1" customHeight="1" thickBot="1" x14ac:dyDescent="0.45">
      <c r="B33" s="2124"/>
      <c r="C33" s="1248"/>
      <c r="D33" s="1249"/>
      <c r="E33" s="1250" t="str">
        <f>IF(AG6=8,"OK","")</f>
        <v/>
      </c>
      <c r="F33" s="1250" t="str">
        <f>IF(E33="","",IF(AND(LEFT(J13,4)="ANEI",E33="OK"),LEFT(J13,4),IF(E33="OK",LEFT(J13,3))))</f>
        <v/>
      </c>
      <c r="G33" s="1968" t="str">
        <f>IF(AG6&lt;4,"",IF(E33="OK",F33,IF(AND(Geral!M22&gt;0,AG6=7),"ASB",IF(AND(Geral!Q22&gt;0,AG6=4),"EEB",IF(AND(Geral!T22&gt;0,AG6=5),"ATB",IF(AND(Geral!T25&gt;0,AG6=6),"ANEI"))))))</f>
        <v/>
      </c>
      <c r="H33" s="1968"/>
      <c r="I33" s="1970" t="str">
        <f>IF(OR(O33=0,O33="",G33=FALSE,G33=""),"","Abono Administrativo 2")</f>
        <v/>
      </c>
      <c r="J33" s="1970"/>
      <c r="K33" s="1970"/>
      <c r="L33" s="1970"/>
      <c r="M33" s="1970"/>
      <c r="N33" s="1970"/>
      <c r="O33" s="1969" t="str">
        <f>IF(G33=FALSE,"",IF(G33="","",IF(G33="ASB",Geral!M23/30*'Acerto - Designação'!U14,IF(G33="EEB",Geral!Q23/30*'Acerto - Designação'!U14,IF(G33="ATB",Geral!T23/30*'Acerto - Designação'!U14,IF(G33="ANEI",Geral!T26/30*'Acerto - Designação'!U14))))))</f>
        <v/>
      </c>
      <c r="P33" s="1969"/>
      <c r="Q33" s="1966" t="str">
        <f>IF(OR(O33=0,O33="",O33=FALSE),"","2967")</f>
        <v/>
      </c>
      <c r="R33" s="1967"/>
      <c r="S33" s="1963" t="str">
        <f>IF(AND(O32="",O33=""),S31,S31+O32+O33)</f>
        <v>Aguard. Dados</v>
      </c>
      <c r="T33" s="1964"/>
      <c r="U33" s="1965"/>
      <c r="V33" s="2127"/>
      <c r="X33" s="1183"/>
      <c r="Y33" s="1244"/>
      <c r="Z33" s="1222"/>
      <c r="AA33" s="1222"/>
      <c r="AB33" s="1245"/>
      <c r="AC33" s="1245"/>
      <c r="AD33" s="1245"/>
      <c r="AE33" s="1245"/>
      <c r="AF33" s="1245"/>
      <c r="AG33" s="1251"/>
      <c r="AH33" s="1251"/>
      <c r="AI33" s="1251"/>
      <c r="AJ33" s="1251"/>
      <c r="AK33" s="1252"/>
      <c r="AL33" s="1223"/>
      <c r="BA33" s="1213"/>
      <c r="BB33" s="1213"/>
    </row>
    <row r="34" spans="2:54" ht="14.1" customHeight="1" thickBot="1" x14ac:dyDescent="0.45">
      <c r="B34" s="2124"/>
      <c r="C34" s="2134" t="str">
        <f>IF(S31="Aguard. Dados","(Aguardando a Digitação de Dados)",IF(Extenso!N4="","","(" &amp; Extenso!N4 &amp; ")"))</f>
        <v>(Aguardando a Digitação de Dados)</v>
      </c>
      <c r="D34" s="2135"/>
      <c r="E34" s="2135"/>
      <c r="F34" s="2135"/>
      <c r="G34" s="2135"/>
      <c r="H34" s="2135"/>
      <c r="I34" s="2135"/>
      <c r="J34" s="2135"/>
      <c r="K34" s="2135"/>
      <c r="L34" s="2135"/>
      <c r="M34" s="2135"/>
      <c r="N34" s="2135"/>
      <c r="O34" s="2135"/>
      <c r="P34" s="2135"/>
      <c r="Q34" s="2135"/>
      <c r="R34" s="2135"/>
      <c r="S34" s="2136"/>
      <c r="T34" s="2136"/>
      <c r="U34" s="2137"/>
      <c r="V34" s="2126"/>
      <c r="X34" s="1183"/>
      <c r="Y34" s="1946" t="s">
        <v>9372</v>
      </c>
      <c r="Z34" s="1947"/>
      <c r="AA34" s="1947"/>
      <c r="AB34" s="1947"/>
      <c r="AC34" s="1947"/>
      <c r="AD34" s="1947"/>
      <c r="AE34" s="1947"/>
      <c r="AF34" s="1947"/>
      <c r="AG34" s="1947"/>
      <c r="AH34" s="1947"/>
      <c r="AI34" s="1947"/>
      <c r="AJ34" s="1947"/>
      <c r="AK34" s="1948"/>
      <c r="AL34" s="1223"/>
      <c r="BA34" s="1213"/>
      <c r="BB34" s="1213"/>
    </row>
    <row r="35" spans="2:54" ht="14.1" customHeight="1" thickBot="1" x14ac:dyDescent="0.45">
      <c r="B35" s="2124"/>
      <c r="C35" s="1937" t="s">
        <v>9371</v>
      </c>
      <c r="D35" s="1938"/>
      <c r="E35" s="1938"/>
      <c r="F35" s="1938"/>
      <c r="G35" s="1938"/>
      <c r="H35" s="1939" t="e">
        <f ca="1">IF(AG6&gt;3,":"," "&amp;U14&amp;" dia(s)"&amp;", sendo: ")</f>
        <v>#VALUE!</v>
      </c>
      <c r="I35" s="1939"/>
      <c r="J35" s="1939"/>
      <c r="K35" s="1939"/>
      <c r="L35" s="1939"/>
      <c r="M35" s="1939"/>
      <c r="N35" s="1939"/>
      <c r="O35" s="1939"/>
      <c r="P35" s="1939"/>
      <c r="Q35" s="1939"/>
      <c r="R35" s="1939"/>
      <c r="S35" s="1939"/>
      <c r="T35" s="1939"/>
      <c r="U35" s="1940"/>
      <c r="V35" s="2126"/>
      <c r="X35" s="1211"/>
      <c r="Y35" s="1253"/>
      <c r="Z35" s="1253"/>
      <c r="AA35" s="1253"/>
      <c r="AB35" s="1253"/>
      <c r="AC35" s="1253"/>
      <c r="AD35" s="1253"/>
      <c r="AE35" s="1253"/>
      <c r="AF35" s="1253"/>
      <c r="AG35" s="1253"/>
      <c r="AH35" s="1253"/>
      <c r="AI35" s="1253"/>
      <c r="AJ35" s="1253"/>
      <c r="AK35" s="1253"/>
      <c r="AL35" s="1254"/>
      <c r="BA35" s="1213"/>
      <c r="BB35" s="1213"/>
    </row>
    <row r="36" spans="2:54" ht="14.1" customHeight="1" thickTop="1" thickBot="1" x14ac:dyDescent="0.45">
      <c r="B36" s="2124"/>
      <c r="C36" s="1899" t="str">
        <f>IF(S31="Aguard. Dados","Aguardando a Digitação de Dados",IF(Q31&lt;&gt;"",U14&amp;" dia(s)"&amp;" do mês "&amp;U4&amp;"/"&amp;C4&amp;", cargo "&amp;H8&amp;", Adm." &amp;G7&amp;".",IF(AND(Q19&lt;&gt;"",Q22&lt;&gt;"",Q25&lt;&gt;"",Q28&lt;&gt;""),K19&amp;" h/a Obrig.;  "&amp;K22&amp;" h/a de E.C.;  "&amp;K25&amp;" h/a de Ext. e "&amp;K28&amp;" h/a de E.C. Ext."&amp;" - mês "&amp;U4&amp;"/"&amp;C4&amp;", cargo "&amp;H8&amp;", Adm."&amp;G7&amp;".",IF(AND(Q19&lt;&gt;"",Q22="",Q25="",Q28&lt;&gt;""),K19&amp;" h/a Obrigatórias e "&amp;K28&amp;" h/a de E.C. Ext."&amp;" - mês "&amp;U4&amp;"/"&amp;C4&amp;", cargo "&amp;H8&amp;", Adm."&amp;G7&amp;".",IF(AND(Q19="",Q22="",Q25&lt;&gt;"",Q28&lt;&gt;""),K25&amp;" h/a de Ext. e "&amp;K28&amp;" h/a de E.C. Ext."&amp;" - mês "&amp;U4&amp;"/"&amp;C4&amp;", cargo "&amp;H8&amp;", Adm."&amp;G7&amp;".",IF(AND(Q19&lt;&gt;"",Q22="",Q25&lt;&gt;"",Q28&lt;&gt;""),K19&amp;" h/a Obrigatórias;  "&amp;K25&amp;" h/a de Ext. e "&amp;K28&amp;" h/a de E.C. Ext."&amp;" - mês "&amp;U4&amp;"/"&amp;C4&amp;", cargo "&amp;H8&amp;", Adm."&amp;G7&amp;".",IF(AND(Q19="",Q22="",Q25="",Q28&lt;&gt;""),K28&amp;" h/a de E.C. Ext."&amp;" - mês "&amp;U4&amp;"/"&amp;C4&amp;", cargo "&amp;H8&amp;", Adm."&amp;G7&amp;".",IF(AND(Q19="",Q22&lt;&gt;"",Q25="",Q28&lt;&gt;""),K22&amp;" h/a de E.C. e "&amp;K28&amp;" h/a de E.C. Ext."&amp;" - mês "&amp;U4&amp;"/"&amp;C4&amp;", cargo "&amp;H8&amp;", Adm."&amp;G7&amp;".",IF(AND(Q19&lt;&gt;"",Q22&lt;&gt;"",Q25="",Q28&lt;&gt;""),K19&amp;" h/a Obrigatórias;  "&amp;K22&amp;" h/a de E.C. e "&amp;K28&amp;" h/a de E.C. Ext."&amp;" - mês "&amp;U4&amp;"/"&amp;C4&amp;", cargo "&amp;H8&amp;", Adm."&amp;G7&amp;".",IF(AND(Q19="",Q22&lt;&gt;"",Q25="",Q28=""),K22&amp;" h/a de E.C."&amp;" do mês "&amp;U4&amp;"/"&amp;C4&amp;", cargo "&amp;H8&amp;", Adm."&amp;G7&amp;".",IF(AND(Q19&lt;&gt;"",Q22="",Q25="",Q28=""),K19&amp;" h/a Obrigatórias"&amp;" do mês "&amp;U4&amp;"/"&amp;C4&amp;", cargo "&amp;H8&amp;", Adm."&amp;G7&amp;".",IF(AND(Q19&lt;&gt;"",Q22&lt;&gt;"",Q25="",Q28=""),K19&amp;" h/a Obrigatórias"&amp;" e "&amp;K22&amp;" h/a de E.C."&amp;" - mês "&amp;U4&amp;"/"&amp;C4&amp;", cargo "&amp;H8&amp;", Adm."&amp;G7&amp;".",IF(AND(Q19&lt;&gt;"",Q22&lt;&gt;"",Q25&lt;&gt;"",Q28=""),K19&amp;" h/a Obrigatórias"&amp;";  "&amp;K22&amp;" h/a de E.C. e "&amp;K25&amp;" h/a de Ext."&amp;" - mês "&amp;U4&amp;"/"&amp;C4&amp;", cargo "&amp;H8&amp;", Adm."&amp;G7&amp;".",IF(AND(Q19&lt;&gt;"",Q22="",Q25&lt;&gt;"",Q28=""),K19&amp;" h/a Obrigatórias"&amp;" e "&amp;K25&amp;" h/A de Ext."&amp;" - mês "&amp;U4&amp;"/"&amp;C4&amp;", cargo "&amp;H8&amp;", Adm."&amp;G7&amp;".",IF(AND(Q19="",Q22="",Q25&lt;&gt;"",Q28=""),K25&amp;" h/a de Ext."&amp;" do mês "&amp;U4&amp;"/"&amp;C4&amp;", cargo "&amp;H8&amp;", Adm."&amp;G7&amp;".",IF(AND(Q19="",Q22&lt;&gt;"",Q25&lt;&gt;"",Q28=""),K22&amp;" h/a de E.C. e "&amp;K25&amp;" h/a de Ext."&amp;" - mês "&amp;U4&amp;"/"&amp;C4&amp;", cargo "&amp;H8&amp;", Adm."&amp;G7&amp;".",IF(AND(Q19="",Q22&lt;&gt;"",Q25&lt;&gt;"",Q28&lt;&gt;""),K22&amp;" h/a de E.C.;  "&amp;K25&amp;"h/a de Ext. e "&amp;K28&amp;" h/a de E.C. Ext."&amp;" - mês "&amp;U4&amp;"/"&amp;C4&amp;", cargo "&amp;H8&amp;", Adm."&amp;G7&amp;".")))))))))))))))))</f>
        <v>Aguardando a Digitação de Dados</v>
      </c>
      <c r="D36" s="1900"/>
      <c r="E36" s="1900"/>
      <c r="F36" s="1900"/>
      <c r="G36" s="1900"/>
      <c r="H36" s="1900"/>
      <c r="I36" s="1900"/>
      <c r="J36" s="1900"/>
      <c r="K36" s="1900"/>
      <c r="L36" s="1900"/>
      <c r="M36" s="1900"/>
      <c r="N36" s="1900"/>
      <c r="O36" s="1900"/>
      <c r="P36" s="1900"/>
      <c r="Q36" s="1900"/>
      <c r="R36" s="1900"/>
      <c r="S36" s="1900"/>
      <c r="T36" s="1900"/>
      <c r="U36" s="1901"/>
      <c r="V36" s="2126"/>
      <c r="X36" s="1955"/>
      <c r="Y36" s="1955"/>
      <c r="Z36" s="1955"/>
      <c r="AA36" s="1955"/>
      <c r="AB36" s="1955"/>
      <c r="AC36" s="1955"/>
      <c r="AD36" s="1955"/>
      <c r="AE36" s="1955"/>
      <c r="AF36" s="1955"/>
      <c r="AG36" s="1955"/>
      <c r="AH36" s="1955"/>
      <c r="AI36" s="1955"/>
      <c r="AJ36" s="1955"/>
      <c r="AK36" s="1955"/>
      <c r="AL36" s="1955"/>
      <c r="BA36" s="1213"/>
      <c r="BB36" s="1213"/>
    </row>
    <row r="37" spans="2:54" ht="5.0999999999999996" customHeight="1" thickBot="1" x14ac:dyDescent="0.45">
      <c r="B37" s="1255"/>
      <c r="C37" s="1222"/>
      <c r="D37" s="1256"/>
      <c r="E37" s="1256"/>
      <c r="F37" s="1256"/>
      <c r="G37" s="1256"/>
      <c r="H37" s="1256"/>
      <c r="I37" s="1256"/>
      <c r="J37" s="1256"/>
      <c r="K37" s="1256"/>
      <c r="L37" s="1256"/>
      <c r="M37" s="1256"/>
      <c r="N37" s="1256"/>
      <c r="O37" s="1256"/>
      <c r="P37" s="1256"/>
      <c r="Q37" s="1256"/>
      <c r="R37" s="1256"/>
      <c r="S37" s="1256"/>
      <c r="T37" s="1256"/>
      <c r="U37" s="1256"/>
      <c r="V37" s="1257"/>
      <c r="X37" s="1956"/>
      <c r="Y37" s="1956"/>
      <c r="Z37" s="1956"/>
      <c r="AA37" s="1956"/>
      <c r="AB37" s="1956"/>
      <c r="AC37" s="1956"/>
      <c r="AD37" s="1956"/>
      <c r="AE37" s="1956"/>
      <c r="AF37" s="1956"/>
      <c r="AG37" s="1956"/>
      <c r="AH37" s="1956"/>
      <c r="AI37" s="1956"/>
      <c r="AJ37" s="1956"/>
      <c r="AK37" s="1956"/>
      <c r="AL37" s="1956"/>
      <c r="BA37" s="1213"/>
      <c r="BB37" s="1213"/>
    </row>
    <row r="38" spans="2:54" ht="15.95" customHeight="1" thickTop="1" thickBot="1" x14ac:dyDescent="0.45">
      <c r="B38" s="1255"/>
      <c r="C38" s="1949" t="s">
        <v>9373</v>
      </c>
      <c r="D38" s="1950"/>
      <c r="E38" s="1950"/>
      <c r="F38" s="1950"/>
      <c r="G38" s="1950"/>
      <c r="H38" s="1258">
        <v>3</v>
      </c>
      <c r="I38" s="1951" t="s">
        <v>9381</v>
      </c>
      <c r="J38" s="1951"/>
      <c r="K38" s="1951"/>
      <c r="L38" s="1951"/>
      <c r="M38" s="1510" t="str">
        <f ca="1">S11</f>
        <v>Não Há acerto</v>
      </c>
      <c r="N38" s="1510"/>
      <c r="O38" s="1259" t="s">
        <v>7936</v>
      </c>
      <c r="P38" s="1511">
        <f ca="1">S12</f>
        <v>43220</v>
      </c>
      <c r="Q38" s="1511"/>
      <c r="R38" s="1260" t="s">
        <v>9374</v>
      </c>
      <c r="S38" s="1895" t="str">
        <f>AH38</f>
        <v>NÃO</v>
      </c>
      <c r="T38" s="1895"/>
      <c r="U38" s="1261"/>
      <c r="V38" s="1257"/>
      <c r="X38" s="1183"/>
      <c r="Y38" s="1957" t="s">
        <v>9375</v>
      </c>
      <c r="Z38" s="1957"/>
      <c r="AA38" s="1957"/>
      <c r="AB38" s="1957"/>
      <c r="AC38" s="1957"/>
      <c r="AD38" s="1957"/>
      <c r="AE38" s="1957"/>
      <c r="AF38" s="1957"/>
      <c r="AG38" s="1957"/>
      <c r="AH38" s="1957" t="str">
        <f>IF(AJ38=1,"SIM", IF(AJ38=2,"NÃO"))</f>
        <v>NÃO</v>
      </c>
      <c r="AI38" s="1957"/>
      <c r="AJ38" s="1262">
        <f>IF(OR(Designacao.Municipio = 7010, Designacao.Municipio = 400),1,2)</f>
        <v>2</v>
      </c>
      <c r="AK38" s="1262"/>
      <c r="AL38" s="1223"/>
      <c r="BA38" s="1213"/>
      <c r="BB38" s="1213"/>
    </row>
    <row r="39" spans="2:54" ht="14.1" customHeight="1" thickBot="1" x14ac:dyDescent="0.45">
      <c r="B39" s="1255"/>
      <c r="C39" s="1952" t="str">
        <f>IF(AND(AG6&lt;4,O19=""),"CLICAR EM NÃO (AUXÍLIO TRANSPORTE SÓ É DEVIDO PARA AULAS OBRIGATÓRIAS)",IF(AND(AG6&gt;3,S33&gt;Geral!F24),"CLICAR EM NÃO (RECEBEU MAIS QUE 03 SALÁRIOS MÍNIMOS)",IF(AND(AG6&lt;4,O19+O20+O21&gt;Geral!F24),"CLICAR EM NÃO (RECEBEU MAIS QUE 03 SALÁRIOS MÍNIMOS)")))</f>
        <v>CLICAR EM NÃO (AUXÍLIO TRANSPORTE SÓ É DEVIDO PARA AULAS OBRIGATÓRIAS)</v>
      </c>
      <c r="D39" s="1953"/>
      <c r="E39" s="1953"/>
      <c r="F39" s="1953"/>
      <c r="G39" s="1953"/>
      <c r="H39" s="1953"/>
      <c r="I39" s="1953"/>
      <c r="J39" s="1953"/>
      <c r="K39" s="1953"/>
      <c r="L39" s="1953"/>
      <c r="M39" s="1953"/>
      <c r="N39" s="1953"/>
      <c r="O39" s="1953"/>
      <c r="P39" s="1953"/>
      <c r="Q39" s="1953"/>
      <c r="R39" s="1953"/>
      <c r="S39" s="1953"/>
      <c r="T39" s="1953"/>
      <c r="U39" s="1954"/>
      <c r="V39" s="1257"/>
      <c r="X39" s="1183"/>
      <c r="Y39" s="1262"/>
      <c r="Z39" s="1262"/>
      <c r="AA39" s="1262"/>
      <c r="AB39" s="1262"/>
      <c r="AC39" s="1262"/>
      <c r="AD39" s="1262"/>
      <c r="AE39" s="1262"/>
      <c r="AF39" s="1262"/>
      <c r="AG39" s="1262"/>
      <c r="AH39" s="1262"/>
      <c r="AI39" s="1262"/>
      <c r="AJ39" s="1262"/>
      <c r="AK39" s="1262"/>
      <c r="AL39" s="1223"/>
      <c r="BA39" s="1213"/>
      <c r="BB39" s="1213"/>
    </row>
    <row r="40" spans="2:54" ht="15.95" customHeight="1" thickBot="1" x14ac:dyDescent="0.45">
      <c r="B40" s="1255"/>
      <c r="C40" s="1263" t="str">
        <f>IF(OR(F40=0,AJ38=2),"",2979)</f>
        <v/>
      </c>
      <c r="D40" s="2186" t="str">
        <f>IF(C40="","",IF(C40=2979,H38*Geral!L25,IF(AJ38=2,"")))</f>
        <v/>
      </c>
      <c r="E40" s="2186"/>
      <c r="F40" s="1264">
        <f>IF(AND(O19="",AG6&lt;4),0,IF(AND(O19="",AG6&gt;3),S33*6%,IF(O19&gt;0,SUM(O19+O20+O21)*6%)))</f>
        <v>0</v>
      </c>
      <c r="G40" s="1265" t="str">
        <f>IF(C40=2979,8849,"")</f>
        <v/>
      </c>
      <c r="H40" s="2187" t="e">
        <f>IF(J40&gt;=K40,F40,L40)</f>
        <v>#VALUE!</v>
      </c>
      <c r="I40" s="2187"/>
      <c r="J40" s="1266" t="e">
        <f>D40-F40</f>
        <v>#VALUE!</v>
      </c>
      <c r="K40" s="1264">
        <f>IF(S33&lt;Geral!F24,H38*Geral!Q25,0)</f>
        <v>0</v>
      </c>
      <c r="L40" s="1264" t="e">
        <f>D40-K40</f>
        <v>#VALUE!</v>
      </c>
      <c r="M40" s="1492" t="s">
        <v>9382</v>
      </c>
      <c r="N40" s="1492"/>
      <c r="O40" s="1492"/>
      <c r="P40" s="1492"/>
      <c r="Q40" s="1492"/>
      <c r="R40" s="1492"/>
      <c r="S40" s="1911" t="str">
        <f>IF(D40="",S33,D40+S33)</f>
        <v>Aguard. Dados</v>
      </c>
      <c r="T40" s="1911"/>
      <c r="U40" s="1912"/>
      <c r="V40" s="1257"/>
      <c r="X40" s="1183"/>
      <c r="Y40" s="1262"/>
      <c r="Z40" s="1262"/>
      <c r="AA40" s="1262"/>
      <c r="AB40" s="1262"/>
      <c r="AC40" s="1262"/>
      <c r="AD40" s="1262"/>
      <c r="AE40" s="1262"/>
      <c r="AF40" s="1262"/>
      <c r="AG40" s="1262"/>
      <c r="AH40" s="1262"/>
      <c r="AI40" s="1262"/>
      <c r="AJ40" s="1262"/>
      <c r="AK40" s="1262"/>
      <c r="AL40" s="1223"/>
      <c r="BA40" s="1213"/>
      <c r="BB40" s="1213"/>
    </row>
    <row r="41" spans="2:54" ht="15.95" customHeight="1" thickBot="1" x14ac:dyDescent="0.45">
      <c r="B41" s="1934" t="s">
        <v>9424</v>
      </c>
      <c r="C41" s="1935"/>
      <c r="D41" s="1935"/>
      <c r="E41" s="1935"/>
      <c r="F41" s="1935"/>
      <c r="G41" s="1935"/>
      <c r="H41" s="1935"/>
      <c r="I41" s="1935"/>
      <c r="J41" s="1935"/>
      <c r="K41" s="1371" t="str">
        <f>"Acerto de "&amp;C36</f>
        <v>Acerto de Aguardando a Digitação de Dados</v>
      </c>
      <c r="L41" s="1304"/>
      <c r="M41" s="1304"/>
      <c r="N41" s="1304"/>
      <c r="O41" s="1304"/>
      <c r="P41" s="1304"/>
      <c r="Q41" s="1304"/>
      <c r="R41" s="1304"/>
      <c r="S41" s="1304"/>
      <c r="T41" s="1304"/>
      <c r="U41" s="1304"/>
      <c r="V41" s="1305"/>
      <c r="X41" s="1211"/>
      <c r="Y41" s="1988"/>
      <c r="Z41" s="1988"/>
      <c r="AA41" s="1988"/>
      <c r="AB41" s="1267"/>
      <c r="AC41" s="1267"/>
      <c r="AD41" s="1267"/>
      <c r="AE41" s="1267"/>
      <c r="AF41" s="1267"/>
      <c r="AG41" s="1267"/>
      <c r="AH41" s="1267"/>
      <c r="AI41" s="1267"/>
      <c r="AJ41" s="1267"/>
      <c r="AK41" s="1267"/>
      <c r="AL41" s="1254"/>
      <c r="BA41" s="1213"/>
      <c r="BB41" s="1213"/>
    </row>
    <row r="42" spans="2:54" ht="5.0999999999999996" customHeight="1" thickTop="1" thickBot="1" x14ac:dyDescent="0.45">
      <c r="W42" s="1236"/>
      <c r="X42" s="1236"/>
      <c r="Y42" s="1236"/>
      <c r="Z42" s="1236"/>
      <c r="AA42" s="1236"/>
      <c r="AB42" s="1236"/>
      <c r="AC42" s="1236"/>
      <c r="AD42" s="1236"/>
      <c r="AE42" s="1236"/>
      <c r="AF42" s="1236"/>
      <c r="AG42" s="1236"/>
      <c r="AH42" s="1236"/>
      <c r="AI42" s="1236"/>
      <c r="AJ42" s="1236"/>
      <c r="AK42" s="1236"/>
      <c r="AL42" s="1236"/>
      <c r="AM42" s="1236"/>
      <c r="BA42" s="1213"/>
      <c r="BB42" s="1213"/>
    </row>
    <row r="43" spans="2:54" ht="15.95" customHeight="1" thickTop="1" thickBot="1" x14ac:dyDescent="0.45">
      <c r="B43" s="1268"/>
      <c r="C43" s="1269"/>
      <c r="D43" s="1270"/>
      <c r="E43" s="1270"/>
      <c r="F43" s="1270"/>
      <c r="G43" s="1270"/>
      <c r="H43" s="1270"/>
      <c r="I43" s="1270"/>
      <c r="J43" s="1270"/>
      <c r="K43" s="1270"/>
      <c r="L43" s="1270"/>
      <c r="M43" s="1270"/>
      <c r="N43" s="1270"/>
      <c r="O43" s="1270"/>
      <c r="P43" s="1270"/>
      <c r="Q43" s="1270"/>
      <c r="R43" s="1270"/>
      <c r="S43" s="1270"/>
      <c r="T43" s="1270"/>
      <c r="U43" s="344"/>
      <c r="V43" s="1271"/>
      <c r="W43" s="1236"/>
      <c r="X43" s="1236"/>
      <c r="Y43" s="1236"/>
      <c r="Z43" s="1236"/>
      <c r="AA43" s="1236"/>
      <c r="AB43" s="1236"/>
      <c r="AC43" s="1236"/>
      <c r="AD43" s="1236"/>
      <c r="AE43" s="1236"/>
      <c r="AF43" s="1236"/>
      <c r="AG43" s="1236"/>
      <c r="AH43" s="1236"/>
      <c r="AI43" s="1236"/>
      <c r="AJ43" s="1236"/>
      <c r="AK43" s="1236"/>
      <c r="AL43" s="1236"/>
      <c r="AM43" s="1236"/>
      <c r="BA43" s="1213"/>
      <c r="BB43" s="1213"/>
    </row>
    <row r="44" spans="2:54" s="1279" customFormat="1" ht="15.95" customHeight="1" thickTop="1" thickBot="1" x14ac:dyDescent="0.3">
      <c r="B44" s="1272"/>
      <c r="C44" s="1273"/>
      <c r="D44" s="1273"/>
      <c r="E44" s="2169" t="s">
        <v>352</v>
      </c>
      <c r="F44" s="2169"/>
      <c r="G44" s="2169"/>
      <c r="H44" s="2169"/>
      <c r="I44" s="2169"/>
      <c r="J44" s="2169"/>
      <c r="K44" s="2169"/>
      <c r="L44" s="2169"/>
      <c r="M44" s="2169"/>
      <c r="N44" s="2169"/>
      <c r="O44" s="2169"/>
      <c r="P44" s="2169"/>
      <c r="Q44" s="2169"/>
      <c r="R44" s="2169"/>
      <c r="S44" s="2169"/>
      <c r="T44" s="2169"/>
      <c r="U44" s="2169"/>
      <c r="V44" s="1274"/>
      <c r="W44" s="1275"/>
      <c r="X44" s="1276"/>
      <c r="Y44" s="1277"/>
      <c r="Z44" s="1277"/>
      <c r="AA44" s="1277"/>
      <c r="AB44" s="1277"/>
      <c r="AC44" s="1277"/>
      <c r="AD44" s="1277"/>
      <c r="AE44" s="1277"/>
      <c r="AF44" s="1277"/>
      <c r="AG44" s="1277"/>
      <c r="AH44" s="1277"/>
      <c r="AI44" s="1277"/>
      <c r="AJ44" s="1277"/>
      <c r="AK44" s="1277"/>
      <c r="AL44" s="1278"/>
      <c r="AM44" s="1275"/>
      <c r="BA44" s="1280"/>
      <c r="BB44" s="1280"/>
    </row>
    <row r="45" spans="2:54" ht="15.95" customHeight="1" thickBot="1" x14ac:dyDescent="0.45">
      <c r="B45" s="1281"/>
      <c r="C45" s="1282"/>
      <c r="D45" s="1116"/>
      <c r="E45" s="1482" t="s">
        <v>9209</v>
      </c>
      <c r="F45" s="1482"/>
      <c r="G45" s="1482"/>
      <c r="H45" s="1482"/>
      <c r="I45" s="1482"/>
      <c r="J45" s="1482"/>
      <c r="K45" s="1482"/>
      <c r="L45" s="1482"/>
      <c r="M45" s="1482"/>
      <c r="N45" s="1482"/>
      <c r="O45" s="1482"/>
      <c r="P45" s="1482"/>
      <c r="Q45" s="1482"/>
      <c r="R45" s="1482"/>
      <c r="S45" s="1482"/>
      <c r="T45" s="1482"/>
      <c r="U45" s="1482"/>
      <c r="V45" s="1283"/>
      <c r="W45" s="1236"/>
      <c r="X45" s="1284"/>
      <c r="Y45" s="1976" t="s">
        <v>7862</v>
      </c>
      <c r="Z45" s="1977"/>
      <c r="AA45" s="1977"/>
      <c r="AB45" s="1977"/>
      <c r="AC45" s="1977"/>
      <c r="AD45" s="1977"/>
      <c r="AE45" s="1977"/>
      <c r="AF45" s="1977"/>
      <c r="AG45" s="1977"/>
      <c r="AH45" s="1977"/>
      <c r="AI45" s="1977"/>
      <c r="AJ45" s="1977"/>
      <c r="AK45" s="1978"/>
      <c r="AL45" s="1285"/>
      <c r="AM45" s="1236"/>
      <c r="BA45" s="1213"/>
      <c r="BB45" s="1213"/>
    </row>
    <row r="46" spans="2:54" ht="15.95" customHeight="1" x14ac:dyDescent="0.4">
      <c r="B46" s="1281"/>
      <c r="C46" s="1932"/>
      <c r="D46" s="1932"/>
      <c r="E46" s="1932"/>
      <c r="F46" s="1932"/>
      <c r="G46" s="1932"/>
      <c r="H46" s="1932"/>
      <c r="I46" s="1932"/>
      <c r="J46" s="1932"/>
      <c r="K46" s="1932"/>
      <c r="L46" s="1932"/>
      <c r="M46" s="1932"/>
      <c r="N46" s="1932"/>
      <c r="O46" s="1932"/>
      <c r="P46" s="1932"/>
      <c r="Q46" s="1932"/>
      <c r="R46" s="1932"/>
      <c r="S46" s="1932"/>
      <c r="T46" s="1932"/>
      <c r="U46" s="1932"/>
      <c r="V46" s="1283"/>
      <c r="W46" s="1236"/>
      <c r="X46" s="1284"/>
      <c r="Y46" s="1986" t="str">
        <f>IF(AG46=1,"Efetivo",IF(AG46=2,"Designado"))</f>
        <v>Designado</v>
      </c>
      <c r="Z46" s="1980"/>
      <c r="AA46" s="1980"/>
      <c r="AB46" s="1980"/>
      <c r="AC46" s="1980"/>
      <c r="AD46" s="1980"/>
      <c r="AE46" s="1980"/>
      <c r="AF46" s="1987"/>
      <c r="AG46" s="1979">
        <f>IFERROR(IF(OR(Designacao.Municipio = 7010, Designacao.Municipio=400),1,2),2)</f>
        <v>2</v>
      </c>
      <c r="AH46" s="1980"/>
      <c r="AI46" s="1980"/>
      <c r="AJ46" s="1980"/>
      <c r="AK46" s="1981"/>
      <c r="AL46" s="1285"/>
      <c r="AM46" s="1236"/>
      <c r="BA46" s="1213"/>
      <c r="BB46" s="1213"/>
    </row>
    <row r="47" spans="2:54" ht="15.95" customHeight="1" x14ac:dyDescent="0.4">
      <c r="B47" s="1281"/>
      <c r="C47" s="1931" t="s">
        <v>354</v>
      </c>
      <c r="D47" s="1931"/>
      <c r="E47" s="1931"/>
      <c r="F47" s="1931"/>
      <c r="G47" s="1931"/>
      <c r="H47" s="1931"/>
      <c r="I47" s="1910" t="str">
        <f>Geral!C6</f>
        <v>SECRETARIA DE ESTADO DE EDUCAÇÃO - MG</v>
      </c>
      <c r="J47" s="1910"/>
      <c r="K47" s="1910"/>
      <c r="L47" s="1910"/>
      <c r="M47" s="1910"/>
      <c r="N47" s="1910"/>
      <c r="O47" s="1910"/>
      <c r="P47" s="1910"/>
      <c r="Q47" s="1910"/>
      <c r="R47" s="1910"/>
      <c r="S47" s="1910"/>
      <c r="T47" s="1910"/>
      <c r="U47" s="1910"/>
      <c r="V47" s="1283"/>
      <c r="X47" s="1284"/>
      <c r="Y47" s="1902"/>
      <c r="Z47" s="1903"/>
      <c r="AA47" s="1903"/>
      <c r="AB47" s="1903"/>
      <c r="AC47" s="1903"/>
      <c r="AD47" s="1903"/>
      <c r="AE47" s="1903"/>
      <c r="AF47" s="1904"/>
      <c r="AG47" s="1982"/>
      <c r="AH47" s="1903"/>
      <c r="AI47" s="1903"/>
      <c r="AJ47" s="1903"/>
      <c r="AK47" s="1983"/>
      <c r="AL47" s="1285"/>
      <c r="BA47" s="1213"/>
      <c r="BB47" s="1213"/>
    </row>
    <row r="48" spans="2:54" ht="15.95" customHeight="1" x14ac:dyDescent="0.4">
      <c r="B48" s="1281"/>
      <c r="C48" s="1931" t="s">
        <v>356</v>
      </c>
      <c r="D48" s="1931"/>
      <c r="E48" s="1931"/>
      <c r="F48" s="2168" t="str">
        <f>Geral!C8</f>
        <v>Superintendência Regional Ensino de</v>
      </c>
      <c r="G48" s="2168"/>
      <c r="H48" s="2168"/>
      <c r="I48" s="2168"/>
      <c r="J48" s="2168"/>
      <c r="K48" s="2168"/>
      <c r="L48" s="2168"/>
      <c r="M48" s="2168"/>
      <c r="N48" s="1910" t="str">
        <f>Geral!I8</f>
        <v>Uberaba</v>
      </c>
      <c r="O48" s="1910"/>
      <c r="P48" s="1910"/>
      <c r="Q48" s="1910"/>
      <c r="R48" s="1910"/>
      <c r="S48" s="1910"/>
      <c r="T48" s="1910"/>
      <c r="U48" s="1910"/>
      <c r="V48" s="1283"/>
      <c r="X48" s="1284"/>
      <c r="Y48" s="1902"/>
      <c r="Z48" s="1903"/>
      <c r="AA48" s="1903"/>
      <c r="AB48" s="1903"/>
      <c r="AC48" s="1903"/>
      <c r="AD48" s="1903"/>
      <c r="AE48" s="1903"/>
      <c r="AF48" s="1904"/>
      <c r="AG48" s="1982"/>
      <c r="AH48" s="1903"/>
      <c r="AI48" s="1903"/>
      <c r="AJ48" s="1903"/>
      <c r="AK48" s="1983"/>
      <c r="AL48" s="1285"/>
      <c r="BA48" s="1213"/>
      <c r="BB48" s="1213"/>
    </row>
    <row r="49" spans="2:54" ht="15.95" customHeight="1" thickBot="1" x14ac:dyDescent="0.45">
      <c r="B49" s="1281"/>
      <c r="C49" s="1282"/>
      <c r="D49" s="1116"/>
      <c r="E49" s="1116"/>
      <c r="F49" s="1116"/>
      <c r="G49" s="1116"/>
      <c r="H49" s="1116"/>
      <c r="I49" s="1116"/>
      <c r="J49" s="1116"/>
      <c r="K49" s="1116"/>
      <c r="L49" s="1116"/>
      <c r="M49" s="1116"/>
      <c r="N49" s="1116"/>
      <c r="O49" s="1116"/>
      <c r="P49" s="1116"/>
      <c r="Q49" s="1116"/>
      <c r="R49" s="1116"/>
      <c r="S49" s="1116"/>
      <c r="T49" s="1116"/>
      <c r="U49" s="1116"/>
      <c r="V49" s="1283"/>
      <c r="X49" s="1284"/>
      <c r="Y49" s="1925"/>
      <c r="Z49" s="1926"/>
      <c r="AA49" s="1926"/>
      <c r="AB49" s="1926"/>
      <c r="AC49" s="1926"/>
      <c r="AD49" s="1926"/>
      <c r="AE49" s="1926"/>
      <c r="AF49" s="1927"/>
      <c r="AG49" s="1984"/>
      <c r="AH49" s="1926"/>
      <c r="AI49" s="1926"/>
      <c r="AJ49" s="1926"/>
      <c r="AK49" s="1985"/>
      <c r="AL49" s="1285"/>
      <c r="BA49" s="1213"/>
      <c r="BB49" s="1213"/>
    </row>
    <row r="50" spans="2:54" ht="15.95" customHeight="1" x14ac:dyDescent="0.4">
      <c r="B50" s="1281"/>
      <c r="C50" s="1910"/>
      <c r="D50" s="1910"/>
      <c r="E50" s="1910"/>
      <c r="F50" s="1910"/>
      <c r="G50" s="1930" t="s">
        <v>358</v>
      </c>
      <c r="H50" s="1930"/>
      <c r="I50" s="1930"/>
      <c r="J50" s="1930"/>
      <c r="K50" s="1930"/>
      <c r="L50" s="1930"/>
      <c r="M50" s="1930"/>
      <c r="N50" s="1930"/>
      <c r="O50" s="1930"/>
      <c r="P50" s="1930"/>
      <c r="Q50" s="1930"/>
      <c r="R50" s="1930"/>
      <c r="S50" s="1930"/>
      <c r="T50" s="1930"/>
      <c r="U50" s="1930"/>
      <c r="V50" s="1283"/>
      <c r="X50" s="1284"/>
      <c r="Y50" s="1962"/>
      <c r="Z50" s="1962"/>
      <c r="AA50" s="1962"/>
      <c r="AB50" s="1962"/>
      <c r="AC50" s="1962"/>
      <c r="AD50" s="1962"/>
      <c r="AE50" s="1962"/>
      <c r="AF50" s="1962"/>
      <c r="AG50" s="1962"/>
      <c r="AH50" s="1962"/>
      <c r="AI50" s="1962"/>
      <c r="AJ50" s="1962"/>
      <c r="AK50" s="1962"/>
      <c r="AL50" s="1285"/>
    </row>
    <row r="51" spans="2:54" ht="15.95" customHeight="1" x14ac:dyDescent="0.4">
      <c r="B51" s="1281"/>
      <c r="C51" s="2162">
        <f>G6</f>
        <v>0</v>
      </c>
      <c r="D51" s="2162"/>
      <c r="E51" s="2162"/>
      <c r="F51" s="2162"/>
      <c r="G51" s="2162"/>
      <c r="H51" s="2162"/>
      <c r="I51" s="2162"/>
      <c r="J51" s="2162"/>
      <c r="K51" s="2162"/>
      <c r="L51" s="2162"/>
      <c r="M51" s="1932" t="s">
        <v>360</v>
      </c>
      <c r="N51" s="1932"/>
      <c r="O51" s="1933">
        <f>IF(T6="","",T6)</f>
        <v>0</v>
      </c>
      <c r="P51" s="1933"/>
      <c r="Q51" s="1933"/>
      <c r="R51" s="1930" t="s">
        <v>359</v>
      </c>
      <c r="S51" s="1930"/>
      <c r="T51" s="1930"/>
      <c r="U51" s="1930"/>
      <c r="V51" s="1283"/>
      <c r="X51" s="1284"/>
      <c r="Y51" s="1286"/>
      <c r="Z51" s="1286"/>
      <c r="AA51" s="1286"/>
      <c r="AB51" s="1286"/>
      <c r="AC51" s="1286"/>
      <c r="AD51" s="1286"/>
      <c r="AE51" s="1286"/>
      <c r="AF51" s="1286"/>
      <c r="AG51" s="1286"/>
      <c r="AH51" s="1286"/>
      <c r="AI51" s="1286"/>
      <c r="AJ51" s="1286"/>
      <c r="AK51" s="1286"/>
      <c r="AL51" s="1285"/>
    </row>
    <row r="52" spans="2:54" ht="15.95" customHeight="1" x14ac:dyDescent="0.4">
      <c r="B52" s="1281"/>
      <c r="C52" s="2167" t="str">
        <f>S40</f>
        <v>Aguard. Dados</v>
      </c>
      <c r="D52" s="2167"/>
      <c r="E52" s="2167"/>
      <c r="F52" s="2163" t="str">
        <f>IF(S31="Aguard. Dados","(Aguardando a Digitação de Dados)",IF(Extenso!N5="","","(" &amp; Extenso!N5 &amp; ")"))</f>
        <v>(Aguardando a Digitação de Dados)</v>
      </c>
      <c r="G52" s="2163"/>
      <c r="H52" s="2163"/>
      <c r="I52" s="2163"/>
      <c r="J52" s="2163"/>
      <c r="K52" s="2163"/>
      <c r="L52" s="2163"/>
      <c r="M52" s="2163"/>
      <c r="N52" s="2163"/>
      <c r="O52" s="2163"/>
      <c r="P52" s="2163"/>
      <c r="Q52" s="2163"/>
      <c r="R52" s="2163"/>
      <c r="S52" s="2163"/>
      <c r="T52" s="2163"/>
      <c r="U52" s="2163"/>
      <c r="V52" s="1283"/>
      <c r="X52" s="1284"/>
      <c r="Y52" s="1286"/>
      <c r="Z52" s="1286"/>
      <c r="AA52" s="1286"/>
      <c r="AB52" s="1287"/>
      <c r="AC52" s="1286"/>
      <c r="AD52" s="1286"/>
      <c r="AE52" s="1286"/>
      <c r="AF52" s="1286"/>
      <c r="AG52" s="1286"/>
      <c r="AH52" s="1286"/>
      <c r="AI52" s="1286"/>
      <c r="AJ52" s="1286"/>
      <c r="AK52" s="1286"/>
      <c r="AL52" s="1285"/>
    </row>
    <row r="53" spans="2:54" ht="18" customHeight="1" x14ac:dyDescent="0.4">
      <c r="B53" s="1281"/>
      <c r="C53" s="1910" t="e">
        <f ca="1">C35&amp;H35</f>
        <v>#VALUE!</v>
      </c>
      <c r="D53" s="1910"/>
      <c r="E53" s="1910"/>
      <c r="F53" s="1910"/>
      <c r="G53" s="1910"/>
      <c r="H53" s="1910"/>
      <c r="I53" s="1910"/>
      <c r="J53" s="1910"/>
      <c r="K53" s="1910"/>
      <c r="L53" s="1910"/>
      <c r="M53" s="1910"/>
      <c r="N53" s="1910"/>
      <c r="O53" s="1910"/>
      <c r="P53" s="1910"/>
      <c r="Q53" s="1910"/>
      <c r="R53" s="1910"/>
      <c r="S53" s="1910"/>
      <c r="T53" s="1910"/>
      <c r="U53" s="1910"/>
      <c r="V53" s="1283"/>
      <c r="X53" s="1284"/>
      <c r="Y53" s="1286"/>
      <c r="Z53" s="1286"/>
      <c r="AA53" s="1286"/>
      <c r="AB53" s="1287"/>
      <c r="AC53" s="1286"/>
      <c r="AD53" s="1286"/>
      <c r="AE53" s="1286"/>
      <c r="AF53" s="1286"/>
      <c r="AG53" s="1286"/>
      <c r="AH53" s="1286"/>
      <c r="AI53" s="1286"/>
      <c r="AJ53" s="1286"/>
      <c r="AK53" s="1286"/>
      <c r="AL53" s="1285"/>
    </row>
    <row r="54" spans="2:54" ht="15.95" customHeight="1" x14ac:dyDescent="0.4">
      <c r="B54" s="1281"/>
      <c r="C54" s="1928" t="str">
        <f>"° "&amp;C36</f>
        <v>° Aguardando a Digitação de Dados</v>
      </c>
      <c r="D54" s="1928"/>
      <c r="E54" s="1928"/>
      <c r="F54" s="1928"/>
      <c r="G54" s="1928"/>
      <c r="H54" s="1928"/>
      <c r="I54" s="1928"/>
      <c r="J54" s="1928"/>
      <c r="K54" s="1928"/>
      <c r="L54" s="1928"/>
      <c r="M54" s="1928"/>
      <c r="N54" s="1928"/>
      <c r="O54" s="1928"/>
      <c r="P54" s="1928"/>
      <c r="Q54" s="1928"/>
      <c r="R54" s="1928"/>
      <c r="S54" s="1928"/>
      <c r="T54" s="1928"/>
      <c r="U54" s="1928"/>
      <c r="V54" s="1283"/>
      <c r="X54" s="1284"/>
      <c r="Y54" s="1286"/>
      <c r="Z54" s="1286"/>
      <c r="AA54" s="1286"/>
      <c r="AB54" s="1287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5"/>
    </row>
    <row r="55" spans="2:54" ht="15.95" customHeight="1" x14ac:dyDescent="0.4">
      <c r="B55" s="1281"/>
      <c r="C55" s="1928" t="str">
        <f>IF(AND(L55="",Q55=""),"",IF(AND(L55&lt;&gt;"",Q55&lt;&gt;""),L55,IF(AND(L55="",Q55&lt;&gt;""),Q55,IF(AND(L55&lt;&gt;"",Q55=""),L55))))</f>
        <v>° Abono(s) Respectivo(s).</v>
      </c>
      <c r="D55" s="1928"/>
      <c r="E55" s="1928"/>
      <c r="F55" s="1928"/>
      <c r="G55" s="1928"/>
      <c r="H55" s="1928"/>
      <c r="I55" s="1928"/>
      <c r="J55" s="1928"/>
      <c r="K55" s="1928"/>
      <c r="L55" s="2166" t="str">
        <f>IF(AND(Geral!E22="",Geral!E23="",Geral!I22="",Geral!I23="",Geral!M22="",Geral!M23="",Geral!Q22="",Geral!Q23="",Geral!T22="",Geral!T23="",Geral!T25="",Geral!T26=""),"","° Abono(s) Respectivo(s).")</f>
        <v>° Abono(s) Respectivo(s).</v>
      </c>
      <c r="M55" s="2166"/>
      <c r="N55" s="2166"/>
      <c r="O55" s="2166"/>
      <c r="P55" s="2166"/>
      <c r="Q55" s="2166" t="str">
        <f>IF(S40&gt;S33,"° "&amp;H38&amp;" dias úteis de Auxílio Transporte.","")</f>
        <v/>
      </c>
      <c r="R55" s="2166"/>
      <c r="S55" s="2166"/>
      <c r="T55" s="2166"/>
      <c r="U55" s="2166"/>
      <c r="V55" s="1283"/>
      <c r="X55" s="1284"/>
      <c r="Y55" s="1286"/>
      <c r="Z55" s="1286"/>
      <c r="AA55" s="1286"/>
      <c r="AB55" s="1287"/>
      <c r="AC55" s="1286"/>
      <c r="AD55" s="1286"/>
      <c r="AE55" s="1286"/>
      <c r="AF55" s="1286"/>
      <c r="AG55" s="1286"/>
      <c r="AH55" s="1286"/>
      <c r="AI55" s="1286"/>
      <c r="AJ55" s="1286"/>
      <c r="AK55" s="1286"/>
      <c r="AL55" s="1285"/>
    </row>
    <row r="56" spans="2:54" ht="15.95" customHeight="1" x14ac:dyDescent="0.4">
      <c r="B56" s="1281"/>
      <c r="C56" s="1928" t="str">
        <f>IF(C55=Q55,"",IF(OR(Q55&lt;&gt;"",C55&lt;&gt;Q55),Q55,IF(OR(C55=L55,C55=Q55),"")))</f>
        <v/>
      </c>
      <c r="D56" s="1959"/>
      <c r="E56" s="1959"/>
      <c r="F56" s="1959"/>
      <c r="G56" s="1959"/>
      <c r="H56" s="1959"/>
      <c r="I56" s="1959"/>
      <c r="J56" s="1959"/>
      <c r="K56" s="1959"/>
      <c r="L56" s="1959"/>
      <c r="M56" s="1959"/>
      <c r="N56" s="1959"/>
      <c r="O56" s="1959"/>
      <c r="P56" s="1959"/>
      <c r="Q56" s="1959"/>
      <c r="R56" s="1959"/>
      <c r="S56" s="1959"/>
      <c r="T56" s="1959"/>
      <c r="U56" s="1959"/>
      <c r="V56" s="1283"/>
      <c r="X56" s="1284"/>
      <c r="Y56" s="1286"/>
      <c r="Z56" s="1286"/>
      <c r="AA56" s="1286"/>
      <c r="AB56" s="1286"/>
      <c r="AC56" s="1286"/>
      <c r="AD56" s="1286"/>
      <c r="AE56" s="1286"/>
      <c r="AF56" s="1286"/>
      <c r="AG56" s="1286"/>
      <c r="AH56" s="1286"/>
      <c r="AI56" s="1286"/>
      <c r="AJ56" s="1286"/>
      <c r="AK56" s="1286"/>
      <c r="AL56" s="1285"/>
    </row>
    <row r="57" spans="2:54" ht="21.95" customHeight="1" thickBot="1" x14ac:dyDescent="0.45">
      <c r="B57" s="1281"/>
      <c r="C57" s="1910" t="s">
        <v>9599</v>
      </c>
      <c r="D57" s="1910"/>
      <c r="E57" s="1910"/>
      <c r="F57" s="1910"/>
      <c r="G57" s="1910"/>
      <c r="H57" s="1932"/>
      <c r="I57" s="1932"/>
      <c r="J57" s="1932"/>
      <c r="K57" s="1932"/>
      <c r="L57" s="1932"/>
      <c r="M57" s="1932"/>
      <c r="N57" s="1932"/>
      <c r="O57" s="1932"/>
      <c r="P57" s="1932"/>
      <c r="Q57" s="1932"/>
      <c r="R57" s="1932"/>
      <c r="S57" s="1932"/>
      <c r="T57" s="1932"/>
      <c r="U57" s="1932"/>
      <c r="V57" s="1283"/>
      <c r="X57" s="1288"/>
      <c r="Y57" s="1289"/>
      <c r="Z57" s="1289"/>
      <c r="AA57" s="1289"/>
      <c r="AB57" s="1289"/>
      <c r="AC57" s="1289"/>
      <c r="AD57" s="1289"/>
      <c r="AE57" s="1289"/>
      <c r="AF57" s="1289"/>
      <c r="AG57" s="1289"/>
      <c r="AH57" s="1289"/>
      <c r="AI57" s="1289"/>
      <c r="AJ57" s="1289"/>
      <c r="AK57" s="1289"/>
      <c r="AL57" s="1290"/>
    </row>
    <row r="58" spans="2:54" ht="14.1" customHeight="1" thickTop="1" x14ac:dyDescent="0.4">
      <c r="B58" s="1281"/>
      <c r="C58" s="1291" t="str">
        <f>IF(Q31&lt;&gt;"",Q31,IF(Q19&lt;&gt;"",Q19,""))</f>
        <v/>
      </c>
      <c r="D58" s="2164" t="str">
        <f>IF(Q31&lt;&gt;"",S31,IF(Q19&lt;&gt;"",O19,""))</f>
        <v/>
      </c>
      <c r="E58" s="2164"/>
      <c r="F58" s="2164"/>
      <c r="G58" s="1292" t="str">
        <f>IF(Q32="2964",Q32,IF(Q20&lt;&gt;"",Q20,IF(AND(Q32&lt;&gt;"2964",Q20=""),"")))</f>
        <v/>
      </c>
      <c r="H58" s="2165" t="str">
        <f>IF(Q32="2964",O32,IF(Q20&lt;&gt;"",O20,IF(AND(Q32&lt;&gt;"2964",Q20=""),"")))</f>
        <v/>
      </c>
      <c r="I58" s="2165"/>
      <c r="J58" s="2165"/>
      <c r="K58" s="1958" t="str">
        <f>IF(Q22&lt;&gt;"",Q22,"")</f>
        <v/>
      </c>
      <c r="L58" s="1958"/>
      <c r="M58" s="2165" t="str">
        <f>IF(O22&lt;&gt;"",O22,"")</f>
        <v/>
      </c>
      <c r="N58" s="2165"/>
      <c r="O58" s="2165"/>
      <c r="P58" s="1958" t="str">
        <f>IF(Q25&lt;&gt;"",Q25,"")</f>
        <v/>
      </c>
      <c r="Q58" s="1958"/>
      <c r="R58" s="2165" t="str">
        <f>IF(O25&lt;&gt;"",O25,"")</f>
        <v/>
      </c>
      <c r="S58" s="2165"/>
      <c r="T58" s="2165"/>
      <c r="U58" s="1293"/>
      <c r="V58" s="1283"/>
    </row>
    <row r="59" spans="2:54" ht="14.1" customHeight="1" x14ac:dyDescent="0.4">
      <c r="B59" s="1281"/>
      <c r="C59" s="1291" t="str">
        <f>IF(Q28&lt;&gt;"",Q28,"")</f>
        <v/>
      </c>
      <c r="D59" s="2165" t="str">
        <f>IF(O28&lt;&gt;"",O28,"")</f>
        <v/>
      </c>
      <c r="E59" s="2165"/>
      <c r="F59" s="2165"/>
      <c r="G59" s="1292" t="str">
        <f>IF(OR(Q23=2966,Q26=2966,Q29=2966),2966,"")</f>
        <v/>
      </c>
      <c r="H59" s="2165" t="str">
        <f>IF(OR(Q23=2966,Q26=2966,Q29=2966),O23+O26+O29,"")</f>
        <v/>
      </c>
      <c r="I59" s="2165"/>
      <c r="J59" s="2165"/>
      <c r="K59" s="2184" t="str">
        <f>IF(Q33="2967",Q33,IF(Q21&lt;&gt;"",Q21,IF(AND(Q33&lt;&gt;"2967",Q21=""),"")))</f>
        <v/>
      </c>
      <c r="L59" s="2184"/>
      <c r="M59" s="2165" t="str">
        <f>IF(Q33="2967",O33,IF(Q21&lt;&gt;"",O21,IF(AND(Q33&lt;&gt;"2967",Q21=""),"")))</f>
        <v/>
      </c>
      <c r="N59" s="2165"/>
      <c r="O59" s="2165"/>
      <c r="P59" s="2185" t="str">
        <f>IF(OR(Q24=2977,Q27=2977,Q30=2977),2977,"")</f>
        <v/>
      </c>
      <c r="Q59" s="2185"/>
      <c r="R59" s="2165" t="str">
        <f>IF(OR(Q24=2977,Q27=2977,Q30=2977),O24+O27+O30,"")</f>
        <v/>
      </c>
      <c r="S59" s="2165"/>
      <c r="T59" s="2165"/>
      <c r="U59" s="1116"/>
      <c r="V59" s="1283"/>
    </row>
    <row r="60" spans="2:54" ht="14.1" customHeight="1" x14ac:dyDescent="0.4">
      <c r="B60" s="1281"/>
      <c r="C60" s="1291" t="str">
        <f>IF(C40&lt;&gt;"",C40,"")</f>
        <v/>
      </c>
      <c r="D60" s="2165" t="str">
        <f>IF(C40&lt;&gt;"",D40,"")</f>
        <v/>
      </c>
      <c r="E60" s="2165"/>
      <c r="F60" s="2165"/>
      <c r="G60" s="1116"/>
      <c r="H60" s="1116"/>
      <c r="I60" s="1116"/>
      <c r="J60" s="1116"/>
      <c r="K60" s="1116"/>
      <c r="L60" s="1116"/>
      <c r="M60" s="1116"/>
      <c r="N60" s="1116"/>
      <c r="O60" s="1116"/>
      <c r="P60" s="1116"/>
      <c r="Q60" s="1116"/>
      <c r="R60" s="1116"/>
      <c r="S60" s="1116"/>
      <c r="T60" s="1116"/>
      <c r="U60" s="1116"/>
      <c r="V60" s="1283"/>
    </row>
    <row r="61" spans="2:54" ht="12" customHeight="1" x14ac:dyDescent="0.4">
      <c r="B61" s="1281"/>
      <c r="C61" s="1282"/>
      <c r="D61" s="1116"/>
      <c r="E61" s="1116"/>
      <c r="F61" s="1116"/>
      <c r="G61" s="1116"/>
      <c r="H61" s="1116"/>
      <c r="I61" s="1116"/>
      <c r="J61" s="1116"/>
      <c r="K61" s="1116"/>
      <c r="L61" s="1116"/>
      <c r="M61" s="1116"/>
      <c r="N61" s="1116"/>
      <c r="O61" s="1116"/>
      <c r="P61" s="1116"/>
      <c r="Q61" s="1116"/>
      <c r="R61" s="1116"/>
      <c r="S61" s="1116"/>
      <c r="T61" s="1116"/>
      <c r="U61" s="1116"/>
      <c r="V61" s="1283"/>
    </row>
    <row r="62" spans="2:54" ht="15.95" customHeight="1" x14ac:dyDescent="0.4">
      <c r="B62" s="1281"/>
      <c r="C62" s="1932" t="s">
        <v>362</v>
      </c>
      <c r="D62" s="1932"/>
      <c r="E62" s="1932"/>
      <c r="F62" s="1932" t="str">
        <f>I9</f>
        <v/>
      </c>
      <c r="G62" s="1932"/>
      <c r="H62" s="1932"/>
      <c r="I62" s="1932"/>
      <c r="J62" s="1932"/>
      <c r="K62" s="1932"/>
      <c r="L62" s="1932"/>
      <c r="M62" s="1932"/>
      <c r="N62" s="1932"/>
      <c r="O62" s="2173" t="s">
        <v>364</v>
      </c>
      <c r="P62" s="2173"/>
      <c r="Q62" s="2173"/>
      <c r="R62" s="1910" t="str">
        <f>R9</f>
        <v/>
      </c>
      <c r="S62" s="1910"/>
      <c r="T62" s="1910"/>
      <c r="U62" s="1910"/>
      <c r="V62" s="1283"/>
    </row>
    <row r="63" spans="2:54" ht="9.9499999999999993" customHeight="1" x14ac:dyDescent="0.4">
      <c r="B63" s="1281"/>
      <c r="C63" s="1282"/>
      <c r="D63" s="1116"/>
      <c r="E63" s="1116"/>
      <c r="F63" s="1116"/>
      <c r="G63" s="1116"/>
      <c r="H63" s="1116"/>
      <c r="I63" s="1116"/>
      <c r="J63" s="1116"/>
      <c r="K63" s="1116"/>
      <c r="L63" s="1116"/>
      <c r="M63" s="1116"/>
      <c r="N63" s="1116"/>
      <c r="O63" s="1116"/>
      <c r="P63" s="1116"/>
      <c r="Q63" s="1116"/>
      <c r="R63" s="1116"/>
      <c r="S63" s="1116"/>
      <c r="T63" s="1116"/>
      <c r="U63" s="1116"/>
      <c r="V63" s="1283"/>
    </row>
    <row r="64" spans="2:54" ht="15.95" customHeight="1" x14ac:dyDescent="0.4">
      <c r="B64" s="1281"/>
      <c r="C64" s="2168" t="str">
        <f>Geral!I8</f>
        <v>Uberaba</v>
      </c>
      <c r="D64" s="2168"/>
      <c r="E64" s="2168"/>
      <c r="F64" s="2168"/>
      <c r="G64" s="2168"/>
      <c r="H64" s="2168"/>
      <c r="I64" s="2168"/>
      <c r="J64" s="2168"/>
      <c r="K64" s="2168"/>
      <c r="L64" s="1282" t="s">
        <v>365</v>
      </c>
      <c r="M64" s="2161">
        <f ca="1">IF(G31&lt;&gt;0,I31,TODAY())</f>
        <v>43238</v>
      </c>
      <c r="N64" s="2161"/>
      <c r="O64" s="2161"/>
      <c r="P64" s="2161"/>
      <c r="Q64" s="2161"/>
      <c r="R64" s="2161"/>
      <c r="S64" s="2161"/>
      <c r="T64" s="2161"/>
      <c r="U64" s="2161"/>
      <c r="V64" s="1283"/>
    </row>
    <row r="65" spans="2:22" ht="5.0999999999999996" customHeight="1" x14ac:dyDescent="0.4">
      <c r="B65" s="1281"/>
      <c r="C65" s="1282"/>
      <c r="D65" s="1116"/>
      <c r="E65" s="1116"/>
      <c r="F65" s="1116"/>
      <c r="G65" s="1116"/>
      <c r="H65" s="1116"/>
      <c r="I65" s="1116"/>
      <c r="J65" s="1116"/>
      <c r="K65" s="1116"/>
      <c r="L65" s="1116"/>
      <c r="M65" s="1116"/>
      <c r="N65" s="1116"/>
      <c r="O65" s="1116"/>
      <c r="P65" s="1116"/>
      <c r="Q65" s="1116"/>
      <c r="R65" s="1116"/>
      <c r="S65" s="1116"/>
      <c r="T65" s="1116"/>
      <c r="U65" s="1116"/>
      <c r="V65" s="1283"/>
    </row>
    <row r="66" spans="2:22" ht="15.95" customHeight="1" x14ac:dyDescent="0.4">
      <c r="B66" s="1281"/>
      <c r="C66" s="2170" t="s">
        <v>366</v>
      </c>
      <c r="D66" s="2170"/>
      <c r="E66" s="2170"/>
      <c r="F66" s="2170"/>
      <c r="G66" s="2170"/>
      <c r="H66" s="2170"/>
      <c r="I66" s="2170"/>
      <c r="J66" s="2170"/>
      <c r="K66" s="2170"/>
      <c r="L66" s="2170"/>
      <c r="M66" s="2170"/>
      <c r="N66" s="2170"/>
      <c r="O66" s="2170"/>
      <c r="P66" s="2170"/>
      <c r="Q66" s="2170"/>
      <c r="R66" s="2170"/>
      <c r="S66" s="2170"/>
      <c r="T66" s="2170"/>
      <c r="U66" s="2170"/>
      <c r="V66" s="1283"/>
    </row>
    <row r="67" spans="2:22" ht="3" customHeight="1" x14ac:dyDescent="0.4">
      <c r="B67" s="1281"/>
      <c r="C67" s="2171"/>
      <c r="D67" s="2171"/>
      <c r="E67" s="2171"/>
      <c r="F67" s="2171"/>
      <c r="G67" s="2171"/>
      <c r="H67" s="2171"/>
      <c r="I67" s="2171"/>
      <c r="J67" s="2171"/>
      <c r="K67" s="2171"/>
      <c r="L67" s="2171"/>
      <c r="M67" s="2171"/>
      <c r="N67" s="2171"/>
      <c r="O67" s="2171"/>
      <c r="P67" s="2171"/>
      <c r="Q67" s="2171"/>
      <c r="R67" s="2171"/>
      <c r="S67" s="2171"/>
      <c r="T67" s="2171"/>
      <c r="U67" s="2171"/>
      <c r="V67" s="1283"/>
    </row>
    <row r="68" spans="2:22" ht="15.95" customHeight="1" x14ac:dyDescent="0.4">
      <c r="B68" s="1281"/>
      <c r="C68" s="1910" t="s">
        <v>367</v>
      </c>
      <c r="D68" s="1910"/>
      <c r="E68" s="1910" t="str">
        <f>Geral!I10</f>
        <v>Alterar</v>
      </c>
      <c r="F68" s="1910"/>
      <c r="G68" s="1910"/>
      <c r="H68" s="1910"/>
      <c r="I68" s="1910"/>
      <c r="J68" s="1910"/>
      <c r="K68" s="1910"/>
      <c r="L68" s="1910"/>
      <c r="M68" s="2168" t="s">
        <v>1</v>
      </c>
      <c r="N68" s="2168"/>
      <c r="O68" s="2172">
        <f>Geral!T10</f>
        <v>0</v>
      </c>
      <c r="P68" s="2172"/>
      <c r="Q68" s="2172"/>
      <c r="R68" s="1932"/>
      <c r="S68" s="1932"/>
      <c r="T68" s="1932"/>
      <c r="U68" s="1932"/>
      <c r="V68" s="1283"/>
    </row>
    <row r="69" spans="2:22" ht="15.95" customHeight="1" x14ac:dyDescent="0.4">
      <c r="B69" s="1281"/>
      <c r="C69" s="1932" t="s">
        <v>369</v>
      </c>
      <c r="D69" s="1932"/>
      <c r="E69" s="1282"/>
      <c r="F69" s="1282"/>
      <c r="G69" s="1282"/>
      <c r="H69" s="1282"/>
      <c r="I69" s="1282"/>
      <c r="J69" s="1282"/>
      <c r="K69" s="1282"/>
      <c r="L69" s="1282"/>
      <c r="M69" s="1294"/>
      <c r="N69" s="1294"/>
      <c r="O69" s="1282"/>
      <c r="P69" s="1282"/>
      <c r="Q69" s="1282"/>
      <c r="R69" s="1282"/>
      <c r="S69" s="1282"/>
      <c r="T69" s="1282"/>
      <c r="U69" s="1282"/>
      <c r="V69" s="1283"/>
    </row>
    <row r="70" spans="2:22" ht="15.95" customHeight="1" x14ac:dyDescent="0.4">
      <c r="B70" s="1281"/>
      <c r="C70" s="1282"/>
      <c r="D70" s="1116"/>
      <c r="E70" s="1116"/>
      <c r="F70" s="1116"/>
      <c r="G70" s="1116"/>
      <c r="H70" s="1116"/>
      <c r="I70" s="1116"/>
      <c r="J70" s="1116"/>
      <c r="K70" s="1116"/>
      <c r="L70" s="1116"/>
      <c r="M70" s="1116"/>
      <c r="N70" s="1116"/>
      <c r="O70" s="1116"/>
      <c r="P70" s="1116"/>
      <c r="Q70" s="1116"/>
      <c r="R70" s="1116"/>
      <c r="S70" s="1116"/>
      <c r="T70" s="1116"/>
      <c r="U70" s="1116"/>
      <c r="V70" s="1283"/>
    </row>
    <row r="71" spans="2:22" ht="15.95" customHeight="1" x14ac:dyDescent="0.4">
      <c r="B71" s="1281"/>
      <c r="C71" s="1931" t="s">
        <v>368</v>
      </c>
      <c r="D71" s="1931"/>
      <c r="E71" s="1931"/>
      <c r="F71" s="1931"/>
      <c r="G71" s="1931"/>
      <c r="H71" s="1931"/>
      <c r="I71" s="1931"/>
      <c r="J71" s="1931"/>
      <c r="K71" s="1931"/>
      <c r="L71" s="1931"/>
      <c r="M71" s="1931"/>
      <c r="N71" s="1931"/>
      <c r="O71" s="1931"/>
      <c r="P71" s="1931"/>
      <c r="Q71" s="1931"/>
      <c r="R71" s="1931"/>
      <c r="S71" s="1931"/>
      <c r="T71" s="1931"/>
      <c r="U71" s="1931"/>
      <c r="V71" s="1283"/>
    </row>
    <row r="72" spans="2:22" ht="8.1" customHeight="1" x14ac:dyDescent="0.4">
      <c r="B72" s="1281"/>
      <c r="C72" s="1282"/>
      <c r="D72" s="1116"/>
      <c r="E72" s="1116"/>
      <c r="F72" s="1116"/>
      <c r="G72" s="1116"/>
      <c r="H72" s="1116"/>
      <c r="I72" s="1116"/>
      <c r="J72" s="1116"/>
      <c r="K72" s="1116"/>
      <c r="L72" s="1116"/>
      <c r="M72" s="1116"/>
      <c r="N72" s="1116"/>
      <c r="O72" s="1116"/>
      <c r="P72" s="1116"/>
      <c r="Q72" s="1116"/>
      <c r="R72" s="1116"/>
      <c r="S72" s="1116"/>
      <c r="T72" s="1116"/>
      <c r="U72" s="1116"/>
      <c r="V72" s="1283"/>
    </row>
    <row r="73" spans="2:22" ht="15.95" customHeight="1" x14ac:dyDescent="0.4">
      <c r="B73" s="1281"/>
      <c r="C73" s="1931" t="str">
        <f>Geral!C11</f>
        <v>Coordenador(a) Setor de Pagamento</v>
      </c>
      <c r="D73" s="1931"/>
      <c r="E73" s="1931"/>
      <c r="F73" s="1931"/>
      <c r="G73" s="1931"/>
      <c r="H73" s="1931"/>
      <c r="I73" s="1931"/>
      <c r="J73" s="1931"/>
      <c r="K73" s="1931"/>
      <c r="L73" s="1931"/>
      <c r="M73" s="1931"/>
      <c r="N73" s="1931"/>
      <c r="O73" s="1931"/>
      <c r="P73" s="1931"/>
      <c r="Q73" s="1931"/>
      <c r="R73" s="1931"/>
      <c r="S73" s="1931"/>
      <c r="T73" s="1931"/>
      <c r="U73" s="1931"/>
      <c r="V73" s="1283"/>
    </row>
    <row r="74" spans="2:22" ht="3" customHeight="1" x14ac:dyDescent="0.4">
      <c r="B74" s="1281"/>
      <c r="C74" s="2169"/>
      <c r="D74" s="2169"/>
      <c r="E74" s="2169"/>
      <c r="F74" s="2169"/>
      <c r="G74" s="2169"/>
      <c r="H74" s="2169"/>
      <c r="I74" s="2169"/>
      <c r="J74" s="2169"/>
      <c r="K74" s="2169"/>
      <c r="L74" s="2169"/>
      <c r="M74" s="2169"/>
      <c r="N74" s="2169"/>
      <c r="O74" s="2169"/>
      <c r="P74" s="2169"/>
      <c r="Q74" s="2169"/>
      <c r="R74" s="2169"/>
      <c r="S74" s="2169"/>
      <c r="T74" s="2169"/>
      <c r="U74" s="2169"/>
      <c r="V74" s="1283"/>
    </row>
    <row r="75" spans="2:22" ht="15.95" customHeight="1" x14ac:dyDescent="0.4">
      <c r="B75" s="1281"/>
      <c r="C75" s="1910" t="s">
        <v>367</v>
      </c>
      <c r="D75" s="1910"/>
      <c r="E75" s="1910" t="str">
        <f>Geral!I11</f>
        <v>Elizabet das Graças Limido Santos</v>
      </c>
      <c r="F75" s="1910"/>
      <c r="G75" s="1910"/>
      <c r="H75" s="1910"/>
      <c r="I75" s="1910"/>
      <c r="J75" s="1910"/>
      <c r="K75" s="1910"/>
      <c r="L75" s="1910"/>
      <c r="M75" s="2168" t="s">
        <v>1</v>
      </c>
      <c r="N75" s="2168"/>
      <c r="O75" s="2172">
        <f>Geral!T11</f>
        <v>4440780</v>
      </c>
      <c r="P75" s="2172"/>
      <c r="Q75" s="2172"/>
      <c r="R75" s="1932"/>
      <c r="S75" s="1932"/>
      <c r="T75" s="1932"/>
      <c r="U75" s="1932"/>
      <c r="V75" s="1283"/>
    </row>
    <row r="76" spans="2:22" ht="15.95" customHeight="1" x14ac:dyDescent="0.4">
      <c r="B76" s="1281"/>
      <c r="C76" s="1910" t="s">
        <v>369</v>
      </c>
      <c r="D76" s="1910"/>
      <c r="E76" s="1910"/>
      <c r="F76" s="1910"/>
      <c r="G76" s="1910"/>
      <c r="H76" s="1910"/>
      <c r="I76" s="1910"/>
      <c r="J76" s="1910"/>
      <c r="K76" s="1910"/>
      <c r="L76" s="1910"/>
      <c r="M76" s="1910"/>
      <c r="N76" s="1910"/>
      <c r="O76" s="1910"/>
      <c r="P76" s="1910"/>
      <c r="Q76" s="1910"/>
      <c r="R76" s="1910"/>
      <c r="S76" s="1910"/>
      <c r="T76" s="1910"/>
      <c r="U76" s="1910"/>
      <c r="V76" s="1283"/>
    </row>
    <row r="77" spans="2:22" ht="15.95" customHeight="1" x14ac:dyDescent="0.4">
      <c r="B77" s="1281"/>
      <c r="C77" s="1932"/>
      <c r="D77" s="1932"/>
      <c r="E77" s="1932"/>
      <c r="F77" s="1932"/>
      <c r="G77" s="1932"/>
      <c r="H77" s="1932"/>
      <c r="I77" s="1932"/>
      <c r="J77" s="1932"/>
      <c r="K77" s="1932"/>
      <c r="L77" s="1932"/>
      <c r="M77" s="1932"/>
      <c r="N77" s="1932"/>
      <c r="O77" s="1932"/>
      <c r="P77" s="1932"/>
      <c r="Q77" s="1932"/>
      <c r="R77" s="1932"/>
      <c r="S77" s="1932"/>
      <c r="T77" s="1932"/>
      <c r="U77" s="1932"/>
      <c r="V77" s="1283"/>
    </row>
    <row r="78" spans="2:22" ht="15.95" customHeight="1" x14ac:dyDescent="0.4">
      <c r="B78" s="1281"/>
      <c r="C78" s="1931" t="str">
        <f>IF(AND(S31&gt;=Geral!F27,S31&lt;&gt;"Aguard. Dados"),Geral!C12,"")</f>
        <v/>
      </c>
      <c r="D78" s="1931"/>
      <c r="E78" s="1931"/>
      <c r="F78" s="1931"/>
      <c r="G78" s="1931"/>
      <c r="H78" s="1931"/>
      <c r="I78" s="1931"/>
      <c r="J78" s="1931"/>
      <c r="K78" s="1931"/>
      <c r="L78" s="1931"/>
      <c r="M78" s="1931"/>
      <c r="N78" s="1931"/>
      <c r="O78" s="1931"/>
      <c r="P78" s="1931"/>
      <c r="Q78" s="1931"/>
      <c r="R78" s="1931"/>
      <c r="S78" s="1931"/>
      <c r="T78" s="1931"/>
      <c r="U78" s="1931"/>
      <c r="V78" s="1283"/>
    </row>
    <row r="79" spans="2:22" ht="3" customHeight="1" x14ac:dyDescent="0.4">
      <c r="B79" s="1281"/>
      <c r="C79" s="2169"/>
      <c r="D79" s="2169"/>
      <c r="E79" s="2169"/>
      <c r="F79" s="2169"/>
      <c r="G79" s="2169"/>
      <c r="H79" s="2169"/>
      <c r="I79" s="2169"/>
      <c r="J79" s="2169"/>
      <c r="K79" s="2169"/>
      <c r="L79" s="2169"/>
      <c r="M79" s="2169"/>
      <c r="N79" s="2169"/>
      <c r="O79" s="2169"/>
      <c r="P79" s="2169"/>
      <c r="Q79" s="2169"/>
      <c r="R79" s="2169"/>
      <c r="S79" s="2169"/>
      <c r="T79" s="2169"/>
      <c r="U79" s="2169"/>
      <c r="V79" s="1283"/>
    </row>
    <row r="80" spans="2:22" ht="15.95" customHeight="1" x14ac:dyDescent="0.4">
      <c r="B80" s="1281"/>
      <c r="C80" s="1910" t="str">
        <f>IF(AND(S31&gt;=Geral!F27,S31&lt;&gt;"Aguard. Dados"),"Nome:","")</f>
        <v/>
      </c>
      <c r="D80" s="1910"/>
      <c r="E80" s="1910" t="str">
        <f>IF(AND(S31&gt;=Geral!F27,S31&lt;&gt;"Aguard. Dados"),Geral!I12,"")</f>
        <v/>
      </c>
      <c r="F80" s="1910"/>
      <c r="G80" s="1910"/>
      <c r="H80" s="1910"/>
      <c r="I80" s="1910"/>
      <c r="J80" s="1910"/>
      <c r="K80" s="1910"/>
      <c r="L80" s="1910"/>
      <c r="M80" s="2168" t="str">
        <f>IF(AND(S31&gt;=Geral!F27,S31&lt;&gt;"Aguard. Dados"),"MaSP:","")</f>
        <v/>
      </c>
      <c r="N80" s="2168"/>
      <c r="O80" s="2172" t="str">
        <f>IF(AND(S31&gt;=Geral!F27,S31&lt;&gt;"Aguard. Dados"),Geral!T12,"")</f>
        <v/>
      </c>
      <c r="P80" s="2172"/>
      <c r="Q80" s="2172"/>
      <c r="R80" s="1932"/>
      <c r="S80" s="1932"/>
      <c r="T80" s="1932"/>
      <c r="U80" s="1932"/>
      <c r="V80" s="1283"/>
    </row>
    <row r="81" spans="2:22" ht="15.95" customHeight="1" x14ac:dyDescent="0.4">
      <c r="B81" s="1281"/>
      <c r="C81" s="1910" t="str">
        <f>IF(AND(S31&gt;=Geral!F27,S31&lt;&gt;"Aguard. Dados"),"Assinatura:","")</f>
        <v/>
      </c>
      <c r="D81" s="1910"/>
      <c r="E81" s="1910"/>
      <c r="F81" s="1910"/>
      <c r="G81" s="1910"/>
      <c r="H81" s="1910"/>
      <c r="I81" s="1910"/>
      <c r="J81" s="1910"/>
      <c r="K81" s="1910"/>
      <c r="L81" s="1910"/>
      <c r="M81" s="1910"/>
      <c r="N81" s="1910"/>
      <c r="O81" s="1910"/>
      <c r="P81" s="1910"/>
      <c r="Q81" s="1910"/>
      <c r="R81" s="1910"/>
      <c r="S81" s="1910"/>
      <c r="T81" s="1910"/>
      <c r="U81" s="1910"/>
      <c r="V81" s="1283"/>
    </row>
    <row r="82" spans="2:22" ht="15.95" customHeight="1" x14ac:dyDescent="0.4">
      <c r="B82" s="1281"/>
      <c r="C82" s="1932"/>
      <c r="D82" s="1932"/>
      <c r="E82" s="1932"/>
      <c r="F82" s="1932"/>
      <c r="G82" s="1932"/>
      <c r="H82" s="1932"/>
      <c r="I82" s="1932"/>
      <c r="J82" s="1932"/>
      <c r="K82" s="1932"/>
      <c r="L82" s="1932"/>
      <c r="M82" s="1932"/>
      <c r="N82" s="1932"/>
      <c r="O82" s="1932"/>
      <c r="P82" s="1932"/>
      <c r="Q82" s="1932"/>
      <c r="R82" s="1932"/>
      <c r="S82" s="1932"/>
      <c r="T82" s="1932"/>
      <c r="U82" s="1932"/>
      <c r="V82" s="1283"/>
    </row>
    <row r="83" spans="2:22" ht="15.95" customHeight="1" x14ac:dyDescent="0.4">
      <c r="B83" s="1281"/>
      <c r="C83" s="1932"/>
      <c r="D83" s="1932"/>
      <c r="E83" s="1932"/>
      <c r="F83" s="1932"/>
      <c r="G83" s="1932"/>
      <c r="H83" s="1932"/>
      <c r="I83" s="1932"/>
      <c r="J83" s="1932"/>
      <c r="K83" s="1932"/>
      <c r="L83" s="1932"/>
      <c r="M83" s="1932"/>
      <c r="N83" s="1932"/>
      <c r="O83" s="1932"/>
      <c r="P83" s="1932"/>
      <c r="Q83" s="1932"/>
      <c r="R83" s="1932"/>
      <c r="S83" s="1932"/>
      <c r="T83" s="1932"/>
      <c r="U83" s="1932"/>
      <c r="V83" s="1283"/>
    </row>
    <row r="84" spans="2:22" ht="15.95" customHeight="1" x14ac:dyDescent="0.4">
      <c r="B84" s="1281"/>
      <c r="C84" s="1931" t="str">
        <f>IF(AND(S31&gt;=Geral!K27,S31&lt;&gt;"Aguard. Dados"),Geral!C13,"")</f>
        <v/>
      </c>
      <c r="D84" s="1931"/>
      <c r="E84" s="1931"/>
      <c r="F84" s="1931"/>
      <c r="G84" s="1931"/>
      <c r="H84" s="1931"/>
      <c r="I84" s="1931"/>
      <c r="J84" s="1931"/>
      <c r="K84" s="1931"/>
      <c r="L84" s="1931"/>
      <c r="M84" s="1931"/>
      <c r="N84" s="1931"/>
      <c r="O84" s="1931"/>
      <c r="P84" s="1931"/>
      <c r="Q84" s="1931"/>
      <c r="R84" s="1931"/>
      <c r="S84" s="1931"/>
      <c r="T84" s="1931"/>
      <c r="U84" s="1931"/>
      <c r="V84" s="1283"/>
    </row>
    <row r="85" spans="2:22" ht="3" customHeight="1" x14ac:dyDescent="0.4">
      <c r="B85" s="1281"/>
      <c r="C85" s="2169"/>
      <c r="D85" s="2169"/>
      <c r="E85" s="2169"/>
      <c r="F85" s="2169"/>
      <c r="G85" s="2169"/>
      <c r="H85" s="2169"/>
      <c r="I85" s="2169"/>
      <c r="J85" s="2169"/>
      <c r="K85" s="2169"/>
      <c r="L85" s="2169"/>
      <c r="M85" s="2169"/>
      <c r="N85" s="2169"/>
      <c r="O85" s="2169"/>
      <c r="P85" s="2169"/>
      <c r="Q85" s="2169"/>
      <c r="R85" s="2169"/>
      <c r="S85" s="2169"/>
      <c r="T85" s="2169"/>
      <c r="U85" s="2169"/>
      <c r="V85" s="1283"/>
    </row>
    <row r="86" spans="2:22" ht="15.95" customHeight="1" x14ac:dyDescent="0.4">
      <c r="B86" s="1281"/>
      <c r="C86" s="1910" t="str">
        <f>IF(AND(S31&gt;=Geral!K27,S31&lt;&gt;"Aguard. Dados"),"Nome:","")</f>
        <v/>
      </c>
      <c r="D86" s="1910"/>
      <c r="E86" s="1910" t="str">
        <f>IF(AND(S31&gt;=Geral!K27,S31&lt;&gt;"Aguard. Dados"),Geral!I13,"")</f>
        <v/>
      </c>
      <c r="F86" s="1910"/>
      <c r="G86" s="1910"/>
      <c r="H86" s="1910"/>
      <c r="I86" s="1910"/>
      <c r="J86" s="1910"/>
      <c r="K86" s="1910"/>
      <c r="L86" s="1910"/>
      <c r="M86" s="2168" t="str">
        <f>IF(AND(S31&gt;=Geral!K27,S31&lt;&gt;"Aguard. Dados"),"MaSP:","")</f>
        <v/>
      </c>
      <c r="N86" s="2168"/>
      <c r="O86" s="2172" t="str">
        <f>IF(AND(S31&gt;=Geral!K27,S31&lt;&gt;"Aguard. Dados"),Geral!T13,"")</f>
        <v/>
      </c>
      <c r="P86" s="2172"/>
      <c r="Q86" s="2172"/>
      <c r="R86" s="1932"/>
      <c r="S86" s="1932"/>
      <c r="T86" s="1932"/>
      <c r="U86" s="1932"/>
      <c r="V86" s="1283"/>
    </row>
    <row r="87" spans="2:22" ht="15.95" customHeight="1" x14ac:dyDescent="0.4">
      <c r="B87" s="1281"/>
      <c r="C87" s="1910" t="str">
        <f>IF(AND(S31&gt;=Geral!K27,S31&lt;&gt;"Aguard. Dados"),"Assinatura:","")</f>
        <v/>
      </c>
      <c r="D87" s="1910"/>
      <c r="E87" s="1910"/>
      <c r="F87" s="1910"/>
      <c r="G87" s="1910"/>
      <c r="H87" s="1910"/>
      <c r="I87" s="1910"/>
      <c r="J87" s="1910"/>
      <c r="K87" s="1910"/>
      <c r="L87" s="1910"/>
      <c r="M87" s="1910"/>
      <c r="N87" s="1910"/>
      <c r="O87" s="1910"/>
      <c r="P87" s="1910"/>
      <c r="Q87" s="1910"/>
      <c r="R87" s="1910"/>
      <c r="S87" s="1910"/>
      <c r="T87" s="1910"/>
      <c r="U87" s="1910"/>
      <c r="V87" s="1283"/>
    </row>
    <row r="88" spans="2:22" ht="15.95" customHeight="1" x14ac:dyDescent="0.4">
      <c r="B88" s="1281"/>
      <c r="C88" s="1932"/>
      <c r="D88" s="1932"/>
      <c r="E88" s="1932"/>
      <c r="F88" s="1932"/>
      <c r="G88" s="1932"/>
      <c r="H88" s="1932"/>
      <c r="I88" s="1932"/>
      <c r="J88" s="1932"/>
      <c r="K88" s="1932"/>
      <c r="L88" s="1932"/>
      <c r="M88" s="1932"/>
      <c r="N88" s="1932"/>
      <c r="O88" s="1932"/>
      <c r="P88" s="1932"/>
      <c r="Q88" s="1932"/>
      <c r="R88" s="1932"/>
      <c r="S88" s="1932"/>
      <c r="T88" s="1932"/>
      <c r="U88" s="1932"/>
      <c r="V88" s="1283"/>
    </row>
    <row r="89" spans="2:22" ht="15.95" customHeight="1" x14ac:dyDescent="0.4">
      <c r="B89" s="1281"/>
      <c r="C89" s="1932"/>
      <c r="D89" s="1932"/>
      <c r="E89" s="1932"/>
      <c r="F89" s="1932"/>
      <c r="G89" s="1932"/>
      <c r="H89" s="1932"/>
      <c r="I89" s="1932"/>
      <c r="J89" s="1932"/>
      <c r="K89" s="1932"/>
      <c r="L89" s="1932"/>
      <c r="M89" s="1932"/>
      <c r="N89" s="1932"/>
      <c r="O89" s="1932"/>
      <c r="P89" s="1932"/>
      <c r="Q89" s="1932"/>
      <c r="R89" s="1932"/>
      <c r="S89" s="1932"/>
      <c r="T89" s="1932"/>
      <c r="U89" s="1932"/>
      <c r="V89" s="1283"/>
    </row>
    <row r="90" spans="2:22" ht="15.95" customHeight="1" x14ac:dyDescent="0.4">
      <c r="B90" s="1281"/>
      <c r="C90" s="1931" t="str">
        <f>IF(AND(S31&gt;=Geral!P27,S31&lt;&gt;"Aguard. Dados"),Geral!C15,"")</f>
        <v/>
      </c>
      <c r="D90" s="1931"/>
      <c r="E90" s="1931"/>
      <c r="F90" s="1931"/>
      <c r="G90" s="1931"/>
      <c r="H90" s="1931"/>
      <c r="I90" s="1931"/>
      <c r="J90" s="1931"/>
      <c r="K90" s="1931"/>
      <c r="L90" s="1931"/>
      <c r="M90" s="1931"/>
      <c r="N90" s="1931"/>
      <c r="O90" s="1931"/>
      <c r="P90" s="1931"/>
      <c r="Q90" s="1931"/>
      <c r="R90" s="1931"/>
      <c r="S90" s="1931"/>
      <c r="T90" s="1931"/>
      <c r="U90" s="1931"/>
      <c r="V90" s="1283"/>
    </row>
    <row r="91" spans="2:22" ht="3" customHeight="1" x14ac:dyDescent="0.4">
      <c r="B91" s="1281"/>
      <c r="C91" s="2169"/>
      <c r="D91" s="2169"/>
      <c r="E91" s="2169"/>
      <c r="F91" s="2169"/>
      <c r="G91" s="2169"/>
      <c r="H91" s="2169"/>
      <c r="I91" s="2169"/>
      <c r="J91" s="2169"/>
      <c r="K91" s="2169"/>
      <c r="L91" s="2169"/>
      <c r="M91" s="2169"/>
      <c r="N91" s="2169"/>
      <c r="O91" s="2169"/>
      <c r="P91" s="2169"/>
      <c r="Q91" s="2169"/>
      <c r="R91" s="2169"/>
      <c r="S91" s="2169"/>
      <c r="T91" s="2169"/>
      <c r="U91" s="2169"/>
      <c r="V91" s="1283"/>
    </row>
    <row r="92" spans="2:22" ht="15.95" customHeight="1" x14ac:dyDescent="0.4">
      <c r="B92" s="1281"/>
      <c r="C92" s="1910" t="str">
        <f>IF(AND(S31&gt;=Geral!P27,S31&lt;&gt;"Aguard. Dados"),"Nome:","")</f>
        <v/>
      </c>
      <c r="D92" s="1910"/>
      <c r="E92" s="1910" t="str">
        <f>IF(AND(S31&gt;=Geral!P27,S31&lt;&gt;"Aguard. Dados"),Geral!I15,"")</f>
        <v/>
      </c>
      <c r="F92" s="1910"/>
      <c r="G92" s="1910"/>
      <c r="H92" s="1910"/>
      <c r="I92" s="1910"/>
      <c r="J92" s="1910"/>
      <c r="K92" s="1910"/>
      <c r="L92" s="1910"/>
      <c r="M92" s="2168" t="str">
        <f>IF(AND(S31&gt;=Geral!P27,S31&lt;&gt;"Aguard. Dados"),"MaSP:","")</f>
        <v/>
      </c>
      <c r="N92" s="2168"/>
      <c r="O92" s="2172" t="str">
        <f>IF(AND(S31&gt;=Geral!P27,S31&lt;&gt;"Aguard. Dados"),Geral!T15,"")</f>
        <v/>
      </c>
      <c r="P92" s="2172"/>
      <c r="Q92" s="2172"/>
      <c r="R92" s="1932"/>
      <c r="S92" s="1932"/>
      <c r="T92" s="1932"/>
      <c r="U92" s="1932"/>
      <c r="V92" s="1283"/>
    </row>
    <row r="93" spans="2:22" ht="15.95" customHeight="1" x14ac:dyDescent="0.4">
      <c r="B93" s="1281"/>
      <c r="C93" s="1910" t="str">
        <f>IF(AND(S31&gt;=Geral!P27,S31&lt;&gt;"Aguard. Dados"),"Assinatura:","")</f>
        <v/>
      </c>
      <c r="D93" s="1910"/>
      <c r="E93" s="1910"/>
      <c r="F93" s="1910"/>
      <c r="G93" s="1910"/>
      <c r="H93" s="1910"/>
      <c r="I93" s="1910"/>
      <c r="J93" s="1910"/>
      <c r="K93" s="1910"/>
      <c r="L93" s="1910"/>
      <c r="M93" s="1910"/>
      <c r="N93" s="1910"/>
      <c r="O93" s="1910"/>
      <c r="P93" s="1910"/>
      <c r="Q93" s="1910"/>
      <c r="R93" s="1910"/>
      <c r="S93" s="1910"/>
      <c r="T93" s="1910"/>
      <c r="U93" s="1910"/>
      <c r="V93" s="1283"/>
    </row>
    <row r="94" spans="2:22" ht="15.95" customHeight="1" x14ac:dyDescent="0.4">
      <c r="B94" s="1281"/>
      <c r="C94" s="1932"/>
      <c r="D94" s="1932"/>
      <c r="E94" s="1932"/>
      <c r="F94" s="1932"/>
      <c r="G94" s="1932"/>
      <c r="H94" s="1932"/>
      <c r="I94" s="1932"/>
      <c r="J94" s="1932"/>
      <c r="K94" s="1932"/>
      <c r="L94" s="1932"/>
      <c r="M94" s="1932"/>
      <c r="N94" s="1932"/>
      <c r="O94" s="1932"/>
      <c r="P94" s="1932"/>
      <c r="Q94" s="1932"/>
      <c r="R94" s="1932"/>
      <c r="S94" s="1932"/>
      <c r="T94" s="1932"/>
      <c r="U94" s="1932"/>
      <c r="V94" s="1283"/>
    </row>
    <row r="95" spans="2:22" ht="15.95" customHeight="1" x14ac:dyDescent="0.4">
      <c r="B95" s="1281"/>
      <c r="C95" s="1932"/>
      <c r="D95" s="1932"/>
      <c r="E95" s="1932"/>
      <c r="F95" s="1932"/>
      <c r="G95" s="1932"/>
      <c r="H95" s="1932"/>
      <c r="I95" s="1932"/>
      <c r="J95" s="1932"/>
      <c r="K95" s="1932"/>
      <c r="L95" s="1932"/>
      <c r="M95" s="1932"/>
      <c r="N95" s="1932"/>
      <c r="O95" s="1932"/>
      <c r="P95" s="1932"/>
      <c r="Q95" s="1932"/>
      <c r="R95" s="1932"/>
      <c r="S95" s="1932"/>
      <c r="T95" s="1932"/>
      <c r="U95" s="1932"/>
      <c r="V95" s="1283"/>
    </row>
    <row r="96" spans="2:22" ht="15.95" customHeight="1" x14ac:dyDescent="0.4">
      <c r="B96" s="1281"/>
      <c r="C96" s="1931" t="str">
        <f>IF(AND(S31&gt;=Geral!T27,S31&lt;&gt;"Aguard. Dados"),Geral!C16,"")</f>
        <v/>
      </c>
      <c r="D96" s="1931"/>
      <c r="E96" s="1931"/>
      <c r="F96" s="1931"/>
      <c r="G96" s="1931"/>
      <c r="H96" s="1931"/>
      <c r="I96" s="1931"/>
      <c r="J96" s="1931"/>
      <c r="K96" s="1931"/>
      <c r="L96" s="1931"/>
      <c r="M96" s="1931"/>
      <c r="N96" s="1931"/>
      <c r="O96" s="1931"/>
      <c r="P96" s="1931"/>
      <c r="Q96" s="1931"/>
      <c r="R96" s="1931"/>
      <c r="S96" s="1931"/>
      <c r="T96" s="1931"/>
      <c r="U96" s="1931"/>
      <c r="V96" s="1283"/>
    </row>
    <row r="97" spans="2:22" ht="3" customHeight="1" x14ac:dyDescent="0.4">
      <c r="B97" s="1281"/>
      <c r="C97" s="1932"/>
      <c r="D97" s="1932"/>
      <c r="E97" s="1932"/>
      <c r="F97" s="1932"/>
      <c r="G97" s="1932"/>
      <c r="H97" s="1932"/>
      <c r="I97" s="1932"/>
      <c r="J97" s="1932"/>
      <c r="K97" s="1932"/>
      <c r="L97" s="1932"/>
      <c r="M97" s="1932"/>
      <c r="N97" s="1932"/>
      <c r="O97" s="1932"/>
      <c r="P97" s="1932"/>
      <c r="Q97" s="1932"/>
      <c r="R97" s="1932"/>
      <c r="S97" s="1932"/>
      <c r="T97" s="1932"/>
      <c r="U97" s="1932"/>
      <c r="V97" s="1283"/>
    </row>
    <row r="98" spans="2:22" ht="15.95" customHeight="1" x14ac:dyDescent="0.4">
      <c r="B98" s="1281"/>
      <c r="C98" s="1910" t="str">
        <f>IF(AND(S31&gt;=Geral!T27,S31&lt;&gt;"Aguard. Dados"),"Nome:","")</f>
        <v/>
      </c>
      <c r="D98" s="1910"/>
      <c r="E98" s="1910" t="str">
        <f>IF(AND(S31&gt;=Geral!T27,S31&lt;&gt;"Aguard. Dados"),Geral!I16,"")</f>
        <v/>
      </c>
      <c r="F98" s="1910"/>
      <c r="G98" s="1910"/>
      <c r="H98" s="1910"/>
      <c r="I98" s="1910"/>
      <c r="J98" s="1910"/>
      <c r="K98" s="1910"/>
      <c r="L98" s="1910"/>
      <c r="M98" s="2168" t="str">
        <f>IF(AND(S31&gt;=Geral!T27,S31&lt;&gt;"Aguard. Dados"),"MaSP:","")</f>
        <v/>
      </c>
      <c r="N98" s="2168"/>
      <c r="O98" s="2172" t="str">
        <f>IF(AND(S31&gt;=Geral!T27,S31&lt;&gt;"Aguard. Dados"),Geral!T16,"")</f>
        <v/>
      </c>
      <c r="P98" s="2172"/>
      <c r="Q98" s="2172"/>
      <c r="R98" s="1932"/>
      <c r="S98" s="1932"/>
      <c r="T98" s="1932"/>
      <c r="U98" s="1932"/>
      <c r="V98" s="1283"/>
    </row>
    <row r="99" spans="2:22" ht="15.95" customHeight="1" x14ac:dyDescent="0.4">
      <c r="B99" s="1281"/>
      <c r="C99" s="1910" t="str">
        <f>IF(AND(S31&gt;=Geral!T27,S31&lt;&gt;"Aguard. Dados"),"Assinatura:","")</f>
        <v/>
      </c>
      <c r="D99" s="1910"/>
      <c r="E99" s="1910"/>
      <c r="F99" s="1910"/>
      <c r="G99" s="1910"/>
      <c r="H99" s="1910"/>
      <c r="I99" s="1910"/>
      <c r="J99" s="1910"/>
      <c r="K99" s="1910"/>
      <c r="L99" s="1910"/>
      <c r="M99" s="1910"/>
      <c r="N99" s="1910"/>
      <c r="O99" s="1910"/>
      <c r="P99" s="1910"/>
      <c r="Q99" s="1910"/>
      <c r="R99" s="1910"/>
      <c r="S99" s="1910"/>
      <c r="T99" s="1910"/>
      <c r="U99" s="1910"/>
      <c r="V99" s="1283"/>
    </row>
    <row r="100" spans="2:22" ht="15.95" customHeight="1" thickBot="1" x14ac:dyDescent="0.45">
      <c r="B100" s="1295"/>
      <c r="C100" s="1296"/>
      <c r="D100" s="1297"/>
      <c r="E100" s="1297"/>
      <c r="F100" s="1297"/>
      <c r="G100" s="1297"/>
      <c r="H100" s="1297"/>
      <c r="I100" s="1297"/>
      <c r="J100" s="1297"/>
      <c r="K100" s="1297"/>
      <c r="L100" s="1297"/>
      <c r="M100" s="1297"/>
      <c r="N100" s="1297"/>
      <c r="O100" s="1297"/>
      <c r="P100" s="1297"/>
      <c r="Q100" s="1297"/>
      <c r="R100" s="1297"/>
      <c r="S100" s="1297"/>
      <c r="T100" s="1297"/>
      <c r="U100" s="1297"/>
      <c r="V100" s="1298"/>
    </row>
    <row r="101" spans="2:22" ht="15.95" customHeight="1" thickTop="1" x14ac:dyDescent="0.4"/>
  </sheetData>
  <sheetProtection sheet="1" objects="1" scenarios="1" selectLockedCells="1"/>
  <mergeCells count="309">
    <mergeCell ref="O62:Q62"/>
    <mergeCell ref="S26:T26"/>
    <mergeCell ref="S29:T29"/>
    <mergeCell ref="C30:E30"/>
    <mergeCell ref="F30:N30"/>
    <mergeCell ref="O30:P30"/>
    <mergeCell ref="Q30:R30"/>
    <mergeCell ref="S30:T30"/>
    <mergeCell ref="S27:T27"/>
    <mergeCell ref="S28:T28"/>
    <mergeCell ref="Q29:R29"/>
    <mergeCell ref="C29:E29"/>
    <mergeCell ref="O29:P29"/>
    <mergeCell ref="K59:L59"/>
    <mergeCell ref="M59:O59"/>
    <mergeCell ref="F48:M48"/>
    <mergeCell ref="N48:U48"/>
    <mergeCell ref="E44:U44"/>
    <mergeCell ref="P59:Q59"/>
    <mergeCell ref="R59:T59"/>
    <mergeCell ref="D40:E40"/>
    <mergeCell ref="H40:I40"/>
    <mergeCell ref="G50:U50"/>
    <mergeCell ref="H57:U57"/>
    <mergeCell ref="C87:U87"/>
    <mergeCell ref="C88:U88"/>
    <mergeCell ref="C69:D69"/>
    <mergeCell ref="O68:Q68"/>
    <mergeCell ref="C89:U89"/>
    <mergeCell ref="C86:D86"/>
    <mergeCell ref="C84:U84"/>
    <mergeCell ref="E86:L86"/>
    <mergeCell ref="M86:N86"/>
    <mergeCell ref="C82:U82"/>
    <mergeCell ref="C77:U77"/>
    <mergeCell ref="C80:D80"/>
    <mergeCell ref="M80:N80"/>
    <mergeCell ref="E80:L80"/>
    <mergeCell ref="C79:U79"/>
    <mergeCell ref="C85:U85"/>
    <mergeCell ref="O86:Q86"/>
    <mergeCell ref="O80:Q80"/>
    <mergeCell ref="R86:U86"/>
    <mergeCell ref="R80:U80"/>
    <mergeCell ref="C83:U83"/>
    <mergeCell ref="C81:U81"/>
    <mergeCell ref="R68:U68"/>
    <mergeCell ref="O75:Q75"/>
    <mergeCell ref="C99:U99"/>
    <mergeCell ref="E98:L98"/>
    <mergeCell ref="M98:N98"/>
    <mergeCell ref="O98:Q98"/>
    <mergeCell ref="R98:U98"/>
    <mergeCell ref="C96:U96"/>
    <mergeCell ref="C97:U97"/>
    <mergeCell ref="C98:D98"/>
    <mergeCell ref="C90:U90"/>
    <mergeCell ref="C94:U94"/>
    <mergeCell ref="C92:D92"/>
    <mergeCell ref="E92:L92"/>
    <mergeCell ref="M92:N92"/>
    <mergeCell ref="C93:U93"/>
    <mergeCell ref="C91:U91"/>
    <mergeCell ref="O92:Q92"/>
    <mergeCell ref="R92:U92"/>
    <mergeCell ref="C95:U95"/>
    <mergeCell ref="C78:U78"/>
    <mergeCell ref="R75:U75"/>
    <mergeCell ref="C74:U74"/>
    <mergeCell ref="C66:U66"/>
    <mergeCell ref="C68:D68"/>
    <mergeCell ref="M68:N68"/>
    <mergeCell ref="C67:U67"/>
    <mergeCell ref="C71:U71"/>
    <mergeCell ref="C73:U73"/>
    <mergeCell ref="E75:L75"/>
    <mergeCell ref="M75:N75"/>
    <mergeCell ref="C75:D75"/>
    <mergeCell ref="C76:U76"/>
    <mergeCell ref="E68:L68"/>
    <mergeCell ref="C8:F8"/>
    <mergeCell ref="Q8:R8"/>
    <mergeCell ref="T8:U8"/>
    <mergeCell ref="N31:P31"/>
    <mergeCell ref="M64:U64"/>
    <mergeCell ref="C62:E62"/>
    <mergeCell ref="F62:N62"/>
    <mergeCell ref="C53:U53"/>
    <mergeCell ref="C51:L51"/>
    <mergeCell ref="F52:U52"/>
    <mergeCell ref="K58:L58"/>
    <mergeCell ref="D58:F58"/>
    <mergeCell ref="H58:J58"/>
    <mergeCell ref="M58:O58"/>
    <mergeCell ref="R58:T58"/>
    <mergeCell ref="D59:F59"/>
    <mergeCell ref="H59:J59"/>
    <mergeCell ref="C54:U54"/>
    <mergeCell ref="Q55:U55"/>
    <mergeCell ref="L55:P55"/>
    <mergeCell ref="C52:E52"/>
    <mergeCell ref="C64:K64"/>
    <mergeCell ref="D60:F60"/>
    <mergeCell ref="R62:U62"/>
    <mergeCell ref="B3:V3"/>
    <mergeCell ref="B4:B36"/>
    <mergeCell ref="V4:V36"/>
    <mergeCell ref="R6:S6"/>
    <mergeCell ref="T6:U6"/>
    <mergeCell ref="S31:U31"/>
    <mergeCell ref="C34:U34"/>
    <mergeCell ref="C5:U5"/>
    <mergeCell ref="Q11:R11"/>
    <mergeCell ref="S11:U11"/>
    <mergeCell ref="Q12:R12"/>
    <mergeCell ref="S12:U12"/>
    <mergeCell ref="F4:R4"/>
    <mergeCell ref="S4:T4"/>
    <mergeCell ref="C7:F7"/>
    <mergeCell ref="G6:Q6"/>
    <mergeCell ref="C6:F6"/>
    <mergeCell ref="G18:H18"/>
    <mergeCell ref="C25:E25"/>
    <mergeCell ref="L19:N19"/>
    <mergeCell ref="C9:E9"/>
    <mergeCell ref="G9:H9"/>
    <mergeCell ref="C21:E21"/>
    <mergeCell ref="H8:O8"/>
    <mergeCell ref="AL3:AL16"/>
    <mergeCell ref="AG4:AK5"/>
    <mergeCell ref="AG6:AK6"/>
    <mergeCell ref="AG11:AK11"/>
    <mergeCell ref="AG7:AK8"/>
    <mergeCell ref="AG9:AK10"/>
    <mergeCell ref="Y12:AA12"/>
    <mergeCell ref="AB12:AF12"/>
    <mergeCell ref="AG12:AK12"/>
    <mergeCell ref="Y11:AA11"/>
    <mergeCell ref="AB11:AF11"/>
    <mergeCell ref="AG13:AK13"/>
    <mergeCell ref="Y4:AA5"/>
    <mergeCell ref="AB4:AF5"/>
    <mergeCell ref="Y6:AA6"/>
    <mergeCell ref="AB6:AF6"/>
    <mergeCell ref="Y7:AA8"/>
    <mergeCell ref="AB7:AF8"/>
    <mergeCell ref="Y9:AA10"/>
    <mergeCell ref="AB9:AF10"/>
    <mergeCell ref="Y13:AA13"/>
    <mergeCell ref="AB13:AF13"/>
    <mergeCell ref="Y16:AC16"/>
    <mergeCell ref="AD16:AJ16"/>
    <mergeCell ref="O23:P23"/>
    <mergeCell ref="O26:P26"/>
    <mergeCell ref="O24:P24"/>
    <mergeCell ref="C10:U10"/>
    <mergeCell ref="M11:P11"/>
    <mergeCell ref="J13:K13"/>
    <mergeCell ref="I9:Q9"/>
    <mergeCell ref="R9:U9"/>
    <mergeCell ref="U14:U16"/>
    <mergeCell ref="T14:T16"/>
    <mergeCell ref="S18:T18"/>
    <mergeCell ref="S25:T25"/>
    <mergeCell ref="C17:U17"/>
    <mergeCell ref="C22:E22"/>
    <mergeCell ref="Q20:R20"/>
    <mergeCell ref="O18:P18"/>
    <mergeCell ref="L18:N18"/>
    <mergeCell ref="Q18:R18"/>
    <mergeCell ref="C20:E20"/>
    <mergeCell ref="C23:E23"/>
    <mergeCell ref="C18:E18"/>
    <mergeCell ref="I18:J18"/>
    <mergeCell ref="K15:L15"/>
    <mergeCell ref="K16:L16"/>
    <mergeCell ref="C19:E19"/>
    <mergeCell ref="C11:H13"/>
    <mergeCell ref="M12:P12"/>
    <mergeCell ref="I11:L11"/>
    <mergeCell ref="F14:H14"/>
    <mergeCell ref="C14:E14"/>
    <mergeCell ref="E15:G15"/>
    <mergeCell ref="C16:D16"/>
    <mergeCell ref="E16:G16"/>
    <mergeCell ref="K14:L14"/>
    <mergeCell ref="I14:J14"/>
    <mergeCell ref="I15:J15"/>
    <mergeCell ref="I16:J16"/>
    <mergeCell ref="M13:N16"/>
    <mergeCell ref="O13:U13"/>
    <mergeCell ref="O14:O16"/>
    <mergeCell ref="P14:P16"/>
    <mergeCell ref="Q14:Q16"/>
    <mergeCell ref="AH19:AK19"/>
    <mergeCell ref="Y22:AG22"/>
    <mergeCell ref="AJ22:AK22"/>
    <mergeCell ref="AH22:AI22"/>
    <mergeCell ref="G19:H19"/>
    <mergeCell ref="G22:H22"/>
    <mergeCell ref="I19:J19"/>
    <mergeCell ref="S19:T19"/>
    <mergeCell ref="S22:T22"/>
    <mergeCell ref="Q19:R19"/>
    <mergeCell ref="Q22:R22"/>
    <mergeCell ref="O20:P20"/>
    <mergeCell ref="O19:P19"/>
    <mergeCell ref="O22:P22"/>
    <mergeCell ref="F20:N20"/>
    <mergeCell ref="S20:T20"/>
    <mergeCell ref="I22:J22"/>
    <mergeCell ref="Y19:AC19"/>
    <mergeCell ref="AD19:AG19"/>
    <mergeCell ref="S21:T21"/>
    <mergeCell ref="F21:N21"/>
    <mergeCell ref="O21:P21"/>
    <mergeCell ref="Q21:R21"/>
    <mergeCell ref="L22:N22"/>
    <mergeCell ref="G25:H25"/>
    <mergeCell ref="I25:J25"/>
    <mergeCell ref="F27:N27"/>
    <mergeCell ref="C27:E27"/>
    <mergeCell ref="O27:P27"/>
    <mergeCell ref="Q27:R27"/>
    <mergeCell ref="Q26:R26"/>
    <mergeCell ref="C26:E26"/>
    <mergeCell ref="F24:N24"/>
    <mergeCell ref="Q24:R24"/>
    <mergeCell ref="Q28:R28"/>
    <mergeCell ref="C46:U46"/>
    <mergeCell ref="I32:N32"/>
    <mergeCell ref="G32:H32"/>
    <mergeCell ref="O32:P32"/>
    <mergeCell ref="Q32:R32"/>
    <mergeCell ref="C31:E31"/>
    <mergeCell ref="O28:P28"/>
    <mergeCell ref="L28:N28"/>
    <mergeCell ref="P58:Q58"/>
    <mergeCell ref="C56:U56"/>
    <mergeCell ref="C57:G57"/>
    <mergeCell ref="Y31:AA31"/>
    <mergeCell ref="Y50:AF50"/>
    <mergeCell ref="F29:N29"/>
    <mergeCell ref="S33:U33"/>
    <mergeCell ref="Q33:R33"/>
    <mergeCell ref="G33:H33"/>
    <mergeCell ref="O33:P33"/>
    <mergeCell ref="I33:N33"/>
    <mergeCell ref="Q31:R31"/>
    <mergeCell ref="S32:U32"/>
    <mergeCell ref="Y45:AK45"/>
    <mergeCell ref="AG46:AK46"/>
    <mergeCell ref="AG48:AK48"/>
    <mergeCell ref="AG49:AK49"/>
    <mergeCell ref="Y38:AG38"/>
    <mergeCell ref="AG50:AK50"/>
    <mergeCell ref="AG47:AK47"/>
    <mergeCell ref="Y46:AF46"/>
    <mergeCell ref="Y47:AF47"/>
    <mergeCell ref="Y41:AA41"/>
    <mergeCell ref="G31:H31"/>
    <mergeCell ref="Y49:AF49"/>
    <mergeCell ref="C55:K55"/>
    <mergeCell ref="AJ25:AK25"/>
    <mergeCell ref="AH25:AI25"/>
    <mergeCell ref="R51:U51"/>
    <mergeCell ref="C50:F50"/>
    <mergeCell ref="C48:E48"/>
    <mergeCell ref="M51:N51"/>
    <mergeCell ref="O51:Q51"/>
    <mergeCell ref="B41:J41"/>
    <mergeCell ref="C47:H47"/>
    <mergeCell ref="AB31:AF31"/>
    <mergeCell ref="C35:G35"/>
    <mergeCell ref="H35:U35"/>
    <mergeCell ref="L25:N25"/>
    <mergeCell ref="AG31:AK31"/>
    <mergeCell ref="Y34:AK34"/>
    <mergeCell ref="C38:G38"/>
    <mergeCell ref="I38:L38"/>
    <mergeCell ref="M38:N38"/>
    <mergeCell ref="C39:U39"/>
    <mergeCell ref="P38:Q38"/>
    <mergeCell ref="X36:AL37"/>
    <mergeCell ref="AH38:AI38"/>
    <mergeCell ref="AO7:AO8"/>
    <mergeCell ref="AO10:AO11"/>
    <mergeCell ref="AP10:AP11"/>
    <mergeCell ref="AP7:AP8"/>
    <mergeCell ref="S38:T38"/>
    <mergeCell ref="I31:M31"/>
    <mergeCell ref="F26:N26"/>
    <mergeCell ref="C36:U36"/>
    <mergeCell ref="Y48:AF48"/>
    <mergeCell ref="F23:N23"/>
    <mergeCell ref="S23:T23"/>
    <mergeCell ref="S24:T24"/>
    <mergeCell ref="Y25:AG25"/>
    <mergeCell ref="I47:U47"/>
    <mergeCell ref="E45:U45"/>
    <mergeCell ref="M40:R40"/>
    <mergeCell ref="S40:U40"/>
    <mergeCell ref="O25:P25"/>
    <mergeCell ref="Q23:R23"/>
    <mergeCell ref="C24:E24"/>
    <mergeCell ref="Q25:R25"/>
    <mergeCell ref="C28:E28"/>
    <mergeCell ref="G28:H28"/>
    <mergeCell ref="I28:J28"/>
  </mergeCells>
  <conditionalFormatting sqref="Q28">
    <cfRule type="expression" dxfId="438" priority="268">
      <formula>IF(Q28&lt;&gt;"",1,0)</formula>
    </cfRule>
  </conditionalFormatting>
  <conditionalFormatting sqref="Q19">
    <cfRule type="expression" dxfId="437" priority="267">
      <formula>IF(Q19&lt;&gt;"",1,0)</formula>
    </cfRule>
  </conditionalFormatting>
  <conditionalFormatting sqref="F19:F20">
    <cfRule type="expression" dxfId="436" priority="231">
      <formula>IF(AG6&gt;3,1,0)</formula>
    </cfRule>
  </conditionalFormatting>
  <conditionalFormatting sqref="F18">
    <cfRule type="expression" dxfId="435" priority="229">
      <formula>IF(AG6&gt;3,1,0)</formula>
    </cfRule>
  </conditionalFormatting>
  <conditionalFormatting sqref="G19:H19">
    <cfRule type="expression" dxfId="434" priority="226">
      <formula>IF(AG6&gt;3,1,0)</formula>
    </cfRule>
  </conditionalFormatting>
  <conditionalFormatting sqref="C18:E18">
    <cfRule type="expression" dxfId="433" priority="225">
      <formula>IF(AG6&gt;3,1,0)</formula>
    </cfRule>
  </conditionalFormatting>
  <conditionalFormatting sqref="G18:H18">
    <cfRule type="expression" dxfId="432" priority="224">
      <formula>IF(AG6&gt;3,1,0)</formula>
    </cfRule>
  </conditionalFormatting>
  <conditionalFormatting sqref="I18">
    <cfRule type="expression" dxfId="431" priority="223">
      <formula>IF(AG6&gt;3,1,0)</formula>
    </cfRule>
  </conditionalFormatting>
  <conditionalFormatting sqref="K18">
    <cfRule type="expression" dxfId="430" priority="222">
      <formula>IF(AG6&gt;3,1,0)</formula>
    </cfRule>
  </conditionalFormatting>
  <conditionalFormatting sqref="O18">
    <cfRule type="expression" dxfId="429" priority="221">
      <formula>IF(AG6&gt;3,1,0)</formula>
    </cfRule>
  </conditionalFormatting>
  <conditionalFormatting sqref="I13">
    <cfRule type="expression" dxfId="428" priority="220">
      <formula>IF(AND(AG6&lt;&gt;3,AG6&lt;&gt;8),1,0)</formula>
    </cfRule>
  </conditionalFormatting>
  <conditionalFormatting sqref="J13:K13">
    <cfRule type="expression" dxfId="427" priority="219">
      <formula>IF(AND(AG6&lt;&gt;3,AG6&lt;&gt;8),1,0)</formula>
    </cfRule>
  </conditionalFormatting>
  <conditionalFormatting sqref="I14">
    <cfRule type="expression" dxfId="426" priority="218">
      <formula>IF(AND(AG6&lt;&gt;3,AG6&lt;&gt;8),1,0)</formula>
    </cfRule>
  </conditionalFormatting>
  <conditionalFormatting sqref="F25:F27">
    <cfRule type="expression" dxfId="425" priority="212">
      <formula>IF(C25="",1,0)</formula>
    </cfRule>
  </conditionalFormatting>
  <conditionalFormatting sqref="F28:F30">
    <cfRule type="expression" dxfId="424" priority="206">
      <formula>IF(C28="",1,0)</formula>
    </cfRule>
  </conditionalFormatting>
  <conditionalFormatting sqref="I31:L31">
    <cfRule type="expression" dxfId="423" priority="203">
      <formula>IF(AG6&lt;4,1,0)</formula>
    </cfRule>
  </conditionalFormatting>
  <conditionalFormatting sqref="I16">
    <cfRule type="expression" dxfId="422" priority="334">
      <formula>IF(AND(AG6&lt;&gt;3,AG6&lt;&gt;8),1,0)</formula>
    </cfRule>
  </conditionalFormatting>
  <conditionalFormatting sqref="I15">
    <cfRule type="expression" dxfId="421" priority="202">
      <formula>IF(AND(AG6&lt;&gt;3,AG6&lt;&gt;8),1,0)</formula>
    </cfRule>
  </conditionalFormatting>
  <conditionalFormatting sqref="L13">
    <cfRule type="expression" dxfId="420" priority="200">
      <formula>IF(AND(AG6&lt;&gt;1,AG6&lt;&gt;2,AG6&lt;&gt;3),1,0)</formula>
    </cfRule>
  </conditionalFormatting>
  <conditionalFormatting sqref="C15">
    <cfRule type="expression" dxfId="419" priority="197">
      <formula>IF(AG6&lt;&gt;3,1,0)</formula>
    </cfRule>
  </conditionalFormatting>
  <conditionalFormatting sqref="D15">
    <cfRule type="expression" dxfId="418" priority="196">
      <formula>IF(AG6&lt;&gt;3,1,0)</formula>
    </cfRule>
  </conditionalFormatting>
  <conditionalFormatting sqref="E15">
    <cfRule type="expression" dxfId="417" priority="195">
      <formula>IF(AG6&lt;&gt;3,1,0)</formula>
    </cfRule>
  </conditionalFormatting>
  <conditionalFormatting sqref="C16:D16">
    <cfRule type="expression" dxfId="416" priority="168">
      <formula>IF(AG6&gt;3,1,0)</formula>
    </cfRule>
    <cfRule type="expression" dxfId="415" priority="194">
      <formula>IF(AND(AG6&lt;&gt;1,AG6&lt;&gt;2,AG6&lt;&gt;3),1,0)</formula>
    </cfRule>
  </conditionalFormatting>
  <conditionalFormatting sqref="E16:F16">
    <cfRule type="expression" dxfId="414" priority="193">
      <formula>IF(AND(AG6&lt;&gt;1,AG6&lt;&gt;2,AG6&lt;&gt;3),1,0)</formula>
    </cfRule>
  </conditionalFormatting>
  <conditionalFormatting sqref="H15">
    <cfRule type="expression" dxfId="413" priority="170">
      <formula>IF(AG6&gt;3,1,0)</formula>
    </cfRule>
    <cfRule type="expression" dxfId="412" priority="192">
      <formula>IF(AND(AG6&lt;&gt;1,AG6&lt;&gt;2,AG6&lt;&gt;3),1,0)</formula>
    </cfRule>
  </conditionalFormatting>
  <conditionalFormatting sqref="H16">
    <cfRule type="expression" dxfId="411" priority="169">
      <formula>IF(AG6&gt;3,1,0)</formula>
    </cfRule>
    <cfRule type="expression" dxfId="410" priority="191">
      <formula>IF(AND(AG6&lt;&gt;1,AG6&lt;&gt;2,AG6&lt;&gt;3),1,0)</formula>
    </cfRule>
  </conditionalFormatting>
  <conditionalFormatting sqref="K14:L14">
    <cfRule type="expression" dxfId="409" priority="187">
      <formula>IF(AND(AG6&lt;&gt;3,AG6&lt;&gt;8),1,0)</formula>
    </cfRule>
  </conditionalFormatting>
  <conditionalFormatting sqref="K15:L15">
    <cfRule type="expression" dxfId="408" priority="186">
      <formula>IF(AND(AG6&lt;&gt;3,AG6&lt;&gt;8),1,0)</formula>
    </cfRule>
  </conditionalFormatting>
  <conditionalFormatting sqref="K16:L16">
    <cfRule type="expression" dxfId="407" priority="185">
      <formula>IF(AND(AG6&lt;&gt;3,AG6&lt;&gt;8),1,0)</formula>
    </cfRule>
  </conditionalFormatting>
  <conditionalFormatting sqref="L18">
    <cfRule type="expression" dxfId="406" priority="184">
      <formula>IF(AG6&gt;3,1,0)</formula>
    </cfRule>
  </conditionalFormatting>
  <conditionalFormatting sqref="U18">
    <cfRule type="expression" dxfId="405" priority="161">
      <formula>IF(AG6&gt;3,1,0)</formula>
    </cfRule>
    <cfRule type="expression" dxfId="404" priority="183">
      <formula>IF(AG6&gt;3,1,0)</formula>
    </cfRule>
  </conditionalFormatting>
  <conditionalFormatting sqref="K19">
    <cfRule type="expression" dxfId="403" priority="88">
      <formula>IF(K19&lt;&gt;"",1,0)</formula>
    </cfRule>
    <cfRule type="expression" dxfId="402" priority="180">
      <formula>IF(AG6&gt;3,1,0)</formula>
    </cfRule>
  </conditionalFormatting>
  <conditionalFormatting sqref="K22">
    <cfRule type="expression" dxfId="401" priority="87">
      <formula>IF(K22&lt;&gt;"",1,0)</formula>
    </cfRule>
    <cfRule type="expression" dxfId="400" priority="179">
      <formula>IF(AG6&gt;3,1,0)</formula>
    </cfRule>
  </conditionalFormatting>
  <conditionalFormatting sqref="K25">
    <cfRule type="expression" dxfId="399" priority="86">
      <formula>IF(K25&lt;&gt;"",1,0)</formula>
    </cfRule>
    <cfRule type="expression" dxfId="398" priority="115">
      <formula>IF(AG6&lt;3,1,0)</formula>
    </cfRule>
    <cfRule type="expression" dxfId="397" priority="178">
      <formula>IF(AG6&gt;3,1,0)</formula>
    </cfRule>
  </conditionalFormatting>
  <conditionalFormatting sqref="K28">
    <cfRule type="expression" dxfId="396" priority="85">
      <formula>IF(Q28&lt;&gt;"",1,0)</formula>
    </cfRule>
    <cfRule type="expression" dxfId="395" priority="106">
      <formula>IF(AG6&lt;3,1,0)</formula>
    </cfRule>
    <cfRule type="expression" dxfId="394" priority="177">
      <formula>IF(AG6&gt;3,1,0)</formula>
    </cfRule>
  </conditionalFormatting>
  <conditionalFormatting sqref="I22:J22">
    <cfRule type="expression" dxfId="393" priority="176">
      <formula>IF(AG6&gt;3,1,0)</formula>
    </cfRule>
  </conditionalFormatting>
  <conditionalFormatting sqref="I25:J25">
    <cfRule type="expression" dxfId="392" priority="114">
      <formula>IF(AG6&lt;3,1,0)</formula>
    </cfRule>
    <cfRule type="expression" dxfId="391" priority="175">
      <formula>IF(AG6&gt;3,1,0)</formula>
    </cfRule>
  </conditionalFormatting>
  <conditionalFormatting sqref="I28:J28">
    <cfRule type="expression" dxfId="390" priority="101">
      <formula>IF(AG6&lt;3,1,0)</formula>
    </cfRule>
    <cfRule type="expression" dxfId="389" priority="174">
      <formula>IF(AG6&gt;3,1,0)</formula>
    </cfRule>
  </conditionalFormatting>
  <conditionalFormatting sqref="G22:H22">
    <cfRule type="expression" dxfId="388" priority="173">
      <formula>IF(AG6&gt;3,1,0)</formula>
    </cfRule>
  </conditionalFormatting>
  <conditionalFormatting sqref="G25:H25">
    <cfRule type="expression" dxfId="387" priority="116">
      <formula>IF(AG6&lt;3,1,0)</formula>
    </cfRule>
    <cfRule type="expression" dxfId="386" priority="172">
      <formula>IF(AG6&gt;3,1,0)</formula>
    </cfRule>
  </conditionalFormatting>
  <conditionalFormatting sqref="G28:H28">
    <cfRule type="expression" dxfId="385" priority="107">
      <formula>IF(AG6&lt;3,1,0)</formula>
    </cfRule>
    <cfRule type="expression" dxfId="384" priority="171">
      <formula>IF(AG6&gt;3,1,0)</formula>
    </cfRule>
  </conditionalFormatting>
  <conditionalFormatting sqref="E15:G15">
    <cfRule type="expression" dxfId="383" priority="166">
      <formula>IF(AG6&gt;3,1,0)</formula>
    </cfRule>
  </conditionalFormatting>
  <conditionalFormatting sqref="U19:U20">
    <cfRule type="expression" dxfId="382" priority="165">
      <formula>IF(AG6&gt;3,1,0)</formula>
    </cfRule>
  </conditionalFormatting>
  <conditionalFormatting sqref="U22:U24">
    <cfRule type="expression" dxfId="381" priority="164">
      <formula>IF(AG6&gt;3,1,0)</formula>
    </cfRule>
  </conditionalFormatting>
  <conditionalFormatting sqref="L19:N19">
    <cfRule type="expression" dxfId="380" priority="160">
      <formula>IF(AG6&gt;3,1,0)</formula>
    </cfRule>
  </conditionalFormatting>
  <conditionalFormatting sqref="Q19:R19">
    <cfRule type="expression" dxfId="379" priority="159">
      <formula>IF(AG6&gt;3,1,0)</formula>
    </cfRule>
  </conditionalFormatting>
  <conditionalFormatting sqref="C20:E20">
    <cfRule type="expression" dxfId="378" priority="158">
      <formula>IF(AG6&gt;3,1,0)</formula>
    </cfRule>
  </conditionalFormatting>
  <conditionalFormatting sqref="U20">
    <cfRule type="expression" dxfId="377" priority="147">
      <formula>IF(AG6&gt;3,1,0)</formula>
    </cfRule>
  </conditionalFormatting>
  <conditionalFormatting sqref="U23:U24">
    <cfRule type="expression" dxfId="376" priority="146">
      <formula>IF(AG6&gt;3,1,0)</formula>
    </cfRule>
  </conditionalFormatting>
  <conditionalFormatting sqref="S23:T23">
    <cfRule type="expression" dxfId="375" priority="144">
      <formula>IF(AG6&gt;3,1,0)</formula>
    </cfRule>
  </conditionalFormatting>
  <conditionalFormatting sqref="Q22:R22">
    <cfRule type="expression" dxfId="374" priority="136">
      <formula>IF(Q22&lt;&gt;"",1,0)</formula>
    </cfRule>
    <cfRule type="expression" dxfId="373" priority="143">
      <formula>IF(AG6&gt;3,1,0)</formula>
    </cfRule>
  </conditionalFormatting>
  <conditionalFormatting sqref="O22:P22">
    <cfRule type="expression" dxfId="372" priority="81">
      <formula>IF(Q22&lt;&gt;"",1,0)</formula>
    </cfRule>
    <cfRule type="expression" dxfId="371" priority="142">
      <formula>IF(AG6&gt;3,1,0)</formula>
    </cfRule>
  </conditionalFormatting>
  <conditionalFormatting sqref="L22:N22">
    <cfRule type="expression" dxfId="370" priority="141">
      <formula>IF(AG6&gt;3,1,0)</formula>
    </cfRule>
  </conditionalFormatting>
  <conditionalFormatting sqref="F20:N20">
    <cfRule type="expression" dxfId="369" priority="140">
      <formula>IF(AG6&gt;3,1,0)</formula>
    </cfRule>
    <cfRule type="expression" dxfId="368" priority="156">
      <formula>IF(AG6&gt;3,1,0)</formula>
    </cfRule>
  </conditionalFormatting>
  <conditionalFormatting sqref="S20:T20">
    <cfRule type="expression" dxfId="367" priority="139">
      <formula>IF(AG6&gt;3,1,0)</formula>
    </cfRule>
    <cfRule type="expression" dxfId="366" priority="149">
      <formula>IF(AG6&gt;3,1,0)</formula>
    </cfRule>
  </conditionalFormatting>
  <conditionalFormatting sqref="F23:N23">
    <cfRule type="expression" dxfId="365" priority="138">
      <formula>IF(AG6&gt;3,1,0)</formula>
    </cfRule>
  </conditionalFormatting>
  <conditionalFormatting sqref="C23:E23 C24">
    <cfRule type="expression" dxfId="364" priority="137">
      <formula>IF(AG6&gt;3,1,0)</formula>
    </cfRule>
  </conditionalFormatting>
  <conditionalFormatting sqref="L25:N25">
    <cfRule type="expression" dxfId="363" priority="72">
      <formula>IF(AG6=2,1,0)</formula>
    </cfRule>
    <cfRule type="expression" dxfId="362" priority="73">
      <formula>IF(AG6=1,1,0)</formula>
    </cfRule>
    <cfRule type="expression" dxfId="361" priority="135">
      <formula>IF(AG6&gt;3,1,0)</formula>
    </cfRule>
  </conditionalFormatting>
  <conditionalFormatting sqref="O25:P25">
    <cfRule type="expression" dxfId="360" priority="79">
      <formula>IF(Q25&lt;&gt;"",1,0)</formula>
    </cfRule>
    <cfRule type="expression" dxfId="359" priority="113">
      <formula>IF(AG6&lt;3,1,0)</formula>
    </cfRule>
    <cfRule type="expression" dxfId="358" priority="134">
      <formula>IF(AG6&gt;3,1,0)</formula>
    </cfRule>
  </conditionalFormatting>
  <conditionalFormatting sqref="F26:N26 F27">
    <cfRule type="expression" dxfId="357" priority="133">
      <formula>IF(AG6&gt;3,1,0)</formula>
    </cfRule>
  </conditionalFormatting>
  <conditionalFormatting sqref="S25:T25">
    <cfRule type="expression" dxfId="356" priority="112">
      <formula>IF(AG6&lt;3,1,0)</formula>
    </cfRule>
    <cfRule type="expression" dxfId="355" priority="132">
      <formula>IF(AG6&gt;3,1,0)</formula>
    </cfRule>
  </conditionalFormatting>
  <conditionalFormatting sqref="L28:N28">
    <cfRule type="expression" dxfId="354" priority="100">
      <formula>IF(AG6&lt;3,1,0)</formula>
    </cfRule>
    <cfRule type="expression" dxfId="353" priority="130">
      <formula>IF(AG6&gt;3,1,0)</formula>
    </cfRule>
  </conditionalFormatting>
  <conditionalFormatting sqref="O28:P28">
    <cfRule type="expression" dxfId="352" priority="77">
      <formula>IF(Q28&lt;&gt;"",1,0)</formula>
    </cfRule>
    <cfRule type="expression" dxfId="351" priority="105">
      <formula>IF(AG6&lt;3,1,0)</formula>
    </cfRule>
    <cfRule type="expression" dxfId="350" priority="129">
      <formula>IF(AG6&gt;3,1,0)</formula>
    </cfRule>
  </conditionalFormatting>
  <conditionalFormatting sqref="C26:E26 C27">
    <cfRule type="expression" dxfId="349" priority="128">
      <formula>IF(AG6&gt;3,1,0)</formula>
    </cfRule>
  </conditionalFormatting>
  <conditionalFormatting sqref="U26">
    <cfRule type="expression" dxfId="348" priority="127">
      <formula>IF(AG6&gt;3,1,0)</formula>
    </cfRule>
  </conditionalFormatting>
  <conditionalFormatting sqref="S28:T28">
    <cfRule type="expression" dxfId="347" priority="104">
      <formula>IF(AG6&lt;3,1,0)</formula>
    </cfRule>
    <cfRule type="expression" dxfId="346" priority="126">
      <formula>IF(AG6&gt;3,1,0)</formula>
    </cfRule>
  </conditionalFormatting>
  <conditionalFormatting sqref="S29:T29">
    <cfRule type="expression" dxfId="345" priority="4">
      <formula>IF(AG6&lt;3,1,0)</formula>
    </cfRule>
    <cfRule type="expression" dxfId="344" priority="125">
      <formula>IF(AG6&gt;3,1,0)</formula>
    </cfRule>
  </conditionalFormatting>
  <conditionalFormatting sqref="U29">
    <cfRule type="expression" dxfId="343" priority="124">
      <formula>IF(AG6&gt;3,1,0)</formula>
    </cfRule>
  </conditionalFormatting>
  <conditionalFormatting sqref="F29:N29 F30">
    <cfRule type="expression" dxfId="342" priority="121">
      <formula>IF(AG6&gt;3,1,0)</formula>
    </cfRule>
  </conditionalFormatting>
  <conditionalFormatting sqref="C29:E29 C30">
    <cfRule type="expression" dxfId="341" priority="120">
      <formula>IF(AG6&gt;3,1,0)</formula>
    </cfRule>
  </conditionalFormatting>
  <conditionalFormatting sqref="C25:E25">
    <cfRule type="expression" dxfId="340" priority="118">
      <formula>IF(AG6&lt;3,1,0)</formula>
    </cfRule>
  </conditionalFormatting>
  <conditionalFormatting sqref="F25">
    <cfRule type="expression" dxfId="339" priority="117">
      <formula>IF(AG6&lt;3,1,0)</formula>
    </cfRule>
  </conditionalFormatting>
  <conditionalFormatting sqref="U25">
    <cfRule type="expression" dxfId="338" priority="111">
      <formula>IF(AG6&lt;3,1,0)</formula>
    </cfRule>
  </conditionalFormatting>
  <conditionalFormatting sqref="C28:E28">
    <cfRule type="expression" dxfId="337" priority="103">
      <formula>IF(AG6&lt;3,1,0)</formula>
    </cfRule>
  </conditionalFormatting>
  <conditionalFormatting sqref="F28">
    <cfRule type="expression" dxfId="336" priority="102">
      <formula>IF(AG6&lt;3,1,0)</formula>
    </cfRule>
  </conditionalFormatting>
  <conditionalFormatting sqref="Q28:R28">
    <cfRule type="expression" dxfId="335" priority="99">
      <formula>IF(AG6&lt;3,1,0)</formula>
    </cfRule>
  </conditionalFormatting>
  <conditionalFormatting sqref="U28">
    <cfRule type="expression" dxfId="334" priority="98">
      <formula>IF(AG6&lt;3,1,0)</formula>
    </cfRule>
  </conditionalFormatting>
  <conditionalFormatting sqref="Q25:R25">
    <cfRule type="expression" dxfId="333" priority="91">
      <formula>IF(Q25&lt;&gt;"",1,0)</formula>
    </cfRule>
  </conditionalFormatting>
  <conditionalFormatting sqref="O19:P19">
    <cfRule type="expression" dxfId="332" priority="83">
      <formula>IF(Q19&lt;&gt;"",1,0)</formula>
    </cfRule>
  </conditionalFormatting>
  <conditionalFormatting sqref="C40">
    <cfRule type="expression" dxfId="331" priority="59">
      <formula>IF(C40=2979,1,0)</formula>
    </cfRule>
  </conditionalFormatting>
  <conditionalFormatting sqref="D40:E40">
    <cfRule type="expression" dxfId="330" priority="54">
      <formula>IF(C40=2979,1,0)</formula>
    </cfRule>
  </conditionalFormatting>
  <conditionalFormatting sqref="G40">
    <cfRule type="expression" dxfId="329" priority="53">
      <formula>IF(C40=2979,1,0)</formula>
    </cfRule>
  </conditionalFormatting>
  <conditionalFormatting sqref="H40:I40">
    <cfRule type="expression" dxfId="328" priority="48">
      <formula>IF(G40=8849,1,0)</formula>
    </cfRule>
  </conditionalFormatting>
  <conditionalFormatting sqref="O21:P21">
    <cfRule type="expression" dxfId="327" priority="45">
      <formula>IF(Q21&lt;&gt;"",1,0)</formula>
    </cfRule>
    <cfRule type="expression" dxfId="326" priority="46">
      <formula>IF(AG6&gt;3,1,0)</formula>
    </cfRule>
  </conditionalFormatting>
  <conditionalFormatting sqref="Q21:R21">
    <cfRule type="expression" dxfId="325" priority="43">
      <formula>IF(Q21&lt;&gt;"",1,0)</formula>
    </cfRule>
    <cfRule type="expression" dxfId="324" priority="44">
      <formula>IF(AG6&gt;3,1,0)</formula>
    </cfRule>
  </conditionalFormatting>
  <conditionalFormatting sqref="O24:P24">
    <cfRule type="expression" dxfId="323" priority="23">
      <formula>IF(Q24="",1,0)</formula>
    </cfRule>
    <cfRule type="expression" dxfId="322" priority="39">
      <formula>IF(Q24&lt;&gt;"",1,0)</formula>
    </cfRule>
    <cfRule type="expression" dxfId="321" priority="40">
      <formula>IF(AG6&gt;3,1,0)</formula>
    </cfRule>
  </conditionalFormatting>
  <conditionalFormatting sqref="Q24:R24">
    <cfRule type="expression" dxfId="320" priority="36">
      <formula>IF(Q24&lt;&gt;"",1,0)</formula>
    </cfRule>
    <cfRule type="expression" dxfId="319" priority="37">
      <formula>IF(AG6&gt;3,1,0)</formula>
    </cfRule>
  </conditionalFormatting>
  <conditionalFormatting sqref="O27:P27">
    <cfRule type="expression" dxfId="318" priority="8">
      <formula>IF(AG6&lt;3,1,0)</formula>
    </cfRule>
    <cfRule type="expression" dxfId="317" priority="25">
      <formula>IF(Q27="",1,0)</formula>
    </cfRule>
    <cfRule type="expression" dxfId="316" priority="34">
      <formula>IF(Q27&lt;&gt;"",1,0)</formula>
    </cfRule>
    <cfRule type="expression" dxfId="315" priority="35">
      <formula>IF(AG6&gt;3,1,0)</formula>
    </cfRule>
  </conditionalFormatting>
  <conditionalFormatting sqref="Q27:R27">
    <cfRule type="expression" dxfId="314" priority="31">
      <formula>IF(Q27&lt;&gt;"",1,0)</formula>
    </cfRule>
    <cfRule type="expression" dxfId="313" priority="32">
      <formula>IF(AG6&gt;3,1,0)</formula>
    </cfRule>
  </conditionalFormatting>
  <conditionalFormatting sqref="O29">
    <cfRule type="expression" dxfId="312" priority="68">
      <formula>IF(Q29="",1,0)</formula>
    </cfRule>
    <cfRule type="expression" dxfId="311" priority="76">
      <formula>IF(Q29&lt;&gt;"",1,0)</formula>
    </cfRule>
    <cfRule type="expression" dxfId="310" priority="123">
      <formula>IF(AG6&gt;3,1,0)</formula>
    </cfRule>
  </conditionalFormatting>
  <conditionalFormatting sqref="O30:P30">
    <cfRule type="expression" dxfId="309" priority="3">
      <formula>IF(AG6&lt;3,1,0)</formula>
    </cfRule>
    <cfRule type="expression" dxfId="308" priority="24">
      <formula>IF(Q30="",1,0)</formula>
    </cfRule>
    <cfRule type="expression" dxfId="307" priority="29">
      <formula>IF(Q30&lt;&gt;"",1,0)</formula>
    </cfRule>
    <cfRule type="expression" dxfId="306" priority="30">
      <formula>IF(AG6&gt;3,1,0)</formula>
    </cfRule>
  </conditionalFormatting>
  <conditionalFormatting sqref="Q30:R30">
    <cfRule type="expression" dxfId="305" priority="26">
      <formula>IF(Q30&lt;&gt;"",1,0)</formula>
    </cfRule>
    <cfRule type="expression" dxfId="304" priority="27">
      <formula>IF(AG6&gt;3,1,0)</formula>
    </cfRule>
  </conditionalFormatting>
  <conditionalFormatting sqref="O20:P20">
    <cfRule type="expression" dxfId="303" priority="84">
      <formula>IF(Q20&lt;&gt;"",1,0)</formula>
    </cfRule>
    <cfRule type="expression" dxfId="302" priority="151">
      <formula>IF(AG6&gt;3,1,0)</formula>
    </cfRule>
  </conditionalFormatting>
  <conditionalFormatting sqref="I32:I33">
    <cfRule type="expression" dxfId="301" priority="430">
      <formula>IF(AG6&lt;4,1,0)</formula>
    </cfRule>
  </conditionalFormatting>
  <conditionalFormatting sqref="F22:F24">
    <cfRule type="expression" dxfId="300" priority="431">
      <formula>IF(C22="",1,0)</formula>
    </cfRule>
    <cfRule type="expression" dxfId="299" priority="432">
      <formula>IF(AG6&gt;3,"",IF(Y46="COMISSIONADO","",IF(AND(F19&lt;18,Y46="DESIGNADO"),"")))</formula>
    </cfRule>
  </conditionalFormatting>
  <conditionalFormatting sqref="O32">
    <cfRule type="expression" dxfId="298" priority="67">
      <formula>IF(O32=0,1,0)</formula>
    </cfRule>
    <cfRule type="expression" dxfId="297" priority="119">
      <formula>IF(AG6&lt;4,1,0)</formula>
    </cfRule>
  </conditionalFormatting>
  <conditionalFormatting sqref="O33:P33">
    <cfRule type="expression" dxfId="296" priority="21">
      <formula>IF(O33=0,1,0)</formula>
    </cfRule>
    <cfRule type="expression" dxfId="295" priority="22">
      <formula>IF(AG6&lt;4,1,0)</formula>
    </cfRule>
  </conditionalFormatting>
  <conditionalFormatting sqref="Q20:R20">
    <cfRule type="expression" dxfId="294" priority="92">
      <formula>IF(Q20&lt;&gt;"",1,0)</formula>
    </cfRule>
    <cfRule type="expression" dxfId="293" priority="150">
      <formula>IF(AG6&gt;3,1,0)</formula>
    </cfRule>
  </conditionalFormatting>
  <conditionalFormatting sqref="S21:T21">
    <cfRule type="expression" dxfId="292" priority="20">
      <formula>IF(AG6&gt;3,1,0)</formula>
    </cfRule>
  </conditionalFormatting>
  <conditionalFormatting sqref="F21:N21">
    <cfRule type="expression" dxfId="291" priority="19">
      <formula>IF(AG6&gt;3,1,0)</formula>
    </cfRule>
  </conditionalFormatting>
  <conditionalFormatting sqref="F24:N24">
    <cfRule type="expression" dxfId="290" priority="18">
      <formula>IF(AG6&gt;3,1,0)</formula>
    </cfRule>
  </conditionalFormatting>
  <conditionalFormatting sqref="O23:P23">
    <cfRule type="expression" dxfId="289" priority="70">
      <formula>IF(Q23="",1,0)</formula>
    </cfRule>
    <cfRule type="expression" dxfId="288" priority="80">
      <formula>IF(Q23&lt;&gt;"",1,0)</formula>
    </cfRule>
  </conditionalFormatting>
  <conditionalFormatting sqref="Q23:R23">
    <cfRule type="expression" dxfId="287" priority="75">
      <formula>IF(Q23&lt;&gt;"",1,0)</formula>
    </cfRule>
    <cfRule type="expression" dxfId="286" priority="216">
      <formula>IF(AG6&gt;3,1,0)</formula>
    </cfRule>
  </conditionalFormatting>
  <conditionalFormatting sqref="S24:T24">
    <cfRule type="expression" dxfId="285" priority="17">
      <formula>IF(AG6&gt;3,1,0)</formula>
    </cfRule>
  </conditionalFormatting>
  <conditionalFormatting sqref="F27:N27">
    <cfRule type="expression" dxfId="284" priority="16">
      <formula>IF(AG6&gt;3,1,0)</formula>
    </cfRule>
  </conditionalFormatting>
  <conditionalFormatting sqref="O26:P26">
    <cfRule type="expression" dxfId="283" priority="69">
      <formula>IF(Q26="",1,0)</formula>
    </cfRule>
    <cfRule type="expression" dxfId="282" priority="78">
      <formula>IF(Q26&lt;&gt;"",1,0)</formula>
    </cfRule>
    <cfRule type="expression" dxfId="281" priority="108">
      <formula>IF(AG6&lt;3,1,0)</formula>
    </cfRule>
  </conditionalFormatting>
  <conditionalFormatting sqref="Q26:R26">
    <cfRule type="expression" dxfId="280" priority="90">
      <formula>IF(Q26&lt;&gt;"",1,0)</formula>
    </cfRule>
    <cfRule type="expression" dxfId="279" priority="109">
      <formula>IF(AG6&lt;3,1,0)</formula>
    </cfRule>
    <cfRule type="expression" dxfId="278" priority="131">
      <formula>IF(AG6&gt;3,1,0)</formula>
    </cfRule>
  </conditionalFormatting>
  <conditionalFormatting sqref="S27:T27">
    <cfRule type="expression" dxfId="277" priority="7">
      <formula>IF(AG6&lt;3,1,0)</formula>
    </cfRule>
    <cfRule type="expression" dxfId="276" priority="15">
      <formula>IF(AG6&gt;3,1,0)</formula>
    </cfRule>
  </conditionalFormatting>
  <conditionalFormatting sqref="Q29:R29">
    <cfRule type="expression" dxfId="275" priority="89">
      <formula>IF(Q29&lt;&gt;"",1,0)</formula>
    </cfRule>
    <cfRule type="expression" dxfId="274" priority="122">
      <formula>IF(AG6&gt;3,1,0)</formula>
    </cfRule>
  </conditionalFormatting>
  <conditionalFormatting sqref="S30:T30">
    <cfRule type="expression" dxfId="273" priority="2">
      <formula>IF(AG6&lt;3,1,0)</formula>
    </cfRule>
    <cfRule type="expression" dxfId="272" priority="14">
      <formula>IF(AG6&gt;3,1,0)</formula>
    </cfRule>
  </conditionalFormatting>
  <conditionalFormatting sqref="U30">
    <cfRule type="expression" dxfId="271" priority="13">
      <formula>IF(AG6&gt;3,1,0)</formula>
    </cfRule>
  </conditionalFormatting>
  <conditionalFormatting sqref="F30:N30">
    <cfRule type="expression" dxfId="270" priority="12">
      <formula>IF(AG6&gt;3,1,0)</formula>
    </cfRule>
  </conditionalFormatting>
  <conditionalFormatting sqref="C30:E30">
    <cfRule type="expression" dxfId="269" priority="11">
      <formula>IF(AG6&gt;3,1,0)</formula>
    </cfRule>
  </conditionalFormatting>
  <conditionalFormatting sqref="S26:T26">
    <cfRule type="expression" dxfId="268" priority="9">
      <formula>IF(AG6&lt;3,1,0)</formula>
    </cfRule>
  </conditionalFormatting>
  <conditionalFormatting sqref="O29:P29">
    <cfRule type="expression" dxfId="267" priority="5">
      <formula>IF(AG6&lt;3,1,0)</formula>
    </cfRule>
  </conditionalFormatting>
  <conditionalFormatting sqref="C39:U39">
    <cfRule type="expression" dxfId="266" priority="1">
      <formula>IF(AND(AG6&lt;4,O19=""),1,0)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Group Box 15">
              <controlPr defaultSize="0" autoFill="0" autoPict="0">
                <anchor moveWithCells="1">
                  <from>
                    <xdr:col>14</xdr:col>
                    <xdr:colOff>38100</xdr:colOff>
                    <xdr:row>12</xdr:row>
                    <xdr:rowOff>47625</xdr:rowOff>
                  </from>
                  <to>
                    <xdr:col>20</xdr:col>
                    <xdr:colOff>266700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>
                  <from>
                    <xdr:col>14</xdr:col>
                    <xdr:colOff>76200</xdr:colOff>
                    <xdr:row>12</xdr:row>
                    <xdr:rowOff>142875</xdr:rowOff>
                  </from>
                  <to>
                    <xdr:col>16</xdr:col>
                    <xdr:colOff>104775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>
                  <from>
                    <xdr:col>16</xdr:col>
                    <xdr:colOff>161925</xdr:colOff>
                    <xdr:row>12</xdr:row>
                    <xdr:rowOff>142875</xdr:rowOff>
                  </from>
                  <to>
                    <xdr:col>18</xdr:col>
                    <xdr:colOff>219075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Group Box 27">
              <controlPr defaultSize="0" autoFill="0" autoPict="0">
                <anchor moveWithCells="1">
                  <from>
                    <xdr:col>14</xdr:col>
                    <xdr:colOff>38100</xdr:colOff>
                    <xdr:row>13</xdr:row>
                    <xdr:rowOff>9525</xdr:rowOff>
                  </from>
                  <to>
                    <xdr:col>18</xdr:col>
                    <xdr:colOff>276225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Option Button 28">
              <controlPr defaultSize="0" autoFill="0" autoLine="0" autoPict="0">
                <anchor>
                  <from>
                    <xdr:col>14</xdr:col>
                    <xdr:colOff>76200</xdr:colOff>
                    <xdr:row>13</xdr:row>
                    <xdr:rowOff>95250</xdr:rowOff>
                  </from>
                  <to>
                    <xdr:col>16</xdr:col>
                    <xdr:colOff>104775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Option Button 29">
              <controlPr defaultSize="0" autoFill="0" autoLine="0" autoPict="0">
                <anchor>
                  <from>
                    <xdr:col>16</xdr:col>
                    <xdr:colOff>161925</xdr:colOff>
                    <xdr:row>13</xdr:row>
                    <xdr:rowOff>95250</xdr:rowOff>
                  </from>
                  <to>
                    <xdr:col>18</xdr:col>
                    <xdr:colOff>219075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Option Button 31">
              <controlPr defaultSize="0" autoFill="0" autoLine="0" autoPict="0">
                <anchor>
                  <from>
                    <xdr:col>11</xdr:col>
                    <xdr:colOff>28575</xdr:colOff>
                    <xdr:row>21</xdr:row>
                    <xdr:rowOff>47625</xdr:rowOff>
                  </from>
                  <to>
                    <xdr:col>12</xdr:col>
                    <xdr:colOff>104775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>
                  <from>
                    <xdr:col>12</xdr:col>
                    <xdr:colOff>171450</xdr:colOff>
                    <xdr:row>21</xdr:row>
                    <xdr:rowOff>47625</xdr:rowOff>
                  </from>
                  <to>
                    <xdr:col>13</xdr:col>
                    <xdr:colOff>276225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Option Button 34">
              <controlPr defaultSize="0" autoFill="0" autoLine="0" autoPict="0">
                <anchor>
                  <from>
                    <xdr:col>11</xdr:col>
                    <xdr:colOff>28575</xdr:colOff>
                    <xdr:row>24</xdr:row>
                    <xdr:rowOff>47625</xdr:rowOff>
                  </from>
                  <to>
                    <xdr:col>12</xdr:col>
                    <xdr:colOff>104775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Option Button 35">
              <controlPr defaultSize="0" autoFill="0" autoLine="0" autoPict="0">
                <anchor>
                  <from>
                    <xdr:col>12</xdr:col>
                    <xdr:colOff>171450</xdr:colOff>
                    <xdr:row>24</xdr:row>
                    <xdr:rowOff>47625</xdr:rowOff>
                  </from>
                  <to>
                    <xdr:col>13</xdr:col>
                    <xdr:colOff>276225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Group Box 36">
              <controlPr defaultSize="0" autoFill="0" autoPict="0">
                <anchor moveWithCells="1">
                  <from>
                    <xdr:col>14</xdr:col>
                    <xdr:colOff>38100</xdr:colOff>
                    <xdr:row>14</xdr:row>
                    <xdr:rowOff>104775</xdr:rowOff>
                  </from>
                  <to>
                    <xdr:col>18</xdr:col>
                    <xdr:colOff>276225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Option Button 37">
              <controlPr defaultSize="0" autoFill="0" autoLine="0" autoPict="0">
                <anchor>
                  <from>
                    <xdr:col>14</xdr:col>
                    <xdr:colOff>76200</xdr:colOff>
                    <xdr:row>14</xdr:row>
                    <xdr:rowOff>209550</xdr:rowOff>
                  </from>
                  <to>
                    <xdr:col>16</xdr:col>
                    <xdr:colOff>104775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Option Button 38">
              <controlPr defaultSize="0" autoFill="0" autoLine="0" autoPict="0">
                <anchor>
                  <from>
                    <xdr:col>16</xdr:col>
                    <xdr:colOff>161925</xdr:colOff>
                    <xdr:row>14</xdr:row>
                    <xdr:rowOff>209550</xdr:rowOff>
                  </from>
                  <to>
                    <xdr:col>18</xdr:col>
                    <xdr:colOff>219075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7" name="Group Box 40">
              <controlPr defaultSize="0" autoFill="0" autoPict="0">
                <anchor mov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13</xdr:col>
                    <xdr:colOff>304800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Group Box 41">
              <controlPr defaultSize="0" autoFill="0" autoPict="0">
                <anchor mov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13</xdr:col>
                    <xdr:colOff>304800</xdr:colOff>
                    <xdr:row>24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ABE0EA7-544D-4171-B947-19B9EB946F69}">
            <xm:f>IF(Geral!$E$23="",1,0)</xm:f>
            <x14:dxf>
              <font>
                <color theme="0"/>
              </font>
            </x14:dxf>
          </x14:cfRule>
          <xm:sqref>O21:P21</xm:sqref>
        </x14:conditionalFormatting>
        <x14:conditionalFormatting xmlns:xm="http://schemas.microsoft.com/office/excel/2006/main">
          <x14:cfRule type="expression" priority="62" id="{6ADDFCA2-4DFC-495E-9EF9-F0E40F222FB2}">
            <xm:f>IF(AND(AG6&gt;3,S33&gt;Geral!F24),1,0)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14:cfRule type="expression" priority="63" id="{A012872B-1368-4D0E-9708-C4326159B611}">
            <xm:f>IF(AND(AG6&lt;4,O19+O20+O21&gt;Geral!F24),1,0)</xm:f>
            <x14:dxf>
              <font>
                <color rgb="FFFF0000"/>
              </font>
              <fill>
                <gradientFill degree="90">
                  <stop position="0">
                    <color rgb="FFFFC000"/>
                  </stop>
                  <stop position="0.5">
                    <color rgb="FFFFFF00"/>
                  </stop>
                  <stop position="1">
                    <color rgb="FFFFC000"/>
                  </stop>
                </gradientFill>
              </fill>
            </x14:dxf>
          </x14:cfRule>
          <xm:sqref>C39</xm:sqref>
        </x14:conditionalFormatting>
        <x14:conditionalFormatting xmlns:xm="http://schemas.microsoft.com/office/excel/2006/main">
          <x14:cfRule type="expression" priority="41" id="{0AFB1788-0577-4E45-8239-D5AEDDC6630A}">
            <xm:f>IF(Geral!$E$22="",1,0)</xm:f>
            <x14:dxf>
              <font>
                <color theme="0"/>
              </font>
            </x14:dxf>
          </x14:cfRule>
          <xm:sqref>O20:P20</xm:sqref>
        </x14:conditionalFormatting>
        <x14:conditionalFormatting xmlns:xm="http://schemas.microsoft.com/office/excel/2006/main">
          <x14:cfRule type="expression" priority="38" id="{21851213-F8A0-4663-A375-C616CF5B2FF5}">
            <xm:f>IF(Geral!$E$23="",1,0)</xm:f>
            <x14:dxf>
              <font>
                <color theme="0"/>
              </font>
            </x14:dxf>
          </x14:cfRule>
          <xm:sqref>O24:P24</xm:sqref>
        </x14:conditionalFormatting>
        <x14:conditionalFormatting xmlns:xm="http://schemas.microsoft.com/office/excel/2006/main">
          <x14:cfRule type="expression" priority="33" id="{084FCAF7-E690-4C14-8441-343BA7B2A3F1}">
            <xm:f>IF(Geral!$E$23="",1,0)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</x14:dxf>
          </x14:cfRule>
          <xm:sqref>O27:P27</xm:sqref>
        </x14:conditionalFormatting>
        <x14:conditionalFormatting xmlns:xm="http://schemas.microsoft.com/office/excel/2006/main">
          <x14:cfRule type="expression" priority="28" id="{7A5D3D3B-A635-42CE-812A-0FF43DFEC044}">
            <xm:f>IF(Geral!$E$23="",1,0)</xm:f>
            <x14:dxf>
              <font>
                <color theme="0"/>
              </font>
            </x14:dxf>
          </x14:cfRule>
          <xm:sqref>O30:P30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FeriasPremioConversao"/>
  <dimension ref="A1:BW308"/>
  <sheetViews>
    <sheetView showGridLines="0" showRowColHeaders="0" zoomScale="120" zoomScaleNormal="120" workbookViewId="0">
      <selection activeCell="P4" sqref="P4"/>
    </sheetView>
  </sheetViews>
  <sheetFormatPr defaultColWidth="0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85546875" style="1" customWidth="1"/>
    <col min="23" max="23" width="3.7109375" style="1" customWidth="1"/>
    <col min="24" max="24" width="18.85546875" style="1" hidden="1" customWidth="1"/>
    <col min="25" max="28" width="5.28515625" style="1" hidden="1" customWidth="1"/>
    <col min="29" max="29" width="2.140625" style="1" hidden="1" customWidth="1"/>
    <col min="30" max="32" width="5.28515625" style="1" hidden="1" customWidth="1"/>
    <col min="33" max="33" width="2.85546875" style="1" hidden="1" customWidth="1"/>
    <col min="34" max="16384" width="5.28515625" style="1" hidden="1"/>
  </cols>
  <sheetData>
    <row r="1" spans="2:25" ht="9.9499999999999993" customHeight="1" x14ac:dyDescent="0.4">
      <c r="B1" s="2188"/>
      <c r="C1" s="2188"/>
      <c r="D1" s="2188"/>
      <c r="E1" s="2188"/>
      <c r="F1" s="2188"/>
      <c r="G1" s="2188"/>
      <c r="H1" s="2188"/>
      <c r="I1" s="2188"/>
      <c r="J1" s="2188"/>
      <c r="K1" s="2188"/>
      <c r="L1" s="2188"/>
      <c r="M1" s="2188"/>
      <c r="N1" s="2188"/>
      <c r="O1" s="2188"/>
      <c r="P1" s="2188"/>
      <c r="Q1" s="2188"/>
      <c r="R1" s="2188"/>
      <c r="S1" s="2188"/>
      <c r="T1" s="2188"/>
      <c r="U1" s="2188"/>
      <c r="X1" s="844"/>
    </row>
    <row r="2" spans="2:25" ht="9.9499999999999993" customHeight="1" thickBot="1" x14ac:dyDescent="0.45">
      <c r="B2" s="2189"/>
      <c r="C2" s="2189"/>
      <c r="D2" s="2189"/>
      <c r="E2" s="2189"/>
      <c r="F2" s="2189"/>
      <c r="G2" s="2189"/>
      <c r="H2" s="2189"/>
      <c r="I2" s="2189"/>
      <c r="J2" s="2189"/>
      <c r="K2" s="2189"/>
      <c r="L2" s="2189"/>
      <c r="M2" s="2189"/>
      <c r="N2" s="2189"/>
      <c r="O2" s="2189"/>
      <c r="P2" s="2189"/>
      <c r="Q2" s="2189"/>
      <c r="R2" s="2189"/>
      <c r="S2" s="2189"/>
      <c r="T2" s="2189"/>
      <c r="U2" s="2189"/>
      <c r="X2" s="844"/>
    </row>
    <row r="3" spans="2:25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  <c r="X3" s="972"/>
    </row>
    <row r="4" spans="2:25" ht="21.75" customHeight="1" thickBot="1" x14ac:dyDescent="0.45">
      <c r="B4" s="1725"/>
      <c r="C4" s="1821" t="s">
        <v>8071</v>
      </c>
      <c r="D4" s="1727"/>
      <c r="E4" s="1727"/>
      <c r="F4" s="1727"/>
      <c r="G4" s="1727"/>
      <c r="H4" s="1727"/>
      <c r="I4" s="1727"/>
      <c r="J4" s="2191" t="s">
        <v>9199</v>
      </c>
      <c r="K4" s="2191"/>
      <c r="L4" s="2191"/>
      <c r="M4" s="2191"/>
      <c r="N4" s="2191"/>
      <c r="O4" s="2191"/>
      <c r="P4" s="918"/>
      <c r="Q4" s="710" t="s">
        <v>339</v>
      </c>
      <c r="R4" s="918"/>
      <c r="S4" s="711" t="s">
        <v>339</v>
      </c>
      <c r="T4" s="2192"/>
      <c r="U4" s="2193"/>
      <c r="V4" s="1729"/>
      <c r="W4" s="42"/>
      <c r="X4" s="973" t="s">
        <v>9431</v>
      </c>
      <c r="Y4" s="42"/>
    </row>
    <row r="5" spans="2:25" ht="3" customHeight="1" thickBot="1" x14ac:dyDescent="0.45">
      <c r="B5" s="1726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1730"/>
      <c r="W5" s="42"/>
      <c r="X5" s="974"/>
      <c r="Y5" s="42"/>
    </row>
    <row r="6" spans="2:25" ht="21.95" customHeight="1" x14ac:dyDescent="0.4">
      <c r="B6" s="1726"/>
      <c r="C6" s="1752" t="s">
        <v>3</v>
      </c>
      <c r="D6" s="1753"/>
      <c r="E6" s="1753"/>
      <c r="F6" s="1753"/>
      <c r="G6" s="2194">
        <f>Servidor.Nome</f>
        <v>0</v>
      </c>
      <c r="H6" s="2194"/>
      <c r="I6" s="2194"/>
      <c r="J6" s="2194"/>
      <c r="K6" s="2194"/>
      <c r="L6" s="2194"/>
      <c r="M6" s="2194"/>
      <c r="N6" s="2194"/>
      <c r="O6" s="2194"/>
      <c r="P6" s="2194"/>
      <c r="Q6" s="2194"/>
      <c r="R6" s="1755" t="s">
        <v>1</v>
      </c>
      <c r="S6" s="1755"/>
      <c r="T6" s="2213">
        <f>Servidor.MaspDv</f>
        <v>0</v>
      </c>
      <c r="U6" s="2214"/>
      <c r="V6" s="1730"/>
      <c r="W6" s="43"/>
      <c r="X6" s="975">
        <f>IFERROR(R32, DATE(1900,1,1))</f>
        <v>1</v>
      </c>
      <c r="Y6" s="43"/>
    </row>
    <row r="7" spans="2:25" ht="15.95" customHeight="1" x14ac:dyDescent="0.4">
      <c r="B7" s="1726"/>
      <c r="C7" s="2215" t="s">
        <v>361</v>
      </c>
      <c r="D7" s="2216"/>
      <c r="E7" s="2216"/>
      <c r="F7" s="2216"/>
      <c r="G7" s="2219">
        <f>Servidor.Admissao</f>
        <v>0</v>
      </c>
      <c r="H7" s="2221" t="s">
        <v>4</v>
      </c>
      <c r="I7" s="2222"/>
      <c r="J7" s="2222"/>
      <c r="K7" s="2222"/>
      <c r="L7" s="976">
        <f>IF(M7&lt;100,4,5)</f>
        <v>4</v>
      </c>
      <c r="M7" s="2223">
        <f>Servidor.Lotacao</f>
        <v>0</v>
      </c>
      <c r="N7" s="2223"/>
      <c r="O7" s="977"/>
      <c r="P7" s="978"/>
      <c r="Q7" s="979"/>
      <c r="R7" s="979"/>
      <c r="S7" s="980"/>
      <c r="T7" s="979"/>
      <c r="U7" s="981"/>
      <c r="V7" s="1730"/>
      <c r="W7" s="43"/>
      <c r="X7" s="973" t="s">
        <v>9432</v>
      </c>
      <c r="Y7" s="43"/>
    </row>
    <row r="8" spans="2:25" ht="15.95" customHeight="1" thickBot="1" x14ac:dyDescent="0.45">
      <c r="B8" s="1726"/>
      <c r="C8" s="2217"/>
      <c r="D8" s="2218"/>
      <c r="E8" s="2218"/>
      <c r="F8" s="2218"/>
      <c r="G8" s="2220"/>
      <c r="H8" s="2224" t="str">
        <f>IF(ISERROR(VLOOKUP(M7,Escolas!C5:K269,3,FALSE)),"",VLOOKUP(M7,Escolas!C5:K269,3,FALSE))</f>
        <v/>
      </c>
      <c r="I8" s="2225"/>
      <c r="J8" s="2225"/>
      <c r="K8" s="2225"/>
      <c r="L8" s="2225"/>
      <c r="M8" s="2225"/>
      <c r="N8" s="2225"/>
      <c r="O8" s="2225"/>
      <c r="P8" s="2225"/>
      <c r="Q8" s="2225" t="str">
        <f>IF(ISERROR(VLOOKUP(M7,Escolas!C5:K269,7,FALSE)),"",VLOOKUP(M7,Escolas!C5:K269,7,FALSE))</f>
        <v/>
      </c>
      <c r="R8" s="2225"/>
      <c r="S8" s="2225"/>
      <c r="T8" s="2225"/>
      <c r="U8" s="2226"/>
      <c r="V8" s="1730"/>
      <c r="W8" s="43"/>
      <c r="X8" s="982">
        <f>IFERROR(DATE(T4,R4,P4), 0)</f>
        <v>0</v>
      </c>
      <c r="Y8" s="43"/>
    </row>
    <row r="9" spans="2:25" ht="3" customHeight="1" thickBot="1" x14ac:dyDescent="0.45">
      <c r="B9" s="1726"/>
      <c r="C9" s="2195"/>
      <c r="D9" s="2196"/>
      <c r="E9" s="2196"/>
      <c r="F9" s="2196"/>
      <c r="G9" s="2196"/>
      <c r="H9" s="2196"/>
      <c r="I9" s="2196"/>
      <c r="J9" s="2196"/>
      <c r="K9" s="2196"/>
      <c r="L9" s="2196"/>
      <c r="M9" s="2196"/>
      <c r="N9" s="2196"/>
      <c r="O9" s="2196"/>
      <c r="P9" s="983"/>
      <c r="Q9" s="984"/>
      <c r="R9" s="983"/>
      <c r="S9" s="985"/>
      <c r="T9" s="2197"/>
      <c r="U9" s="2198"/>
      <c r="V9" s="1730"/>
      <c r="X9" s="844"/>
    </row>
    <row r="10" spans="2:25" ht="21.95" customHeight="1" thickBot="1" x14ac:dyDescent="0.45">
      <c r="B10" s="1726"/>
      <c r="C10" s="2199" t="s">
        <v>7954</v>
      </c>
      <c r="D10" s="2200"/>
      <c r="E10" s="2201"/>
      <c r="F10" s="2202" t="s">
        <v>8074</v>
      </c>
      <c r="G10" s="2203"/>
      <c r="H10" s="2204">
        <v>160</v>
      </c>
      <c r="I10" s="2205"/>
      <c r="J10" s="439"/>
      <c r="K10" s="2206" t="s">
        <v>8076</v>
      </c>
      <c r="L10" s="2207"/>
      <c r="M10" s="2207"/>
      <c r="N10" s="2207"/>
      <c r="O10" s="2208"/>
      <c r="P10" s="2209" t="s">
        <v>8072</v>
      </c>
      <c r="Q10" s="2210"/>
      <c r="R10" s="435"/>
      <c r="S10" s="2211" t="s">
        <v>8073</v>
      </c>
      <c r="T10" s="2212"/>
      <c r="U10" s="436"/>
      <c r="V10" s="1730"/>
      <c r="X10" s="844">
        <f>(FPConversaoEspecie.Saldo.Meses*30)+FPConversaoEspecie.Saldo.Dias</f>
        <v>0</v>
      </c>
    </row>
    <row r="11" spans="2:25" s="2" customFormat="1" ht="14.1" customHeight="1" x14ac:dyDescent="0.4">
      <c r="B11" s="1726"/>
      <c r="C11" s="2245">
        <f>C12*S75</f>
        <v>0</v>
      </c>
      <c r="D11" s="2246"/>
      <c r="E11" s="2247"/>
      <c r="F11" s="2248" t="s">
        <v>7957</v>
      </c>
      <c r="G11" s="2249"/>
      <c r="H11" s="2249"/>
      <c r="I11" s="2250" t="str">
        <f>IF(AND(R10="",U10=""),"Aguardando Dados de Saldo de Férias Prêmio em Espécie",IF(AND(R10=0,U10=0),"Aguardando Dados de Saldo de Férias Prêmio em Espécie",IF(AND(R10&gt;1,U10&gt;1),R10&amp;" meses e "&amp;U10&amp;" dias "&amp;"de Férias Prêmio em Espécie,",IF(AND(R10=1,U10=1),R10&amp;" mês e "&amp;U10&amp;" dia "&amp;"de Férias Prêmio em Espécie,",IF(AND(R10&gt;1,U10=1),R10&amp;" meses e "&amp;U10&amp;" dia "&amp;"de Férias Prêmio em Espécie,",IF(AND(R10=1,U10&gt;1),R10&amp;" mês e "&amp;U10&amp;" dias "&amp;"de Férias Prêmio em Espécie,",IF(AND(R10=1,U10=0),R10&amp;" mês "&amp;"de Férias Prêmio em Espécie,",IF(AND(R10=0,U10=1),U10&amp;" dia "&amp;"de Férias Prêmio em Espécie,",IF(AND(R10&gt;1,U10=0),R10&amp;" meses "&amp;"de Férias Prêmio em Espécie,",IF(AND(R10=0,U10&gt;1),U10&amp;" dias "&amp;"de Férias Prêmio em Espécie,"))))))))))</f>
        <v>Aguardando Dados de Saldo de Férias Prêmio em Espécie</v>
      </c>
      <c r="J11" s="2250"/>
      <c r="K11" s="2250"/>
      <c r="L11" s="2250"/>
      <c r="M11" s="2250"/>
      <c r="N11" s="2250"/>
      <c r="O11" s="2251"/>
      <c r="P11" s="2254" t="s">
        <v>8075</v>
      </c>
      <c r="Q11" s="2255"/>
      <c r="R11" s="2255"/>
      <c r="S11" s="2255"/>
      <c r="T11" s="2255"/>
      <c r="U11" s="2256"/>
      <c r="V11" s="1731"/>
      <c r="X11" s="845"/>
    </row>
    <row r="12" spans="2:25" s="2" customFormat="1" ht="14.1" customHeight="1" x14ac:dyDescent="0.4">
      <c r="B12" s="1726"/>
      <c r="C12" s="2263">
        <f>(U10/30)+R10</f>
        <v>0</v>
      </c>
      <c r="D12" s="2264"/>
      <c r="E12" s="2265"/>
      <c r="F12" s="2266" t="s">
        <v>8078</v>
      </c>
      <c r="G12" s="2267"/>
      <c r="H12" s="2267"/>
      <c r="I12" s="2252"/>
      <c r="J12" s="2252"/>
      <c r="K12" s="2252"/>
      <c r="L12" s="2252"/>
      <c r="M12" s="2252"/>
      <c r="N12" s="2252"/>
      <c r="O12" s="2253"/>
      <c r="P12" s="2257"/>
      <c r="Q12" s="2258"/>
      <c r="R12" s="2258"/>
      <c r="S12" s="2258"/>
      <c r="T12" s="2258"/>
      <c r="U12" s="2259"/>
      <c r="V12" s="1731"/>
      <c r="X12" s="845"/>
    </row>
    <row r="13" spans="2:25" s="2" customFormat="1" ht="14.1" customHeight="1" thickBot="1" x14ac:dyDescent="0.45">
      <c r="B13" s="1726"/>
      <c r="C13" s="2270" t="s">
        <v>8133</v>
      </c>
      <c r="D13" s="2271"/>
      <c r="E13" s="2272"/>
      <c r="F13" s="2268"/>
      <c r="G13" s="2269"/>
      <c r="H13" s="2269"/>
      <c r="I13" s="2252"/>
      <c r="J13" s="2252"/>
      <c r="K13" s="2252"/>
      <c r="L13" s="2252"/>
      <c r="M13" s="2252"/>
      <c r="N13" s="2252"/>
      <c r="O13" s="2253"/>
      <c r="P13" s="2257"/>
      <c r="Q13" s="2258"/>
      <c r="R13" s="2258"/>
      <c r="S13" s="2258"/>
      <c r="T13" s="2258"/>
      <c r="U13" s="2259"/>
      <c r="V13" s="1731"/>
      <c r="X13" s="845"/>
    </row>
    <row r="14" spans="2:25" s="2" customFormat="1" ht="14.1" customHeight="1" x14ac:dyDescent="0.4">
      <c r="B14" s="1726"/>
      <c r="C14" s="437" t="s">
        <v>7959</v>
      </c>
      <c r="D14" s="2273"/>
      <c r="E14" s="2273"/>
      <c r="F14" s="2274" t="s">
        <v>7960</v>
      </c>
      <c r="G14" s="2274"/>
      <c r="H14" s="2275"/>
      <c r="I14" s="2252"/>
      <c r="J14" s="2252"/>
      <c r="K14" s="2252"/>
      <c r="L14" s="2252"/>
      <c r="M14" s="2252"/>
      <c r="N14" s="2252"/>
      <c r="O14" s="2253"/>
      <c r="P14" s="2257"/>
      <c r="Q14" s="2258"/>
      <c r="R14" s="2258"/>
      <c r="S14" s="2258"/>
      <c r="T14" s="2258"/>
      <c r="U14" s="2259"/>
      <c r="V14" s="1731"/>
      <c r="X14" s="845"/>
    </row>
    <row r="15" spans="2:25" s="2" customFormat="1" ht="14.1" customHeight="1" thickBot="1" x14ac:dyDescent="0.45">
      <c r="B15" s="1726"/>
      <c r="C15" s="2278" t="str">
        <f>IF(D14&lt;&gt;0,DATEVALUE( TEXT( D14, "##""/""##""/""##" ) &amp; "" ),"")</f>
        <v/>
      </c>
      <c r="D15" s="2279"/>
      <c r="E15" s="2279"/>
      <c r="F15" s="2276"/>
      <c r="G15" s="2276"/>
      <c r="H15" s="2277"/>
      <c r="I15" s="2227" t="str">
        <f>" adm. "&amp;G7&amp;"."</f>
        <v xml:space="preserve"> adm. 0.</v>
      </c>
      <c r="J15" s="2228"/>
      <c r="K15" s="2228"/>
      <c r="L15" s="2228"/>
      <c r="M15" s="2228"/>
      <c r="N15" s="2228"/>
      <c r="O15" s="2229"/>
      <c r="P15" s="2260"/>
      <c r="Q15" s="2261"/>
      <c r="R15" s="2261"/>
      <c r="S15" s="2261"/>
      <c r="T15" s="2261"/>
      <c r="U15" s="2262"/>
      <c r="V15" s="1731"/>
      <c r="X15" s="845"/>
    </row>
    <row r="16" spans="2:25" s="2" customFormat="1" ht="14.1" customHeight="1" x14ac:dyDescent="0.4">
      <c r="B16" s="2190"/>
      <c r="C16" s="2230" t="s">
        <v>8077</v>
      </c>
      <c r="D16" s="2231"/>
      <c r="E16" s="2231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1"/>
      <c r="Q16" s="2231"/>
      <c r="R16" s="2231"/>
      <c r="S16" s="2234">
        <v>10000.01</v>
      </c>
      <c r="T16" s="2234"/>
      <c r="U16" s="2235"/>
      <c r="V16" s="1731"/>
      <c r="X16" s="845"/>
    </row>
    <row r="17" spans="2:33" s="2" customFormat="1" ht="15.95" customHeight="1" thickBot="1" x14ac:dyDescent="0.45">
      <c r="B17" s="937"/>
      <c r="C17" s="2232"/>
      <c r="D17" s="2233"/>
      <c r="E17" s="2233"/>
      <c r="F17" s="2233"/>
      <c r="G17" s="2233"/>
      <c r="H17" s="2233"/>
      <c r="I17" s="2233"/>
      <c r="J17" s="2233"/>
      <c r="K17" s="2233"/>
      <c r="L17" s="2233"/>
      <c r="M17" s="2233"/>
      <c r="N17" s="2233"/>
      <c r="O17" s="2233"/>
      <c r="P17" s="2233"/>
      <c r="Q17" s="2233"/>
      <c r="R17" s="2233"/>
      <c r="S17" s="2236"/>
      <c r="T17" s="2236"/>
      <c r="U17" s="2237"/>
      <c r="V17" s="935"/>
      <c r="X17" s="845"/>
    </row>
    <row r="18" spans="2:33" ht="15.95" customHeight="1" thickBot="1" x14ac:dyDescent="0.45">
      <c r="B18" s="2238"/>
      <c r="C18" s="2239"/>
      <c r="D18" s="2239"/>
      <c r="E18" s="2239"/>
      <c r="F18" s="2239"/>
      <c r="G18" s="2239"/>
      <c r="H18" s="2239"/>
      <c r="I18" s="2239"/>
      <c r="J18" s="2239"/>
      <c r="K18" s="2239"/>
      <c r="L18" s="2239"/>
      <c r="M18" s="2239"/>
      <c r="N18" s="2239"/>
      <c r="O18" s="2239"/>
      <c r="P18" s="2239"/>
      <c r="Q18" s="2239"/>
      <c r="R18" s="2239"/>
      <c r="S18" s="2239"/>
      <c r="T18" s="2239"/>
      <c r="U18" s="2239"/>
      <c r="V18" s="2240"/>
      <c r="X18" s="844"/>
    </row>
    <row r="19" spans="2:33" ht="5.0999999999999996" customHeight="1" thickTop="1" thickBot="1" x14ac:dyDescent="0.45">
      <c r="X19" s="844"/>
    </row>
    <row r="20" spans="2:33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X20" s="844"/>
    </row>
    <row r="21" spans="2:33" s="3" customFormat="1" ht="3" customHeight="1" x14ac:dyDescent="0.25">
      <c r="B21" s="56"/>
      <c r="C21" s="2241"/>
      <c r="D21" s="2242"/>
      <c r="E21" s="2242"/>
      <c r="F21" s="2242"/>
      <c r="G21" s="2242"/>
      <c r="H21" s="2242"/>
      <c r="I21" s="2242"/>
      <c r="J21" s="2242"/>
      <c r="K21" s="2242"/>
      <c r="L21" s="2242"/>
      <c r="M21" s="2242"/>
      <c r="N21" s="2242"/>
      <c r="O21" s="2242"/>
      <c r="P21" s="2242"/>
      <c r="Q21" s="2242"/>
      <c r="R21" s="2242"/>
      <c r="S21" s="2242"/>
      <c r="T21" s="2242"/>
      <c r="U21" s="2243"/>
      <c r="V21" s="57"/>
      <c r="X21" s="846"/>
    </row>
    <row r="22" spans="2:33" s="3" customFormat="1" ht="12.95" customHeight="1" x14ac:dyDescent="0.25">
      <c r="B22" s="56"/>
      <c r="C22" s="444"/>
      <c r="D22" s="929"/>
      <c r="E22" s="930"/>
      <c r="F22" s="1433" t="s">
        <v>7925</v>
      </c>
      <c r="G22" s="1433"/>
      <c r="H22" s="1433"/>
      <c r="I22" s="1433"/>
      <c r="J22" s="1433"/>
      <c r="K22" s="1433"/>
      <c r="L22" s="1433"/>
      <c r="M22" s="1433"/>
      <c r="N22" s="1433"/>
      <c r="O22" s="1433"/>
      <c r="P22" s="1433"/>
      <c r="Q22" s="1433"/>
      <c r="R22" s="1433"/>
      <c r="S22" s="1433"/>
      <c r="T22" s="1433"/>
      <c r="U22" s="2244"/>
      <c r="V22" s="57"/>
      <c r="X22" s="846"/>
    </row>
    <row r="23" spans="2:33" ht="12.95" customHeight="1" x14ac:dyDescent="0.4">
      <c r="B23" s="58"/>
      <c r="C23" s="445"/>
      <c r="D23" s="927"/>
      <c r="E23" s="930"/>
      <c r="F23" s="1433" t="s">
        <v>7926</v>
      </c>
      <c r="G23" s="1433"/>
      <c r="H23" s="1433"/>
      <c r="I23" s="1433"/>
      <c r="J23" s="1433"/>
      <c r="K23" s="1433"/>
      <c r="L23" s="1433"/>
      <c r="M23" s="1433"/>
      <c r="N23" s="1433"/>
      <c r="O23" s="1433"/>
      <c r="P23" s="1433"/>
      <c r="Q23" s="1433"/>
      <c r="R23" s="1433"/>
      <c r="S23" s="1433"/>
      <c r="T23" s="1433"/>
      <c r="U23" s="2244"/>
      <c r="V23" s="59"/>
      <c r="X23" s="844"/>
      <c r="AG23" s="1">
        <v>2</v>
      </c>
    </row>
    <row r="24" spans="2:33" ht="12.95" customHeight="1" x14ac:dyDescent="0.4">
      <c r="B24" s="58"/>
      <c r="C24" s="940"/>
      <c r="D24" s="930"/>
      <c r="E24" s="929"/>
      <c r="F24" s="2291" t="s">
        <v>8079</v>
      </c>
      <c r="G24" s="2291"/>
      <c r="H24" s="2291"/>
      <c r="I24" s="2291"/>
      <c r="J24" s="2291"/>
      <c r="K24" s="2291"/>
      <c r="L24" s="2291"/>
      <c r="M24" s="2291"/>
      <c r="N24" s="1435" t="str">
        <f>Geral!I8</f>
        <v>Uberaba</v>
      </c>
      <c r="O24" s="1435"/>
      <c r="P24" s="1435"/>
      <c r="Q24" s="1435"/>
      <c r="R24" s="1435"/>
      <c r="S24" s="1435"/>
      <c r="T24" s="1435"/>
      <c r="U24" s="2292"/>
      <c r="V24" s="59"/>
      <c r="X24" s="844"/>
    </row>
    <row r="25" spans="2:33" ht="3" customHeight="1" thickBot="1" x14ac:dyDescent="0.45">
      <c r="B25" s="58"/>
      <c r="C25" s="2293"/>
      <c r="D25" s="1434"/>
      <c r="E25" s="1434"/>
      <c r="F25" s="1434"/>
      <c r="G25" s="1434"/>
      <c r="H25" s="1434"/>
      <c r="I25" s="1434"/>
      <c r="J25" s="1434"/>
      <c r="K25" s="1434"/>
      <c r="L25" s="1434"/>
      <c r="M25" s="1434"/>
      <c r="N25" s="1434"/>
      <c r="O25" s="1434"/>
      <c r="P25" s="1434"/>
      <c r="Q25" s="1434"/>
      <c r="R25" s="1434"/>
      <c r="S25" s="1434"/>
      <c r="T25" s="1434"/>
      <c r="U25" s="2294"/>
      <c r="V25" s="59"/>
      <c r="X25" s="844"/>
    </row>
    <row r="26" spans="2:33" ht="15" customHeight="1" thickBot="1" x14ac:dyDescent="0.45">
      <c r="B26" s="58"/>
      <c r="C26" s="2295" t="s">
        <v>8080</v>
      </c>
      <c r="D26" s="2296"/>
      <c r="E26" s="2296"/>
      <c r="F26" s="2296"/>
      <c r="G26" s="2296"/>
      <c r="H26" s="2296"/>
      <c r="I26" s="2296"/>
      <c r="J26" s="2296"/>
      <c r="K26" s="2296"/>
      <c r="L26" s="2296"/>
      <c r="M26" s="2296"/>
      <c r="N26" s="2296"/>
      <c r="O26" s="2296"/>
      <c r="P26" s="2296"/>
      <c r="Q26" s="2296"/>
      <c r="R26" s="2296"/>
      <c r="S26" s="2296"/>
      <c r="T26" s="2296"/>
      <c r="U26" s="2297"/>
      <c r="V26" s="59"/>
      <c r="X26" s="844"/>
    </row>
    <row r="27" spans="2:33" ht="15" customHeight="1" x14ac:dyDescent="0.4">
      <c r="B27" s="58"/>
      <c r="C27" s="2298" t="s">
        <v>367</v>
      </c>
      <c r="D27" s="2299"/>
      <c r="E27" s="2300">
        <f>G6</f>
        <v>0</v>
      </c>
      <c r="F27" s="2300"/>
      <c r="G27" s="2300"/>
      <c r="H27" s="2300"/>
      <c r="I27" s="2300"/>
      <c r="J27" s="2300"/>
      <c r="K27" s="2300"/>
      <c r="L27" s="2300"/>
      <c r="M27" s="2300"/>
      <c r="N27" s="2300"/>
      <c r="O27" s="2300"/>
      <c r="P27" s="2300"/>
      <c r="Q27" s="2301" t="s">
        <v>1</v>
      </c>
      <c r="R27" s="2301"/>
      <c r="S27" s="2302">
        <f>T6</f>
        <v>0</v>
      </c>
      <c r="T27" s="2302"/>
      <c r="U27" s="2303"/>
      <c r="V27" s="59"/>
      <c r="X27" s="506" t="s">
        <v>8150</v>
      </c>
    </row>
    <row r="28" spans="2:33" ht="15" customHeight="1" x14ac:dyDescent="0.4">
      <c r="B28" s="58"/>
      <c r="C28" s="2280" t="s">
        <v>8081</v>
      </c>
      <c r="D28" s="2281"/>
      <c r="E28" s="2281"/>
      <c r="F28" s="986" t="s">
        <v>8082</v>
      </c>
      <c r="G28" s="2282" t="str">
        <f>Geral!I8</f>
        <v>Uberaba</v>
      </c>
      <c r="H28" s="2282"/>
      <c r="I28" s="2282"/>
      <c r="J28" s="2282"/>
      <c r="K28" s="2282"/>
      <c r="L28" s="2282"/>
      <c r="M28" s="2282"/>
      <c r="N28" s="2282"/>
      <c r="O28" s="2282"/>
      <c r="P28" s="2283" t="str">
        <f>IF(L29&lt;&gt;"EEB","Não é EEB; ignorar este Campo.",IF(AND(L29="EEB",U32&lt;40544),"Ignorar; Afast. Anterior Subsídio",IF(AND(L29="EEB",U32&gt;40543),"EEB Retornou à Carreira Antiga?")))</f>
        <v>Não é EEB; ignorar este Campo.</v>
      </c>
      <c r="Q28" s="2284"/>
      <c r="R28" s="2284"/>
      <c r="S28" s="2284"/>
      <c r="T28" s="2284"/>
      <c r="U28" s="2285"/>
      <c r="V28" s="59"/>
      <c r="X28" s="2286" t="s">
        <v>8149</v>
      </c>
    </row>
    <row r="29" spans="2:33" ht="15" customHeight="1" x14ac:dyDescent="0.4">
      <c r="B29" s="58"/>
      <c r="C29" s="2287" t="s">
        <v>8083</v>
      </c>
      <c r="D29" s="2288"/>
      <c r="E29" s="2288"/>
      <c r="F29" s="2288"/>
      <c r="G29" s="2288"/>
      <c r="H29" s="2288"/>
      <c r="I29" s="2288"/>
      <c r="J29" s="2289"/>
      <c r="K29" s="2289"/>
      <c r="L29" s="987" t="str">
        <f>IF(LEFT(J29,4)="ANEI",LEFT(J29,4),LEFT(J29,3))</f>
        <v/>
      </c>
      <c r="M29" s="2290" t="s">
        <v>7930</v>
      </c>
      <c r="N29" s="2290"/>
      <c r="O29" s="988">
        <f>G7</f>
        <v>0</v>
      </c>
      <c r="P29" s="507"/>
      <c r="Q29" s="508"/>
      <c r="R29" s="508"/>
      <c r="S29" s="508"/>
      <c r="T29" s="508"/>
      <c r="U29" s="509"/>
      <c r="V29" s="59"/>
      <c r="X29" s="2286"/>
      <c r="Y29" s="2310" t="s">
        <v>8094</v>
      </c>
      <c r="Z29" s="2310"/>
      <c r="AA29" s="2310"/>
      <c r="AB29" s="2310"/>
      <c r="AC29" s="2311" t="s">
        <v>8063</v>
      </c>
      <c r="AD29" s="2311"/>
      <c r="AE29" s="2311"/>
      <c r="AF29" s="2311"/>
    </row>
    <row r="30" spans="2:33" ht="15" customHeight="1" thickBot="1" x14ac:dyDescent="0.45">
      <c r="B30" s="58"/>
      <c r="C30" s="2287" t="s">
        <v>8097</v>
      </c>
      <c r="D30" s="2288"/>
      <c r="E30" s="2288"/>
      <c r="F30" s="2288"/>
      <c r="G30" s="2312" t="s">
        <v>8095</v>
      </c>
      <c r="H30" s="2312"/>
      <c r="I30" s="989">
        <v>0</v>
      </c>
      <c r="J30" s="2313" t="s">
        <v>8098</v>
      </c>
      <c r="K30" s="2313"/>
      <c r="L30" s="2313"/>
      <c r="M30" s="989">
        <v>0</v>
      </c>
      <c r="N30" s="2314" t="s">
        <v>8100</v>
      </c>
      <c r="O30" s="2314"/>
      <c r="P30" s="2314"/>
      <c r="Q30" s="989">
        <v>0</v>
      </c>
      <c r="R30" s="2314" t="s">
        <v>8099</v>
      </c>
      <c r="S30" s="2314"/>
      <c r="T30" s="2314"/>
      <c r="U30" s="990">
        <v>0</v>
      </c>
      <c r="V30" s="59"/>
      <c r="X30" s="552">
        <v>2</v>
      </c>
      <c r="Y30" s="2315" t="str">
        <f>IF(OR(L29="ASB",L29="ATB",L29="AEB",L29="ASE"),"NÃO INCIDE","INCIDE")</f>
        <v>INCIDE</v>
      </c>
      <c r="Z30" s="2315"/>
      <c r="AA30" s="2315"/>
      <c r="AB30" s="2315"/>
      <c r="AC30" s="2315"/>
      <c r="AD30" s="2315"/>
      <c r="AE30" s="2315"/>
      <c r="AF30" s="2316"/>
    </row>
    <row r="31" spans="2:33" ht="15.95" customHeight="1" thickTop="1" thickBot="1" x14ac:dyDescent="0.45">
      <c r="B31" s="58"/>
      <c r="C31" s="2280"/>
      <c r="D31" s="2281"/>
      <c r="E31" s="2281"/>
      <c r="F31" s="2281"/>
      <c r="G31" s="2281"/>
      <c r="H31" s="991" t="s">
        <v>8084</v>
      </c>
      <c r="I31" s="2304"/>
      <c r="J31" s="2304"/>
      <c r="K31" s="2304"/>
      <c r="L31" s="2305" t="str">
        <f>IF(AC31=1,"Afastamento Preliminar a partir de:","Falecimento em:")</f>
        <v>Afastamento Preliminar a partir de:</v>
      </c>
      <c r="M31" s="2306"/>
      <c r="N31" s="2306"/>
      <c r="O31" s="2306"/>
      <c r="P31" s="2306"/>
      <c r="Q31" s="2306"/>
      <c r="R31" s="2304"/>
      <c r="S31" s="2304"/>
      <c r="T31" s="2304"/>
      <c r="U31" s="992"/>
      <c r="V31" s="59"/>
      <c r="Y31" s="2307" t="s">
        <v>8115</v>
      </c>
      <c r="Z31" s="2308"/>
      <c r="AA31" s="2308"/>
      <c r="AB31" s="2308"/>
      <c r="AC31" s="2309">
        <v>1</v>
      </c>
      <c r="AD31" s="2309"/>
      <c r="AE31" s="2309"/>
      <c r="AF31" s="2309"/>
    </row>
    <row r="32" spans="2:33" ht="21" hidden="1" customHeight="1" thickBot="1" x14ac:dyDescent="0.45">
      <c r="B32" s="58"/>
      <c r="C32" s="2317"/>
      <c r="D32" s="2318"/>
      <c r="E32" s="2318"/>
      <c r="F32" s="2318"/>
      <c r="G32" s="2318"/>
      <c r="H32" s="2318"/>
      <c r="I32" s="2318"/>
      <c r="J32" s="2318"/>
      <c r="K32" s="2318"/>
      <c r="L32" s="2318"/>
      <c r="M32" s="2318"/>
      <c r="N32" s="2319" t="e">
        <f>DATEVALUE(TEXT(R31,"##""/""##""/""##")&amp;"")</f>
        <v>#VALUE!</v>
      </c>
      <c r="O32" s="2319"/>
      <c r="P32" s="2319"/>
      <c r="Q32" s="2319"/>
      <c r="R32" s="2320" t="e">
        <f>N32</f>
        <v>#VALUE!</v>
      </c>
      <c r="S32" s="2320"/>
      <c r="T32" s="2320"/>
      <c r="U32" s="992" t="e">
        <f>R32</f>
        <v>#VALUE!</v>
      </c>
      <c r="V32" s="59"/>
      <c r="Y32" s="2321"/>
      <c r="Z32" s="2322"/>
      <c r="AA32" s="2322"/>
      <c r="AB32" s="2322"/>
      <c r="AC32" s="2323"/>
      <c r="AD32" s="2323"/>
      <c r="AE32" s="2323"/>
      <c r="AF32" s="2323"/>
    </row>
    <row r="33" spans="2:75" ht="14.1" customHeight="1" x14ac:dyDescent="0.4">
      <c r="B33" s="58"/>
      <c r="C33" s="2324" t="s">
        <v>8142</v>
      </c>
      <c r="D33" s="2325"/>
      <c r="E33" s="2325"/>
      <c r="F33" s="2325"/>
      <c r="G33" s="2325"/>
      <c r="H33" s="2325"/>
      <c r="I33" s="2325"/>
      <c r="J33" s="2325"/>
      <c r="K33" s="2325"/>
      <c r="L33" s="2325"/>
      <c r="M33" s="2325"/>
      <c r="N33" s="2325"/>
      <c r="O33" s="2325"/>
      <c r="P33" s="2325"/>
      <c r="Q33" s="2325"/>
      <c r="R33" s="2325"/>
      <c r="S33" s="2325"/>
      <c r="T33" s="2325"/>
      <c r="U33" s="2326"/>
      <c r="V33" s="59"/>
      <c r="Y33" s="2330" t="s">
        <v>8093</v>
      </c>
      <c r="Z33" s="2331"/>
      <c r="AA33" s="2331"/>
      <c r="AB33" s="2331"/>
      <c r="AC33" s="2332">
        <v>1</v>
      </c>
      <c r="AD33" s="2332"/>
      <c r="AE33" s="2332"/>
      <c r="AF33" s="2332"/>
    </row>
    <row r="34" spans="2:75" ht="14.1" customHeight="1" thickBot="1" x14ac:dyDescent="0.45">
      <c r="B34" s="58"/>
      <c r="C34" s="2327"/>
      <c r="D34" s="2328"/>
      <c r="E34" s="2328"/>
      <c r="F34" s="2328"/>
      <c r="G34" s="2328"/>
      <c r="H34" s="2328"/>
      <c r="I34" s="2328"/>
      <c r="J34" s="2328"/>
      <c r="K34" s="2328"/>
      <c r="L34" s="2328"/>
      <c r="M34" s="2328"/>
      <c r="N34" s="2328"/>
      <c r="O34" s="2328"/>
      <c r="P34" s="2328"/>
      <c r="Q34" s="2328"/>
      <c r="R34" s="2328"/>
      <c r="S34" s="2328"/>
      <c r="T34" s="2328"/>
      <c r="U34" s="2329"/>
      <c r="V34" s="59"/>
      <c r="Y34" s="2333" t="str">
        <f>IF(AC33=1,"SEM DIREITO","COM DIREITO")</f>
        <v>SEM DIREITO</v>
      </c>
      <c r="Z34" s="2334"/>
      <c r="AA34" s="2334"/>
      <c r="AB34" s="2334"/>
      <c r="AC34" s="2334"/>
      <c r="AD34" s="2334"/>
      <c r="AE34" s="2334"/>
      <c r="AF34" s="2335"/>
    </row>
    <row r="35" spans="2:75" ht="15" customHeight="1" thickBot="1" x14ac:dyDescent="0.45">
      <c r="B35" s="58"/>
      <c r="C35" s="2346" t="s">
        <v>8054</v>
      </c>
      <c r="D35" s="2347"/>
      <c r="E35" s="2347"/>
      <c r="F35" s="2347"/>
      <c r="G35" s="2347"/>
      <c r="H35" s="2347"/>
      <c r="I35" s="2347"/>
      <c r="J35" s="2347"/>
      <c r="K35" s="2347"/>
      <c r="L35" s="2347"/>
      <c r="M35" s="2347"/>
      <c r="N35" s="2347"/>
      <c r="O35" s="2347"/>
      <c r="P35" s="2347"/>
      <c r="Q35" s="474" t="s">
        <v>8090</v>
      </c>
      <c r="R35" s="948" t="s">
        <v>8055</v>
      </c>
      <c r="S35" s="2347" t="s">
        <v>348</v>
      </c>
      <c r="T35" s="2347"/>
      <c r="U35" s="2348"/>
      <c r="V35" s="59"/>
      <c r="Y35" s="2349" t="s">
        <v>8091</v>
      </c>
      <c r="Z35" s="2349"/>
      <c r="AA35" s="2349"/>
      <c r="AB35" s="2349"/>
      <c r="AC35" s="2349" t="s">
        <v>8092</v>
      </c>
      <c r="AD35" s="2349"/>
      <c r="AE35" s="2349"/>
      <c r="AF35" s="2349"/>
      <c r="AK35" s="2350" t="s">
        <v>8127</v>
      </c>
      <c r="AL35" s="2351"/>
      <c r="AM35" s="2351"/>
      <c r="AN35" s="2351"/>
      <c r="AO35" s="2361" t="s">
        <v>8205</v>
      </c>
      <c r="AP35" s="2363"/>
      <c r="AQ35" s="2364"/>
      <c r="AR35" s="2361" t="s">
        <v>9411</v>
      </c>
      <c r="AS35" s="2362"/>
      <c r="AT35" s="2350"/>
      <c r="AU35" s="2361" t="s">
        <v>9410</v>
      </c>
      <c r="AV35" s="2363"/>
      <c r="AW35" s="2364"/>
      <c r="AX35" s="2365" t="s">
        <v>8204</v>
      </c>
      <c r="AY35" s="2366"/>
      <c r="AZ35" s="2367"/>
      <c r="BA35" s="2351" t="s">
        <v>8068</v>
      </c>
      <c r="BB35" s="2351"/>
      <c r="BC35" s="2351"/>
      <c r="BD35" s="2361"/>
      <c r="BE35" s="945"/>
      <c r="BF35" s="945"/>
      <c r="BG35" s="945"/>
      <c r="BH35" s="945"/>
      <c r="BI35" s="945"/>
      <c r="BJ35" s="945"/>
      <c r="BK35" s="945"/>
      <c r="BL35" s="945"/>
      <c r="BM35" s="945"/>
      <c r="BN35" s="945"/>
      <c r="BO35" s="945"/>
      <c r="BP35" s="945"/>
      <c r="BQ35" s="2368"/>
      <c r="BR35" s="2368"/>
      <c r="BS35" s="2368"/>
      <c r="BT35" s="2368"/>
    </row>
    <row r="36" spans="2:75" ht="14.45" customHeight="1" thickTop="1" x14ac:dyDescent="0.4">
      <c r="B36" s="58"/>
      <c r="C36" s="2336" t="s">
        <v>8056</v>
      </c>
      <c r="D36" s="2337"/>
      <c r="E36" s="2337"/>
      <c r="F36" s="2337"/>
      <c r="G36" s="2337"/>
      <c r="H36" s="2337"/>
      <c r="I36" s="2337"/>
      <c r="J36" s="2337"/>
      <c r="K36" s="2337"/>
      <c r="L36" s="470" t="str">
        <f>IF(Y36="-","-",IF(U32&lt;41306,AC36,Y36))</f>
        <v>-</v>
      </c>
      <c r="M36" s="946" t="s">
        <v>8086</v>
      </c>
      <c r="N36" s="946"/>
      <c r="O36" s="946"/>
      <c r="P36" s="471"/>
      <c r="Q36" s="472" t="s">
        <v>8057</v>
      </c>
      <c r="R36" s="473" t="s">
        <v>8089</v>
      </c>
      <c r="S36" s="2338" t="s">
        <v>8057</v>
      </c>
      <c r="T36" s="2339"/>
      <c r="U36" s="2340"/>
      <c r="V36" s="59"/>
      <c r="W36" s="1113" t="str">
        <f>R36</f>
        <v>XXX</v>
      </c>
      <c r="X36" s="485" t="str">
        <f>IF(S36="-","-",ROUND(S36,2))</f>
        <v>-</v>
      </c>
      <c r="Y36" s="2341" t="str">
        <f>IF(OR(I30="-",I30=0,I30="",I30="X"),"-",VLOOKUP(I30,'C Horária'!C8:E23,2))</f>
        <v>-</v>
      </c>
      <c r="Z36" s="2342"/>
      <c r="AA36" s="2342"/>
      <c r="AB36" s="2343"/>
      <c r="AC36" s="2341" t="str">
        <f>IF(OR(I30="-",I30=0,I30="",I30="X"),"-",VLOOKUP(I30,'C Horária'!C32:E49,2))</f>
        <v>-</v>
      </c>
      <c r="AD36" s="2342"/>
      <c r="AE36" s="2342"/>
      <c r="AF36" s="2343"/>
      <c r="AK36" s="2344" t="str">
        <f>S36</f>
        <v>-</v>
      </c>
      <c r="AL36" s="2345"/>
      <c r="AM36" s="2345"/>
      <c r="AN36" s="2345"/>
      <c r="AO36" s="2352">
        <f>S70</f>
        <v>0</v>
      </c>
      <c r="AP36" s="2353"/>
      <c r="AQ36" s="2354"/>
      <c r="AR36" s="2355">
        <f>S71</f>
        <v>0</v>
      </c>
      <c r="AS36" s="2356"/>
      <c r="AT36" s="2357"/>
      <c r="AU36" s="2352">
        <f>S72</f>
        <v>0</v>
      </c>
      <c r="AV36" s="2353"/>
      <c r="AW36" s="2354"/>
      <c r="AX36" s="2352">
        <f>S73</f>
        <v>0</v>
      </c>
      <c r="AY36" s="2353"/>
      <c r="AZ36" s="2354"/>
      <c r="BA36" s="2358">
        <f>SUM(AK36:AZ36)</f>
        <v>0</v>
      </c>
      <c r="BB36" s="2358"/>
      <c r="BC36" s="2358"/>
      <c r="BD36" s="2359"/>
      <c r="BE36" s="947"/>
      <c r="BF36" s="947"/>
      <c r="BG36" s="947"/>
      <c r="BH36" s="947"/>
      <c r="BI36" s="947"/>
      <c r="BJ36" s="947"/>
      <c r="BK36" s="947"/>
      <c r="BL36" s="947"/>
      <c r="BM36" s="947"/>
      <c r="BN36" s="947"/>
      <c r="BO36" s="947"/>
      <c r="BP36" s="947"/>
      <c r="BQ36" s="2360"/>
      <c r="BR36" s="2360"/>
      <c r="BS36" s="2360"/>
      <c r="BT36" s="2360"/>
    </row>
    <row r="37" spans="2:75" ht="14.45" customHeight="1" x14ac:dyDescent="0.4">
      <c r="B37" s="58"/>
      <c r="C37" s="2370" t="s">
        <v>397</v>
      </c>
      <c r="D37" s="2371"/>
      <c r="E37" s="2371"/>
      <c r="F37" s="2371"/>
      <c r="G37" s="2371"/>
      <c r="H37" s="2371"/>
      <c r="I37" s="2371"/>
      <c r="J37" s="2371"/>
      <c r="K37" s="993"/>
      <c r="L37" s="993" t="str">
        <f>IF(Y37="-","-",IF(U32&lt;41306,AC37,Y37))</f>
        <v>-</v>
      </c>
      <c r="M37" s="994" t="s">
        <v>8086</v>
      </c>
      <c r="N37" s="2372" t="s">
        <v>8085</v>
      </c>
      <c r="O37" s="2372"/>
      <c r="P37" s="995">
        <v>883</v>
      </c>
      <c r="Q37" s="996" t="s">
        <v>8057</v>
      </c>
      <c r="R37" s="997" t="s">
        <v>8057</v>
      </c>
      <c r="S37" s="2373" t="str">
        <f>IF(Y37="-","-",BA36/L36*L37)</f>
        <v>-</v>
      </c>
      <c r="T37" s="2374"/>
      <c r="U37" s="2375"/>
      <c r="V37" s="59"/>
      <c r="W37" s="1114" t="str">
        <f>IF(R37="-","-",ROUND(R37,2))</f>
        <v>-</v>
      </c>
      <c r="X37" s="998" t="str">
        <f>IF(S37="-","-",ROUND(S37,2))</f>
        <v>-</v>
      </c>
      <c r="Y37" s="2343" t="str">
        <f>IF(OR(M30="-",M30=0,M30="",M30="X"),"-",VLOOKUP(M30,'C Horária'!G8:I12,2))</f>
        <v>-</v>
      </c>
      <c r="Z37" s="2369"/>
      <c r="AA37" s="2369"/>
      <c r="AB37" s="2369"/>
      <c r="AC37" s="2369" t="str">
        <f>IF(OR(M30="-",M30=0,M30="",M30="X"),"-",VLOOKUP(M30,'C Horária'!G32:I36,2))</f>
        <v>-</v>
      </c>
      <c r="AD37" s="2369"/>
      <c r="AE37" s="2369"/>
      <c r="AF37" s="2369"/>
      <c r="AK37" s="2379"/>
      <c r="AL37" s="2376"/>
      <c r="AM37" s="2376"/>
      <c r="AN37" s="2376"/>
      <c r="AO37" s="949"/>
      <c r="AP37" s="949"/>
      <c r="AQ37" s="949"/>
      <c r="AR37" s="949"/>
      <c r="AS37" s="949"/>
      <c r="AT37" s="949"/>
      <c r="AU37" s="949"/>
      <c r="AV37" s="949"/>
      <c r="AW37" s="2376"/>
      <c r="AX37" s="2376"/>
      <c r="AY37" s="2376"/>
      <c r="AZ37" s="2376"/>
      <c r="BA37" s="949"/>
      <c r="BB37" s="949"/>
      <c r="BC37" s="949"/>
      <c r="BD37" s="949"/>
      <c r="BE37" s="949"/>
      <c r="BF37" s="949"/>
      <c r="BG37" s="949"/>
      <c r="BH37" s="949"/>
      <c r="BI37" s="949"/>
      <c r="BJ37" s="949"/>
      <c r="BK37" s="949"/>
      <c r="BL37" s="949"/>
      <c r="BM37" s="949"/>
      <c r="BN37" s="949"/>
      <c r="BO37" s="949"/>
      <c r="BP37" s="949"/>
      <c r="BQ37" s="2377"/>
      <c r="BR37" s="2377"/>
      <c r="BS37" s="2377"/>
      <c r="BT37" s="2378"/>
    </row>
    <row r="38" spans="2:75" ht="14.45" customHeight="1" x14ac:dyDescent="0.4">
      <c r="B38" s="58"/>
      <c r="C38" s="2370" t="s">
        <v>8066</v>
      </c>
      <c r="D38" s="2371"/>
      <c r="E38" s="2371"/>
      <c r="F38" s="2371"/>
      <c r="G38" s="2371"/>
      <c r="H38" s="2371"/>
      <c r="I38" s="2371"/>
      <c r="J38" s="2371"/>
      <c r="K38" s="2371"/>
      <c r="L38" s="993" t="str">
        <f>IF(Y38="-","-",IF(U32&lt;41306,AC38,Y38))</f>
        <v>-</v>
      </c>
      <c r="M38" s="994" t="s">
        <v>8086</v>
      </c>
      <c r="N38" s="2372" t="s">
        <v>8085</v>
      </c>
      <c r="O38" s="2372"/>
      <c r="P38" s="995"/>
      <c r="Q38" s="996" t="s">
        <v>8057</v>
      </c>
      <c r="R38" s="997" t="s">
        <v>8057</v>
      </c>
      <c r="S38" s="2373" t="str">
        <f>IF(Y38="-","-",BA36/L36*L38)</f>
        <v>-</v>
      </c>
      <c r="T38" s="2374"/>
      <c r="U38" s="2375"/>
      <c r="V38" s="59"/>
      <c r="W38" s="1114" t="str">
        <f t="shared" ref="W38:X55" si="0">IF(R38="-","-",ROUND(R38,2))</f>
        <v>-</v>
      </c>
      <c r="X38" s="998" t="str">
        <f t="shared" si="0"/>
        <v>-</v>
      </c>
      <c r="Y38" s="2343" t="str">
        <f>IF(OR(Q30="-",Q30=0,Q30="",Q30="X"),"-",VLOOKUP(Q30,'C Horária'!C8:E23,2))</f>
        <v>-</v>
      </c>
      <c r="Z38" s="2369"/>
      <c r="AA38" s="2369"/>
      <c r="AB38" s="2369"/>
      <c r="AC38" s="2369" t="str">
        <f>IF(OR(Q30="-",Q30=0,Q30="",Q30="X"),"-",VLOOKUP(Q30,'C Horária'!C32:E49,2))</f>
        <v>-</v>
      </c>
      <c r="AD38" s="2369"/>
      <c r="AE38" s="2369"/>
      <c r="AF38" s="2369"/>
    </row>
    <row r="39" spans="2:75" ht="14.45" customHeight="1" x14ac:dyDescent="0.4">
      <c r="B39" s="58"/>
      <c r="C39" s="2370" t="s">
        <v>8101</v>
      </c>
      <c r="D39" s="2371"/>
      <c r="E39" s="2371"/>
      <c r="F39" s="2371"/>
      <c r="G39" s="2371"/>
      <c r="H39" s="2371"/>
      <c r="I39" s="2371"/>
      <c r="J39" s="2371"/>
      <c r="K39" s="2371"/>
      <c r="L39" s="993" t="str">
        <f>IF(Y39="-","-",IF(U32&lt;41306,AC39,Y39))</f>
        <v>-</v>
      </c>
      <c r="M39" s="994" t="s">
        <v>8086</v>
      </c>
      <c r="N39" s="2372" t="s">
        <v>8085</v>
      </c>
      <c r="O39" s="2372"/>
      <c r="P39" s="995"/>
      <c r="Q39" s="996" t="s">
        <v>8057</v>
      </c>
      <c r="R39" s="997" t="s">
        <v>8057</v>
      </c>
      <c r="S39" s="2373" t="str">
        <f>IF(Y39="-","-",BA36/L36*L39)</f>
        <v>-</v>
      </c>
      <c r="T39" s="2374"/>
      <c r="U39" s="2375"/>
      <c r="V39" s="59"/>
      <c r="W39" s="1114" t="str">
        <f t="shared" si="0"/>
        <v>-</v>
      </c>
      <c r="X39" s="998" t="str">
        <f t="shared" si="0"/>
        <v>-</v>
      </c>
      <c r="Y39" s="2343" t="str">
        <f>IF(OR(U30="-",U30=0,U30="",U30="XXX"),"-",VLOOKUP(U30,'C Horária'!G8:I12,2))</f>
        <v>-</v>
      </c>
      <c r="Z39" s="2369"/>
      <c r="AA39" s="2369"/>
      <c r="AB39" s="2369"/>
      <c r="AC39" s="2369" t="str">
        <f>IF(OR(U30="-",U30=0,U30="",U30="XXX"),"-",VLOOKUP(U30,'C Horária'!G32:I36,2))</f>
        <v>-</v>
      </c>
      <c r="AD39" s="2369"/>
      <c r="AE39" s="2369"/>
      <c r="AF39" s="2369"/>
    </row>
    <row r="40" spans="2:75" ht="14.45" customHeight="1" x14ac:dyDescent="0.4">
      <c r="B40" s="58"/>
      <c r="C40" s="2370" t="s">
        <v>8132</v>
      </c>
      <c r="D40" s="2371"/>
      <c r="E40" s="2371"/>
      <c r="F40" s="2371"/>
      <c r="G40" s="2371"/>
      <c r="H40" s="2371"/>
      <c r="I40" s="2371"/>
      <c r="J40" s="2371"/>
      <c r="K40" s="2371"/>
      <c r="L40" s="2371"/>
      <c r="M40" s="2371"/>
      <c r="N40" s="2372" t="s">
        <v>8085</v>
      </c>
      <c r="O40" s="2372"/>
      <c r="P40" s="999">
        <v>143</v>
      </c>
      <c r="Q40" s="996" t="s">
        <v>8057</v>
      </c>
      <c r="R40" s="997" t="str">
        <f>IF(L29&lt;&gt;"PEB","-",IF(Y34="COM DIREITO",0.2,"-"))</f>
        <v>-</v>
      </c>
      <c r="S40" s="2373" t="str">
        <f>IF(AND(AC33=2,R40&lt;&gt;"-"),SUM(S36:U39)*R40,"-")</f>
        <v>-</v>
      </c>
      <c r="T40" s="2374"/>
      <c r="U40" s="2375"/>
      <c r="V40" s="59"/>
      <c r="W40" s="1114" t="str">
        <f t="shared" si="0"/>
        <v>-</v>
      </c>
      <c r="X40" s="998" t="str">
        <f t="shared" si="0"/>
        <v>-</v>
      </c>
    </row>
    <row r="41" spans="2:75" ht="14.45" customHeight="1" x14ac:dyDescent="0.4">
      <c r="B41" s="58"/>
      <c r="C41" s="2370" t="s">
        <v>8105</v>
      </c>
      <c r="D41" s="2371"/>
      <c r="E41" s="2371"/>
      <c r="F41" s="2371"/>
      <c r="G41" s="2371"/>
      <c r="H41" s="2371"/>
      <c r="I41" s="2371"/>
      <c r="J41" s="2371"/>
      <c r="K41" s="2371"/>
      <c r="L41" s="2371"/>
      <c r="M41" s="2371"/>
      <c r="N41" s="2372" t="s">
        <v>8085</v>
      </c>
      <c r="O41" s="2372"/>
      <c r="P41" s="1000">
        <v>144</v>
      </c>
      <c r="Q41" s="1001"/>
      <c r="R41" s="1002" t="str">
        <f>IF(OR(Q41="-",Q41="",Q41="X",Q41=0),"-",IF(Q41&gt;=1,Q41*5%))</f>
        <v>-</v>
      </c>
      <c r="S41" s="2373" t="str">
        <f>IF(R41="-",R41,SUM(S36:U39)*R41)</f>
        <v>-</v>
      </c>
      <c r="T41" s="2374"/>
      <c r="U41" s="2375"/>
      <c r="V41" s="59"/>
      <c r="W41" s="1114" t="str">
        <f t="shared" si="0"/>
        <v>-</v>
      </c>
      <c r="X41" s="998" t="str">
        <f t="shared" si="0"/>
        <v>-</v>
      </c>
    </row>
    <row r="42" spans="2:75" ht="14.45" customHeight="1" x14ac:dyDescent="0.4">
      <c r="B42" s="58"/>
      <c r="C42" s="2380" t="s">
        <v>8096</v>
      </c>
      <c r="D42" s="2381"/>
      <c r="E42" s="2381"/>
      <c r="F42" s="2381"/>
      <c r="G42" s="2381"/>
      <c r="H42" s="2381"/>
      <c r="I42" s="2381"/>
      <c r="J42" s="2381"/>
      <c r="K42" s="2381"/>
      <c r="L42" s="2381"/>
      <c r="M42" s="2381"/>
      <c r="N42" s="2372" t="s">
        <v>8085</v>
      </c>
      <c r="O42" s="2372"/>
      <c r="P42" s="1000">
        <v>42</v>
      </c>
      <c r="Q42" s="1001"/>
      <c r="R42" s="1002" t="str">
        <f t="shared" ref="R42:R47" si="1">IF(OR(Q42="-",Q42="",Q42="X",Q42=0),"-",IF(Q42&gt;=1,Q42*10%))</f>
        <v>-</v>
      </c>
      <c r="S42" s="2373" t="str">
        <f>IF(R42="-","-",BQ42*R42)</f>
        <v>-</v>
      </c>
      <c r="T42" s="2374"/>
      <c r="U42" s="2375"/>
      <c r="V42" s="59"/>
      <c r="W42" s="1114" t="str">
        <f t="shared" si="0"/>
        <v>-</v>
      </c>
      <c r="X42" s="998" t="str">
        <f t="shared" si="0"/>
        <v>-</v>
      </c>
      <c r="Y42" s="2384">
        <f>SUM(S36:U41)</f>
        <v>0</v>
      </c>
      <c r="Z42" s="2384"/>
      <c r="AA42" s="2384"/>
      <c r="AB42" s="2385"/>
      <c r="AC42" s="2386" t="s">
        <v>8057</v>
      </c>
      <c r="AD42" s="2384"/>
      <c r="AE42" s="2384"/>
      <c r="AF42" s="2385"/>
      <c r="AG42" s="2386" t="s">
        <v>8057</v>
      </c>
      <c r="AH42" s="2384"/>
      <c r="AI42" s="2384"/>
      <c r="AJ42" s="2385"/>
      <c r="AK42" s="2390" t="str">
        <f>S57</f>
        <v>-</v>
      </c>
      <c r="AL42" s="2391"/>
      <c r="AM42" s="2391"/>
      <c r="AN42" s="2392"/>
      <c r="AO42" s="2390">
        <f>S59</f>
        <v>0</v>
      </c>
      <c r="AP42" s="2391"/>
      <c r="AQ42" s="2391"/>
      <c r="AR42" s="2392"/>
      <c r="AS42" s="2390">
        <f>S60</f>
        <v>0</v>
      </c>
      <c r="AT42" s="2391"/>
      <c r="AU42" s="2391"/>
      <c r="AV42" s="2392"/>
      <c r="AW42" s="2390"/>
      <c r="AX42" s="2391"/>
      <c r="AY42" s="2391"/>
      <c r="AZ42" s="2392"/>
      <c r="BA42" s="2390">
        <f>S67</f>
        <v>0</v>
      </c>
      <c r="BB42" s="2391"/>
      <c r="BC42" s="2391"/>
      <c r="BD42" s="2392"/>
      <c r="BE42" s="2390"/>
      <c r="BF42" s="2391"/>
      <c r="BG42" s="2391"/>
      <c r="BH42" s="2392"/>
      <c r="BI42" s="2390" t="str">
        <f>S56</f>
        <v>-</v>
      </c>
      <c r="BJ42" s="2391"/>
      <c r="BK42" s="2391"/>
      <c r="BL42" s="2392"/>
      <c r="BM42" s="2390">
        <f>S58</f>
        <v>0</v>
      </c>
      <c r="BN42" s="2391"/>
      <c r="BO42" s="2391"/>
      <c r="BP42" s="2392"/>
      <c r="BQ42" s="2393">
        <f>SUM(Y42:BM42)</f>
        <v>0</v>
      </c>
      <c r="BR42" s="2393"/>
      <c r="BS42" s="2393"/>
      <c r="BT42" s="2393"/>
      <c r="BU42" s="2382">
        <v>42</v>
      </c>
      <c r="BV42" s="2383"/>
      <c r="BW42" s="2383"/>
    </row>
    <row r="43" spans="2:75" ht="14.45" customHeight="1" x14ac:dyDescent="0.4">
      <c r="B43" s="58"/>
      <c r="C43" s="2370" t="s">
        <v>8104</v>
      </c>
      <c r="D43" s="2371"/>
      <c r="E43" s="2371"/>
      <c r="F43" s="2371"/>
      <c r="G43" s="2371"/>
      <c r="H43" s="2371"/>
      <c r="I43" s="2371"/>
      <c r="J43" s="2371"/>
      <c r="K43" s="2371"/>
      <c r="L43" s="2371"/>
      <c r="M43" s="2371"/>
      <c r="N43" s="2372" t="s">
        <v>8085</v>
      </c>
      <c r="O43" s="2372"/>
      <c r="P43" s="1000">
        <v>41</v>
      </c>
      <c r="Q43" s="1001"/>
      <c r="R43" s="1002" t="str">
        <f t="shared" si="1"/>
        <v>-</v>
      </c>
      <c r="S43" s="2373" t="str">
        <f>IF(R43="-","-",BQ43*R43)</f>
        <v>-</v>
      </c>
      <c r="T43" s="2374"/>
      <c r="U43" s="2375"/>
      <c r="V43" s="59"/>
      <c r="W43" s="1114" t="str">
        <f t="shared" si="0"/>
        <v>-</v>
      </c>
      <c r="X43" s="998" t="str">
        <f t="shared" si="0"/>
        <v>-</v>
      </c>
      <c r="Y43" s="2384">
        <f>SUM(S36:U41)</f>
        <v>0</v>
      </c>
      <c r="Z43" s="2384"/>
      <c r="AA43" s="2384"/>
      <c r="AB43" s="2385"/>
      <c r="AC43" s="2386" t="s">
        <v>8057</v>
      </c>
      <c r="AD43" s="2384"/>
      <c r="AE43" s="2384"/>
      <c r="AF43" s="2385"/>
      <c r="AG43" s="2386" t="s">
        <v>8057</v>
      </c>
      <c r="AH43" s="2384"/>
      <c r="AI43" s="2384"/>
      <c r="AJ43" s="2385"/>
      <c r="AK43" s="2387" t="str">
        <f>S57</f>
        <v>-</v>
      </c>
      <c r="AL43" s="2388"/>
      <c r="AM43" s="2388"/>
      <c r="AN43" s="2389"/>
      <c r="AO43" s="2387">
        <f>S59</f>
        <v>0</v>
      </c>
      <c r="AP43" s="2388"/>
      <c r="AQ43" s="2388"/>
      <c r="AR43" s="2389"/>
      <c r="AS43" s="2387">
        <f>S60</f>
        <v>0</v>
      </c>
      <c r="AT43" s="2388"/>
      <c r="AU43" s="2388"/>
      <c r="AV43" s="2389"/>
      <c r="AW43" s="2387"/>
      <c r="AX43" s="2388"/>
      <c r="AY43" s="2388"/>
      <c r="AZ43" s="2389"/>
      <c r="BA43" s="2387">
        <f>S67</f>
        <v>0</v>
      </c>
      <c r="BB43" s="2388"/>
      <c r="BC43" s="2388"/>
      <c r="BD43" s="2389"/>
      <c r="BE43" s="2387"/>
      <c r="BF43" s="2388"/>
      <c r="BG43" s="2388"/>
      <c r="BH43" s="2389"/>
      <c r="BI43" s="2387" t="str">
        <f>S56</f>
        <v>-</v>
      </c>
      <c r="BJ43" s="2388"/>
      <c r="BK43" s="2388"/>
      <c r="BL43" s="2389"/>
      <c r="BM43" s="2387">
        <f>S58</f>
        <v>0</v>
      </c>
      <c r="BN43" s="2388"/>
      <c r="BO43" s="2388"/>
      <c r="BP43" s="2389"/>
      <c r="BQ43" s="2406">
        <f>SUM(Y43:BM43)</f>
        <v>0</v>
      </c>
      <c r="BR43" s="2406"/>
      <c r="BS43" s="2406"/>
      <c r="BT43" s="2407"/>
      <c r="BU43" s="2394">
        <v>41</v>
      </c>
      <c r="BV43" s="2395"/>
      <c r="BW43" s="2395"/>
    </row>
    <row r="44" spans="2:75" ht="14.45" customHeight="1" thickBot="1" x14ac:dyDescent="0.45">
      <c r="B44" s="58"/>
      <c r="C44" s="2396" t="s">
        <v>8102</v>
      </c>
      <c r="D44" s="2397"/>
      <c r="E44" s="2397"/>
      <c r="F44" s="2397"/>
      <c r="G44" s="2397"/>
      <c r="H44" s="2397"/>
      <c r="I44" s="2397"/>
      <c r="J44" s="2397"/>
      <c r="K44" s="2397"/>
      <c r="L44" s="2397"/>
      <c r="M44" s="2397"/>
      <c r="N44" s="2398" t="s">
        <v>8085</v>
      </c>
      <c r="O44" s="2398"/>
      <c r="P44" s="1003">
        <v>44</v>
      </c>
      <c r="Q44" s="1004"/>
      <c r="R44" s="1005" t="str">
        <f t="shared" si="1"/>
        <v>-</v>
      </c>
      <c r="S44" s="2399" t="str">
        <f>IF(R44="-","-",BQ44*R44)</f>
        <v>-</v>
      </c>
      <c r="T44" s="2400"/>
      <c r="U44" s="2401"/>
      <c r="V44" s="59"/>
      <c r="W44" s="1114" t="str">
        <f t="shared" si="0"/>
        <v>-</v>
      </c>
      <c r="X44" s="998" t="str">
        <f t="shared" si="0"/>
        <v>-</v>
      </c>
      <c r="Y44" s="2402">
        <f>SUM(S36:U41)</f>
        <v>0</v>
      </c>
      <c r="Z44" s="2403"/>
      <c r="AA44" s="2403"/>
      <c r="AB44" s="2403"/>
      <c r="AC44" s="2403" t="str">
        <f>S53</f>
        <v>-</v>
      </c>
      <c r="AD44" s="2403"/>
      <c r="AE44" s="2403"/>
      <c r="AF44" s="2403"/>
      <c r="AG44" s="2403" t="str">
        <f>S55</f>
        <v>-</v>
      </c>
      <c r="AH44" s="2403"/>
      <c r="AI44" s="2403"/>
      <c r="AJ44" s="2403"/>
      <c r="AK44" s="2404" t="str">
        <f>S57</f>
        <v>-</v>
      </c>
      <c r="AL44" s="2405"/>
      <c r="AM44" s="2405"/>
      <c r="AN44" s="2402"/>
      <c r="AO44" s="2404">
        <f>S59</f>
        <v>0</v>
      </c>
      <c r="AP44" s="2405"/>
      <c r="AQ44" s="2405"/>
      <c r="AR44" s="2402"/>
      <c r="AS44" s="2404">
        <f>S60</f>
        <v>0</v>
      </c>
      <c r="AT44" s="2405"/>
      <c r="AU44" s="2405"/>
      <c r="AV44" s="2402"/>
      <c r="AW44" s="2404"/>
      <c r="AX44" s="2405"/>
      <c r="AY44" s="2405"/>
      <c r="AZ44" s="2402"/>
      <c r="BA44" s="2404">
        <f>S67</f>
        <v>0</v>
      </c>
      <c r="BB44" s="2405"/>
      <c r="BC44" s="2405"/>
      <c r="BD44" s="2402"/>
      <c r="BE44" s="2404"/>
      <c r="BF44" s="2405"/>
      <c r="BG44" s="2405"/>
      <c r="BH44" s="2402"/>
      <c r="BI44" s="2404" t="str">
        <f>S56</f>
        <v>-</v>
      </c>
      <c r="BJ44" s="2405"/>
      <c r="BK44" s="2405"/>
      <c r="BL44" s="2402"/>
      <c r="BM44" s="2404">
        <f>S58</f>
        <v>0</v>
      </c>
      <c r="BN44" s="2405"/>
      <c r="BO44" s="2405"/>
      <c r="BP44" s="2402"/>
      <c r="BQ44" s="2422">
        <f>SUM(Y44:BM44)</f>
        <v>0</v>
      </c>
      <c r="BR44" s="2422"/>
      <c r="BS44" s="2422"/>
      <c r="BT44" s="2423"/>
      <c r="BU44" s="2408">
        <v>44</v>
      </c>
      <c r="BV44" s="2409"/>
      <c r="BW44" s="2409"/>
    </row>
    <row r="45" spans="2:75" ht="14.45" customHeight="1" thickTop="1" x14ac:dyDescent="0.4">
      <c r="B45" s="58"/>
      <c r="C45" s="2410" t="s">
        <v>8103</v>
      </c>
      <c r="D45" s="2411"/>
      <c r="E45" s="2411"/>
      <c r="F45" s="2411"/>
      <c r="G45" s="2411"/>
      <c r="H45" s="2411"/>
      <c r="I45" s="2411"/>
      <c r="J45" s="2411"/>
      <c r="K45" s="2411"/>
      <c r="L45" s="2411"/>
      <c r="M45" s="2411"/>
      <c r="N45" s="2412" t="s">
        <v>8085</v>
      </c>
      <c r="O45" s="2412"/>
      <c r="P45" s="452">
        <v>25</v>
      </c>
      <c r="Q45" s="467"/>
      <c r="R45" s="960" t="str">
        <f t="shared" si="1"/>
        <v>-</v>
      </c>
      <c r="S45" s="2413" t="str">
        <f>IF(R45="-",R45,SUM(S36:U39)*R45)</f>
        <v>-</v>
      </c>
      <c r="T45" s="2414"/>
      <c r="U45" s="2415"/>
      <c r="V45" s="59"/>
      <c r="W45" s="1114" t="str">
        <f t="shared" si="0"/>
        <v>-</v>
      </c>
      <c r="X45" s="998" t="str">
        <f t="shared" si="0"/>
        <v>-</v>
      </c>
      <c r="Y45" s="2416" t="s">
        <v>8113</v>
      </c>
      <c r="Z45" s="2416"/>
      <c r="AA45" s="2416"/>
      <c r="AB45" s="2417"/>
      <c r="AC45" s="2418" t="s">
        <v>8199</v>
      </c>
      <c r="AD45" s="2416"/>
      <c r="AE45" s="2416"/>
      <c r="AF45" s="2417"/>
      <c r="AG45" s="2419" t="s">
        <v>8200</v>
      </c>
      <c r="AH45" s="2420"/>
      <c r="AI45" s="2420"/>
      <c r="AJ45" s="2421"/>
      <c r="AK45" s="2418" t="s">
        <v>8201</v>
      </c>
      <c r="AL45" s="2416"/>
      <c r="AM45" s="2416"/>
      <c r="AN45" s="2417"/>
      <c r="AO45" s="2419" t="s">
        <v>8202</v>
      </c>
      <c r="AP45" s="2420"/>
      <c r="AQ45" s="2420"/>
      <c r="AR45" s="2421"/>
      <c r="AS45" s="2419" t="s">
        <v>8203</v>
      </c>
      <c r="AT45" s="2420"/>
      <c r="AU45" s="2420"/>
      <c r="AV45" s="2421"/>
      <c r="AW45" s="2418"/>
      <c r="AX45" s="2416"/>
      <c r="AY45" s="2416"/>
      <c r="AZ45" s="2417"/>
      <c r="BA45" s="2418" t="s">
        <v>8129</v>
      </c>
      <c r="BB45" s="2416"/>
      <c r="BC45" s="2416"/>
      <c r="BD45" s="2417"/>
      <c r="BE45" s="2418"/>
      <c r="BF45" s="2416"/>
      <c r="BG45" s="2416"/>
      <c r="BH45" s="2417"/>
      <c r="BI45" s="2418" t="s">
        <v>8208</v>
      </c>
      <c r="BJ45" s="2416"/>
      <c r="BK45" s="2416"/>
      <c r="BL45" s="2417"/>
      <c r="BM45" s="2418" t="s">
        <v>8131</v>
      </c>
      <c r="BN45" s="2416"/>
      <c r="BO45" s="2416"/>
      <c r="BP45" s="2417"/>
      <c r="BQ45" s="2418" t="s">
        <v>8068</v>
      </c>
      <c r="BR45" s="2416"/>
      <c r="BS45" s="2416"/>
      <c r="BT45" s="2416"/>
      <c r="BU45" s="2424" t="s">
        <v>391</v>
      </c>
      <c r="BV45" s="2425"/>
      <c r="BW45" s="2425"/>
    </row>
    <row r="46" spans="2:75" ht="14.45" customHeight="1" x14ac:dyDescent="0.4">
      <c r="B46" s="58"/>
      <c r="C46" s="2370" t="s">
        <v>8106</v>
      </c>
      <c r="D46" s="2371"/>
      <c r="E46" s="2371"/>
      <c r="F46" s="2371"/>
      <c r="G46" s="2371"/>
      <c r="H46" s="2371"/>
      <c r="I46" s="2371"/>
      <c r="J46" s="2371"/>
      <c r="K46" s="2371"/>
      <c r="L46" s="2371"/>
      <c r="M46" s="2371"/>
      <c r="N46" s="2372" t="s">
        <v>8085</v>
      </c>
      <c r="O46" s="2372"/>
      <c r="P46" s="1000">
        <v>26</v>
      </c>
      <c r="Q46" s="1001"/>
      <c r="R46" s="1002" t="str">
        <f t="shared" si="1"/>
        <v>-</v>
      </c>
      <c r="S46" s="2373" t="str">
        <f>IF(R46="-",R46,SUM(S36:U39)*R46)</f>
        <v>-</v>
      </c>
      <c r="T46" s="2374"/>
      <c r="U46" s="2375"/>
      <c r="V46" s="59"/>
      <c r="W46" s="1114" t="str">
        <f t="shared" si="0"/>
        <v>-</v>
      </c>
      <c r="X46" s="998" t="str">
        <f t="shared" si="0"/>
        <v>-</v>
      </c>
    </row>
    <row r="47" spans="2:75" ht="14.45" customHeight="1" x14ac:dyDescent="0.4">
      <c r="B47" s="58"/>
      <c r="C47" s="2370" t="s">
        <v>8107</v>
      </c>
      <c r="D47" s="2371"/>
      <c r="E47" s="2371"/>
      <c r="F47" s="2371"/>
      <c r="G47" s="2371"/>
      <c r="H47" s="2371"/>
      <c r="I47" s="2371"/>
      <c r="J47" s="2371"/>
      <c r="K47" s="2371"/>
      <c r="L47" s="2371"/>
      <c r="M47" s="2371"/>
      <c r="N47" s="2372" t="s">
        <v>8085</v>
      </c>
      <c r="O47" s="2372"/>
      <c r="P47" s="1000">
        <v>27</v>
      </c>
      <c r="Q47" s="1001"/>
      <c r="R47" s="1002" t="str">
        <f t="shared" si="1"/>
        <v>-</v>
      </c>
      <c r="S47" s="2373" t="str">
        <f>IF(R47="-",R47,SUM(S36:U39)*R47)</f>
        <v>-</v>
      </c>
      <c r="T47" s="2374"/>
      <c r="U47" s="2375"/>
      <c r="V47" s="59"/>
      <c r="W47" s="1114" t="str">
        <f t="shared" si="0"/>
        <v>-</v>
      </c>
      <c r="X47" s="998" t="str">
        <f t="shared" si="0"/>
        <v>-</v>
      </c>
    </row>
    <row r="48" spans="2:75" ht="14.45" customHeight="1" x14ac:dyDescent="0.4">
      <c r="B48" s="58"/>
      <c r="C48" s="2370" t="s">
        <v>8108</v>
      </c>
      <c r="D48" s="2371"/>
      <c r="E48" s="2371"/>
      <c r="F48" s="2371"/>
      <c r="G48" s="2371"/>
      <c r="H48" s="2371"/>
      <c r="I48" s="2371"/>
      <c r="J48" s="2371"/>
      <c r="K48" s="2371"/>
      <c r="L48" s="2371"/>
      <c r="M48" s="2371"/>
      <c r="N48" s="2372" t="s">
        <v>8085</v>
      </c>
      <c r="O48" s="2372"/>
      <c r="P48" s="1000">
        <v>28</v>
      </c>
      <c r="Q48" s="1001"/>
      <c r="R48" s="1002" t="str">
        <f>IF(OR(Q48="-",Q48="",Q48="X",Q48=0),"-",IF(Q48&gt;=1,Q48*5%))</f>
        <v>-</v>
      </c>
      <c r="S48" s="2373" t="str">
        <f>IF(R48="-",R48,SUM(S36:U39)*R48)</f>
        <v>-</v>
      </c>
      <c r="T48" s="2374"/>
      <c r="U48" s="2375"/>
      <c r="V48" s="59"/>
      <c r="W48" s="1114" t="str">
        <f t="shared" si="0"/>
        <v>-</v>
      </c>
      <c r="X48" s="998" t="str">
        <f t="shared" si="0"/>
        <v>-</v>
      </c>
    </row>
    <row r="49" spans="2:32" ht="14.45" customHeight="1" x14ac:dyDescent="0.4">
      <c r="B49" s="58"/>
      <c r="C49" s="2370" t="s">
        <v>8109</v>
      </c>
      <c r="D49" s="2371"/>
      <c r="E49" s="2371"/>
      <c r="F49" s="2371"/>
      <c r="G49" s="2371"/>
      <c r="H49" s="2371"/>
      <c r="I49" s="2371"/>
      <c r="J49" s="2371"/>
      <c r="K49" s="2371"/>
      <c r="L49" s="2371"/>
      <c r="M49" s="2371"/>
      <c r="N49" s="2372" t="s">
        <v>8085</v>
      </c>
      <c r="O49" s="2372"/>
      <c r="P49" s="1000">
        <v>283</v>
      </c>
      <c r="Q49" s="1001"/>
      <c r="R49" s="1002" t="str">
        <f>IF(OR(Q49="-",Q49="",Q49="X",Q49=0),"-",IF(Q49&gt;=1,Q49*10%))</f>
        <v>-</v>
      </c>
      <c r="S49" s="2373" t="str">
        <f>IF(R49="-",R49,SUM(S36:U39)*R49)</f>
        <v>-</v>
      </c>
      <c r="T49" s="2374"/>
      <c r="U49" s="2375"/>
      <c r="V49" s="59"/>
      <c r="W49" s="1114" t="str">
        <f t="shared" si="0"/>
        <v>-</v>
      </c>
      <c r="X49" s="998" t="str">
        <f t="shared" si="0"/>
        <v>-</v>
      </c>
    </row>
    <row r="50" spans="2:32" ht="14.45" customHeight="1" x14ac:dyDescent="0.4">
      <c r="B50" s="58"/>
      <c r="C50" s="2370" t="s">
        <v>8110</v>
      </c>
      <c r="D50" s="2371"/>
      <c r="E50" s="2371"/>
      <c r="F50" s="2371"/>
      <c r="G50" s="2371"/>
      <c r="H50" s="2371"/>
      <c r="I50" s="2371"/>
      <c r="J50" s="2371"/>
      <c r="K50" s="2371"/>
      <c r="L50" s="2371"/>
      <c r="M50" s="2371"/>
      <c r="N50" s="2372" t="s">
        <v>8085</v>
      </c>
      <c r="O50" s="2372"/>
      <c r="P50" s="1000">
        <v>284</v>
      </c>
      <c r="Q50" s="1001"/>
      <c r="R50" s="1002" t="str">
        <f>IF(OR(Q50="-",Q50="",Q50="X",Q50=0),"-",IF(Q50&gt;=1,Q50*10%))</f>
        <v>-</v>
      </c>
      <c r="S50" s="2373" t="str">
        <f>IF(R50="-",R50,SUM(S36:U39)*R50)</f>
        <v>-</v>
      </c>
      <c r="T50" s="2374"/>
      <c r="U50" s="2375"/>
      <c r="V50" s="59"/>
      <c r="W50" s="1114" t="str">
        <f t="shared" si="0"/>
        <v>-</v>
      </c>
      <c r="X50" s="998" t="str">
        <f t="shared" si="0"/>
        <v>-</v>
      </c>
    </row>
    <row r="51" spans="2:32" ht="14.45" customHeight="1" x14ac:dyDescent="0.4">
      <c r="B51" s="58"/>
      <c r="C51" s="2370" t="s">
        <v>8111</v>
      </c>
      <c r="D51" s="2371"/>
      <c r="E51" s="2371"/>
      <c r="F51" s="2371"/>
      <c r="G51" s="2371"/>
      <c r="H51" s="2371"/>
      <c r="I51" s="2371"/>
      <c r="J51" s="2371"/>
      <c r="K51" s="2371"/>
      <c r="L51" s="2371"/>
      <c r="M51" s="2371"/>
      <c r="N51" s="2372" t="s">
        <v>8085</v>
      </c>
      <c r="O51" s="2372"/>
      <c r="P51" s="1000">
        <v>285</v>
      </c>
      <c r="Q51" s="1001"/>
      <c r="R51" s="1002" t="str">
        <f>IF(OR(Q51="-",Q51="",Q51="X",Q51=0),"-",IF(Q51&gt;=1,Q51*10%))</f>
        <v>-</v>
      </c>
      <c r="S51" s="2373" t="str">
        <f>IF(R51="-",R51,SUM(S36:U39)*R51)</f>
        <v>-</v>
      </c>
      <c r="T51" s="2374"/>
      <c r="U51" s="2375"/>
      <c r="V51" s="59"/>
      <c r="W51" s="1114" t="str">
        <f t="shared" si="0"/>
        <v>-</v>
      </c>
      <c r="X51" s="998" t="str">
        <f t="shared" si="0"/>
        <v>-</v>
      </c>
    </row>
    <row r="52" spans="2:32" ht="14.45" customHeight="1" x14ac:dyDescent="0.4">
      <c r="B52" s="58"/>
      <c r="C52" s="2433" t="s">
        <v>8058</v>
      </c>
      <c r="D52" s="2434"/>
      <c r="E52" s="2434"/>
      <c r="F52" s="2435" t="s">
        <v>8210</v>
      </c>
      <c r="G52" s="2435"/>
      <c r="H52" s="2435"/>
      <c r="I52" s="2435"/>
      <c r="J52" s="2435"/>
      <c r="K52" s="2435"/>
      <c r="L52" s="2436"/>
      <c r="M52" s="2436"/>
      <c r="N52" s="2372" t="s">
        <v>8085</v>
      </c>
      <c r="O52" s="2372"/>
      <c r="P52" s="1000">
        <v>336</v>
      </c>
      <c r="Q52" s="1001"/>
      <c r="R52" s="1002" t="str">
        <f>IF(OR(Q52="-",Q52="",Q52="X",Q52=0),"-",IF(Q52&gt;=1,Q52*5%))</f>
        <v>-</v>
      </c>
      <c r="S52" s="2373" t="str">
        <f>IF(R52="-",R52,IF(L52="",SUM(S36:U39)*R52,L52*R52))</f>
        <v>-</v>
      </c>
      <c r="T52" s="2374"/>
      <c r="U52" s="2375"/>
      <c r="V52" s="59"/>
      <c r="W52" s="1114" t="str">
        <f t="shared" si="0"/>
        <v>-</v>
      </c>
      <c r="X52" s="998" t="str">
        <f t="shared" si="0"/>
        <v>-</v>
      </c>
    </row>
    <row r="53" spans="2:32" ht="14.45" customHeight="1" x14ac:dyDescent="0.4">
      <c r="B53" s="58"/>
      <c r="C53" s="2370" t="s">
        <v>8059</v>
      </c>
      <c r="D53" s="2371"/>
      <c r="E53" s="2371"/>
      <c r="F53" s="2371"/>
      <c r="G53" s="2371"/>
      <c r="H53" s="2371"/>
      <c r="I53" s="2371"/>
      <c r="J53" s="2371"/>
      <c r="K53" s="2371"/>
      <c r="L53" s="2371"/>
      <c r="M53" s="2371"/>
      <c r="N53" s="2372" t="s">
        <v>8085</v>
      </c>
      <c r="O53" s="2372"/>
      <c r="P53" s="1000">
        <v>140</v>
      </c>
      <c r="Q53" s="1006" t="s">
        <v>8057</v>
      </c>
      <c r="R53" s="1002" t="str">
        <f>IF(AD53="SIM",20%,"-")</f>
        <v>-</v>
      </c>
      <c r="S53" s="2373" t="str">
        <f>IF(OR(I30=0,I30="-",I30="x",I30=""),"-",IF(R53="-",R53,SUM(S36:U39)*R53))</f>
        <v>-</v>
      </c>
      <c r="T53" s="2374"/>
      <c r="U53" s="2375"/>
      <c r="V53" s="59"/>
      <c r="W53" s="1114" t="str">
        <f>IF(S53="-","-",ROUND(R53,2))</f>
        <v>-</v>
      </c>
      <c r="X53" s="998" t="str">
        <f t="shared" si="0"/>
        <v>-</v>
      </c>
      <c r="Y53" s="2426" t="s">
        <v>8112</v>
      </c>
      <c r="Z53" s="2426"/>
      <c r="AA53" s="2426"/>
      <c r="AB53" s="2426"/>
      <c r="AC53" s="1007">
        <v>2</v>
      </c>
      <c r="AD53" s="2427" t="str">
        <f>IF(AC53=1,"SIM","NÃO")</f>
        <v>NÃO</v>
      </c>
      <c r="AE53" s="2310"/>
      <c r="AF53" s="2428"/>
    </row>
    <row r="54" spans="2:32" ht="14.45" customHeight="1" x14ac:dyDescent="0.4">
      <c r="B54" s="58"/>
      <c r="C54" s="2370" t="s">
        <v>8060</v>
      </c>
      <c r="D54" s="2371"/>
      <c r="E54" s="2371"/>
      <c r="F54" s="2371"/>
      <c r="G54" s="2371"/>
      <c r="H54" s="2371"/>
      <c r="I54" s="2371"/>
      <c r="J54" s="2371"/>
      <c r="K54" s="2371"/>
      <c r="L54" s="2371"/>
      <c r="M54" s="2371"/>
      <c r="N54" s="2372" t="s">
        <v>8085</v>
      </c>
      <c r="O54" s="2372"/>
      <c r="P54" s="1000">
        <v>158</v>
      </c>
      <c r="Q54" s="1006" t="s">
        <v>8057</v>
      </c>
      <c r="R54" s="1008"/>
      <c r="S54" s="2373" t="str">
        <f>IF(OR(R54="-",R54="",R54="XXX",R54=0),"-",S36*R54)</f>
        <v>-</v>
      </c>
      <c r="T54" s="2374"/>
      <c r="U54" s="2375"/>
      <c r="V54" s="59"/>
      <c r="W54" s="1114" t="str">
        <f>IF(OR(R54="-",R54="",R54="X",R54=0),"-",ROUND(R54,2))</f>
        <v>-</v>
      </c>
      <c r="X54" s="998" t="str">
        <f t="shared" si="0"/>
        <v>-</v>
      </c>
      <c r="Y54" s="2429"/>
      <c r="Z54" s="2429"/>
      <c r="AA54" s="2429"/>
      <c r="AB54" s="2429"/>
      <c r="AC54" s="1009"/>
      <c r="AD54" s="2430"/>
      <c r="AE54" s="2431"/>
      <c r="AF54" s="2432"/>
    </row>
    <row r="55" spans="2:32" ht="14.45" customHeight="1" x14ac:dyDescent="0.4">
      <c r="B55" s="58"/>
      <c r="C55" s="2370" t="s">
        <v>8061</v>
      </c>
      <c r="D55" s="2371"/>
      <c r="E55" s="2371"/>
      <c r="F55" s="2371"/>
      <c r="G55" s="2371"/>
      <c r="H55" s="2371"/>
      <c r="I55" s="2371"/>
      <c r="J55" s="2371"/>
      <c r="K55" s="2371"/>
      <c r="L55" s="2371"/>
      <c r="M55" s="2371"/>
      <c r="N55" s="2372" t="s">
        <v>8085</v>
      </c>
      <c r="O55" s="2372"/>
      <c r="P55" s="1000">
        <v>142</v>
      </c>
      <c r="Q55" s="1006" t="s">
        <v>8057</v>
      </c>
      <c r="R55" s="1008"/>
      <c r="S55" s="2373" t="str">
        <f>IF(OR(R55="-",R55="",R55="XXX",R55=0),"-",S36*R55)</f>
        <v>-</v>
      </c>
      <c r="T55" s="2374"/>
      <c r="U55" s="2375"/>
      <c r="V55" s="59"/>
      <c r="W55" s="1114" t="str">
        <f>IF(OR(R55="-",R55="",R55="X",R55=0),"-",ROUND(R55,2))</f>
        <v>-</v>
      </c>
      <c r="X55" s="998" t="str">
        <f t="shared" si="0"/>
        <v>-</v>
      </c>
      <c r="Y55" s="2429"/>
      <c r="Z55" s="2429"/>
      <c r="AA55" s="2429"/>
      <c r="AB55" s="2429"/>
      <c r="AC55" s="1009"/>
      <c r="AD55" s="2430"/>
      <c r="AE55" s="2431"/>
      <c r="AF55" s="2432"/>
    </row>
    <row r="56" spans="2:32" ht="14.45" customHeight="1" x14ac:dyDescent="0.4">
      <c r="B56" s="58"/>
      <c r="C56" s="2437" t="s">
        <v>8206</v>
      </c>
      <c r="D56" s="2438"/>
      <c r="E56" s="2438"/>
      <c r="F56" s="2438"/>
      <c r="G56" s="2438"/>
      <c r="H56" s="2438"/>
      <c r="I56" s="2438"/>
      <c r="J56" s="2438"/>
      <c r="K56" s="2438"/>
      <c r="L56" s="2438"/>
      <c r="M56" s="2438"/>
      <c r="N56" s="2372" t="s">
        <v>8085</v>
      </c>
      <c r="O56" s="2372"/>
      <c r="P56" s="1000">
        <v>145</v>
      </c>
      <c r="Q56" s="1006" t="s">
        <v>8057</v>
      </c>
      <c r="R56" s="1002" t="str">
        <f>IF(AD56="SIM",50%,"-")</f>
        <v>-</v>
      </c>
      <c r="S56" s="2373" t="str">
        <f>IF(AD56="NÃO",R56,IF(AND(AD56="SIM",S41&lt;&gt;"-"),(S36+S41)*R56,IF(AND(AD56="SIM",S41="-"),S36*R56)))</f>
        <v>-</v>
      </c>
      <c r="T56" s="2374"/>
      <c r="U56" s="2375"/>
      <c r="V56" s="59"/>
      <c r="W56" s="1114" t="str">
        <f>IF(S56="-","-",ROUND(R56,2))</f>
        <v>-</v>
      </c>
      <c r="X56" s="998" t="str">
        <f>IF(S56="-","-",ROUND(S56,2))</f>
        <v>-</v>
      </c>
      <c r="Y56" s="2439" t="s">
        <v>8207</v>
      </c>
      <c r="Z56" s="2439"/>
      <c r="AA56" s="2439"/>
      <c r="AB56" s="2439"/>
      <c r="AC56" s="1007">
        <v>2</v>
      </c>
      <c r="AD56" s="2427" t="str">
        <f>IF(AC56=1,"SIM","NÃO")</f>
        <v>NÃO</v>
      </c>
      <c r="AE56" s="2310"/>
      <c r="AF56" s="2428"/>
    </row>
    <row r="57" spans="2:32" ht="14.45" customHeight="1" x14ac:dyDescent="0.4">
      <c r="B57" s="58"/>
      <c r="C57" s="2370" t="s">
        <v>8117</v>
      </c>
      <c r="D57" s="2371"/>
      <c r="E57" s="2371"/>
      <c r="F57" s="2371"/>
      <c r="G57" s="2371"/>
      <c r="H57" s="2371"/>
      <c r="I57" s="2371"/>
      <c r="J57" s="2371"/>
      <c r="K57" s="2371"/>
      <c r="L57" s="2371"/>
      <c r="M57" s="2371"/>
      <c r="N57" s="2372" t="s">
        <v>8085</v>
      </c>
      <c r="O57" s="2372"/>
      <c r="P57" s="1000">
        <v>146</v>
      </c>
      <c r="Q57" s="1006" t="s">
        <v>8057</v>
      </c>
      <c r="R57" s="1010" t="str">
        <f>IF(L29&lt;&gt;"EEB","-",IF(AND(L29="EEB",U32&lt;40544),25%,IF(AND(L29="EEB",U32&gt;40543,X30=1),25%,IF(AND(L29="EEB",U32&gt;40543,X30=2),"-"))))</f>
        <v>-</v>
      </c>
      <c r="S57" s="2444" t="str">
        <f>IF(R57="-","-",S36*R57)</f>
        <v>-</v>
      </c>
      <c r="T57" s="2445"/>
      <c r="U57" s="2446"/>
      <c r="V57" s="59"/>
      <c r="W57" s="1114" t="str">
        <f>IF(R57="-","-",ROUND(R57,2))</f>
        <v>-</v>
      </c>
      <c r="X57" s="998" t="str">
        <f>IF(S57="-","-",ROUND(S57,2))</f>
        <v>-</v>
      </c>
      <c r="Y57" s="2429"/>
      <c r="Z57" s="2429"/>
      <c r="AA57" s="2429"/>
      <c r="AB57" s="2429"/>
      <c r="AC57" s="1009"/>
      <c r="AD57" s="2430"/>
      <c r="AE57" s="2431"/>
      <c r="AF57" s="2432"/>
    </row>
    <row r="58" spans="2:32" ht="14.45" customHeight="1" x14ac:dyDescent="0.4">
      <c r="B58" s="58"/>
      <c r="C58" s="2370" t="s">
        <v>8116</v>
      </c>
      <c r="D58" s="2371"/>
      <c r="E58" s="2371"/>
      <c r="F58" s="2371"/>
      <c r="G58" s="2371"/>
      <c r="H58" s="2371"/>
      <c r="I58" s="2371"/>
      <c r="J58" s="2371"/>
      <c r="K58" s="2371"/>
      <c r="L58" s="2371"/>
      <c r="M58" s="2371"/>
      <c r="N58" s="2372" t="s">
        <v>8085</v>
      </c>
      <c r="O58" s="2372"/>
      <c r="P58" s="1000">
        <v>515</v>
      </c>
      <c r="Q58" s="1006" t="s">
        <v>8057</v>
      </c>
      <c r="R58" s="1010" t="s">
        <v>8057</v>
      </c>
      <c r="S58" s="2440"/>
      <c r="T58" s="2441"/>
      <c r="U58" s="2442"/>
      <c r="V58" s="59"/>
      <c r="W58" s="1114" t="str">
        <f t="shared" ref="W58:X74" si="2">IF(R58="-","-",ROUND(R58,2))</f>
        <v>-</v>
      </c>
      <c r="X58" s="998" t="str">
        <f>IF(OR(S58="-",S58="X",S58="",S58=0),"-",ROUND(S58,2))</f>
        <v>-</v>
      </c>
      <c r="Y58" s="2443"/>
      <c r="Z58" s="2429"/>
      <c r="AA58" s="2429"/>
      <c r="AB58" s="2429"/>
      <c r="AC58" s="1009"/>
      <c r="AD58" s="2430"/>
      <c r="AE58" s="2431"/>
      <c r="AF58" s="2432"/>
    </row>
    <row r="59" spans="2:32" ht="14.45" customHeight="1" x14ac:dyDescent="0.4">
      <c r="B59" s="58"/>
      <c r="C59" s="2370" t="s">
        <v>8116</v>
      </c>
      <c r="D59" s="2371"/>
      <c r="E59" s="2371"/>
      <c r="F59" s="2371"/>
      <c r="G59" s="2371"/>
      <c r="H59" s="2371"/>
      <c r="I59" s="2438" t="s">
        <v>8120</v>
      </c>
      <c r="J59" s="2438"/>
      <c r="K59" s="2438"/>
      <c r="L59" s="2438"/>
      <c r="M59" s="2438"/>
      <c r="N59" s="2372" t="s">
        <v>8085</v>
      </c>
      <c r="O59" s="2372"/>
      <c r="P59" s="1000">
        <v>560</v>
      </c>
      <c r="Q59" s="1006" t="s">
        <v>8057</v>
      </c>
      <c r="R59" s="1010" t="s">
        <v>8057</v>
      </c>
      <c r="S59" s="2440"/>
      <c r="T59" s="2441"/>
      <c r="U59" s="2442"/>
      <c r="V59" s="59"/>
      <c r="W59" s="1114" t="str">
        <f t="shared" si="2"/>
        <v>-</v>
      </c>
      <c r="X59" s="998" t="str">
        <f>IF(OR(S59="-",S59="X",S59="",S59=0),"-",ROUND(S59,2))</f>
        <v>-</v>
      </c>
      <c r="Y59" s="2443"/>
      <c r="Z59" s="2429"/>
      <c r="AA59" s="2429"/>
      <c r="AB59" s="2429"/>
      <c r="AC59" s="1009"/>
      <c r="AD59" s="2430"/>
      <c r="AE59" s="2431"/>
      <c r="AF59" s="2432"/>
    </row>
    <row r="60" spans="2:32" ht="14.45" customHeight="1" x14ac:dyDescent="0.4">
      <c r="B60" s="58"/>
      <c r="C60" s="2370" t="s">
        <v>8116</v>
      </c>
      <c r="D60" s="2371"/>
      <c r="E60" s="2371"/>
      <c r="F60" s="2371"/>
      <c r="G60" s="2371"/>
      <c r="H60" s="2371"/>
      <c r="I60" s="2438" t="s">
        <v>8121</v>
      </c>
      <c r="J60" s="2438"/>
      <c r="K60" s="2438"/>
      <c r="L60" s="2438"/>
      <c r="M60" s="2438"/>
      <c r="N60" s="2372" t="s">
        <v>8085</v>
      </c>
      <c r="O60" s="2372"/>
      <c r="P60" s="1000">
        <v>560</v>
      </c>
      <c r="Q60" s="1006" t="s">
        <v>8057</v>
      </c>
      <c r="R60" s="1010" t="s">
        <v>8057</v>
      </c>
      <c r="S60" s="2440"/>
      <c r="T60" s="2441"/>
      <c r="U60" s="2442"/>
      <c r="V60" s="59"/>
      <c r="W60" s="1114" t="str">
        <f t="shared" si="2"/>
        <v>-</v>
      </c>
      <c r="X60" s="998" t="str">
        <f>IF(OR(S60="-",S60="X",S60="",S60=0),"-",ROUND(S60,2))</f>
        <v>-</v>
      </c>
      <c r="Y60" s="2443"/>
      <c r="Z60" s="2429"/>
      <c r="AA60" s="2429"/>
      <c r="AB60" s="2429"/>
      <c r="AC60" s="1009"/>
      <c r="AD60" s="2430"/>
      <c r="AE60" s="2431"/>
      <c r="AF60" s="2432"/>
    </row>
    <row r="61" spans="2:32" ht="14.45" customHeight="1" x14ac:dyDescent="0.4">
      <c r="B61" s="58"/>
      <c r="C61" s="2370" t="s">
        <v>8122</v>
      </c>
      <c r="D61" s="2371"/>
      <c r="E61" s="2371"/>
      <c r="F61" s="2371"/>
      <c r="G61" s="2371"/>
      <c r="H61" s="2371"/>
      <c r="I61" s="2371"/>
      <c r="J61" s="2371"/>
      <c r="K61" s="2371"/>
      <c r="L61" s="2371"/>
      <c r="M61" s="2371"/>
      <c r="N61" s="2372" t="s">
        <v>8085</v>
      </c>
      <c r="O61" s="2372"/>
      <c r="P61" s="1000" t="e">
        <f>IF(U32&lt;39282,146,IF(U32&lt;40544,342,IF(U32&gt;40543,378)))</f>
        <v>#VALUE!</v>
      </c>
      <c r="Q61" s="1006" t="s">
        <v>8057</v>
      </c>
      <c r="R61" s="1010" t="str">
        <f>IF(AC61=2,"-",IF(U32&lt;40544,25%,"-"))</f>
        <v>-</v>
      </c>
      <c r="S61" s="2444" t="str">
        <f>IF(AC61=2,"-",IF(AND(AC61=1,R61&lt;&gt;"-"),S36*R61,IF(AND(AC61=1,U32&gt;40908,U32&lt;42156),1056,IF(AND(AC61=1,U32&gt;42155,U32&lt;42370),1164.24,IF(AND(AC61=1,U32&gt;42369),1296.5,IF(AND(AC61=1,U32&gt;40543),330))))))</f>
        <v>-</v>
      </c>
      <c r="T61" s="2445"/>
      <c r="U61" s="2446"/>
      <c r="V61" s="59"/>
      <c r="W61" s="1114" t="str">
        <f t="shared" si="2"/>
        <v>-</v>
      </c>
      <c r="X61" s="998" t="str">
        <f t="shared" si="2"/>
        <v>-</v>
      </c>
      <c r="Y61" s="2426" t="s">
        <v>8123</v>
      </c>
      <c r="Z61" s="2426"/>
      <c r="AA61" s="2426"/>
      <c r="AB61" s="2426"/>
      <c r="AC61" s="1007">
        <v>2</v>
      </c>
      <c r="AD61" s="2427" t="str">
        <f>IF(AC61=1,"SIM","NÃO")</f>
        <v>NÃO</v>
      </c>
      <c r="AE61" s="2310"/>
      <c r="AF61" s="2428"/>
    </row>
    <row r="62" spans="2:32" ht="14.45" customHeight="1" x14ac:dyDescent="0.4">
      <c r="B62" s="58"/>
      <c r="C62" s="2370" t="s">
        <v>9395</v>
      </c>
      <c r="D62" s="2371"/>
      <c r="E62" s="2371"/>
      <c r="F62" s="2371"/>
      <c r="G62" s="2371"/>
      <c r="H62" s="2371"/>
      <c r="I62" s="2371"/>
      <c r="J62" s="2371"/>
      <c r="K62" s="2371"/>
      <c r="L62" s="2371"/>
      <c r="M62" s="2371"/>
      <c r="N62" s="2372" t="s">
        <v>8085</v>
      </c>
      <c r="O62" s="2372"/>
      <c r="P62" s="1000">
        <v>964</v>
      </c>
      <c r="Q62" s="1006" t="s">
        <v>8057</v>
      </c>
      <c r="R62" s="1010" t="s">
        <v>8057</v>
      </c>
      <c r="S62" s="2440"/>
      <c r="T62" s="2441"/>
      <c r="U62" s="2442"/>
      <c r="V62" s="59"/>
      <c r="W62" s="1114" t="str">
        <f t="shared" si="2"/>
        <v>-</v>
      </c>
      <c r="X62" s="998" t="str">
        <f t="shared" ref="X62:X74" si="3">IF(OR(S62="-",S62="X",S62="",S62=0),"-",ROUND(S62,2))</f>
        <v>-</v>
      </c>
      <c r="Y62" s="1011"/>
      <c r="Z62" s="1012"/>
      <c r="AA62" s="1012"/>
      <c r="AB62" s="1012"/>
      <c r="AC62" s="1013"/>
      <c r="AD62" s="1013"/>
      <c r="AE62" s="1013"/>
      <c r="AF62" s="1014"/>
    </row>
    <row r="63" spans="2:32" ht="14.45" customHeight="1" x14ac:dyDescent="0.4">
      <c r="B63" s="58"/>
      <c r="C63" s="2370" t="s">
        <v>9396</v>
      </c>
      <c r="D63" s="2371"/>
      <c r="E63" s="2371"/>
      <c r="F63" s="2371"/>
      <c r="G63" s="2371"/>
      <c r="H63" s="2371"/>
      <c r="I63" s="2371"/>
      <c r="J63" s="2371"/>
      <c r="K63" s="2371"/>
      <c r="L63" s="2371"/>
      <c r="M63" s="2371"/>
      <c r="N63" s="2372" t="s">
        <v>8085</v>
      </c>
      <c r="O63" s="2372"/>
      <c r="P63" s="1000">
        <v>967</v>
      </c>
      <c r="Q63" s="1006" t="s">
        <v>8057</v>
      </c>
      <c r="R63" s="1010" t="s">
        <v>8057</v>
      </c>
      <c r="S63" s="2440"/>
      <c r="T63" s="2441"/>
      <c r="U63" s="2442"/>
      <c r="V63" s="59"/>
      <c r="W63" s="1114" t="str">
        <f t="shared" si="2"/>
        <v>-</v>
      </c>
      <c r="X63" s="998" t="str">
        <f t="shared" si="3"/>
        <v>-</v>
      </c>
      <c r="Y63" s="1011"/>
      <c r="Z63" s="1012"/>
      <c r="AA63" s="1012"/>
      <c r="AB63" s="1012"/>
      <c r="AC63" s="1013"/>
      <c r="AD63" s="1013"/>
      <c r="AE63" s="1013"/>
      <c r="AF63" s="1014"/>
    </row>
    <row r="64" spans="2:32" ht="14.45" customHeight="1" x14ac:dyDescent="0.4">
      <c r="B64" s="58"/>
      <c r="C64" s="1015" t="s">
        <v>8063</v>
      </c>
      <c r="D64" s="2448"/>
      <c r="E64" s="2448"/>
      <c r="F64" s="2448"/>
      <c r="G64" s="2448"/>
      <c r="H64" s="2448"/>
      <c r="I64" s="2448"/>
      <c r="J64" s="2448"/>
      <c r="K64" s="2448"/>
      <c r="L64" s="2448"/>
      <c r="M64" s="1016"/>
      <c r="N64" s="2372" t="s">
        <v>8085</v>
      </c>
      <c r="O64" s="2372"/>
      <c r="P64" s="1000">
        <v>420</v>
      </c>
      <c r="Q64" s="1006" t="s">
        <v>8057</v>
      </c>
      <c r="R64" s="1010" t="s">
        <v>8057</v>
      </c>
      <c r="S64" s="2440"/>
      <c r="T64" s="2441"/>
      <c r="U64" s="2442"/>
      <c r="V64" s="59"/>
      <c r="W64" s="1114" t="str">
        <f t="shared" si="2"/>
        <v>-</v>
      </c>
      <c r="X64" s="998" t="str">
        <f t="shared" si="3"/>
        <v>-</v>
      </c>
      <c r="Y64" s="1011"/>
      <c r="Z64" s="1012"/>
      <c r="AA64" s="1012"/>
      <c r="AB64" s="1012"/>
      <c r="AC64" s="1013"/>
      <c r="AD64" s="1013"/>
      <c r="AE64" s="1013"/>
      <c r="AF64" s="1014"/>
    </row>
    <row r="65" spans="2:32" ht="14.45" customHeight="1" x14ac:dyDescent="0.4">
      <c r="B65" s="58"/>
      <c r="C65" s="1015" t="s">
        <v>8063</v>
      </c>
      <c r="D65" s="2447" t="str">
        <f>IF(LEFT(J29,1)="D","NÃO INCIDE PARA O CARGO DE",IF(OR(M65="ANE",M65="AEB",M65="ATE",M65="ATB", M65="ASE"),"ATENÇÃO! NÃO INCIDE PARA O CARGO DE","INCIDE PARA O CARGO DE"))</f>
        <v>INCIDE PARA O CARGO DE</v>
      </c>
      <c r="E65" s="2447"/>
      <c r="F65" s="2447"/>
      <c r="G65" s="2447"/>
      <c r="H65" s="2447"/>
      <c r="I65" s="2447"/>
      <c r="J65" s="2447"/>
      <c r="K65" s="2447"/>
      <c r="L65" s="2447"/>
      <c r="M65" s="1016" t="str">
        <f>L29</f>
        <v/>
      </c>
      <c r="N65" s="2372" t="s">
        <v>8085</v>
      </c>
      <c r="O65" s="2372"/>
      <c r="P65" s="1000">
        <v>445</v>
      </c>
      <c r="Q65" s="1006" t="s">
        <v>8057</v>
      </c>
      <c r="R65" s="1010" t="s">
        <v>8057</v>
      </c>
      <c r="S65" s="2440"/>
      <c r="T65" s="2441"/>
      <c r="U65" s="2442"/>
      <c r="V65" s="59"/>
      <c r="W65" s="1114" t="str">
        <f t="shared" si="2"/>
        <v>-</v>
      </c>
      <c r="X65" s="998" t="str">
        <f t="shared" si="3"/>
        <v>-</v>
      </c>
      <c r="Y65" s="1011"/>
      <c r="Z65" s="1012"/>
      <c r="AA65" s="1012"/>
      <c r="AB65" s="1012"/>
      <c r="AC65" s="1013"/>
      <c r="AD65" s="1013"/>
      <c r="AE65" s="1013"/>
      <c r="AF65" s="1014"/>
    </row>
    <row r="66" spans="2:32" ht="14.45" customHeight="1" x14ac:dyDescent="0.4">
      <c r="B66" s="58"/>
      <c r="C66" s="2370" t="s">
        <v>8065</v>
      </c>
      <c r="D66" s="2371"/>
      <c r="E66" s="2371"/>
      <c r="F66" s="2371"/>
      <c r="G66" s="2371"/>
      <c r="H66" s="2371"/>
      <c r="I66" s="2371"/>
      <c r="J66" s="2371"/>
      <c r="K66" s="2371"/>
      <c r="L66" s="2371"/>
      <c r="M66" s="2371"/>
      <c r="N66" s="2372" t="s">
        <v>8085</v>
      </c>
      <c r="O66" s="2372"/>
      <c r="P66" s="1000">
        <v>164</v>
      </c>
      <c r="Q66" s="1006" t="s">
        <v>8057</v>
      </c>
      <c r="R66" s="1010" t="s">
        <v>8057</v>
      </c>
      <c r="S66" s="2440"/>
      <c r="T66" s="2441"/>
      <c r="U66" s="2442"/>
      <c r="V66" s="59"/>
      <c r="W66" s="1114" t="str">
        <f t="shared" si="2"/>
        <v>-</v>
      </c>
      <c r="X66" s="998" t="str">
        <f t="shared" si="3"/>
        <v>-</v>
      </c>
      <c r="Y66" s="1011"/>
      <c r="Z66" s="1012"/>
      <c r="AA66" s="1012"/>
      <c r="AB66" s="1012"/>
      <c r="AC66" s="1013"/>
      <c r="AD66" s="1013"/>
      <c r="AE66" s="1013"/>
      <c r="AF66" s="1014"/>
    </row>
    <row r="67" spans="2:32" ht="14.45" customHeight="1" x14ac:dyDescent="0.4">
      <c r="B67" s="58"/>
      <c r="C67" s="2370" t="s">
        <v>8125</v>
      </c>
      <c r="D67" s="2371"/>
      <c r="E67" s="2371"/>
      <c r="F67" s="2371"/>
      <c r="G67" s="2371"/>
      <c r="H67" s="2371"/>
      <c r="I67" s="2371"/>
      <c r="J67" s="2371"/>
      <c r="K67" s="2371"/>
      <c r="L67" s="2371"/>
      <c r="M67" s="2371"/>
      <c r="N67" s="2372" t="s">
        <v>8085</v>
      </c>
      <c r="O67" s="2372"/>
      <c r="P67" s="1000">
        <v>112</v>
      </c>
      <c r="Q67" s="1006" t="s">
        <v>8057</v>
      </c>
      <c r="R67" s="1010" t="s">
        <v>8057</v>
      </c>
      <c r="S67" s="2440"/>
      <c r="T67" s="2441"/>
      <c r="U67" s="2442"/>
      <c r="V67" s="59"/>
      <c r="W67" s="1114" t="str">
        <f t="shared" si="2"/>
        <v>-</v>
      </c>
      <c r="X67" s="998" t="str">
        <f t="shared" si="3"/>
        <v>-</v>
      </c>
      <c r="Y67" s="1011"/>
      <c r="Z67" s="1012"/>
      <c r="AA67" s="1012"/>
      <c r="AB67" s="1012"/>
      <c r="AC67" s="1013"/>
      <c r="AD67" s="1013"/>
      <c r="AE67" s="1013"/>
      <c r="AF67" s="1014"/>
    </row>
    <row r="68" spans="2:32" ht="14.45" customHeight="1" x14ac:dyDescent="0.4">
      <c r="B68" s="58"/>
      <c r="C68" s="1015" t="s">
        <v>8063</v>
      </c>
      <c r="D68" s="2449" t="s">
        <v>8209</v>
      </c>
      <c r="E68" s="2449"/>
      <c r="F68" s="2449"/>
      <c r="G68" s="2449"/>
      <c r="H68" s="2449"/>
      <c r="I68" s="2449"/>
      <c r="J68" s="2449"/>
      <c r="K68" s="2449"/>
      <c r="L68" s="2449"/>
      <c r="M68" s="2449"/>
      <c r="N68" s="2372" t="s">
        <v>8085</v>
      </c>
      <c r="O68" s="2372"/>
      <c r="P68" s="1000">
        <v>447</v>
      </c>
      <c r="Q68" s="1006" t="s">
        <v>8057</v>
      </c>
      <c r="R68" s="1010" t="s">
        <v>8057</v>
      </c>
      <c r="S68" s="2440"/>
      <c r="T68" s="2441"/>
      <c r="U68" s="2442"/>
      <c r="V68" s="59"/>
      <c r="W68" s="1114" t="str">
        <f t="shared" si="2"/>
        <v>-</v>
      </c>
      <c r="X68" s="998" t="str">
        <f t="shared" si="3"/>
        <v>-</v>
      </c>
      <c r="Y68" s="1011"/>
      <c r="Z68" s="1012"/>
      <c r="AA68" s="1012"/>
      <c r="AB68" s="1012"/>
      <c r="AC68" s="1013"/>
      <c r="AD68" s="1013"/>
      <c r="AE68" s="1013"/>
      <c r="AF68" s="1014"/>
    </row>
    <row r="69" spans="2:32" ht="14.45" customHeight="1" x14ac:dyDescent="0.4">
      <c r="B69" s="58"/>
      <c r="C69" s="2370" t="s">
        <v>8124</v>
      </c>
      <c r="D69" s="2371"/>
      <c r="E69" s="2371"/>
      <c r="F69" s="2371"/>
      <c r="G69" s="2371"/>
      <c r="H69" s="2371"/>
      <c r="I69" s="2371"/>
      <c r="J69" s="2371"/>
      <c r="K69" s="2371"/>
      <c r="L69" s="2371"/>
      <c r="M69" s="2371"/>
      <c r="N69" s="2372" t="s">
        <v>8085</v>
      </c>
      <c r="O69" s="2372"/>
      <c r="P69" s="1000">
        <v>280</v>
      </c>
      <c r="Q69" s="1006" t="s">
        <v>8057</v>
      </c>
      <c r="R69" s="1010" t="s">
        <v>8057</v>
      </c>
      <c r="S69" s="2440"/>
      <c r="T69" s="2441"/>
      <c r="U69" s="2442"/>
      <c r="V69" s="59"/>
      <c r="W69" s="1114" t="str">
        <f t="shared" si="2"/>
        <v>-</v>
      </c>
      <c r="X69" s="998" t="str">
        <f t="shared" si="3"/>
        <v>-</v>
      </c>
      <c r="Y69" s="1011"/>
      <c r="Z69" s="1012"/>
      <c r="AA69" s="1012"/>
      <c r="AB69" s="1012"/>
      <c r="AC69" s="1013"/>
      <c r="AD69" s="1013"/>
      <c r="AE69" s="1013"/>
      <c r="AF69" s="1014"/>
    </row>
    <row r="70" spans="2:32" ht="14.45" customHeight="1" x14ac:dyDescent="0.4">
      <c r="B70" s="58"/>
      <c r="C70" s="2370" t="s">
        <v>9409</v>
      </c>
      <c r="D70" s="2371"/>
      <c r="E70" s="2371"/>
      <c r="F70" s="2371"/>
      <c r="G70" s="2371"/>
      <c r="H70" s="2371"/>
      <c r="I70" s="2371"/>
      <c r="J70" s="2371"/>
      <c r="K70" s="2371"/>
      <c r="L70" s="2371"/>
      <c r="M70" s="2371"/>
      <c r="N70" s="2372" t="s">
        <v>8085</v>
      </c>
      <c r="O70" s="2372"/>
      <c r="P70" s="1000">
        <v>379</v>
      </c>
      <c r="Q70" s="1006" t="s">
        <v>8057</v>
      </c>
      <c r="R70" s="1010" t="s">
        <v>8057</v>
      </c>
      <c r="S70" s="2440"/>
      <c r="T70" s="2441"/>
      <c r="U70" s="2442"/>
      <c r="V70" s="59"/>
      <c r="W70" s="1114" t="str">
        <f t="shared" si="2"/>
        <v>-</v>
      </c>
      <c r="X70" s="998" t="str">
        <f t="shared" si="3"/>
        <v>-</v>
      </c>
      <c r="Y70" s="1011"/>
      <c r="Z70" s="1012"/>
      <c r="AA70" s="1012"/>
      <c r="AB70" s="1012"/>
      <c r="AC70" s="1013"/>
      <c r="AD70" s="1013"/>
      <c r="AE70" s="1013"/>
      <c r="AF70" s="1014"/>
    </row>
    <row r="71" spans="2:32" ht="14.45" customHeight="1" x14ac:dyDescent="0.4">
      <c r="B71" s="58"/>
      <c r="C71" s="2370" t="s">
        <v>9399</v>
      </c>
      <c r="D71" s="2371"/>
      <c r="E71" s="2371"/>
      <c r="F71" s="2371"/>
      <c r="G71" s="2371"/>
      <c r="H71" s="2371"/>
      <c r="I71" s="2371"/>
      <c r="J71" s="2371"/>
      <c r="K71" s="2371"/>
      <c r="L71" s="2371"/>
      <c r="M71" s="2371"/>
      <c r="N71" s="2372" t="s">
        <v>8085</v>
      </c>
      <c r="O71" s="2372"/>
      <c r="P71" s="1000">
        <v>852</v>
      </c>
      <c r="Q71" s="1006" t="s">
        <v>8057</v>
      </c>
      <c r="R71" s="1010" t="s">
        <v>8057</v>
      </c>
      <c r="S71" s="2440"/>
      <c r="T71" s="2441"/>
      <c r="U71" s="2442"/>
      <c r="V71" s="59"/>
      <c r="W71" s="1114" t="str">
        <f t="shared" si="2"/>
        <v>-</v>
      </c>
      <c r="X71" s="998" t="str">
        <f t="shared" si="3"/>
        <v>-</v>
      </c>
      <c r="Y71" s="1011"/>
      <c r="Z71" s="1012"/>
      <c r="AA71" s="1012"/>
      <c r="AB71" s="1012"/>
      <c r="AC71" s="1013"/>
      <c r="AD71" s="1013"/>
      <c r="AE71" s="1013"/>
      <c r="AF71" s="1014"/>
    </row>
    <row r="72" spans="2:32" ht="14.45" customHeight="1" x14ac:dyDescent="0.4">
      <c r="B72" s="58"/>
      <c r="C72" s="2370" t="s">
        <v>9398</v>
      </c>
      <c r="D72" s="2371"/>
      <c r="E72" s="2371"/>
      <c r="F72" s="2371"/>
      <c r="G72" s="2371"/>
      <c r="H72" s="2371"/>
      <c r="I72" s="2371"/>
      <c r="J72" s="2371"/>
      <c r="K72" s="2371"/>
      <c r="L72" s="2371"/>
      <c r="M72" s="2371"/>
      <c r="N72" s="2372" t="s">
        <v>8085</v>
      </c>
      <c r="O72" s="2372"/>
      <c r="P72" s="1000">
        <v>989</v>
      </c>
      <c r="Q72" s="1006" t="s">
        <v>8057</v>
      </c>
      <c r="R72" s="1010" t="s">
        <v>8057</v>
      </c>
      <c r="S72" s="2440"/>
      <c r="T72" s="2441"/>
      <c r="U72" s="2442"/>
      <c r="V72" s="59"/>
      <c r="W72" s="1114" t="str">
        <f>IF(R72="-","-",ROUND(R72,2))</f>
        <v>-</v>
      </c>
      <c r="X72" s="998" t="str">
        <f>IF(OR(S72="-",S72="X",S72="",S72=0),"-",ROUND(S72,2))</f>
        <v>-</v>
      </c>
      <c r="Y72" s="1011"/>
      <c r="Z72" s="1012"/>
      <c r="AA72" s="1012"/>
      <c r="AB72" s="1012"/>
      <c r="AC72" s="1013"/>
      <c r="AD72" s="1013"/>
      <c r="AE72" s="1013"/>
      <c r="AF72" s="1014"/>
    </row>
    <row r="73" spans="2:32" ht="14.45" customHeight="1" x14ac:dyDescent="0.4">
      <c r="B73" s="58"/>
      <c r="C73" s="2370" t="s">
        <v>8128</v>
      </c>
      <c r="D73" s="2371"/>
      <c r="E73" s="2450" t="str">
        <f>IF(L29="PEB","Atenção: se possuir verba 135, verificar regras VTAP","")</f>
        <v/>
      </c>
      <c r="F73" s="2450"/>
      <c r="G73" s="2450"/>
      <c r="H73" s="2450"/>
      <c r="I73" s="2450"/>
      <c r="J73" s="2450"/>
      <c r="K73" s="2450"/>
      <c r="L73" s="2450"/>
      <c r="M73" s="2450"/>
      <c r="N73" s="2372" t="s">
        <v>8085</v>
      </c>
      <c r="O73" s="2372"/>
      <c r="P73" s="1000">
        <v>385</v>
      </c>
      <c r="Q73" s="1006" t="s">
        <v>8057</v>
      </c>
      <c r="R73" s="1010" t="s">
        <v>8057</v>
      </c>
      <c r="S73" s="2440"/>
      <c r="T73" s="2441"/>
      <c r="U73" s="2442"/>
      <c r="V73" s="59"/>
      <c r="W73" s="1114" t="str">
        <f t="shared" si="2"/>
        <v>-</v>
      </c>
      <c r="X73" s="998" t="str">
        <f t="shared" si="3"/>
        <v>-</v>
      </c>
      <c r="Y73" s="1011"/>
      <c r="Z73" s="1012"/>
      <c r="AA73" s="1012"/>
      <c r="AB73" s="1012"/>
      <c r="AC73" s="1013"/>
      <c r="AD73" s="1013"/>
      <c r="AE73" s="1013"/>
      <c r="AF73" s="1014"/>
    </row>
    <row r="74" spans="2:32" ht="14.45" customHeight="1" thickBot="1" x14ac:dyDescent="0.45">
      <c r="B74" s="58"/>
      <c r="C74" s="2451" t="s">
        <v>8067</v>
      </c>
      <c r="D74" s="2452"/>
      <c r="E74" s="2452"/>
      <c r="F74" s="2452"/>
      <c r="G74" s="2452"/>
      <c r="H74" s="2453"/>
      <c r="I74" s="2453"/>
      <c r="J74" s="2453"/>
      <c r="K74" s="2453"/>
      <c r="L74" s="2453"/>
      <c r="M74" s="2453"/>
      <c r="N74" s="2454" t="s">
        <v>8085</v>
      </c>
      <c r="O74" s="2454"/>
      <c r="P74" s="1017"/>
      <c r="Q74" s="1018" t="s">
        <v>8057</v>
      </c>
      <c r="R74" s="1019" t="s">
        <v>8057</v>
      </c>
      <c r="S74" s="2455"/>
      <c r="T74" s="2456"/>
      <c r="U74" s="2457"/>
      <c r="V74" s="59"/>
      <c r="W74" s="1115" t="str">
        <f t="shared" si="2"/>
        <v>-</v>
      </c>
      <c r="X74" s="1020" t="str">
        <f t="shared" si="3"/>
        <v>-</v>
      </c>
      <c r="Y74" s="1011"/>
      <c r="Z74" s="1012"/>
      <c r="AA74" s="1012"/>
      <c r="AB74" s="1012"/>
      <c r="AC74" s="1013"/>
      <c r="AD74" s="1013"/>
      <c r="AE74" s="1013"/>
      <c r="AF74" s="1014"/>
    </row>
    <row r="75" spans="2:32" ht="15" customHeight="1" thickBot="1" x14ac:dyDescent="0.45">
      <c r="B75" s="58"/>
      <c r="C75" s="2463" t="s">
        <v>8068</v>
      </c>
      <c r="D75" s="2464"/>
      <c r="E75" s="2464"/>
      <c r="F75" s="2464"/>
      <c r="G75" s="2464"/>
      <c r="H75" s="2464"/>
      <c r="I75" s="2464"/>
      <c r="J75" s="2464"/>
      <c r="K75" s="2464"/>
      <c r="L75" s="2464"/>
      <c r="M75" s="2464"/>
      <c r="N75" s="2464"/>
      <c r="O75" s="2464"/>
      <c r="P75" s="2464"/>
      <c r="Q75" s="2464"/>
      <c r="R75" s="2465"/>
      <c r="S75" s="2466">
        <f>X75</f>
        <v>0</v>
      </c>
      <c r="T75" s="2467"/>
      <c r="U75" s="2468"/>
      <c r="V75" s="59"/>
      <c r="X75" s="483">
        <f>SUM(X36:X74)</f>
        <v>0</v>
      </c>
      <c r="Y75" s="1021"/>
      <c r="Z75" s="1021"/>
      <c r="AA75" s="1021"/>
      <c r="AB75" s="1021"/>
      <c r="AC75" s="1021"/>
      <c r="AD75" s="1021"/>
      <c r="AE75" s="1021"/>
      <c r="AF75" s="1022"/>
    </row>
    <row r="76" spans="2:32" ht="14.1" customHeight="1" x14ac:dyDescent="0.4">
      <c r="B76" s="58"/>
      <c r="C76" s="2469" t="s">
        <v>8069</v>
      </c>
      <c r="D76" s="1931"/>
      <c r="E76" s="1931"/>
      <c r="F76" s="1931"/>
      <c r="G76" s="1931"/>
      <c r="H76" s="1931"/>
      <c r="I76" s="1931"/>
      <c r="J76" s="1931"/>
      <c r="K76" s="1931"/>
      <c r="L76" s="1931"/>
      <c r="M76" s="1931"/>
      <c r="N76" s="1931"/>
      <c r="O76" s="1931"/>
      <c r="P76" s="1931"/>
      <c r="Q76" s="1931"/>
      <c r="R76" s="1931"/>
      <c r="S76" s="1931"/>
      <c r="T76" s="1931"/>
      <c r="U76" s="2470"/>
      <c r="V76" s="59"/>
    </row>
    <row r="77" spans="2:32" ht="14.1" customHeight="1" x14ac:dyDescent="0.4">
      <c r="B77" s="58"/>
      <c r="C77" s="2471" t="s">
        <v>8134</v>
      </c>
      <c r="D77" s="2472"/>
      <c r="E77" s="1931" t="str">
        <f>Geral!I10</f>
        <v>Alterar</v>
      </c>
      <c r="F77" s="1931"/>
      <c r="G77" s="1931"/>
      <c r="H77" s="1931"/>
      <c r="I77" s="1931"/>
      <c r="J77" s="1931"/>
      <c r="K77" s="1931"/>
      <c r="L77" s="1931"/>
      <c r="M77" s="1931"/>
      <c r="N77" s="1931"/>
      <c r="O77" s="1931"/>
      <c r="P77" s="1931"/>
      <c r="Q77" s="2168" t="s">
        <v>1</v>
      </c>
      <c r="R77" s="2168"/>
      <c r="S77" s="2473">
        <f>Geral!T10</f>
        <v>0</v>
      </c>
      <c r="T77" s="2473"/>
      <c r="U77" s="2474"/>
      <c r="V77" s="59"/>
    </row>
    <row r="78" spans="2:32" ht="14.1" customHeight="1" x14ac:dyDescent="0.4">
      <c r="B78" s="58"/>
      <c r="C78" s="2458" t="s">
        <v>8135</v>
      </c>
      <c r="D78" s="2459"/>
      <c r="E78" s="2459"/>
      <c r="F78" s="2459"/>
      <c r="G78" s="2459"/>
      <c r="H78" s="2460"/>
      <c r="I78" s="2460"/>
      <c r="J78" s="2460"/>
      <c r="K78" s="2460"/>
      <c r="L78" s="2460"/>
      <c r="M78" s="2460"/>
      <c r="N78" s="2460"/>
      <c r="O78" s="2460"/>
      <c r="P78" s="2460"/>
      <c r="Q78" s="2168" t="s">
        <v>386</v>
      </c>
      <c r="R78" s="2168"/>
      <c r="S78" s="2461">
        <f ca="1">M213</f>
        <v>43238</v>
      </c>
      <c r="T78" s="2461"/>
      <c r="U78" s="2462"/>
      <c r="V78" s="59"/>
    </row>
    <row r="79" spans="2:32" ht="14.1" customHeight="1" x14ac:dyDescent="0.4">
      <c r="B79" s="58"/>
      <c r="C79" s="950"/>
      <c r="D79" s="951"/>
      <c r="E79" s="951"/>
      <c r="F79" s="951"/>
      <c r="G79" s="951"/>
      <c r="H79" s="951"/>
      <c r="I79" s="951"/>
      <c r="J79" s="951"/>
      <c r="K79" s="951"/>
      <c r="L79" s="951"/>
      <c r="M79" s="951"/>
      <c r="N79" s="951"/>
      <c r="O79" s="951"/>
      <c r="P79" s="951"/>
      <c r="Q79" s="952"/>
      <c r="R79" s="952"/>
      <c r="S79" s="953"/>
      <c r="T79" s="953"/>
      <c r="U79" s="954"/>
      <c r="V79" s="59"/>
    </row>
    <row r="80" spans="2:32" ht="14.1" customHeight="1" x14ac:dyDescent="0.4">
      <c r="B80" s="58"/>
      <c r="C80" s="950"/>
      <c r="D80" s="951"/>
      <c r="E80" s="951"/>
      <c r="F80" s="951"/>
      <c r="G80" s="951"/>
      <c r="H80" s="951"/>
      <c r="I80" s="951"/>
      <c r="J80" s="951"/>
      <c r="K80" s="951"/>
      <c r="L80" s="951"/>
      <c r="M80" s="951"/>
      <c r="N80" s="951"/>
      <c r="O80" s="951"/>
      <c r="P80" s="951"/>
      <c r="Q80" s="952"/>
      <c r="R80" s="952"/>
      <c r="S80" s="953"/>
      <c r="T80" s="953"/>
      <c r="U80" s="954"/>
      <c r="V80" s="59"/>
    </row>
    <row r="81" spans="2:72" ht="14.1" customHeight="1" thickBot="1" x14ac:dyDescent="0.45">
      <c r="B81" s="58"/>
      <c r="C81" s="449"/>
      <c r="D81" s="450"/>
      <c r="E81" s="450"/>
      <c r="F81" s="450"/>
      <c r="G81" s="450"/>
      <c r="H81" s="450"/>
      <c r="I81" s="450"/>
      <c r="J81" s="450"/>
      <c r="K81" s="450"/>
      <c r="L81" s="450"/>
      <c r="M81" s="450"/>
      <c r="N81" s="450"/>
      <c r="O81" s="450"/>
      <c r="P81" s="450"/>
      <c r="Q81" s="450"/>
      <c r="R81" s="450"/>
      <c r="S81" s="450"/>
      <c r="T81" s="450"/>
      <c r="U81" s="451"/>
      <c r="V81" s="59"/>
    </row>
    <row r="82" spans="2:72" ht="15.95" customHeight="1" thickBot="1" x14ac:dyDescent="0.45">
      <c r="B82" s="60"/>
      <c r="C82" s="61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3"/>
    </row>
    <row r="83" spans="2:72" ht="5.0999999999999996" customHeight="1" thickTop="1" thickBot="1" x14ac:dyDescent="0.45"/>
    <row r="84" spans="2:72" ht="15.95" customHeight="1" thickTop="1" thickBot="1" x14ac:dyDescent="0.45">
      <c r="B84" s="52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5"/>
    </row>
    <row r="85" spans="2:72" s="3" customFormat="1" ht="3" customHeight="1" x14ac:dyDescent="0.25">
      <c r="B85" s="56"/>
      <c r="C85" s="2241"/>
      <c r="D85" s="2242"/>
      <c r="E85" s="2242"/>
      <c r="F85" s="2242"/>
      <c r="G85" s="2242"/>
      <c r="H85" s="2242"/>
      <c r="I85" s="2242"/>
      <c r="J85" s="2242"/>
      <c r="K85" s="2242"/>
      <c r="L85" s="2242"/>
      <c r="M85" s="2242"/>
      <c r="N85" s="2242"/>
      <c r="O85" s="2242"/>
      <c r="P85" s="2242"/>
      <c r="Q85" s="2242"/>
      <c r="R85" s="2242"/>
      <c r="S85" s="2242"/>
      <c r="T85" s="2242"/>
      <c r="U85" s="2243"/>
      <c r="V85" s="57"/>
    </row>
    <row r="86" spans="2:72" s="3" customFormat="1" ht="12.95" customHeight="1" x14ac:dyDescent="0.25">
      <c r="B86" s="56"/>
      <c r="C86" s="444"/>
      <c r="D86" s="929"/>
      <c r="E86" s="930"/>
      <c r="F86" s="1433" t="s">
        <v>7925</v>
      </c>
      <c r="G86" s="1433"/>
      <c r="H86" s="1433"/>
      <c r="I86" s="1433"/>
      <c r="J86" s="1433"/>
      <c r="K86" s="1433"/>
      <c r="L86" s="1433"/>
      <c r="M86" s="1433"/>
      <c r="N86" s="1433"/>
      <c r="O86" s="1433"/>
      <c r="P86" s="1433"/>
      <c r="Q86" s="1433"/>
      <c r="R86" s="1433"/>
      <c r="S86" s="1433"/>
      <c r="T86" s="1433"/>
      <c r="U86" s="2244"/>
      <c r="V86" s="57"/>
    </row>
    <row r="87" spans="2:72" ht="12.95" customHeight="1" x14ac:dyDescent="0.4">
      <c r="B87" s="58"/>
      <c r="C87" s="445"/>
      <c r="D87" s="927"/>
      <c r="E87" s="930"/>
      <c r="F87" s="1433" t="s">
        <v>7926</v>
      </c>
      <c r="G87" s="1433"/>
      <c r="H87" s="1433"/>
      <c r="I87" s="1433"/>
      <c r="J87" s="1433"/>
      <c r="K87" s="1433"/>
      <c r="L87" s="1433"/>
      <c r="M87" s="1433"/>
      <c r="N87" s="1433"/>
      <c r="O87" s="1433"/>
      <c r="P87" s="1433"/>
      <c r="Q87" s="1433"/>
      <c r="R87" s="1433"/>
      <c r="S87" s="1433"/>
      <c r="T87" s="1433"/>
      <c r="U87" s="2244"/>
      <c r="V87" s="59"/>
    </row>
    <row r="88" spans="2:72" ht="12.95" customHeight="1" x14ac:dyDescent="0.4">
      <c r="B88" s="58"/>
      <c r="C88" s="940"/>
      <c r="D88" s="930"/>
      <c r="E88" s="929"/>
      <c r="F88" s="2291" t="s">
        <v>8079</v>
      </c>
      <c r="G88" s="2291"/>
      <c r="H88" s="2291"/>
      <c r="I88" s="2291"/>
      <c r="J88" s="2291"/>
      <c r="K88" s="2291"/>
      <c r="L88" s="2291"/>
      <c r="M88" s="2291"/>
      <c r="N88" s="1435" t="str">
        <f>N24</f>
        <v>Uberaba</v>
      </c>
      <c r="O88" s="1435"/>
      <c r="P88" s="1435"/>
      <c r="Q88" s="1435"/>
      <c r="R88" s="1435"/>
      <c r="S88" s="1435"/>
      <c r="T88" s="1435"/>
      <c r="U88" s="2292"/>
      <c r="V88" s="59"/>
    </row>
    <row r="89" spans="2:72" ht="3" customHeight="1" thickBot="1" x14ac:dyDescent="0.45">
      <c r="B89" s="58"/>
      <c r="C89" s="2293"/>
      <c r="D89" s="1434"/>
      <c r="E89" s="1434"/>
      <c r="F89" s="1434"/>
      <c r="G89" s="1434"/>
      <c r="H89" s="1434"/>
      <c r="I89" s="1434"/>
      <c r="J89" s="1434"/>
      <c r="K89" s="1434"/>
      <c r="L89" s="1434"/>
      <c r="M89" s="1434"/>
      <c r="N89" s="1434"/>
      <c r="O89" s="1434"/>
      <c r="P89" s="1434"/>
      <c r="Q89" s="1434"/>
      <c r="R89" s="1434"/>
      <c r="S89" s="1434"/>
      <c r="T89" s="1434"/>
      <c r="U89" s="2294"/>
      <c r="V89" s="59"/>
    </row>
    <row r="90" spans="2:72" ht="14.45" customHeight="1" thickBot="1" x14ac:dyDescent="0.45">
      <c r="B90" s="58"/>
      <c r="C90" s="2477" t="s">
        <v>8080</v>
      </c>
      <c r="D90" s="2478"/>
      <c r="E90" s="2478"/>
      <c r="F90" s="2478"/>
      <c r="G90" s="2478"/>
      <c r="H90" s="2478"/>
      <c r="I90" s="2478"/>
      <c r="J90" s="2478"/>
      <c r="K90" s="2478"/>
      <c r="L90" s="2478"/>
      <c r="M90" s="2478"/>
      <c r="N90" s="2478"/>
      <c r="O90" s="2478"/>
      <c r="P90" s="2478"/>
      <c r="Q90" s="2478"/>
      <c r="R90" s="2478"/>
      <c r="S90" s="2478"/>
      <c r="T90" s="2478"/>
      <c r="U90" s="2479"/>
      <c r="V90" s="59"/>
    </row>
    <row r="91" spans="2:72" ht="14.45" customHeight="1" x14ac:dyDescent="0.4">
      <c r="B91" s="58"/>
      <c r="C91" s="2298" t="s">
        <v>367</v>
      </c>
      <c r="D91" s="2299"/>
      <c r="E91" s="2300">
        <f>E27</f>
        <v>0</v>
      </c>
      <c r="F91" s="2300"/>
      <c r="G91" s="2300"/>
      <c r="H91" s="2300"/>
      <c r="I91" s="2300"/>
      <c r="J91" s="2300"/>
      <c r="K91" s="2300"/>
      <c r="L91" s="2300"/>
      <c r="M91" s="2300"/>
      <c r="N91" s="2300"/>
      <c r="O91" s="2300"/>
      <c r="P91" s="2300"/>
      <c r="Q91" s="2301" t="s">
        <v>1</v>
      </c>
      <c r="R91" s="2301"/>
      <c r="S91" s="2302">
        <f>S27</f>
        <v>0</v>
      </c>
      <c r="T91" s="2302"/>
      <c r="U91" s="2303"/>
      <c r="V91" s="59"/>
    </row>
    <row r="92" spans="2:72" ht="14.45" customHeight="1" x14ac:dyDescent="0.4">
      <c r="B92" s="58"/>
      <c r="C92" s="2280" t="s">
        <v>8081</v>
      </c>
      <c r="D92" s="2281"/>
      <c r="E92" s="2281"/>
      <c r="F92" s="986" t="s">
        <v>8082</v>
      </c>
      <c r="G92" s="2282" t="str">
        <f>G28</f>
        <v>Uberaba</v>
      </c>
      <c r="H92" s="2282"/>
      <c r="I92" s="2282"/>
      <c r="J92" s="2282"/>
      <c r="K92" s="2282"/>
      <c r="L92" s="2282"/>
      <c r="M92" s="2282"/>
      <c r="N92" s="2282"/>
      <c r="O92" s="2282"/>
      <c r="P92" s="2282"/>
      <c r="Q92" s="2282"/>
      <c r="R92" s="2282"/>
      <c r="S92" s="2282"/>
      <c r="T92" s="2282"/>
      <c r="U92" s="2475"/>
      <c r="V92" s="59"/>
    </row>
    <row r="93" spans="2:72" ht="14.45" customHeight="1" x14ac:dyDescent="0.4">
      <c r="B93" s="58"/>
      <c r="C93" s="2287" t="s">
        <v>8083</v>
      </c>
      <c r="D93" s="2288"/>
      <c r="E93" s="2288"/>
      <c r="F93" s="2288"/>
      <c r="G93" s="2288"/>
      <c r="H93" s="2288"/>
      <c r="I93" s="2288"/>
      <c r="J93" s="2476">
        <f>J29</f>
        <v>0</v>
      </c>
      <c r="K93" s="2476"/>
      <c r="L93" s="2476"/>
      <c r="M93" s="2290" t="s">
        <v>7930</v>
      </c>
      <c r="N93" s="2290"/>
      <c r="O93" s="988">
        <f>O29</f>
        <v>0</v>
      </c>
      <c r="P93" s="1023"/>
      <c r="Q93" s="1023"/>
      <c r="R93" s="1023"/>
      <c r="S93" s="1023"/>
      <c r="T93" s="1023"/>
      <c r="U93" s="1024"/>
      <c r="V93" s="59"/>
      <c r="Y93" s="2430"/>
      <c r="Z93" s="2431"/>
      <c r="AA93" s="2431"/>
      <c r="AB93" s="2431"/>
      <c r="AC93" s="2487"/>
      <c r="AD93" s="2487"/>
      <c r="AE93" s="2487"/>
      <c r="AF93" s="2487"/>
    </row>
    <row r="94" spans="2:72" ht="14.45" customHeight="1" thickBot="1" x14ac:dyDescent="0.45">
      <c r="B94" s="58"/>
      <c r="C94" s="2287" t="s">
        <v>8097</v>
      </c>
      <c r="D94" s="2288"/>
      <c r="E94" s="2288"/>
      <c r="F94" s="2288"/>
      <c r="G94" s="2312" t="s">
        <v>8095</v>
      </c>
      <c r="H94" s="2312"/>
      <c r="I94" s="989">
        <f>IF(I30="","-",I30)</f>
        <v>0</v>
      </c>
      <c r="J94" s="2313" t="s">
        <v>8098</v>
      </c>
      <c r="K94" s="2313"/>
      <c r="L94" s="2313"/>
      <c r="M94" s="989">
        <f>IF(M30="","-",M30)</f>
        <v>0</v>
      </c>
      <c r="N94" s="2314" t="s">
        <v>8100</v>
      </c>
      <c r="O94" s="2314"/>
      <c r="P94" s="2314"/>
      <c r="Q94" s="989">
        <f>IF(Q30="","-",Q30)</f>
        <v>0</v>
      </c>
      <c r="R94" s="2314" t="s">
        <v>8099</v>
      </c>
      <c r="S94" s="2314"/>
      <c r="T94" s="2314"/>
      <c r="U94" s="990">
        <f>IF(U30="","-",U30)</f>
        <v>0</v>
      </c>
      <c r="V94" s="59"/>
      <c r="Y94" s="2488"/>
      <c r="Z94" s="2489"/>
      <c r="AA94" s="2489"/>
      <c r="AB94" s="2489"/>
      <c r="AC94" s="2489"/>
      <c r="AD94" s="2489"/>
      <c r="AE94" s="2489"/>
      <c r="AF94" s="2490"/>
    </row>
    <row r="95" spans="2:72" ht="14.45" customHeight="1" thickTop="1" thickBot="1" x14ac:dyDescent="0.45">
      <c r="B95" s="58"/>
      <c r="C95" s="2480" t="str">
        <f>L31</f>
        <v>Afastamento Preliminar a partir de:</v>
      </c>
      <c r="D95" s="2481"/>
      <c r="E95" s="2481"/>
      <c r="F95" s="2481"/>
      <c r="G95" s="2481"/>
      <c r="H95" s="2481"/>
      <c r="I95" s="2482" t="e">
        <f>R32</f>
        <v>#VALUE!</v>
      </c>
      <c r="J95" s="2482"/>
      <c r="K95" s="2482"/>
      <c r="L95" s="2483"/>
      <c r="M95" s="2483"/>
      <c r="N95" s="2483"/>
      <c r="O95" s="2483"/>
      <c r="P95" s="2483"/>
      <c r="Q95" s="2483"/>
      <c r="R95" s="2304"/>
      <c r="S95" s="2304"/>
      <c r="T95" s="2304"/>
      <c r="U95" s="992"/>
      <c r="V95" s="59"/>
      <c r="Y95" s="2484"/>
      <c r="Z95" s="2485"/>
      <c r="AA95" s="2485"/>
      <c r="AB95" s="2485"/>
      <c r="AC95" s="2486"/>
      <c r="AD95" s="2486"/>
      <c r="AE95" s="2486"/>
      <c r="AF95" s="2486"/>
    </row>
    <row r="96" spans="2:72" ht="14.45" customHeight="1" thickBot="1" x14ac:dyDescent="0.45">
      <c r="B96" s="58"/>
      <c r="C96" s="2504" t="s">
        <v>8054</v>
      </c>
      <c r="D96" s="2505"/>
      <c r="E96" s="2505"/>
      <c r="F96" s="2505"/>
      <c r="G96" s="2505"/>
      <c r="H96" s="2505"/>
      <c r="I96" s="2505"/>
      <c r="J96" s="2505"/>
      <c r="K96" s="2505"/>
      <c r="L96" s="2505"/>
      <c r="M96" s="2505"/>
      <c r="N96" s="2505"/>
      <c r="O96" s="2505"/>
      <c r="P96" s="2505"/>
      <c r="Q96" s="2506" t="s">
        <v>8055</v>
      </c>
      <c r="R96" s="2507"/>
      <c r="S96" s="2505" t="s">
        <v>348</v>
      </c>
      <c r="T96" s="2505"/>
      <c r="U96" s="2508"/>
      <c r="V96" s="59"/>
      <c r="Y96" s="2509"/>
      <c r="Z96" s="2509"/>
      <c r="AA96" s="2509"/>
      <c r="AB96" s="2509"/>
      <c r="AC96" s="2509"/>
      <c r="AD96" s="2509"/>
      <c r="AE96" s="2509"/>
      <c r="AF96" s="2509"/>
      <c r="AK96" s="2510"/>
      <c r="AL96" s="2491"/>
      <c r="AM96" s="2491"/>
      <c r="AN96" s="2491"/>
      <c r="AO96" s="955"/>
      <c r="AP96" s="955"/>
      <c r="AQ96" s="955"/>
      <c r="AR96" s="955"/>
      <c r="AS96" s="955"/>
      <c r="AT96" s="955"/>
      <c r="AU96" s="955"/>
      <c r="AV96" s="955"/>
      <c r="AW96" s="2491"/>
      <c r="AX96" s="2491"/>
      <c r="AY96" s="2491"/>
      <c r="AZ96" s="2491"/>
      <c r="BA96" s="2491"/>
      <c r="BB96" s="2491"/>
      <c r="BC96" s="2491"/>
      <c r="BD96" s="2492"/>
      <c r="BE96" s="945"/>
      <c r="BF96" s="945"/>
      <c r="BG96" s="945"/>
      <c r="BH96" s="945"/>
      <c r="BI96" s="945"/>
      <c r="BJ96" s="945"/>
      <c r="BK96" s="945"/>
      <c r="BL96" s="945"/>
      <c r="BM96" s="945"/>
      <c r="BN96" s="945"/>
      <c r="BO96" s="945"/>
      <c r="BP96" s="945"/>
      <c r="BQ96" s="2368"/>
      <c r="BR96" s="2368"/>
      <c r="BS96" s="2368"/>
      <c r="BT96" s="2368"/>
    </row>
    <row r="97" spans="2:75" ht="15" customHeight="1" x14ac:dyDescent="0.4">
      <c r="B97" s="58"/>
      <c r="C97" s="2493" t="str">
        <f t="shared" ref="C97:C133" si="4">C36</f>
        <v>VENCIMENTO BÁSICO DO CARGO EFETIVO</v>
      </c>
      <c r="D97" s="2494"/>
      <c r="E97" s="2494"/>
      <c r="F97" s="2494"/>
      <c r="G97" s="2494"/>
      <c r="H97" s="2494"/>
      <c r="I97" s="2494"/>
      <c r="J97" s="2494"/>
      <c r="K97" s="2494"/>
      <c r="L97" s="496"/>
      <c r="M97" s="956"/>
      <c r="N97" s="2495"/>
      <c r="O97" s="2495"/>
      <c r="P97" s="497"/>
      <c r="Q97" s="2496" t="str">
        <f t="shared" ref="Q97:Q132" si="5">W36</f>
        <v>XXX</v>
      </c>
      <c r="R97" s="2497"/>
      <c r="S97" s="2498" t="str">
        <f t="shared" ref="S97:S132" si="6">X36</f>
        <v>-</v>
      </c>
      <c r="T97" s="2499"/>
      <c r="U97" s="2500"/>
      <c r="V97" s="59"/>
      <c r="W97" s="490"/>
      <c r="X97" s="491"/>
      <c r="Y97" s="2501"/>
      <c r="Z97" s="2501"/>
      <c r="AA97" s="2501"/>
      <c r="AB97" s="2501"/>
      <c r="AC97" s="2501"/>
      <c r="AD97" s="2501"/>
      <c r="AE97" s="2501"/>
      <c r="AF97" s="2501"/>
      <c r="AG97" s="41"/>
      <c r="AH97" s="41"/>
      <c r="AI97" s="41"/>
      <c r="AJ97" s="41"/>
      <c r="AK97" s="2502"/>
      <c r="AL97" s="2503"/>
      <c r="AM97" s="2503"/>
      <c r="AN97" s="2503"/>
      <c r="AO97" s="957"/>
      <c r="AP97" s="957"/>
      <c r="AQ97" s="957"/>
      <c r="AR97" s="957"/>
      <c r="AS97" s="957"/>
      <c r="AT97" s="957"/>
      <c r="AU97" s="957"/>
      <c r="AV97" s="957"/>
      <c r="AW97" s="2503"/>
      <c r="AX97" s="2503"/>
      <c r="AY97" s="2503"/>
      <c r="AZ97" s="2503"/>
      <c r="BA97" s="2511"/>
      <c r="BB97" s="2511"/>
      <c r="BC97" s="2511"/>
      <c r="BD97" s="2512"/>
      <c r="BE97" s="947"/>
      <c r="BF97" s="947"/>
      <c r="BG97" s="947"/>
      <c r="BH97" s="947"/>
      <c r="BI97" s="947"/>
      <c r="BJ97" s="947"/>
      <c r="BK97" s="947"/>
      <c r="BL97" s="947"/>
      <c r="BM97" s="947"/>
      <c r="BN97" s="947"/>
      <c r="BO97" s="947"/>
      <c r="BP97" s="947"/>
      <c r="BQ97" s="2360"/>
      <c r="BR97" s="2360"/>
      <c r="BS97" s="2360"/>
      <c r="BT97" s="2360"/>
    </row>
    <row r="98" spans="2:75" ht="15" customHeight="1" x14ac:dyDescent="0.4">
      <c r="B98" s="58"/>
      <c r="C98" s="2336" t="str">
        <f t="shared" si="4"/>
        <v>EXIGÊNCIA CURRICULAR</v>
      </c>
      <c r="D98" s="2337"/>
      <c r="E98" s="2337"/>
      <c r="F98" s="2337"/>
      <c r="G98" s="2337"/>
      <c r="H98" s="2337"/>
      <c r="I98" s="2337"/>
      <c r="J98" s="2337"/>
      <c r="K98" s="2337"/>
      <c r="L98" s="1025" t="str">
        <f t="shared" ref="L98:N100" si="7">L37</f>
        <v>-</v>
      </c>
      <c r="M98" s="994" t="str">
        <f t="shared" si="7"/>
        <v>H/A</v>
      </c>
      <c r="N98" s="2372" t="str">
        <f t="shared" si="7"/>
        <v>VERBA</v>
      </c>
      <c r="O98" s="2372"/>
      <c r="P98" s="999">
        <f>IF(OR(P37="X",P37="",P37="-",P37=0),"",P37)</f>
        <v>883</v>
      </c>
      <c r="Q98" s="2527" t="str">
        <f t="shared" si="5"/>
        <v>-</v>
      </c>
      <c r="R98" s="2528"/>
      <c r="S98" s="2444" t="str">
        <f t="shared" si="6"/>
        <v>-</v>
      </c>
      <c r="T98" s="2445"/>
      <c r="U98" s="2446"/>
      <c r="V98" s="59"/>
      <c r="W98" s="492"/>
      <c r="X98" s="491"/>
      <c r="Y98" s="2501"/>
      <c r="Z98" s="2501"/>
      <c r="AA98" s="2501"/>
      <c r="AB98" s="2501"/>
      <c r="AC98" s="2501"/>
      <c r="AD98" s="2501"/>
      <c r="AE98" s="2501"/>
      <c r="AF98" s="2501"/>
      <c r="AG98" s="41"/>
      <c r="AH98" s="41"/>
      <c r="AI98" s="41"/>
      <c r="AJ98" s="41"/>
      <c r="AK98" s="2379"/>
      <c r="AL98" s="2376"/>
      <c r="AM98" s="2376"/>
      <c r="AN98" s="2376"/>
      <c r="AO98" s="949"/>
      <c r="AP98" s="949"/>
      <c r="AQ98" s="949"/>
      <c r="AR98" s="949"/>
      <c r="AS98" s="949"/>
      <c r="AT98" s="949"/>
      <c r="AU98" s="949"/>
      <c r="AV98" s="949"/>
      <c r="AW98" s="2376"/>
      <c r="AX98" s="2376"/>
      <c r="AY98" s="2376"/>
      <c r="AZ98" s="2376"/>
      <c r="BA98" s="949"/>
      <c r="BB98" s="949"/>
      <c r="BC98" s="949"/>
      <c r="BD98" s="949"/>
      <c r="BE98" s="949"/>
      <c r="BF98" s="949"/>
      <c r="BG98" s="949"/>
      <c r="BH98" s="949"/>
      <c r="BI98" s="949"/>
      <c r="BJ98" s="949"/>
      <c r="BK98" s="949"/>
      <c r="BL98" s="949"/>
      <c r="BM98" s="949"/>
      <c r="BN98" s="949"/>
      <c r="BO98" s="949"/>
      <c r="BP98" s="949"/>
      <c r="BQ98" s="2377"/>
      <c r="BR98" s="2377"/>
      <c r="BS98" s="2377"/>
      <c r="BT98" s="2378"/>
    </row>
    <row r="99" spans="2:75" ht="15" customHeight="1" x14ac:dyDescent="0.4">
      <c r="B99" s="58"/>
      <c r="C99" s="2493" t="str">
        <f t="shared" si="4"/>
        <v>EXTENSÃO DE CARGA HORÁRIA</v>
      </c>
      <c r="D99" s="2494"/>
      <c r="E99" s="2494"/>
      <c r="F99" s="2494"/>
      <c r="G99" s="2494"/>
      <c r="H99" s="2494"/>
      <c r="I99" s="2494"/>
      <c r="J99" s="2494"/>
      <c r="K99" s="2494"/>
      <c r="L99" s="1026" t="str">
        <f t="shared" si="7"/>
        <v>-</v>
      </c>
      <c r="M99" s="1027" t="str">
        <f t="shared" si="7"/>
        <v>H/A</v>
      </c>
      <c r="N99" s="2513" t="str">
        <f t="shared" si="7"/>
        <v>VERBA</v>
      </c>
      <c r="O99" s="2513"/>
      <c r="P99" s="1028" t="str">
        <f>IF(OR(P38="X",P38="",P38="-",P38=0),"",P38)</f>
        <v/>
      </c>
      <c r="Q99" s="2514" t="str">
        <f t="shared" si="5"/>
        <v>-</v>
      </c>
      <c r="R99" s="2515"/>
      <c r="S99" s="2516" t="str">
        <f t="shared" si="6"/>
        <v>-</v>
      </c>
      <c r="T99" s="2517"/>
      <c r="U99" s="2518"/>
      <c r="V99" s="59"/>
      <c r="W99" s="492"/>
      <c r="X99" s="491"/>
      <c r="Y99" s="2501"/>
      <c r="Z99" s="2501"/>
      <c r="AA99" s="2501"/>
      <c r="AB99" s="2501"/>
      <c r="AC99" s="2501"/>
      <c r="AD99" s="2501"/>
      <c r="AE99" s="2501"/>
      <c r="AF99" s="2501"/>
      <c r="AG99" s="41"/>
      <c r="AH99" s="41"/>
      <c r="AI99" s="41"/>
      <c r="AJ99" s="41"/>
    </row>
    <row r="100" spans="2:75" ht="15" customHeight="1" x14ac:dyDescent="0.4">
      <c r="B100" s="58"/>
      <c r="C100" s="2336" t="str">
        <f t="shared" si="4"/>
        <v>EXIGÊNCIA DA EXTENSÃO</v>
      </c>
      <c r="D100" s="2337"/>
      <c r="E100" s="2337"/>
      <c r="F100" s="2337"/>
      <c r="G100" s="2337"/>
      <c r="H100" s="2337"/>
      <c r="I100" s="2337"/>
      <c r="J100" s="2337"/>
      <c r="K100" s="2337"/>
      <c r="L100" s="1025" t="str">
        <f t="shared" si="7"/>
        <v>-</v>
      </c>
      <c r="M100" s="994" t="str">
        <f t="shared" si="7"/>
        <v>H/A</v>
      </c>
      <c r="N100" s="2372" t="str">
        <f t="shared" si="7"/>
        <v>VERBA</v>
      </c>
      <c r="O100" s="2372"/>
      <c r="P100" s="999" t="str">
        <f>IF(OR(P39="X",P39="",P39="-",P39=0),"",P39)</f>
        <v/>
      </c>
      <c r="Q100" s="2527" t="str">
        <f t="shared" si="5"/>
        <v>-</v>
      </c>
      <c r="R100" s="2528"/>
      <c r="S100" s="2444" t="str">
        <f t="shared" si="6"/>
        <v>-</v>
      </c>
      <c r="T100" s="2445"/>
      <c r="U100" s="2446"/>
      <c r="V100" s="59"/>
      <c r="W100" s="492"/>
      <c r="X100" s="491"/>
      <c r="Y100" s="2501"/>
      <c r="Z100" s="2501"/>
      <c r="AA100" s="2501"/>
      <c r="AB100" s="2501"/>
      <c r="AC100" s="2501"/>
      <c r="AD100" s="2501"/>
      <c r="AE100" s="2501"/>
      <c r="AF100" s="2501"/>
      <c r="AG100" s="41"/>
      <c r="AH100" s="41"/>
      <c r="AI100" s="41"/>
      <c r="AJ100" s="41"/>
    </row>
    <row r="101" spans="2:75" ht="15" customHeight="1" x14ac:dyDescent="0.4">
      <c r="B101" s="58"/>
      <c r="C101" s="2519" t="str">
        <f t="shared" si="4"/>
        <v>GRATIFICAÇÃO DE INCENTIVO À DOCÊNCIA (Pó de Giz)</v>
      </c>
      <c r="D101" s="2520"/>
      <c r="E101" s="2520"/>
      <c r="F101" s="2520"/>
      <c r="G101" s="2520"/>
      <c r="H101" s="2520"/>
      <c r="I101" s="2520"/>
      <c r="J101" s="2520"/>
      <c r="K101" s="2520"/>
      <c r="L101" s="2520"/>
      <c r="M101" s="2520"/>
      <c r="N101" s="2521" t="str">
        <f>N40</f>
        <v>VERBA</v>
      </c>
      <c r="O101" s="2521"/>
      <c r="P101" s="1029">
        <f t="shared" ref="P101:P133" si="8">P40</f>
        <v>143</v>
      </c>
      <c r="Q101" s="2522" t="str">
        <f t="shared" si="5"/>
        <v>-</v>
      </c>
      <c r="R101" s="2523"/>
      <c r="S101" s="2524" t="str">
        <f t="shared" si="6"/>
        <v>-</v>
      </c>
      <c r="T101" s="2525"/>
      <c r="U101" s="2526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75" ht="15" customHeight="1" x14ac:dyDescent="0.4">
      <c r="B102" s="58"/>
      <c r="C102" s="2370" t="str">
        <f t="shared" si="4"/>
        <v>BIÊNIO (ANTERIOR E.C. N.º 19/98)</v>
      </c>
      <c r="D102" s="2371"/>
      <c r="E102" s="2371"/>
      <c r="F102" s="2371"/>
      <c r="G102" s="2371"/>
      <c r="H102" s="2371"/>
      <c r="I102" s="2371"/>
      <c r="J102" s="2371"/>
      <c r="K102" s="2371"/>
      <c r="L102" s="2371"/>
      <c r="M102" s="2371"/>
      <c r="N102" s="2372" t="str">
        <f>N41</f>
        <v>VERBA</v>
      </c>
      <c r="O102" s="2372"/>
      <c r="P102" s="999">
        <f t="shared" si="8"/>
        <v>144</v>
      </c>
      <c r="Q102" s="2527" t="str">
        <f t="shared" si="5"/>
        <v>-</v>
      </c>
      <c r="R102" s="2528"/>
      <c r="S102" s="2444" t="str">
        <f t="shared" si="6"/>
        <v>-</v>
      </c>
      <c r="T102" s="2445"/>
      <c r="U102" s="2446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75" ht="15" customHeight="1" x14ac:dyDescent="0.4">
      <c r="B103" s="58"/>
      <c r="C103" s="2519" t="str">
        <f t="shared" si="4"/>
        <v>QUINQUÊNIO(S) MAGISTÉRIO (ANTERIOR E.C. N.º 19/98 )</v>
      </c>
      <c r="D103" s="2520"/>
      <c r="E103" s="2520"/>
      <c r="F103" s="2520"/>
      <c r="G103" s="2520"/>
      <c r="H103" s="2520"/>
      <c r="I103" s="2520"/>
      <c r="J103" s="2520"/>
      <c r="K103" s="2520"/>
      <c r="L103" s="2520"/>
      <c r="M103" s="2520"/>
      <c r="N103" s="2521" t="str">
        <f>N42</f>
        <v>VERBA</v>
      </c>
      <c r="O103" s="2521"/>
      <c r="P103" s="1029">
        <f t="shared" si="8"/>
        <v>42</v>
      </c>
      <c r="Q103" s="2522" t="str">
        <f t="shared" si="5"/>
        <v>-</v>
      </c>
      <c r="R103" s="2523"/>
      <c r="S103" s="2524" t="str">
        <f t="shared" si="6"/>
        <v>-</v>
      </c>
      <c r="T103" s="2525"/>
      <c r="U103" s="2526"/>
      <c r="V103" s="59"/>
      <c r="W103" s="492"/>
      <c r="X103" s="491"/>
      <c r="Y103" s="2534"/>
      <c r="Z103" s="2534"/>
      <c r="AA103" s="2534"/>
      <c r="AB103" s="2534"/>
      <c r="AC103" s="2534"/>
      <c r="AD103" s="2534"/>
      <c r="AE103" s="2534"/>
      <c r="AF103" s="2534"/>
      <c r="AG103" s="2534"/>
      <c r="AH103" s="2534"/>
      <c r="AI103" s="2534"/>
      <c r="AJ103" s="2534"/>
      <c r="AK103" s="2538"/>
      <c r="AL103" s="2539"/>
      <c r="AM103" s="2539"/>
      <c r="AN103" s="2540"/>
      <c r="AO103" s="958"/>
      <c r="AP103" s="958"/>
      <c r="AQ103" s="958"/>
      <c r="AR103" s="958"/>
      <c r="AS103" s="958"/>
      <c r="AT103" s="958"/>
      <c r="AU103" s="958"/>
      <c r="AV103" s="958"/>
      <c r="AW103" s="2541"/>
      <c r="AX103" s="2539"/>
      <c r="AY103" s="2539"/>
      <c r="AZ103" s="2540"/>
      <c r="BA103" s="2541"/>
      <c r="BB103" s="2539"/>
      <c r="BC103" s="2539"/>
      <c r="BD103" s="2540"/>
      <c r="BE103" s="2541"/>
      <c r="BF103" s="2539"/>
      <c r="BG103" s="2539"/>
      <c r="BH103" s="2540"/>
      <c r="BI103" s="958"/>
      <c r="BJ103" s="958"/>
      <c r="BK103" s="958"/>
      <c r="BL103" s="958"/>
      <c r="BM103" s="2541"/>
      <c r="BN103" s="2539"/>
      <c r="BO103" s="2539"/>
      <c r="BP103" s="2540"/>
      <c r="BQ103" s="2531"/>
      <c r="BR103" s="2531"/>
      <c r="BS103" s="2531"/>
      <c r="BT103" s="2531"/>
      <c r="BU103" s="2532"/>
      <c r="BV103" s="2533"/>
      <c r="BW103" s="2533"/>
    </row>
    <row r="104" spans="2:75" ht="15" customHeight="1" x14ac:dyDescent="0.4">
      <c r="B104" s="58"/>
      <c r="C104" s="2370" t="str">
        <f t="shared" si="4"/>
        <v>QUINQUÊNIO(S) ADM. (ANTERIOR E.C. N.º 19/98)</v>
      </c>
      <c r="D104" s="2371"/>
      <c r="E104" s="2371"/>
      <c r="F104" s="2371"/>
      <c r="G104" s="2371"/>
      <c r="H104" s="2371"/>
      <c r="I104" s="2371"/>
      <c r="J104" s="2371"/>
      <c r="K104" s="2371"/>
      <c r="L104" s="2371"/>
      <c r="M104" s="2371"/>
      <c r="N104" s="2372" t="str">
        <f>N43</f>
        <v>VERBA</v>
      </c>
      <c r="O104" s="2372"/>
      <c r="P104" s="999">
        <f t="shared" si="8"/>
        <v>41</v>
      </c>
      <c r="Q104" s="2527" t="str">
        <f t="shared" si="5"/>
        <v>-</v>
      </c>
      <c r="R104" s="2528"/>
      <c r="S104" s="2444" t="str">
        <f t="shared" si="6"/>
        <v>-</v>
      </c>
      <c r="T104" s="2445"/>
      <c r="U104" s="2446"/>
      <c r="V104" s="59"/>
      <c r="W104" s="492"/>
      <c r="X104" s="491"/>
      <c r="Y104" s="2534"/>
      <c r="Z104" s="2534"/>
      <c r="AA104" s="2534"/>
      <c r="AB104" s="2534"/>
      <c r="AC104" s="2534"/>
      <c r="AD104" s="2534"/>
      <c r="AE104" s="2534"/>
      <c r="AF104" s="2534"/>
      <c r="AG104" s="2534"/>
      <c r="AH104" s="2534"/>
      <c r="AI104" s="2534"/>
      <c r="AJ104" s="2534"/>
      <c r="AK104" s="2535"/>
      <c r="AL104" s="2536"/>
      <c r="AM104" s="2536"/>
      <c r="AN104" s="2537"/>
      <c r="AO104" s="1030"/>
      <c r="AP104" s="1030"/>
      <c r="AQ104" s="1030"/>
      <c r="AR104" s="1030"/>
      <c r="AS104" s="1030"/>
      <c r="AT104" s="1030"/>
      <c r="AU104" s="1030"/>
      <c r="AV104" s="1030"/>
      <c r="AW104" s="2548"/>
      <c r="AX104" s="2536"/>
      <c r="AY104" s="2536"/>
      <c r="AZ104" s="2537"/>
      <c r="BA104" s="2548"/>
      <c r="BB104" s="2536"/>
      <c r="BC104" s="2536"/>
      <c r="BD104" s="2537"/>
      <c r="BE104" s="2548"/>
      <c r="BF104" s="2536"/>
      <c r="BG104" s="2536"/>
      <c r="BH104" s="2537"/>
      <c r="BI104" s="1030"/>
      <c r="BJ104" s="1030"/>
      <c r="BK104" s="1030"/>
      <c r="BL104" s="1030"/>
      <c r="BM104" s="2548"/>
      <c r="BN104" s="2536"/>
      <c r="BO104" s="2536"/>
      <c r="BP104" s="2537"/>
      <c r="BQ104" s="2549"/>
      <c r="BR104" s="2549"/>
      <c r="BS104" s="2549"/>
      <c r="BT104" s="2550"/>
      <c r="BU104" s="2529"/>
      <c r="BV104" s="2530"/>
      <c r="BW104" s="2530"/>
    </row>
    <row r="105" spans="2:75" ht="15" customHeight="1" thickBot="1" x14ac:dyDescent="0.45">
      <c r="B105" s="58"/>
      <c r="C105" s="2519" t="str">
        <f t="shared" si="4"/>
        <v>ADICIONAL P/ TEMPO DE SERVIÇO (ANT. E.C. N.º 19/98 )</v>
      </c>
      <c r="D105" s="2520"/>
      <c r="E105" s="2520"/>
      <c r="F105" s="2520"/>
      <c r="G105" s="2520"/>
      <c r="H105" s="2520"/>
      <c r="I105" s="2520"/>
      <c r="J105" s="2520"/>
      <c r="K105" s="2520"/>
      <c r="L105" s="2520"/>
      <c r="M105" s="2520"/>
      <c r="N105" s="2521" t="str">
        <f>N44</f>
        <v>VERBA</v>
      </c>
      <c r="O105" s="2521"/>
      <c r="P105" s="1029">
        <f t="shared" si="8"/>
        <v>44</v>
      </c>
      <c r="Q105" s="2542" t="str">
        <f t="shared" si="5"/>
        <v>-</v>
      </c>
      <c r="R105" s="2543"/>
      <c r="S105" s="2544" t="str">
        <f t="shared" si="6"/>
        <v>-</v>
      </c>
      <c r="T105" s="2545"/>
      <c r="U105" s="2546"/>
      <c r="V105" s="59"/>
      <c r="W105" s="492"/>
      <c r="X105" s="491"/>
      <c r="Y105" s="2547"/>
      <c r="Z105" s="2547"/>
      <c r="AA105" s="2547"/>
      <c r="AB105" s="2547"/>
      <c r="AC105" s="2547"/>
      <c r="AD105" s="2547"/>
      <c r="AE105" s="2547"/>
      <c r="AF105" s="2547"/>
      <c r="AG105" s="2547"/>
      <c r="AH105" s="2547"/>
      <c r="AI105" s="2547"/>
      <c r="AJ105" s="2547"/>
      <c r="AK105" s="2566"/>
      <c r="AL105" s="2561"/>
      <c r="AM105" s="2561"/>
      <c r="AN105" s="2562"/>
      <c r="AO105" s="1031"/>
      <c r="AP105" s="1031"/>
      <c r="AQ105" s="1031"/>
      <c r="AR105" s="1031"/>
      <c r="AS105" s="1031"/>
      <c r="AT105" s="1031"/>
      <c r="AU105" s="1031"/>
      <c r="AV105" s="1031"/>
      <c r="AW105" s="2560"/>
      <c r="AX105" s="2561"/>
      <c r="AY105" s="2561"/>
      <c r="AZ105" s="2562"/>
      <c r="BA105" s="2560"/>
      <c r="BB105" s="2561"/>
      <c r="BC105" s="2561"/>
      <c r="BD105" s="2562"/>
      <c r="BE105" s="2560"/>
      <c r="BF105" s="2561"/>
      <c r="BG105" s="2561"/>
      <c r="BH105" s="2562"/>
      <c r="BI105" s="1031"/>
      <c r="BJ105" s="1031"/>
      <c r="BK105" s="1031"/>
      <c r="BL105" s="1031"/>
      <c r="BM105" s="2560"/>
      <c r="BN105" s="2561"/>
      <c r="BO105" s="2561"/>
      <c r="BP105" s="2562"/>
      <c r="BQ105" s="2556"/>
      <c r="BR105" s="2556"/>
      <c r="BS105" s="2556"/>
      <c r="BT105" s="2557"/>
      <c r="BU105" s="2558"/>
      <c r="BV105" s="2559"/>
      <c r="BW105" s="2559"/>
    </row>
    <row r="106" spans="2:75" ht="15" customHeight="1" thickTop="1" x14ac:dyDescent="0.4">
      <c r="B106" s="58"/>
      <c r="C106" s="2410" t="str">
        <f t="shared" si="4"/>
        <v>QUINQUÊNIO ADM. E.C. N.º 19/98</v>
      </c>
      <c r="D106" s="2411"/>
      <c r="E106" s="2411"/>
      <c r="F106" s="2411"/>
      <c r="G106" s="2411"/>
      <c r="H106" s="2411"/>
      <c r="I106" s="2411"/>
      <c r="J106" s="2411"/>
      <c r="K106" s="2411"/>
      <c r="L106" s="2411"/>
      <c r="M106" s="2411"/>
      <c r="N106" s="2412" t="str">
        <f t="shared" ref="N106:N133" si="9">N45</f>
        <v>VERBA</v>
      </c>
      <c r="O106" s="2412"/>
      <c r="P106" s="452">
        <f t="shared" si="8"/>
        <v>25</v>
      </c>
      <c r="Q106" s="2563" t="str">
        <f t="shared" si="5"/>
        <v>-</v>
      </c>
      <c r="R106" s="2564"/>
      <c r="S106" s="2413" t="str">
        <f t="shared" si="6"/>
        <v>-</v>
      </c>
      <c r="T106" s="2414"/>
      <c r="U106" s="2415"/>
      <c r="V106" s="59"/>
      <c r="W106" s="492"/>
      <c r="X106" s="491"/>
      <c r="Y106" s="2565"/>
      <c r="Z106" s="2565"/>
      <c r="AA106" s="2565"/>
      <c r="AB106" s="2565"/>
      <c r="AC106" s="2565"/>
      <c r="AD106" s="2565"/>
      <c r="AE106" s="2565"/>
      <c r="AF106" s="2565"/>
      <c r="AG106" s="2565"/>
      <c r="AH106" s="2565"/>
      <c r="AI106" s="2565"/>
      <c r="AJ106" s="2565"/>
      <c r="AK106" s="2552"/>
      <c r="AL106" s="2552"/>
      <c r="AM106" s="2552"/>
      <c r="AN106" s="2553"/>
      <c r="AO106" s="959"/>
      <c r="AP106" s="959"/>
      <c r="AQ106" s="959"/>
      <c r="AR106" s="959"/>
      <c r="AS106" s="959"/>
      <c r="AT106" s="959"/>
      <c r="AU106" s="959"/>
      <c r="AV106" s="959"/>
      <c r="AW106" s="2551"/>
      <c r="AX106" s="2552"/>
      <c r="AY106" s="2552"/>
      <c r="AZ106" s="2553"/>
      <c r="BA106" s="2551"/>
      <c r="BB106" s="2552"/>
      <c r="BC106" s="2552"/>
      <c r="BD106" s="2553"/>
      <c r="BE106" s="2551"/>
      <c r="BF106" s="2552"/>
      <c r="BG106" s="2552"/>
      <c r="BH106" s="2553"/>
      <c r="BI106" s="959"/>
      <c r="BJ106" s="959"/>
      <c r="BK106" s="959"/>
      <c r="BL106" s="959"/>
      <c r="BM106" s="2551"/>
      <c r="BN106" s="2552"/>
      <c r="BO106" s="2552"/>
      <c r="BP106" s="2553"/>
      <c r="BQ106" s="2551"/>
      <c r="BR106" s="2552"/>
      <c r="BS106" s="2552"/>
      <c r="BT106" s="2552"/>
      <c r="BU106" s="2554"/>
      <c r="BV106" s="2555"/>
      <c r="BW106" s="2555"/>
    </row>
    <row r="107" spans="2:75" ht="15" customHeight="1" x14ac:dyDescent="0.4">
      <c r="B107" s="58"/>
      <c r="C107" s="2571" t="str">
        <f t="shared" si="4"/>
        <v>QUINQUÊNIO MAG. E.C. N.º 19/98</v>
      </c>
      <c r="D107" s="2572"/>
      <c r="E107" s="2572"/>
      <c r="F107" s="2572"/>
      <c r="G107" s="2572"/>
      <c r="H107" s="2572"/>
      <c r="I107" s="2572"/>
      <c r="J107" s="2572"/>
      <c r="K107" s="2572"/>
      <c r="L107" s="2572"/>
      <c r="M107" s="2572"/>
      <c r="N107" s="2521" t="str">
        <f t="shared" si="9"/>
        <v>VERBA</v>
      </c>
      <c r="O107" s="2521"/>
      <c r="P107" s="1032">
        <f t="shared" si="8"/>
        <v>26</v>
      </c>
      <c r="Q107" s="2522" t="str">
        <f t="shared" si="5"/>
        <v>-</v>
      </c>
      <c r="R107" s="2523"/>
      <c r="S107" s="2524" t="str">
        <f t="shared" si="6"/>
        <v>-</v>
      </c>
      <c r="T107" s="2525"/>
      <c r="U107" s="2526"/>
      <c r="V107" s="59"/>
      <c r="W107" s="492"/>
      <c r="X107" s="49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</row>
    <row r="108" spans="2:75" ht="15" customHeight="1" x14ac:dyDescent="0.4">
      <c r="B108" s="58"/>
      <c r="C108" s="2370" t="str">
        <f t="shared" si="4"/>
        <v>ADICIONAL POR TEMPO DE SERVIÇO - E.C. N.º 19/98</v>
      </c>
      <c r="D108" s="2371"/>
      <c r="E108" s="2371"/>
      <c r="F108" s="2371"/>
      <c r="G108" s="2371"/>
      <c r="H108" s="2371"/>
      <c r="I108" s="2371"/>
      <c r="J108" s="2371"/>
      <c r="K108" s="2371"/>
      <c r="L108" s="2371"/>
      <c r="M108" s="2371"/>
      <c r="N108" s="2372" t="str">
        <f t="shared" si="9"/>
        <v>VERBA</v>
      </c>
      <c r="O108" s="2372"/>
      <c r="P108" s="1000">
        <f t="shared" si="8"/>
        <v>27</v>
      </c>
      <c r="Q108" s="2569" t="str">
        <f t="shared" si="5"/>
        <v>-</v>
      </c>
      <c r="R108" s="2570"/>
      <c r="S108" s="2373" t="str">
        <f t="shared" si="6"/>
        <v>-</v>
      </c>
      <c r="T108" s="2374"/>
      <c r="U108" s="2375"/>
      <c r="V108" s="59"/>
      <c r="W108" s="492"/>
      <c r="X108" s="49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</row>
    <row r="109" spans="2:75" ht="15" customHeight="1" x14ac:dyDescent="0.4">
      <c r="B109" s="58"/>
      <c r="C109" s="2567" t="str">
        <f t="shared" si="4"/>
        <v>BIÊNIO E.C. N.º 19/98</v>
      </c>
      <c r="D109" s="2568"/>
      <c r="E109" s="2568"/>
      <c r="F109" s="2568"/>
      <c r="G109" s="2568"/>
      <c r="H109" s="2568"/>
      <c r="I109" s="2568"/>
      <c r="J109" s="2568"/>
      <c r="K109" s="2568"/>
      <c r="L109" s="2568"/>
      <c r="M109" s="2568"/>
      <c r="N109" s="2521" t="str">
        <f t="shared" si="9"/>
        <v>VERBA</v>
      </c>
      <c r="O109" s="2521"/>
      <c r="P109" s="1032">
        <f t="shared" si="8"/>
        <v>28</v>
      </c>
      <c r="Q109" s="2522" t="str">
        <f t="shared" si="5"/>
        <v>-</v>
      </c>
      <c r="R109" s="2523"/>
      <c r="S109" s="2524" t="str">
        <f t="shared" si="6"/>
        <v>-</v>
      </c>
      <c r="T109" s="2525"/>
      <c r="U109" s="2526"/>
      <c r="V109" s="59"/>
      <c r="W109" s="492"/>
      <c r="X109" s="49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</row>
    <row r="110" spans="2:75" ht="15" customHeight="1" x14ac:dyDescent="0.4">
      <c r="B110" s="58"/>
      <c r="C110" s="2370" t="str">
        <f t="shared" si="4"/>
        <v>QUINQUÊNIO ADM. E.C.E. 57/03</v>
      </c>
      <c r="D110" s="2371"/>
      <c r="E110" s="2371"/>
      <c r="F110" s="2371"/>
      <c r="G110" s="2371"/>
      <c r="H110" s="2371"/>
      <c r="I110" s="2371"/>
      <c r="J110" s="2371"/>
      <c r="K110" s="2371"/>
      <c r="L110" s="2371"/>
      <c r="M110" s="2371"/>
      <c r="N110" s="2372" t="str">
        <f t="shared" si="9"/>
        <v>VERBA</v>
      </c>
      <c r="O110" s="2372"/>
      <c r="P110" s="1000">
        <f t="shared" si="8"/>
        <v>283</v>
      </c>
      <c r="Q110" s="2569" t="str">
        <f t="shared" si="5"/>
        <v>-</v>
      </c>
      <c r="R110" s="2570"/>
      <c r="S110" s="2373" t="str">
        <f t="shared" si="6"/>
        <v>-</v>
      </c>
      <c r="T110" s="2374"/>
      <c r="U110" s="2375"/>
      <c r="V110" s="59"/>
      <c r="W110" s="492"/>
      <c r="X110" s="49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</row>
    <row r="111" spans="2:75" ht="15" customHeight="1" x14ac:dyDescent="0.4">
      <c r="B111" s="58"/>
      <c r="C111" s="2567" t="str">
        <f t="shared" si="4"/>
        <v>QUINQUÊNIO MAG. E.C.E. 57/03</v>
      </c>
      <c r="D111" s="2568"/>
      <c r="E111" s="2568"/>
      <c r="F111" s="2568"/>
      <c r="G111" s="2568"/>
      <c r="H111" s="2568"/>
      <c r="I111" s="2568"/>
      <c r="J111" s="2568"/>
      <c r="K111" s="2568"/>
      <c r="L111" s="2568"/>
      <c r="M111" s="2568"/>
      <c r="N111" s="2521" t="str">
        <f t="shared" si="9"/>
        <v>VERBA</v>
      </c>
      <c r="O111" s="2521"/>
      <c r="P111" s="1032">
        <f t="shared" si="8"/>
        <v>284</v>
      </c>
      <c r="Q111" s="2522" t="str">
        <f t="shared" si="5"/>
        <v>-</v>
      </c>
      <c r="R111" s="2523"/>
      <c r="S111" s="2524" t="str">
        <f t="shared" si="6"/>
        <v>-</v>
      </c>
      <c r="T111" s="2525"/>
      <c r="U111" s="2526"/>
      <c r="V111" s="59"/>
      <c r="W111" s="492"/>
      <c r="X111" s="49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</row>
    <row r="112" spans="2:75" ht="15" customHeight="1" x14ac:dyDescent="0.4">
      <c r="B112" s="58"/>
      <c r="C112" s="2370" t="str">
        <f t="shared" si="4"/>
        <v>ADICIONAL POR TEMPO DE SERVIÇO - E.C.E. N.º 57/03</v>
      </c>
      <c r="D112" s="2371"/>
      <c r="E112" s="2371"/>
      <c r="F112" s="2371"/>
      <c r="G112" s="2371"/>
      <c r="H112" s="2371"/>
      <c r="I112" s="2371"/>
      <c r="J112" s="2371"/>
      <c r="K112" s="2371"/>
      <c r="L112" s="2371"/>
      <c r="M112" s="2371"/>
      <c r="N112" s="2372" t="str">
        <f t="shared" si="9"/>
        <v>VERBA</v>
      </c>
      <c r="O112" s="2372"/>
      <c r="P112" s="1000">
        <f t="shared" si="8"/>
        <v>285</v>
      </c>
      <c r="Q112" s="2569" t="str">
        <f t="shared" si="5"/>
        <v>-</v>
      </c>
      <c r="R112" s="2570"/>
      <c r="S112" s="2373" t="str">
        <f t="shared" si="6"/>
        <v>-</v>
      </c>
      <c r="T112" s="2374"/>
      <c r="U112" s="2375"/>
      <c r="V112" s="59"/>
      <c r="W112" s="492"/>
      <c r="X112" s="49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</row>
    <row r="113" spans="2:36" ht="15" customHeight="1" x14ac:dyDescent="0.4">
      <c r="B113" s="58"/>
      <c r="C113" s="2567" t="str">
        <f t="shared" si="4"/>
        <v>BIÊNIO LEI 15788/05</v>
      </c>
      <c r="D113" s="2568"/>
      <c r="E113" s="2568"/>
      <c r="F113" s="2568"/>
      <c r="G113" s="2568"/>
      <c r="H113" s="2568"/>
      <c r="I113" s="2568"/>
      <c r="J113" s="2568"/>
      <c r="K113" s="2568"/>
      <c r="L113" s="2568"/>
      <c r="M113" s="2568"/>
      <c r="N113" s="2521" t="str">
        <f t="shared" si="9"/>
        <v>VERBA</v>
      </c>
      <c r="O113" s="2521"/>
      <c r="P113" s="1032">
        <f t="shared" si="8"/>
        <v>336</v>
      </c>
      <c r="Q113" s="2522" t="str">
        <f t="shared" si="5"/>
        <v>-</v>
      </c>
      <c r="R113" s="2523"/>
      <c r="S113" s="2524" t="str">
        <f t="shared" si="6"/>
        <v>-</v>
      </c>
      <c r="T113" s="2525"/>
      <c r="U113" s="2526"/>
      <c r="V113" s="59"/>
      <c r="W113" s="492"/>
      <c r="X113" s="49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</row>
    <row r="114" spans="2:36" ht="15" customHeight="1" x14ac:dyDescent="0.4">
      <c r="B114" s="58"/>
      <c r="C114" s="2370" t="str">
        <f t="shared" si="4"/>
        <v>GRATIFICAÇÃO DE ENSINO ESPECIAL</v>
      </c>
      <c r="D114" s="2371"/>
      <c r="E114" s="2371"/>
      <c r="F114" s="2371"/>
      <c r="G114" s="2371"/>
      <c r="H114" s="2371"/>
      <c r="I114" s="2371"/>
      <c r="J114" s="2371"/>
      <c r="K114" s="2371"/>
      <c r="L114" s="2371"/>
      <c r="M114" s="2371"/>
      <c r="N114" s="2372" t="str">
        <f t="shared" si="9"/>
        <v>VERBA</v>
      </c>
      <c r="O114" s="2372"/>
      <c r="P114" s="1000">
        <f t="shared" si="8"/>
        <v>140</v>
      </c>
      <c r="Q114" s="2569" t="str">
        <f t="shared" si="5"/>
        <v>-</v>
      </c>
      <c r="R114" s="2570"/>
      <c r="S114" s="2373" t="str">
        <f t="shared" si="6"/>
        <v>-</v>
      </c>
      <c r="T114" s="2374"/>
      <c r="U114" s="2375"/>
      <c r="V114" s="59"/>
      <c r="W114" s="492"/>
      <c r="X114" s="491"/>
      <c r="Y114" s="2573"/>
      <c r="Z114" s="2573"/>
      <c r="AA114" s="2573"/>
      <c r="AB114" s="2573"/>
      <c r="AC114" s="945"/>
      <c r="AD114" s="2368"/>
      <c r="AE114" s="2368"/>
      <c r="AF114" s="2368"/>
      <c r="AG114" s="41"/>
      <c r="AH114" s="41"/>
      <c r="AI114" s="41"/>
      <c r="AJ114" s="41"/>
    </row>
    <row r="115" spans="2:36" ht="15" customHeight="1" x14ac:dyDescent="0.4">
      <c r="B115" s="58"/>
      <c r="C115" s="2567" t="str">
        <f t="shared" si="4"/>
        <v>GRATIFICAÇÃO DE PÓS GRADUAÇÃO</v>
      </c>
      <c r="D115" s="2568"/>
      <c r="E115" s="2568"/>
      <c r="F115" s="2568"/>
      <c r="G115" s="2568"/>
      <c r="H115" s="2568"/>
      <c r="I115" s="2568"/>
      <c r="J115" s="2568"/>
      <c r="K115" s="2568"/>
      <c r="L115" s="2568"/>
      <c r="M115" s="2568"/>
      <c r="N115" s="2521" t="str">
        <f t="shared" si="9"/>
        <v>VERBA</v>
      </c>
      <c r="O115" s="2521"/>
      <c r="P115" s="1032">
        <f t="shared" si="8"/>
        <v>158</v>
      </c>
      <c r="Q115" s="2522" t="str">
        <f t="shared" si="5"/>
        <v>-</v>
      </c>
      <c r="R115" s="2523"/>
      <c r="S115" s="2524" t="str">
        <f t="shared" si="6"/>
        <v>-</v>
      </c>
      <c r="T115" s="2525"/>
      <c r="U115" s="2526"/>
      <c r="V115" s="59"/>
      <c r="W115" s="492"/>
      <c r="X115" s="491"/>
      <c r="Y115" s="2573"/>
      <c r="Z115" s="2573"/>
      <c r="AA115" s="2573"/>
      <c r="AB115" s="2573"/>
      <c r="AC115" s="945"/>
      <c r="AD115" s="2368"/>
      <c r="AE115" s="2368"/>
      <c r="AF115" s="2368"/>
      <c r="AG115" s="41"/>
      <c r="AH115" s="41"/>
      <c r="AI115" s="41"/>
      <c r="AJ115" s="41"/>
    </row>
    <row r="116" spans="2:36" ht="15" customHeight="1" x14ac:dyDescent="0.4">
      <c r="B116" s="58"/>
      <c r="C116" s="2370" t="str">
        <f t="shared" si="4"/>
        <v>GRATIFICAÇÃO DE COORDENAÇÃO DE ESCOLA</v>
      </c>
      <c r="D116" s="2371"/>
      <c r="E116" s="2371"/>
      <c r="F116" s="2371"/>
      <c r="G116" s="2371"/>
      <c r="H116" s="2371"/>
      <c r="I116" s="2371"/>
      <c r="J116" s="2371"/>
      <c r="K116" s="2371"/>
      <c r="L116" s="2371"/>
      <c r="M116" s="2371"/>
      <c r="N116" s="2372" t="str">
        <f t="shared" si="9"/>
        <v>VERBA</v>
      </c>
      <c r="O116" s="2372"/>
      <c r="P116" s="1000">
        <f t="shared" si="8"/>
        <v>142</v>
      </c>
      <c r="Q116" s="2569" t="str">
        <f t="shared" si="5"/>
        <v>-</v>
      </c>
      <c r="R116" s="2570"/>
      <c r="S116" s="2373" t="str">
        <f t="shared" si="6"/>
        <v>-</v>
      </c>
      <c r="T116" s="2374"/>
      <c r="U116" s="2375"/>
      <c r="V116" s="59"/>
      <c r="W116" s="492"/>
      <c r="X116" s="491"/>
      <c r="Y116" s="2573"/>
      <c r="Z116" s="2573"/>
      <c r="AA116" s="2573"/>
      <c r="AB116" s="2573"/>
      <c r="AC116" s="945"/>
      <c r="AD116" s="2368"/>
      <c r="AE116" s="2368"/>
      <c r="AF116" s="2368"/>
      <c r="AG116" s="41"/>
      <c r="AH116" s="41"/>
      <c r="AI116" s="41"/>
      <c r="AJ116" s="41"/>
    </row>
    <row r="117" spans="2:36" ht="15" customHeight="1" x14ac:dyDescent="0.4">
      <c r="B117" s="58"/>
      <c r="C117" s="2370" t="str">
        <f t="shared" si="4"/>
        <v>GRATIFICAÇÃO DEDICAÇÃO EXCLUSIVA</v>
      </c>
      <c r="D117" s="2371"/>
      <c r="E117" s="2371"/>
      <c r="F117" s="2371"/>
      <c r="G117" s="2371"/>
      <c r="H117" s="2371"/>
      <c r="I117" s="2371"/>
      <c r="J117" s="2371"/>
      <c r="K117" s="2371"/>
      <c r="L117" s="2371"/>
      <c r="M117" s="2371"/>
      <c r="N117" s="2372" t="str">
        <f t="shared" si="9"/>
        <v>VERBA</v>
      </c>
      <c r="O117" s="2372"/>
      <c r="P117" s="1000">
        <f t="shared" si="8"/>
        <v>145</v>
      </c>
      <c r="Q117" s="2569" t="str">
        <f t="shared" si="5"/>
        <v>-</v>
      </c>
      <c r="R117" s="2570"/>
      <c r="S117" s="2373" t="str">
        <f t="shared" si="6"/>
        <v>-</v>
      </c>
      <c r="T117" s="2374"/>
      <c r="U117" s="2375"/>
      <c r="V117" s="59"/>
      <c r="W117" s="492"/>
      <c r="X117" s="491"/>
      <c r="Y117" s="961"/>
      <c r="Z117" s="961"/>
      <c r="AA117" s="961"/>
      <c r="AB117" s="961"/>
      <c r="AC117" s="945"/>
      <c r="AD117" s="945"/>
      <c r="AE117" s="945"/>
      <c r="AF117" s="945"/>
      <c r="AG117" s="41"/>
      <c r="AH117" s="41"/>
      <c r="AI117" s="41"/>
      <c r="AJ117" s="41"/>
    </row>
    <row r="118" spans="2:36" ht="15" customHeight="1" x14ac:dyDescent="0.4">
      <c r="B118" s="58"/>
      <c r="C118" s="2567" t="str">
        <f t="shared" si="4"/>
        <v>GRATIFICAÇÃO DE FUNÇÃO ESPECIALISTA</v>
      </c>
      <c r="D118" s="2568"/>
      <c r="E118" s="2568"/>
      <c r="F118" s="2568"/>
      <c r="G118" s="2568"/>
      <c r="H118" s="2568"/>
      <c r="I118" s="2568"/>
      <c r="J118" s="2568"/>
      <c r="K118" s="2568"/>
      <c r="L118" s="2568"/>
      <c r="M118" s="2568"/>
      <c r="N118" s="2521" t="str">
        <f t="shared" si="9"/>
        <v>VERBA</v>
      </c>
      <c r="O118" s="2521"/>
      <c r="P118" s="1032">
        <f t="shared" si="8"/>
        <v>146</v>
      </c>
      <c r="Q118" s="2522" t="str">
        <f t="shared" si="5"/>
        <v>-</v>
      </c>
      <c r="R118" s="2523"/>
      <c r="S118" s="2524" t="str">
        <f t="shared" si="6"/>
        <v>-</v>
      </c>
      <c r="T118" s="2525"/>
      <c r="U118" s="2526"/>
      <c r="V118" s="59"/>
      <c r="W118" s="492"/>
      <c r="X118" s="491"/>
      <c r="Y118" s="2573"/>
      <c r="Z118" s="2573"/>
      <c r="AA118" s="2573"/>
      <c r="AB118" s="2573"/>
      <c r="AC118" s="945"/>
      <c r="AD118" s="2368"/>
      <c r="AE118" s="2368"/>
      <c r="AF118" s="2368"/>
      <c r="AG118" s="41"/>
      <c r="AH118" s="41"/>
      <c r="AI118" s="41"/>
      <c r="AJ118" s="41"/>
    </row>
    <row r="119" spans="2:36" ht="15" customHeight="1" x14ac:dyDescent="0.4">
      <c r="B119" s="58"/>
      <c r="C119" s="2370" t="str">
        <f t="shared" si="4"/>
        <v>GRATIFICAÇÃO DE FUNÇÃO</v>
      </c>
      <c r="D119" s="2371"/>
      <c r="E119" s="2371"/>
      <c r="F119" s="2371"/>
      <c r="G119" s="2371"/>
      <c r="H119" s="2371"/>
      <c r="I119" s="2371"/>
      <c r="J119" s="2371"/>
      <c r="K119" s="2371"/>
      <c r="L119" s="2371"/>
      <c r="M119" s="2371"/>
      <c r="N119" s="2372" t="str">
        <f t="shared" si="9"/>
        <v>VERBA</v>
      </c>
      <c r="O119" s="2372"/>
      <c r="P119" s="1000">
        <f t="shared" si="8"/>
        <v>515</v>
      </c>
      <c r="Q119" s="2569" t="str">
        <f t="shared" si="5"/>
        <v>-</v>
      </c>
      <c r="R119" s="2570"/>
      <c r="S119" s="2373" t="str">
        <f t="shared" si="6"/>
        <v>-</v>
      </c>
      <c r="T119" s="2374"/>
      <c r="U119" s="2375"/>
      <c r="V119" s="59"/>
      <c r="W119" s="492"/>
      <c r="X119" s="491"/>
      <c r="Y119" s="2573"/>
      <c r="Z119" s="2573"/>
      <c r="AA119" s="2573"/>
      <c r="AB119" s="2573"/>
      <c r="AC119" s="945"/>
      <c r="AD119" s="2368"/>
      <c r="AE119" s="2368"/>
      <c r="AF119" s="2368"/>
      <c r="AG119" s="41"/>
      <c r="AH119" s="41"/>
      <c r="AI119" s="41"/>
      <c r="AJ119" s="41"/>
    </row>
    <row r="120" spans="2:36" ht="15" customHeight="1" x14ac:dyDescent="0.4">
      <c r="B120" s="58"/>
      <c r="C120" s="2567" t="str">
        <f t="shared" si="4"/>
        <v>GRATIFICAÇÃO DE FUNÇÃO</v>
      </c>
      <c r="D120" s="2568"/>
      <c r="E120" s="2568"/>
      <c r="F120" s="2568"/>
      <c r="G120" s="2568"/>
      <c r="H120" s="2568"/>
      <c r="I120" s="2574" t="s">
        <v>8120</v>
      </c>
      <c r="J120" s="2574"/>
      <c r="K120" s="2574"/>
      <c r="L120" s="2574"/>
      <c r="M120" s="2574"/>
      <c r="N120" s="2521" t="str">
        <f t="shared" si="9"/>
        <v>VERBA</v>
      </c>
      <c r="O120" s="2521"/>
      <c r="P120" s="1032">
        <f t="shared" si="8"/>
        <v>560</v>
      </c>
      <c r="Q120" s="2522" t="str">
        <f t="shared" si="5"/>
        <v>-</v>
      </c>
      <c r="R120" s="2523"/>
      <c r="S120" s="2524" t="str">
        <f t="shared" si="6"/>
        <v>-</v>
      </c>
      <c r="T120" s="2525"/>
      <c r="U120" s="2526"/>
      <c r="V120" s="59"/>
      <c r="W120" s="492"/>
      <c r="X120" s="491"/>
      <c r="Y120" s="2573"/>
      <c r="Z120" s="2573"/>
      <c r="AA120" s="2573"/>
      <c r="AB120" s="2573"/>
      <c r="AC120" s="945"/>
      <c r="AD120" s="2368"/>
      <c r="AE120" s="2368"/>
      <c r="AF120" s="2368"/>
      <c r="AG120" s="41"/>
      <c r="AH120" s="41"/>
      <c r="AI120" s="41"/>
      <c r="AJ120" s="41"/>
    </row>
    <row r="121" spans="2:36" ht="15" customHeight="1" x14ac:dyDescent="0.4">
      <c r="B121" s="58"/>
      <c r="C121" s="2370" t="str">
        <f t="shared" si="4"/>
        <v>GRATIFICAÇÃO DE FUNÇÃO</v>
      </c>
      <c r="D121" s="2371"/>
      <c r="E121" s="2371"/>
      <c r="F121" s="2371"/>
      <c r="G121" s="2371"/>
      <c r="H121" s="2371"/>
      <c r="I121" s="2438" t="s">
        <v>8121</v>
      </c>
      <c r="J121" s="2438"/>
      <c r="K121" s="2438"/>
      <c r="L121" s="2438"/>
      <c r="M121" s="2438"/>
      <c r="N121" s="2372" t="str">
        <f t="shared" si="9"/>
        <v>VERBA</v>
      </c>
      <c r="O121" s="2372"/>
      <c r="P121" s="1000">
        <f t="shared" si="8"/>
        <v>560</v>
      </c>
      <c r="Q121" s="2569" t="str">
        <f t="shared" si="5"/>
        <v>-</v>
      </c>
      <c r="R121" s="2570"/>
      <c r="S121" s="2373" t="str">
        <f t="shared" si="6"/>
        <v>-</v>
      </c>
      <c r="T121" s="2374"/>
      <c r="U121" s="2375"/>
      <c r="V121" s="59"/>
      <c r="W121" s="492"/>
      <c r="X121" s="491"/>
      <c r="Y121" s="2573"/>
      <c r="Z121" s="2573"/>
      <c r="AA121" s="2573"/>
      <c r="AB121" s="2573"/>
      <c r="AC121" s="945"/>
      <c r="AD121" s="2368"/>
      <c r="AE121" s="2368"/>
      <c r="AF121" s="2368"/>
      <c r="AG121" s="41"/>
      <c r="AH121" s="41"/>
      <c r="AI121" s="41"/>
      <c r="AJ121" s="41"/>
    </row>
    <row r="122" spans="2:36" ht="15" customHeight="1" x14ac:dyDescent="0.4">
      <c r="B122" s="58"/>
      <c r="C122" s="2567" t="str">
        <f t="shared" si="4"/>
        <v>GRATIFICAÇÃO FUNÇÃO - VICE DIREÇÃO</v>
      </c>
      <c r="D122" s="2568"/>
      <c r="E122" s="2568"/>
      <c r="F122" s="2568"/>
      <c r="G122" s="2568"/>
      <c r="H122" s="2568"/>
      <c r="I122" s="2568"/>
      <c r="J122" s="2568"/>
      <c r="K122" s="2568"/>
      <c r="L122" s="2568"/>
      <c r="M122" s="2568"/>
      <c r="N122" s="2521" t="str">
        <f t="shared" si="9"/>
        <v>VERBA</v>
      </c>
      <c r="O122" s="2521"/>
      <c r="P122" s="1032" t="e">
        <f t="shared" si="8"/>
        <v>#VALUE!</v>
      </c>
      <c r="Q122" s="2522" t="str">
        <f t="shared" si="5"/>
        <v>-</v>
      </c>
      <c r="R122" s="2523"/>
      <c r="S122" s="2524" t="str">
        <f t="shared" si="6"/>
        <v>-</v>
      </c>
      <c r="T122" s="2525"/>
      <c r="U122" s="2526"/>
      <c r="V122" s="59"/>
      <c r="W122" s="492"/>
      <c r="X122" s="491"/>
      <c r="Y122" s="2573"/>
      <c r="Z122" s="2573"/>
      <c r="AA122" s="2573"/>
      <c r="AB122" s="2573"/>
      <c r="AC122" s="945"/>
      <c r="AD122" s="2368"/>
      <c r="AE122" s="2368"/>
      <c r="AF122" s="2368"/>
      <c r="AG122" s="41"/>
      <c r="AH122" s="41"/>
      <c r="AI122" s="41"/>
      <c r="AJ122" s="41"/>
    </row>
    <row r="123" spans="2:36" ht="15" customHeight="1" x14ac:dyDescent="0.4">
      <c r="B123" s="58"/>
      <c r="C123" s="2370" t="str">
        <f t="shared" si="4"/>
        <v>PARCELA INCORP. ART.8º LEI 21710/15 (ABONO 1)</v>
      </c>
      <c r="D123" s="2371"/>
      <c r="E123" s="2371"/>
      <c r="F123" s="2371"/>
      <c r="G123" s="2371"/>
      <c r="H123" s="2371"/>
      <c r="I123" s="2371"/>
      <c r="J123" s="2371"/>
      <c r="K123" s="2371"/>
      <c r="L123" s="2371"/>
      <c r="M123" s="2371"/>
      <c r="N123" s="2372" t="str">
        <f t="shared" si="9"/>
        <v>VERBA</v>
      </c>
      <c r="O123" s="2372"/>
      <c r="P123" s="1000">
        <f t="shared" si="8"/>
        <v>964</v>
      </c>
      <c r="Q123" s="2569" t="str">
        <f t="shared" si="5"/>
        <v>-</v>
      </c>
      <c r="R123" s="2570"/>
      <c r="S123" s="2373" t="str">
        <f t="shared" si="6"/>
        <v>-</v>
      </c>
      <c r="T123" s="2374"/>
      <c r="U123" s="2375"/>
      <c r="V123" s="59"/>
      <c r="W123" s="492"/>
      <c r="X123" s="491"/>
      <c r="Y123" s="961"/>
      <c r="Z123" s="961"/>
      <c r="AA123" s="961"/>
      <c r="AB123" s="961"/>
      <c r="AC123" s="945"/>
      <c r="AD123" s="945"/>
      <c r="AE123" s="945"/>
      <c r="AF123" s="945"/>
      <c r="AG123" s="41"/>
      <c r="AH123" s="41"/>
      <c r="AI123" s="41"/>
      <c r="AJ123" s="41"/>
    </row>
    <row r="124" spans="2:36" ht="15" customHeight="1" x14ac:dyDescent="0.4">
      <c r="B124" s="58"/>
      <c r="C124" s="2567" t="str">
        <f t="shared" si="4"/>
        <v>PARCELA INCORP. ART 8º LEI 21710/15 (ABONO 2)</v>
      </c>
      <c r="D124" s="2568"/>
      <c r="E124" s="2568"/>
      <c r="F124" s="2568"/>
      <c r="G124" s="2568"/>
      <c r="H124" s="2568"/>
      <c r="I124" s="2568"/>
      <c r="J124" s="2568"/>
      <c r="K124" s="2568"/>
      <c r="L124" s="2568"/>
      <c r="M124" s="2568"/>
      <c r="N124" s="2521" t="str">
        <f t="shared" si="9"/>
        <v>VERBA</v>
      </c>
      <c r="O124" s="2521"/>
      <c r="P124" s="1032">
        <f t="shared" si="8"/>
        <v>967</v>
      </c>
      <c r="Q124" s="2522" t="str">
        <f t="shared" si="5"/>
        <v>-</v>
      </c>
      <c r="R124" s="2523"/>
      <c r="S124" s="2524" t="str">
        <f t="shared" si="6"/>
        <v>-</v>
      </c>
      <c r="T124" s="2525"/>
      <c r="U124" s="2526"/>
      <c r="V124" s="59"/>
      <c r="W124" s="492"/>
      <c r="X124" s="491"/>
      <c r="Y124" s="961"/>
      <c r="Z124" s="961"/>
      <c r="AA124" s="961"/>
      <c r="AB124" s="961"/>
      <c r="AC124" s="945"/>
      <c r="AD124" s="945"/>
      <c r="AE124" s="945"/>
      <c r="AF124" s="945"/>
      <c r="AG124" s="41"/>
      <c r="AH124" s="41"/>
      <c r="AI124" s="41"/>
      <c r="AJ124" s="41"/>
    </row>
    <row r="125" spans="2:36" ht="15" customHeight="1" x14ac:dyDescent="0.4">
      <c r="B125" s="58"/>
      <c r="C125" s="1015" t="str">
        <f t="shared" si="4"/>
        <v>VTI</v>
      </c>
      <c r="D125" s="2448"/>
      <c r="E125" s="2448"/>
      <c r="F125" s="2448"/>
      <c r="G125" s="2448"/>
      <c r="H125" s="2448"/>
      <c r="I125" s="2448"/>
      <c r="J125" s="2448"/>
      <c r="K125" s="2448"/>
      <c r="L125" s="2448"/>
      <c r="M125" s="1016"/>
      <c r="N125" s="2372" t="str">
        <f t="shared" si="9"/>
        <v>VERBA</v>
      </c>
      <c r="O125" s="2372"/>
      <c r="P125" s="1000">
        <f t="shared" si="8"/>
        <v>420</v>
      </c>
      <c r="Q125" s="2569" t="str">
        <f t="shared" si="5"/>
        <v>-</v>
      </c>
      <c r="R125" s="2570"/>
      <c r="S125" s="2373" t="str">
        <f t="shared" si="6"/>
        <v>-</v>
      </c>
      <c r="T125" s="2374"/>
      <c r="U125" s="2375"/>
      <c r="V125" s="59"/>
      <c r="W125" s="492"/>
      <c r="X125" s="491"/>
      <c r="Y125" s="961"/>
      <c r="Z125" s="961"/>
      <c r="AA125" s="961"/>
      <c r="AB125" s="961"/>
      <c r="AC125" s="945"/>
      <c r="AD125" s="945"/>
      <c r="AE125" s="945"/>
      <c r="AF125" s="945"/>
      <c r="AG125" s="41"/>
      <c r="AH125" s="41"/>
      <c r="AI125" s="41"/>
      <c r="AJ125" s="41"/>
    </row>
    <row r="126" spans="2:36" ht="15" customHeight="1" x14ac:dyDescent="0.4">
      <c r="B126" s="58"/>
      <c r="C126" s="1033" t="str">
        <f t="shared" si="4"/>
        <v>VTI</v>
      </c>
      <c r="D126" s="2575"/>
      <c r="E126" s="2575"/>
      <c r="F126" s="2575"/>
      <c r="G126" s="2575"/>
      <c r="H126" s="2575"/>
      <c r="I126" s="2575"/>
      <c r="J126" s="2575"/>
      <c r="K126" s="2575"/>
      <c r="L126" s="2575"/>
      <c r="M126" s="1034"/>
      <c r="N126" s="2521" t="str">
        <f t="shared" si="9"/>
        <v>VERBA</v>
      </c>
      <c r="O126" s="2521"/>
      <c r="P126" s="1032">
        <f t="shared" si="8"/>
        <v>445</v>
      </c>
      <c r="Q126" s="2522" t="str">
        <f t="shared" si="5"/>
        <v>-</v>
      </c>
      <c r="R126" s="2523"/>
      <c r="S126" s="2524" t="str">
        <f t="shared" si="6"/>
        <v>-</v>
      </c>
      <c r="T126" s="2525"/>
      <c r="U126" s="2526"/>
      <c r="V126" s="59"/>
      <c r="W126" s="492"/>
      <c r="X126" s="491"/>
      <c r="Y126" s="961"/>
      <c r="Z126" s="961"/>
      <c r="AA126" s="961"/>
      <c r="AB126" s="961"/>
      <c r="AC126" s="945"/>
      <c r="AD126" s="945"/>
      <c r="AE126" s="945"/>
      <c r="AF126" s="945"/>
      <c r="AG126" s="41"/>
      <c r="AH126" s="41"/>
      <c r="AI126" s="41"/>
      <c r="AJ126" s="41"/>
    </row>
    <row r="127" spans="2:36" ht="15" customHeight="1" x14ac:dyDescent="0.4">
      <c r="B127" s="58"/>
      <c r="C127" s="2370" t="str">
        <f t="shared" si="4"/>
        <v>ABONO SALARIAL</v>
      </c>
      <c r="D127" s="2371"/>
      <c r="E127" s="2371"/>
      <c r="F127" s="2371"/>
      <c r="G127" s="2371"/>
      <c r="H127" s="2371"/>
      <c r="I127" s="2371"/>
      <c r="J127" s="2371"/>
      <c r="K127" s="2371"/>
      <c r="L127" s="2371"/>
      <c r="M127" s="2371"/>
      <c r="N127" s="2372" t="str">
        <f t="shared" si="9"/>
        <v>VERBA</v>
      </c>
      <c r="O127" s="2372"/>
      <c r="P127" s="1000">
        <f t="shared" si="8"/>
        <v>164</v>
      </c>
      <c r="Q127" s="2569" t="str">
        <f t="shared" si="5"/>
        <v>-</v>
      </c>
      <c r="R127" s="2570"/>
      <c r="S127" s="2373" t="str">
        <f t="shared" si="6"/>
        <v>-</v>
      </c>
      <c r="T127" s="2374"/>
      <c r="U127" s="2375"/>
      <c r="V127" s="59"/>
      <c r="W127" s="492"/>
      <c r="X127" s="491"/>
      <c r="Y127" s="961"/>
      <c r="Z127" s="961"/>
      <c r="AA127" s="961"/>
      <c r="AB127" s="961"/>
      <c r="AC127" s="945"/>
      <c r="AD127" s="945"/>
      <c r="AE127" s="945"/>
      <c r="AF127" s="945"/>
      <c r="AG127" s="41"/>
      <c r="AH127" s="41"/>
      <c r="AI127" s="41"/>
      <c r="AJ127" s="41"/>
    </row>
    <row r="128" spans="2:36" ht="15" customHeight="1" x14ac:dyDescent="0.4">
      <c r="B128" s="58"/>
      <c r="C128" s="2567" t="str">
        <f t="shared" si="4"/>
        <v>VANTAGEM PESSOAL</v>
      </c>
      <c r="D128" s="2568"/>
      <c r="E128" s="2568"/>
      <c r="F128" s="2568"/>
      <c r="G128" s="2568"/>
      <c r="H128" s="2568"/>
      <c r="I128" s="2568"/>
      <c r="J128" s="2568"/>
      <c r="K128" s="2568"/>
      <c r="L128" s="2568"/>
      <c r="M128" s="2568"/>
      <c r="N128" s="2521" t="str">
        <f t="shared" si="9"/>
        <v>VERBA</v>
      </c>
      <c r="O128" s="2521"/>
      <c r="P128" s="1032">
        <f t="shared" si="8"/>
        <v>112</v>
      </c>
      <c r="Q128" s="2522" t="str">
        <f t="shared" si="5"/>
        <v>-</v>
      </c>
      <c r="R128" s="2523"/>
      <c r="S128" s="2524" t="str">
        <f t="shared" si="6"/>
        <v>-</v>
      </c>
      <c r="T128" s="2525"/>
      <c r="U128" s="2526"/>
      <c r="V128" s="59"/>
      <c r="W128" s="492"/>
      <c r="X128" s="491"/>
      <c r="Y128" s="961"/>
      <c r="Z128" s="961"/>
      <c r="AA128" s="961"/>
      <c r="AB128" s="961"/>
      <c r="AC128" s="945"/>
      <c r="AD128" s="945"/>
      <c r="AE128" s="945"/>
      <c r="AF128" s="945"/>
      <c r="AG128" s="41"/>
      <c r="AH128" s="41"/>
      <c r="AI128" s="41"/>
      <c r="AJ128" s="41"/>
    </row>
    <row r="129" spans="2:36" ht="15" customHeight="1" x14ac:dyDescent="0.4">
      <c r="B129" s="58"/>
      <c r="C129" s="2370" t="str">
        <f t="shared" si="4"/>
        <v>VTI</v>
      </c>
      <c r="D129" s="2371"/>
      <c r="E129" s="2371"/>
      <c r="F129" s="2371"/>
      <c r="G129" s="2371"/>
      <c r="H129" s="2371"/>
      <c r="I129" s="2371"/>
      <c r="J129" s="2371"/>
      <c r="K129" s="2371"/>
      <c r="L129" s="2371"/>
      <c r="M129" s="2371"/>
      <c r="N129" s="2372" t="str">
        <f t="shared" si="9"/>
        <v>VERBA</v>
      </c>
      <c r="O129" s="2372"/>
      <c r="P129" s="1000">
        <f t="shared" si="8"/>
        <v>447</v>
      </c>
      <c r="Q129" s="2569" t="str">
        <f t="shared" si="5"/>
        <v>-</v>
      </c>
      <c r="R129" s="2570"/>
      <c r="S129" s="2373" t="str">
        <f t="shared" si="6"/>
        <v>-</v>
      </c>
      <c r="T129" s="2374"/>
      <c r="U129" s="2375"/>
      <c r="V129" s="59"/>
      <c r="W129" s="492"/>
      <c r="X129" s="491"/>
      <c r="Y129" s="961"/>
      <c r="Z129" s="961"/>
      <c r="AA129" s="961"/>
      <c r="AB129" s="961"/>
      <c r="AC129" s="945"/>
      <c r="AD129" s="945"/>
      <c r="AE129" s="945"/>
      <c r="AF129" s="945"/>
      <c r="AG129" s="41"/>
      <c r="AH129" s="41"/>
      <c r="AI129" s="41"/>
      <c r="AJ129" s="41"/>
    </row>
    <row r="130" spans="2:36" ht="15" customHeight="1" x14ac:dyDescent="0.4">
      <c r="B130" s="58"/>
      <c r="C130" s="2567" t="str">
        <f t="shared" si="4"/>
        <v>VANTAGEM PESSOAL - APOSTILAMENTO</v>
      </c>
      <c r="D130" s="2568"/>
      <c r="E130" s="2568"/>
      <c r="F130" s="2568"/>
      <c r="G130" s="2568"/>
      <c r="H130" s="2568"/>
      <c r="I130" s="2568"/>
      <c r="J130" s="2568"/>
      <c r="K130" s="2568"/>
      <c r="L130" s="2568"/>
      <c r="M130" s="2568"/>
      <c r="N130" s="2521" t="str">
        <f t="shared" si="9"/>
        <v>VERBA</v>
      </c>
      <c r="O130" s="2521"/>
      <c r="P130" s="1032">
        <f t="shared" si="8"/>
        <v>280</v>
      </c>
      <c r="Q130" s="2522" t="str">
        <f t="shared" si="5"/>
        <v>-</v>
      </c>
      <c r="R130" s="2523"/>
      <c r="S130" s="2524" t="str">
        <f t="shared" si="6"/>
        <v>-</v>
      </c>
      <c r="T130" s="2525"/>
      <c r="U130" s="2526"/>
      <c r="V130" s="59"/>
      <c r="W130" s="492"/>
      <c r="X130" s="491"/>
      <c r="Y130" s="961"/>
      <c r="Z130" s="961"/>
      <c r="AA130" s="961"/>
      <c r="AB130" s="961"/>
      <c r="AC130" s="945"/>
      <c r="AD130" s="945"/>
      <c r="AE130" s="945"/>
      <c r="AF130" s="945"/>
      <c r="AG130" s="41"/>
      <c r="AH130" s="41"/>
      <c r="AI130" s="41"/>
      <c r="AJ130" s="41"/>
    </row>
    <row r="131" spans="2:36" ht="15" customHeight="1" x14ac:dyDescent="0.4">
      <c r="B131" s="58"/>
      <c r="C131" s="2370" t="str">
        <f t="shared" si="4"/>
        <v>VANTAGEM PESSOAL - LEI 18975/2010</v>
      </c>
      <c r="D131" s="2371"/>
      <c r="E131" s="2371"/>
      <c r="F131" s="2371"/>
      <c r="G131" s="2371"/>
      <c r="H131" s="2371"/>
      <c r="I131" s="2371"/>
      <c r="J131" s="2371"/>
      <c r="K131" s="2371"/>
      <c r="L131" s="2371"/>
      <c r="M131" s="2371"/>
      <c r="N131" s="2372" t="str">
        <f t="shared" si="9"/>
        <v>VERBA</v>
      </c>
      <c r="O131" s="2372"/>
      <c r="P131" s="1000">
        <f t="shared" si="8"/>
        <v>379</v>
      </c>
      <c r="Q131" s="2569" t="str">
        <f t="shared" si="5"/>
        <v>-</v>
      </c>
      <c r="R131" s="2570"/>
      <c r="S131" s="2373" t="str">
        <f t="shared" si="6"/>
        <v>-</v>
      </c>
      <c r="T131" s="2374"/>
      <c r="U131" s="2375"/>
      <c r="V131" s="59"/>
      <c r="W131" s="492"/>
      <c r="X131" s="491"/>
      <c r="Y131" s="961"/>
      <c r="Z131" s="961"/>
      <c r="AA131" s="961"/>
      <c r="AB131" s="961"/>
      <c r="AC131" s="945"/>
      <c r="AD131" s="945"/>
      <c r="AE131" s="945"/>
      <c r="AF131" s="945"/>
      <c r="AG131" s="41"/>
      <c r="AH131" s="41"/>
      <c r="AI131" s="41"/>
      <c r="AJ131" s="41"/>
    </row>
    <row r="132" spans="2:36" ht="15" customHeight="1" x14ac:dyDescent="0.4">
      <c r="B132" s="58"/>
      <c r="C132" s="2567" t="str">
        <f t="shared" si="4"/>
        <v>VANTAGEM PESSOAL - PROGRESSÃO EDUCAÇÃO</v>
      </c>
      <c r="D132" s="2568"/>
      <c r="E132" s="2568"/>
      <c r="F132" s="2568"/>
      <c r="G132" s="2568"/>
      <c r="H132" s="2568"/>
      <c r="I132" s="2568"/>
      <c r="J132" s="2568"/>
      <c r="K132" s="2568"/>
      <c r="L132" s="2568"/>
      <c r="M132" s="2568"/>
      <c r="N132" s="2521" t="str">
        <f t="shared" si="9"/>
        <v>VERBA</v>
      </c>
      <c r="O132" s="2521"/>
      <c r="P132" s="1032">
        <f t="shared" si="8"/>
        <v>852</v>
      </c>
      <c r="Q132" s="2522" t="str">
        <f t="shared" si="5"/>
        <v>-</v>
      </c>
      <c r="R132" s="2523"/>
      <c r="S132" s="2524" t="str">
        <f t="shared" si="6"/>
        <v>-</v>
      </c>
      <c r="T132" s="2525"/>
      <c r="U132" s="2526"/>
      <c r="V132" s="59"/>
      <c r="W132" s="492"/>
      <c r="X132" s="491"/>
      <c r="Y132" s="961"/>
      <c r="Z132" s="961"/>
      <c r="AA132" s="961"/>
      <c r="AB132" s="961"/>
      <c r="AC132" s="945"/>
      <c r="AD132" s="945"/>
      <c r="AE132" s="945"/>
      <c r="AF132" s="945"/>
      <c r="AG132" s="41"/>
      <c r="AH132" s="41"/>
      <c r="AI132" s="41"/>
      <c r="AJ132" s="41"/>
    </row>
    <row r="133" spans="2:36" ht="15" customHeight="1" x14ac:dyDescent="0.4">
      <c r="B133" s="58"/>
      <c r="C133" s="2582" t="str">
        <f t="shared" si="4"/>
        <v>VENCIMENTO COMPLEMENTAR - ART.4º LEI 21710/2015</v>
      </c>
      <c r="D133" s="2583"/>
      <c r="E133" s="2583"/>
      <c r="F133" s="2583"/>
      <c r="G133" s="2583"/>
      <c r="H133" s="2583"/>
      <c r="I133" s="2583"/>
      <c r="J133" s="2583"/>
      <c r="K133" s="2583"/>
      <c r="L133" s="2583"/>
      <c r="M133" s="2583"/>
      <c r="N133" s="2584" t="str">
        <f t="shared" si="9"/>
        <v>VERBA</v>
      </c>
      <c r="O133" s="2584"/>
      <c r="P133" s="1000">
        <f t="shared" si="8"/>
        <v>989</v>
      </c>
      <c r="Q133" s="2569" t="str">
        <f>W72</f>
        <v>-</v>
      </c>
      <c r="R133" s="2570"/>
      <c r="S133" s="2444" t="str">
        <f>X72</f>
        <v>-</v>
      </c>
      <c r="T133" s="2445"/>
      <c r="U133" s="2446"/>
      <c r="V133" s="59"/>
      <c r="W133" s="492"/>
      <c r="X133" s="491"/>
      <c r="Y133" s="961"/>
      <c r="Z133" s="961"/>
      <c r="AA133" s="961"/>
      <c r="AB133" s="961"/>
      <c r="AC133" s="945"/>
      <c r="AD133" s="945"/>
      <c r="AE133" s="945"/>
      <c r="AF133" s="945"/>
      <c r="AG133" s="41"/>
      <c r="AH133" s="41"/>
      <c r="AI133" s="41"/>
      <c r="AJ133" s="41"/>
    </row>
    <row r="134" spans="2:36" ht="15" customHeight="1" x14ac:dyDescent="0.4">
      <c r="B134" s="58"/>
      <c r="C134" s="2567" t="s">
        <v>8126</v>
      </c>
      <c r="D134" s="2568"/>
      <c r="E134" s="2568"/>
      <c r="F134" s="2568"/>
      <c r="G134" s="2568"/>
      <c r="H134" s="2568"/>
      <c r="I134" s="2568"/>
      <c r="J134" s="2568"/>
      <c r="K134" s="2568"/>
      <c r="L134" s="2568"/>
      <c r="M134" s="2568"/>
      <c r="N134" s="2521" t="str">
        <f>N73</f>
        <v>VERBA</v>
      </c>
      <c r="O134" s="2521"/>
      <c r="P134" s="1032">
        <f>P73</f>
        <v>385</v>
      </c>
      <c r="Q134" s="2522" t="str">
        <f>W73</f>
        <v>-</v>
      </c>
      <c r="R134" s="2523"/>
      <c r="S134" s="2524" t="str">
        <f>X73</f>
        <v>-</v>
      </c>
      <c r="T134" s="2525"/>
      <c r="U134" s="2526"/>
      <c r="V134" s="59"/>
      <c r="W134" s="492"/>
      <c r="X134" s="491"/>
      <c r="Y134" s="961"/>
      <c r="Z134" s="961"/>
      <c r="AA134" s="961"/>
      <c r="AB134" s="961"/>
      <c r="AC134" s="945"/>
      <c r="AD134" s="945"/>
      <c r="AE134" s="945"/>
      <c r="AF134" s="945"/>
      <c r="AG134" s="41"/>
      <c r="AH134" s="41"/>
      <c r="AI134" s="41"/>
      <c r="AJ134" s="41"/>
    </row>
    <row r="135" spans="2:36" ht="15" customHeight="1" thickBot="1" x14ac:dyDescent="0.45">
      <c r="B135" s="58"/>
      <c r="C135" s="2576" t="str">
        <f>C74</f>
        <v>OUTRAS VANTAGENS</v>
      </c>
      <c r="D135" s="2577"/>
      <c r="E135" s="2577"/>
      <c r="F135" s="2577"/>
      <c r="G135" s="2577"/>
      <c r="H135" s="2577" t="str">
        <f>IF(H74="","",H74)</f>
        <v/>
      </c>
      <c r="I135" s="2577"/>
      <c r="J135" s="2577"/>
      <c r="K135" s="2577"/>
      <c r="L135" s="2577"/>
      <c r="M135" s="2577"/>
      <c r="N135" s="2578" t="str">
        <f>N74</f>
        <v>VERBA</v>
      </c>
      <c r="O135" s="2578"/>
      <c r="P135" s="1035" t="str">
        <f>IF(P74="","",P74)</f>
        <v/>
      </c>
      <c r="Q135" s="2569" t="str">
        <f>W74</f>
        <v>-</v>
      </c>
      <c r="R135" s="2570"/>
      <c r="S135" s="2444" t="str">
        <f>X74</f>
        <v>-</v>
      </c>
      <c r="T135" s="2445"/>
      <c r="U135" s="2446"/>
      <c r="V135" s="59"/>
      <c r="W135" s="492"/>
      <c r="X135" s="491"/>
      <c r="Y135" s="961"/>
      <c r="Z135" s="961"/>
      <c r="AA135" s="961"/>
      <c r="AB135" s="961"/>
      <c r="AC135" s="945"/>
      <c r="AD135" s="945"/>
      <c r="AE135" s="945"/>
      <c r="AF135" s="945"/>
      <c r="AG135" s="41"/>
      <c r="AH135" s="41"/>
      <c r="AI135" s="41"/>
      <c r="AJ135" s="41"/>
    </row>
    <row r="136" spans="2:36" ht="14.45" customHeight="1" thickBot="1" x14ac:dyDescent="0.45">
      <c r="B136" s="58"/>
      <c r="C136" s="2579" t="s">
        <v>8068</v>
      </c>
      <c r="D136" s="2580"/>
      <c r="E136" s="2580"/>
      <c r="F136" s="2580"/>
      <c r="G136" s="2580"/>
      <c r="H136" s="2580"/>
      <c r="I136" s="2580"/>
      <c r="J136" s="2580"/>
      <c r="K136" s="2580"/>
      <c r="L136" s="2580"/>
      <c r="M136" s="2580"/>
      <c r="N136" s="2580"/>
      <c r="O136" s="2580"/>
      <c r="P136" s="2580"/>
      <c r="Q136" s="2580"/>
      <c r="R136" s="2581"/>
      <c r="S136" s="2466">
        <f>S75</f>
        <v>0</v>
      </c>
      <c r="T136" s="2467"/>
      <c r="U136" s="2468"/>
      <c r="V136" s="59"/>
      <c r="W136" s="410"/>
      <c r="X136" s="493"/>
      <c r="Y136" s="945"/>
      <c r="Z136" s="945"/>
      <c r="AA136" s="945"/>
      <c r="AB136" s="945"/>
      <c r="AC136" s="945"/>
      <c r="AD136" s="945"/>
      <c r="AE136" s="945"/>
      <c r="AF136" s="945"/>
      <c r="AG136" s="41"/>
      <c r="AH136" s="41"/>
      <c r="AI136" s="41"/>
      <c r="AJ136" s="41"/>
    </row>
    <row r="137" spans="2:36" ht="13.35" customHeight="1" x14ac:dyDescent="0.4">
      <c r="B137" s="58"/>
      <c r="C137" s="2469" t="s">
        <v>8069</v>
      </c>
      <c r="D137" s="1931"/>
      <c r="E137" s="1931"/>
      <c r="F137" s="1931"/>
      <c r="G137" s="1931"/>
      <c r="H137" s="1931"/>
      <c r="I137" s="1931"/>
      <c r="J137" s="1931"/>
      <c r="K137" s="1931"/>
      <c r="L137" s="1931"/>
      <c r="M137" s="1931"/>
      <c r="N137" s="1931"/>
      <c r="O137" s="1931"/>
      <c r="P137" s="1931"/>
      <c r="Q137" s="1931"/>
      <c r="R137" s="1931"/>
      <c r="S137" s="1931"/>
      <c r="T137" s="1931"/>
      <c r="U137" s="2470"/>
      <c r="V137" s="59"/>
    </row>
    <row r="138" spans="2:36" ht="14.1" customHeight="1" x14ac:dyDescent="0.4">
      <c r="B138" s="58"/>
      <c r="C138" s="2471" t="s">
        <v>8134</v>
      </c>
      <c r="D138" s="2472"/>
      <c r="E138" s="1931" t="str">
        <f>E77</f>
        <v>Alterar</v>
      </c>
      <c r="F138" s="1931"/>
      <c r="G138" s="1931"/>
      <c r="H138" s="1931"/>
      <c r="I138" s="1931"/>
      <c r="J138" s="1931"/>
      <c r="K138" s="1931"/>
      <c r="L138" s="1931"/>
      <c r="M138" s="1931"/>
      <c r="N138" s="1931"/>
      <c r="O138" s="1931"/>
      <c r="P138" s="1931"/>
      <c r="Q138" s="2168" t="s">
        <v>1</v>
      </c>
      <c r="R138" s="2168"/>
      <c r="S138" s="2473">
        <f>S77</f>
        <v>0</v>
      </c>
      <c r="T138" s="2473"/>
      <c r="U138" s="2474"/>
      <c r="V138" s="59"/>
    </row>
    <row r="139" spans="2:36" ht="13.35" customHeight="1" x14ac:dyDescent="0.4">
      <c r="B139" s="58"/>
      <c r="C139" s="2458" t="s">
        <v>8135</v>
      </c>
      <c r="D139" s="2459"/>
      <c r="E139" s="2459"/>
      <c r="F139" s="2459"/>
      <c r="G139" s="2459"/>
      <c r="H139" s="2460"/>
      <c r="I139" s="2460"/>
      <c r="J139" s="2460"/>
      <c r="K139" s="2460"/>
      <c r="L139" s="2460"/>
      <c r="M139" s="2460"/>
      <c r="N139" s="2460"/>
      <c r="O139" s="2460"/>
      <c r="P139" s="2460"/>
      <c r="Q139" s="2168" t="s">
        <v>386</v>
      </c>
      <c r="R139" s="2168"/>
      <c r="S139" s="2461">
        <f ca="1">M213</f>
        <v>43238</v>
      </c>
      <c r="T139" s="2461"/>
      <c r="U139" s="2462"/>
      <c r="V139" s="59"/>
    </row>
    <row r="140" spans="2:36" ht="13.35" customHeight="1" x14ac:dyDescent="0.4">
      <c r="B140" s="58"/>
      <c r="C140" s="950"/>
      <c r="D140" s="951"/>
      <c r="E140" s="951"/>
      <c r="F140" s="951"/>
      <c r="G140" s="951"/>
      <c r="H140" s="951"/>
      <c r="I140" s="951"/>
      <c r="J140" s="951"/>
      <c r="K140" s="951"/>
      <c r="L140" s="951"/>
      <c r="M140" s="951"/>
      <c r="N140" s="951"/>
      <c r="O140" s="951"/>
      <c r="P140" s="951"/>
      <c r="Q140" s="952"/>
      <c r="R140" s="952"/>
      <c r="S140" s="953"/>
      <c r="T140" s="953"/>
      <c r="U140" s="954"/>
      <c r="V140" s="59"/>
    </row>
    <row r="141" spans="2:36" ht="13.35" customHeight="1" x14ac:dyDescent="0.4">
      <c r="B141" s="58"/>
      <c r="C141" s="950"/>
      <c r="D141" s="951"/>
      <c r="E141" s="951"/>
      <c r="F141" s="951"/>
      <c r="G141" s="951"/>
      <c r="H141" s="951"/>
      <c r="I141" s="951"/>
      <c r="J141" s="951"/>
      <c r="K141" s="951"/>
      <c r="L141" s="951"/>
      <c r="M141" s="951"/>
      <c r="N141" s="951"/>
      <c r="O141" s="951"/>
      <c r="P141" s="951"/>
      <c r="Q141" s="952"/>
      <c r="R141" s="952"/>
      <c r="S141" s="953"/>
      <c r="T141" s="953"/>
      <c r="U141" s="954"/>
      <c r="V141" s="59"/>
    </row>
    <row r="142" spans="2:36" ht="13.35" customHeight="1" thickBot="1" x14ac:dyDescent="0.45">
      <c r="B142" s="58"/>
      <c r="C142" s="449"/>
      <c r="D142" s="450"/>
      <c r="E142" s="450"/>
      <c r="F142" s="450"/>
      <c r="G142" s="450"/>
      <c r="H142" s="450"/>
      <c r="I142" s="450"/>
      <c r="J142" s="450"/>
      <c r="K142" s="450"/>
      <c r="L142" s="450"/>
      <c r="M142" s="450"/>
      <c r="N142" s="450"/>
      <c r="O142" s="450"/>
      <c r="P142" s="450"/>
      <c r="Q142" s="450"/>
      <c r="R142" s="450"/>
      <c r="S142" s="450"/>
      <c r="T142" s="450"/>
      <c r="U142" s="451"/>
      <c r="V142" s="59"/>
    </row>
    <row r="143" spans="2:36" ht="15.95" customHeight="1" thickBot="1" x14ac:dyDescent="0.45">
      <c r="B143" s="60"/>
      <c r="C143" s="61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3"/>
    </row>
    <row r="144" spans="2:36" ht="5.0999999999999996" customHeight="1" thickTop="1" thickBot="1" x14ac:dyDescent="0.45"/>
    <row r="145" spans="2:22" ht="15.95" customHeight="1" thickTop="1" thickBot="1" x14ac:dyDescent="0.45">
      <c r="B145" s="52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5"/>
    </row>
    <row r="146" spans="2:22" s="3" customFormat="1" ht="12.95" customHeight="1" x14ac:dyDescent="0.25">
      <c r="B146" s="56"/>
      <c r="C146" s="941"/>
      <c r="D146" s="942"/>
      <c r="E146" s="939"/>
      <c r="F146" s="2598" t="s">
        <v>7925</v>
      </c>
      <c r="G146" s="2598"/>
      <c r="H146" s="2598"/>
      <c r="I146" s="2598"/>
      <c r="J146" s="2598"/>
      <c r="K146" s="2598"/>
      <c r="L146" s="2598"/>
      <c r="M146" s="2598"/>
      <c r="N146" s="2598"/>
      <c r="O146" s="2598"/>
      <c r="P146" s="2598"/>
      <c r="Q146" s="2598"/>
      <c r="R146" s="2598"/>
      <c r="S146" s="2598"/>
      <c r="T146" s="2598"/>
      <c r="U146" s="2599"/>
      <c r="V146" s="57"/>
    </row>
    <row r="147" spans="2:22" ht="12.95" customHeight="1" x14ac:dyDescent="0.4">
      <c r="B147" s="58"/>
      <c r="C147" s="445"/>
      <c r="D147" s="927"/>
      <c r="E147" s="930"/>
      <c r="F147" s="1433" t="s">
        <v>7926</v>
      </c>
      <c r="G147" s="1433"/>
      <c r="H147" s="1433"/>
      <c r="I147" s="1433"/>
      <c r="J147" s="1433"/>
      <c r="K147" s="1433"/>
      <c r="L147" s="1433"/>
      <c r="M147" s="1433"/>
      <c r="N147" s="1433"/>
      <c r="O147" s="1433"/>
      <c r="P147" s="1433"/>
      <c r="Q147" s="1433"/>
      <c r="R147" s="1433"/>
      <c r="S147" s="1433"/>
      <c r="T147" s="1433"/>
      <c r="U147" s="2244"/>
      <c r="V147" s="59"/>
    </row>
    <row r="148" spans="2:22" ht="12.95" customHeight="1" x14ac:dyDescent="0.4">
      <c r="B148" s="58"/>
      <c r="C148" s="940"/>
      <c r="D148" s="930"/>
      <c r="E148" s="929"/>
      <c r="F148" s="2291" t="s">
        <v>8079</v>
      </c>
      <c r="G148" s="2291"/>
      <c r="H148" s="2291"/>
      <c r="I148" s="2291"/>
      <c r="J148" s="2291"/>
      <c r="K148" s="2291"/>
      <c r="L148" s="2291"/>
      <c r="M148" s="2291"/>
      <c r="N148" s="1435" t="str">
        <f>Geral!I8</f>
        <v>Uberaba</v>
      </c>
      <c r="O148" s="1435"/>
      <c r="P148" s="1435"/>
      <c r="Q148" s="1435"/>
      <c r="R148" s="1435"/>
      <c r="S148" s="1435"/>
      <c r="T148" s="1435"/>
      <c r="U148" s="2292"/>
      <c r="V148" s="59"/>
    </row>
    <row r="149" spans="2:22" ht="12.95" customHeight="1" thickBot="1" x14ac:dyDescent="0.45">
      <c r="B149" s="58"/>
      <c r="C149" s="721"/>
      <c r="D149" s="722"/>
      <c r="E149" s="723"/>
      <c r="F149" s="2600" t="s">
        <v>8070</v>
      </c>
      <c r="G149" s="2600"/>
      <c r="H149" s="2600"/>
      <c r="I149" s="2600"/>
      <c r="J149" s="2600"/>
      <c r="K149" s="2600"/>
      <c r="L149" s="2600"/>
      <c r="M149" s="2600"/>
      <c r="N149" s="2600"/>
      <c r="O149" s="2600"/>
      <c r="P149" s="2600"/>
      <c r="Q149" s="2600"/>
      <c r="R149" s="2600"/>
      <c r="S149" s="2600"/>
      <c r="T149" s="2600"/>
      <c r="U149" s="2601"/>
      <c r="V149" s="59"/>
    </row>
    <row r="150" spans="2:22" ht="15.95" customHeight="1" x14ac:dyDescent="0.4">
      <c r="B150" s="58"/>
      <c r="C150" s="2602" t="s">
        <v>9213</v>
      </c>
      <c r="D150" s="2603"/>
      <c r="E150" s="2603"/>
      <c r="F150" s="2603"/>
      <c r="G150" s="2603"/>
      <c r="H150" s="2603"/>
      <c r="I150" s="2603"/>
      <c r="J150" s="2603"/>
      <c r="K150" s="2603"/>
      <c r="L150" s="2603"/>
      <c r="M150" s="2603"/>
      <c r="N150" s="2603"/>
      <c r="O150" s="2603"/>
      <c r="P150" s="2603"/>
      <c r="Q150" s="2603"/>
      <c r="R150" s="2603"/>
      <c r="S150" s="2603"/>
      <c r="T150" s="2603"/>
      <c r="U150" s="2604"/>
      <c r="V150" s="59"/>
    </row>
    <row r="151" spans="2:22" ht="15.95" customHeight="1" x14ac:dyDescent="0.4">
      <c r="B151" s="58"/>
      <c r="C151" s="2605"/>
      <c r="D151" s="2606"/>
      <c r="E151" s="2606"/>
      <c r="F151" s="2606"/>
      <c r="G151" s="2606"/>
      <c r="H151" s="2606"/>
      <c r="I151" s="2606"/>
      <c r="J151" s="2606"/>
      <c r="K151" s="2606"/>
      <c r="L151" s="2606"/>
      <c r="M151" s="2606"/>
      <c r="N151" s="2606"/>
      <c r="O151" s="2606"/>
      <c r="P151" s="2606"/>
      <c r="Q151" s="2606"/>
      <c r="R151" s="2606"/>
      <c r="S151" s="2606"/>
      <c r="T151" s="2606"/>
      <c r="U151" s="2607"/>
      <c r="V151" s="59"/>
    </row>
    <row r="152" spans="2:22" ht="15.95" customHeight="1" x14ac:dyDescent="0.4">
      <c r="B152" s="58"/>
      <c r="C152" s="2605"/>
      <c r="D152" s="2606"/>
      <c r="E152" s="2606"/>
      <c r="F152" s="2606"/>
      <c r="G152" s="2606"/>
      <c r="H152" s="2606"/>
      <c r="I152" s="2606"/>
      <c r="J152" s="2606"/>
      <c r="K152" s="2606"/>
      <c r="L152" s="2606"/>
      <c r="M152" s="2606"/>
      <c r="N152" s="2606"/>
      <c r="O152" s="2606"/>
      <c r="P152" s="2606"/>
      <c r="Q152" s="2606"/>
      <c r="R152" s="2606"/>
      <c r="S152" s="2606"/>
      <c r="T152" s="2606"/>
      <c r="U152" s="2607"/>
      <c r="V152" s="59"/>
    </row>
    <row r="153" spans="2:22" ht="15.95" customHeight="1" x14ac:dyDescent="0.4">
      <c r="B153" s="58"/>
      <c r="C153" s="2605"/>
      <c r="D153" s="2606"/>
      <c r="E153" s="2606"/>
      <c r="F153" s="2606"/>
      <c r="G153" s="2606"/>
      <c r="H153" s="2606"/>
      <c r="I153" s="2606"/>
      <c r="J153" s="2606"/>
      <c r="K153" s="2606"/>
      <c r="L153" s="2606"/>
      <c r="M153" s="2606"/>
      <c r="N153" s="2606"/>
      <c r="O153" s="2606"/>
      <c r="P153" s="2606"/>
      <c r="Q153" s="2606"/>
      <c r="R153" s="2606"/>
      <c r="S153" s="2606"/>
      <c r="T153" s="2606"/>
      <c r="U153" s="2607"/>
      <c r="V153" s="59"/>
    </row>
    <row r="154" spans="2:22" ht="24.95" customHeight="1" thickBot="1" x14ac:dyDescent="0.45">
      <c r="B154" s="58"/>
      <c r="C154" s="2608"/>
      <c r="D154" s="2609"/>
      <c r="E154" s="2609"/>
      <c r="F154" s="2609"/>
      <c r="G154" s="2609"/>
      <c r="H154" s="2609"/>
      <c r="I154" s="2609"/>
      <c r="J154" s="2609"/>
      <c r="K154" s="2609"/>
      <c r="L154" s="2609"/>
      <c r="M154" s="2609"/>
      <c r="N154" s="2609"/>
      <c r="O154" s="2609"/>
      <c r="P154" s="2609"/>
      <c r="Q154" s="2609"/>
      <c r="R154" s="2609"/>
      <c r="S154" s="2609"/>
      <c r="T154" s="2609"/>
      <c r="U154" s="2610"/>
      <c r="V154" s="59"/>
    </row>
    <row r="155" spans="2:22" ht="24.95" customHeight="1" x14ac:dyDescent="0.4">
      <c r="B155" s="58"/>
      <c r="C155" s="713"/>
      <c r="D155" s="708"/>
      <c r="E155" s="708"/>
      <c r="F155" s="708"/>
      <c r="G155" s="708"/>
      <c r="H155" s="708"/>
      <c r="I155" s="708"/>
      <c r="J155" s="708"/>
      <c r="K155" s="708"/>
      <c r="L155" s="708"/>
      <c r="M155" s="708"/>
      <c r="N155" s="708"/>
      <c r="O155" s="708"/>
      <c r="P155" s="708"/>
      <c r="Q155" s="708"/>
      <c r="R155" s="708"/>
      <c r="S155" s="708"/>
      <c r="T155" s="708"/>
      <c r="U155" s="714"/>
      <c r="V155" s="59"/>
    </row>
    <row r="156" spans="2:22" ht="24.95" customHeight="1" x14ac:dyDescent="0.4">
      <c r="B156" s="58"/>
      <c r="C156" s="715"/>
      <c r="D156" s="434"/>
      <c r="E156" s="434"/>
      <c r="F156" s="969"/>
      <c r="G156" s="969"/>
      <c r="H156" s="969"/>
      <c r="I156" s="969"/>
      <c r="J156" s="969"/>
      <c r="K156" s="969"/>
      <c r="L156" s="969"/>
      <c r="M156" s="969"/>
      <c r="N156" s="968"/>
      <c r="O156" s="968"/>
      <c r="P156" s="968"/>
      <c r="Q156" s="968"/>
      <c r="R156" s="968"/>
      <c r="S156" s="968"/>
      <c r="T156" s="968"/>
      <c r="U156" s="716"/>
      <c r="V156" s="59"/>
    </row>
    <row r="157" spans="2:22" ht="24.95" customHeight="1" x14ac:dyDescent="0.4">
      <c r="B157" s="58"/>
      <c r="C157" s="2585"/>
      <c r="D157" s="2586"/>
      <c r="E157" s="2586"/>
      <c r="F157" s="2586"/>
      <c r="G157" s="2586"/>
      <c r="H157" s="2586"/>
      <c r="I157" s="2586"/>
      <c r="J157" s="2586"/>
      <c r="K157" s="2586"/>
      <c r="L157" s="2586"/>
      <c r="M157" s="2586"/>
      <c r="N157" s="2586"/>
      <c r="O157" s="2586"/>
      <c r="P157" s="2586"/>
      <c r="Q157" s="2586"/>
      <c r="R157" s="2586"/>
      <c r="S157" s="2586"/>
      <c r="T157" s="2586"/>
      <c r="U157" s="2587"/>
      <c r="V157" s="59"/>
    </row>
    <row r="158" spans="2:22" ht="24.95" customHeight="1" x14ac:dyDescent="0.4">
      <c r="B158" s="58"/>
      <c r="C158" s="2588" t="s">
        <v>9216</v>
      </c>
      <c r="D158" s="2589"/>
      <c r="E158" s="2589"/>
      <c r="F158" s="2589"/>
      <c r="G158" s="2589"/>
      <c r="H158" s="2589"/>
      <c r="I158" s="2589"/>
      <c r="J158" s="971"/>
      <c r="K158" s="2590">
        <f>G6</f>
        <v>0</v>
      </c>
      <c r="L158" s="2590"/>
      <c r="M158" s="2590"/>
      <c r="N158" s="2590"/>
      <c r="O158" s="2590"/>
      <c r="P158" s="2590"/>
      <c r="Q158" s="2590"/>
      <c r="R158" s="2590"/>
      <c r="S158" s="2590"/>
      <c r="T158" s="2590"/>
      <c r="U158" s="2591"/>
      <c r="V158" s="59"/>
    </row>
    <row r="159" spans="2:22" ht="24.95" customHeight="1" x14ac:dyDescent="0.4">
      <c r="B159" s="58"/>
      <c r="C159" s="2592"/>
      <c r="D159" s="2593"/>
      <c r="E159" s="2593"/>
      <c r="F159" s="2593"/>
      <c r="G159" s="2593"/>
      <c r="H159" s="2593"/>
      <c r="I159" s="2593"/>
      <c r="J159" s="2593"/>
      <c r="K159" s="2590"/>
      <c r="L159" s="2590"/>
      <c r="M159" s="2590"/>
      <c r="N159" s="2590"/>
      <c r="O159" s="2590"/>
      <c r="P159" s="2590"/>
      <c r="Q159" s="2590"/>
      <c r="R159" s="2590"/>
      <c r="S159" s="2590"/>
      <c r="T159" s="2590"/>
      <c r="U159" s="2591"/>
      <c r="V159" s="59"/>
    </row>
    <row r="160" spans="2:22" ht="24.95" customHeight="1" x14ac:dyDescent="0.4">
      <c r="B160" s="58"/>
      <c r="C160" s="2594" t="s">
        <v>9214</v>
      </c>
      <c r="D160" s="2595"/>
      <c r="E160" s="2595"/>
      <c r="F160" s="2595"/>
      <c r="G160" s="2595"/>
      <c r="H160" s="2595"/>
      <c r="I160" s="2595"/>
      <c r="J160" s="963"/>
      <c r="K160" s="2596">
        <f>T6</f>
        <v>0</v>
      </c>
      <c r="L160" s="2596"/>
      <c r="M160" s="2596"/>
      <c r="N160" s="2596"/>
      <c r="O160" s="2595" t="s">
        <v>8170</v>
      </c>
      <c r="P160" s="2595"/>
      <c r="Q160" s="2595"/>
      <c r="R160" s="2595"/>
      <c r="S160" s="2595"/>
      <c r="T160" s="2597">
        <f>G7</f>
        <v>0</v>
      </c>
      <c r="U160" s="2591"/>
      <c r="V160" s="59"/>
    </row>
    <row r="161" spans="2:22" ht="24.95" customHeight="1" x14ac:dyDescent="0.4">
      <c r="B161" s="58"/>
      <c r="C161" s="2592"/>
      <c r="D161" s="2593"/>
      <c r="E161" s="2593"/>
      <c r="F161" s="2593"/>
      <c r="G161" s="2593"/>
      <c r="H161" s="2593"/>
      <c r="I161" s="2593"/>
      <c r="J161" s="724"/>
      <c r="K161" s="724"/>
      <c r="L161" s="724"/>
      <c r="M161" s="724"/>
      <c r="N161" s="724"/>
      <c r="O161" s="724"/>
      <c r="P161" s="724"/>
      <c r="Q161" s="724"/>
      <c r="R161" s="724"/>
      <c r="S161" s="724"/>
      <c r="T161" s="724"/>
      <c r="U161" s="725"/>
      <c r="V161" s="59"/>
    </row>
    <row r="162" spans="2:22" ht="24.95" customHeight="1" x14ac:dyDescent="0.4">
      <c r="B162" s="58"/>
      <c r="C162" s="2592" t="s">
        <v>9215</v>
      </c>
      <c r="D162" s="2593"/>
      <c r="E162" s="2593"/>
      <c r="F162" s="2593"/>
      <c r="G162" s="2593"/>
      <c r="H162" s="2593"/>
      <c r="I162" s="2593"/>
      <c r="J162" s="970"/>
      <c r="K162" s="2613" t="str">
        <f>"Processo de Conferência de Cálculos para Pagamento de " &amp; I11 &amp; " conforme Publicação no Minas Gerais de "&amp;P4&amp;Q4&amp;R4&amp;S4&amp;T4&amp;"."</f>
        <v>Processo de Conferência de Cálculos para Pagamento de Aguardando Dados de Saldo de Férias Prêmio em Espécie conforme Publicação no Minas Gerais de //.</v>
      </c>
      <c r="L162" s="2613"/>
      <c r="M162" s="2613"/>
      <c r="N162" s="2613"/>
      <c r="O162" s="2613"/>
      <c r="P162" s="2613"/>
      <c r="Q162" s="2613"/>
      <c r="R162" s="2613"/>
      <c r="S162" s="2613"/>
      <c r="T162" s="2613"/>
      <c r="U162" s="2614"/>
      <c r="V162" s="59"/>
    </row>
    <row r="163" spans="2:22" ht="24.95" customHeight="1" x14ac:dyDescent="0.4">
      <c r="B163" s="58"/>
      <c r="C163" s="962"/>
      <c r="D163" s="963"/>
      <c r="E163" s="963"/>
      <c r="F163" s="963"/>
      <c r="G163" s="963"/>
      <c r="H163" s="963"/>
      <c r="I163" s="963"/>
      <c r="J163" s="970"/>
      <c r="K163" s="2613"/>
      <c r="L163" s="2613"/>
      <c r="M163" s="2613"/>
      <c r="N163" s="2613"/>
      <c r="O163" s="2613"/>
      <c r="P163" s="2613"/>
      <c r="Q163" s="2613"/>
      <c r="R163" s="2613"/>
      <c r="S163" s="2613"/>
      <c r="T163" s="2613"/>
      <c r="U163" s="2614"/>
      <c r="V163" s="59"/>
    </row>
    <row r="164" spans="2:22" ht="24.95" customHeight="1" x14ac:dyDescent="0.4">
      <c r="B164" s="58"/>
      <c r="C164" s="962"/>
      <c r="D164" s="963"/>
      <c r="E164" s="963"/>
      <c r="F164" s="963"/>
      <c r="G164" s="963"/>
      <c r="H164" s="963"/>
      <c r="I164" s="963"/>
      <c r="J164" s="970"/>
      <c r="K164" s="2613"/>
      <c r="L164" s="2613"/>
      <c r="M164" s="2613"/>
      <c r="N164" s="2613"/>
      <c r="O164" s="2613"/>
      <c r="P164" s="2613"/>
      <c r="Q164" s="2613"/>
      <c r="R164" s="2613"/>
      <c r="S164" s="2613"/>
      <c r="T164" s="2613"/>
      <c r="U164" s="2614"/>
      <c r="V164" s="59"/>
    </row>
    <row r="165" spans="2:22" ht="24.95" customHeight="1" x14ac:dyDescent="0.4">
      <c r="B165" s="58"/>
      <c r="C165" s="445"/>
      <c r="D165" s="928"/>
      <c r="E165" s="928"/>
      <c r="F165" s="928"/>
      <c r="G165" s="928"/>
      <c r="H165" s="928"/>
      <c r="I165" s="928"/>
      <c r="J165" s="928"/>
      <c r="K165" s="2613"/>
      <c r="L165" s="2613"/>
      <c r="M165" s="2613"/>
      <c r="N165" s="2613"/>
      <c r="O165" s="2613"/>
      <c r="P165" s="2613"/>
      <c r="Q165" s="2613"/>
      <c r="R165" s="2613"/>
      <c r="S165" s="2613"/>
      <c r="T165" s="2613"/>
      <c r="U165" s="2614"/>
      <c r="V165" s="59"/>
    </row>
    <row r="166" spans="2:22" ht="24.95" customHeight="1" x14ac:dyDescent="0.4">
      <c r="B166" s="58"/>
      <c r="C166" s="445"/>
      <c r="D166" s="928"/>
      <c r="E166" s="928"/>
      <c r="F166" s="928"/>
      <c r="G166" s="928"/>
      <c r="H166" s="928"/>
      <c r="I166" s="928"/>
      <c r="J166" s="928"/>
      <c r="K166" s="964"/>
      <c r="L166" s="964"/>
      <c r="M166" s="964"/>
      <c r="N166" s="964"/>
      <c r="O166" s="964"/>
      <c r="P166" s="964"/>
      <c r="Q166" s="964"/>
      <c r="R166" s="964"/>
      <c r="S166" s="964"/>
      <c r="T166" s="964"/>
      <c r="U166" s="965"/>
      <c r="V166" s="59"/>
    </row>
    <row r="167" spans="2:22" ht="24.95" customHeight="1" x14ac:dyDescent="0.4">
      <c r="B167" s="58"/>
      <c r="C167" s="445"/>
      <c r="D167" s="928"/>
      <c r="E167" s="928"/>
      <c r="F167" s="928"/>
      <c r="G167" s="928"/>
      <c r="H167" s="928"/>
      <c r="I167" s="928"/>
      <c r="J167" s="928"/>
      <c r="K167" s="964"/>
      <c r="L167" s="964"/>
      <c r="M167" s="964"/>
      <c r="N167" s="964"/>
      <c r="O167" s="964"/>
      <c r="P167" s="964"/>
      <c r="Q167" s="964"/>
      <c r="R167" s="964"/>
      <c r="S167" s="964"/>
      <c r="T167" s="964"/>
      <c r="U167" s="965"/>
      <c r="V167" s="59"/>
    </row>
    <row r="168" spans="2:22" ht="24.95" customHeight="1" x14ac:dyDescent="0.4">
      <c r="B168" s="58"/>
      <c r="C168" s="445"/>
      <c r="D168" s="928"/>
      <c r="E168" s="928"/>
      <c r="F168" s="928"/>
      <c r="G168" s="928"/>
      <c r="H168" s="928"/>
      <c r="I168" s="928"/>
      <c r="J168" s="928"/>
      <c r="K168" s="964"/>
      <c r="L168" s="964"/>
      <c r="M168" s="964"/>
      <c r="N168" s="964"/>
      <c r="O168" s="964"/>
      <c r="P168" s="964"/>
      <c r="Q168" s="964"/>
      <c r="R168" s="964"/>
      <c r="S168" s="964"/>
      <c r="T168" s="964"/>
      <c r="U168" s="965"/>
      <c r="V168" s="59"/>
    </row>
    <row r="169" spans="2:22" ht="24.95" customHeight="1" x14ac:dyDescent="0.4">
      <c r="B169" s="58"/>
      <c r="C169" s="445"/>
      <c r="D169" s="928"/>
      <c r="E169" s="928"/>
      <c r="F169" s="928"/>
      <c r="G169" s="928"/>
      <c r="H169" s="928"/>
      <c r="I169" s="928"/>
      <c r="J169" s="928"/>
      <c r="K169" s="964"/>
      <c r="L169" s="964"/>
      <c r="M169" s="964"/>
      <c r="N169" s="964"/>
      <c r="O169" s="964"/>
      <c r="P169" s="964"/>
      <c r="Q169" s="964"/>
      <c r="R169" s="964"/>
      <c r="S169" s="964"/>
      <c r="T169" s="964"/>
      <c r="U169" s="965"/>
      <c r="V169" s="59"/>
    </row>
    <row r="170" spans="2:22" ht="27.75" customHeight="1" x14ac:dyDescent="0.4">
      <c r="B170" s="58"/>
      <c r="C170" s="445"/>
      <c r="D170" s="928"/>
      <c r="E170" s="928"/>
      <c r="F170" s="928"/>
      <c r="G170" s="928"/>
      <c r="H170" s="928"/>
      <c r="I170" s="928"/>
      <c r="J170" s="928"/>
      <c r="K170" s="964"/>
      <c r="L170" s="964"/>
      <c r="M170" s="964"/>
      <c r="N170" s="964"/>
      <c r="O170" s="964"/>
      <c r="P170" s="964"/>
      <c r="Q170" s="964"/>
      <c r="R170" s="964"/>
      <c r="S170" s="964"/>
      <c r="T170" s="964"/>
      <c r="U170" s="965"/>
      <c r="V170" s="59"/>
    </row>
    <row r="171" spans="2:22" ht="24.95" customHeight="1" x14ac:dyDescent="0.4">
      <c r="B171" s="58"/>
      <c r="C171" s="445"/>
      <c r="D171" s="928"/>
      <c r="E171" s="928"/>
      <c r="F171" s="928"/>
      <c r="G171" s="928"/>
      <c r="H171" s="928"/>
      <c r="I171" s="928"/>
      <c r="J171" s="928"/>
      <c r="K171" s="964"/>
      <c r="L171" s="964"/>
      <c r="M171" s="964"/>
      <c r="N171" s="964"/>
      <c r="O171" s="964"/>
      <c r="P171" s="964"/>
      <c r="Q171" s="964"/>
      <c r="R171" s="964"/>
      <c r="S171" s="964"/>
      <c r="T171" s="964"/>
      <c r="U171" s="965"/>
      <c r="V171" s="59"/>
    </row>
    <row r="172" spans="2:22" ht="19.5" customHeight="1" x14ac:dyDescent="0.4">
      <c r="B172" s="58"/>
      <c r="C172" s="445"/>
      <c r="D172" s="928"/>
      <c r="E172" s="928"/>
      <c r="F172" s="928"/>
      <c r="G172" s="928"/>
      <c r="H172" s="928"/>
      <c r="I172" s="928"/>
      <c r="J172" s="928"/>
      <c r="K172" s="964"/>
      <c r="L172" s="964"/>
      <c r="M172" s="964"/>
      <c r="N172" s="964"/>
      <c r="O172" s="964"/>
      <c r="P172" s="964"/>
      <c r="Q172" s="964"/>
      <c r="R172" s="964"/>
      <c r="S172" s="964"/>
      <c r="T172" s="964"/>
      <c r="U172" s="965"/>
      <c r="V172" s="59"/>
    </row>
    <row r="173" spans="2:22" ht="24.95" customHeight="1" x14ac:dyDescent="0.4">
      <c r="B173" s="58"/>
      <c r="C173" s="445"/>
      <c r="D173" s="928"/>
      <c r="E173" s="928"/>
      <c r="F173" s="928"/>
      <c r="G173" s="928"/>
      <c r="H173" s="928"/>
      <c r="I173" s="928"/>
      <c r="J173" s="928"/>
      <c r="K173" s="964"/>
      <c r="L173" s="964"/>
      <c r="M173" s="964"/>
      <c r="N173" s="964"/>
      <c r="O173" s="964"/>
      <c r="P173" s="964"/>
      <c r="Q173" s="964"/>
      <c r="R173" s="964"/>
      <c r="S173" s="964"/>
      <c r="T173" s="964"/>
      <c r="U173" s="965"/>
      <c r="V173" s="59"/>
    </row>
    <row r="174" spans="2:22" ht="15.95" customHeight="1" x14ac:dyDescent="0.4">
      <c r="B174" s="58"/>
      <c r="C174" s="94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  <c r="R174" s="930"/>
      <c r="S174" s="930"/>
      <c r="T174" s="930"/>
      <c r="U174" s="944"/>
      <c r="V174" s="59"/>
    </row>
    <row r="175" spans="2:22" ht="24.95" customHeight="1" thickBot="1" x14ac:dyDescent="0.45">
      <c r="B175" s="58"/>
      <c r="C175" s="940"/>
      <c r="D175" s="930"/>
      <c r="E175" s="930"/>
      <c r="F175" s="930"/>
      <c r="G175" s="930"/>
      <c r="H175" s="930"/>
      <c r="I175" s="930"/>
      <c r="J175" s="2615" t="s">
        <v>9218</v>
      </c>
      <c r="K175" s="2615"/>
      <c r="L175" s="2615"/>
      <c r="M175" s="2615"/>
      <c r="N175" s="2615"/>
      <c r="O175" s="2615"/>
      <c r="P175" s="930"/>
      <c r="Q175" s="930"/>
      <c r="R175" s="930"/>
      <c r="S175" s="930"/>
      <c r="T175" s="930"/>
      <c r="U175" s="944"/>
      <c r="V175" s="59"/>
    </row>
    <row r="176" spans="2:22" ht="15.95" customHeight="1" x14ac:dyDescent="0.4">
      <c r="B176" s="58"/>
      <c r="C176" s="940"/>
      <c r="D176" s="930"/>
      <c r="E176" s="930"/>
      <c r="F176" s="930"/>
      <c r="G176" s="930"/>
      <c r="H176" s="930"/>
      <c r="I176" s="930"/>
      <c r="J176" s="2616"/>
      <c r="K176" s="2617"/>
      <c r="L176" s="2617"/>
      <c r="M176" s="2617"/>
      <c r="N176" s="2617"/>
      <c r="O176" s="2618"/>
      <c r="P176" s="930"/>
      <c r="Q176" s="930"/>
      <c r="R176" s="930"/>
      <c r="S176" s="930"/>
      <c r="T176" s="930"/>
      <c r="U176" s="944"/>
      <c r="V176" s="59"/>
    </row>
    <row r="177" spans="2:22" ht="15.95" customHeight="1" x14ac:dyDescent="0.4">
      <c r="B177" s="58"/>
      <c r="C177" s="940"/>
      <c r="D177" s="930"/>
      <c r="E177" s="930"/>
      <c r="F177" s="930"/>
      <c r="G177" s="930"/>
      <c r="H177" s="930"/>
      <c r="I177" s="930"/>
      <c r="J177" s="2619"/>
      <c r="K177" s="2620"/>
      <c r="L177" s="2620"/>
      <c r="M177" s="2620"/>
      <c r="N177" s="2620"/>
      <c r="O177" s="2621"/>
      <c r="P177" s="930"/>
      <c r="Q177" s="930"/>
      <c r="R177" s="930"/>
      <c r="S177" s="930"/>
      <c r="T177" s="930"/>
      <c r="U177" s="944"/>
      <c r="V177" s="59"/>
    </row>
    <row r="178" spans="2:22" ht="15.95" customHeight="1" x14ac:dyDescent="0.4">
      <c r="B178" s="58"/>
      <c r="C178" s="940"/>
      <c r="D178" s="930"/>
      <c r="E178" s="930"/>
      <c r="F178" s="930"/>
      <c r="G178" s="930"/>
      <c r="H178" s="930"/>
      <c r="I178" s="930"/>
      <c r="J178" s="2619"/>
      <c r="K178" s="2620"/>
      <c r="L178" s="2620"/>
      <c r="M178" s="2620"/>
      <c r="N178" s="2620"/>
      <c r="O178" s="2621"/>
      <c r="P178" s="930"/>
      <c r="Q178" s="930"/>
      <c r="R178" s="930"/>
      <c r="S178" s="930"/>
      <c r="T178" s="930"/>
      <c r="U178" s="944"/>
      <c r="V178" s="59"/>
    </row>
    <row r="179" spans="2:22" ht="15.95" customHeight="1" x14ac:dyDescent="0.4">
      <c r="B179" s="58"/>
      <c r="C179" s="727"/>
      <c r="D179" s="969"/>
      <c r="E179" s="969"/>
      <c r="F179" s="969"/>
      <c r="G179" s="969"/>
      <c r="H179" s="969"/>
      <c r="I179" s="969"/>
      <c r="J179" s="2611"/>
      <c r="K179" s="2612"/>
      <c r="L179" s="2612"/>
      <c r="M179" s="2612"/>
      <c r="N179" s="2612"/>
      <c r="O179" s="2622"/>
      <c r="P179" s="966"/>
      <c r="Q179" s="966"/>
      <c r="R179" s="966"/>
      <c r="S179" s="966"/>
      <c r="T179" s="966"/>
      <c r="U179" s="728"/>
      <c r="V179" s="59"/>
    </row>
    <row r="180" spans="2:22" ht="15.95" customHeight="1" x14ac:dyDescent="0.4">
      <c r="B180" s="58"/>
      <c r="C180" s="445"/>
      <c r="D180" s="928"/>
      <c r="E180" s="928"/>
      <c r="F180" s="928"/>
      <c r="G180" s="928"/>
      <c r="H180" s="928"/>
      <c r="I180" s="928"/>
      <c r="J180" s="2611"/>
      <c r="K180" s="2612"/>
      <c r="L180" s="2612"/>
      <c r="M180" s="2612"/>
      <c r="N180" s="2612"/>
      <c r="O180" s="2622"/>
      <c r="P180" s="928"/>
      <c r="Q180" s="928"/>
      <c r="R180" s="928"/>
      <c r="S180" s="928"/>
      <c r="T180" s="928"/>
      <c r="U180" s="943"/>
      <c r="V180" s="59"/>
    </row>
    <row r="181" spans="2:22" ht="15.95" customHeight="1" thickBot="1" x14ac:dyDescent="0.45">
      <c r="B181" s="58"/>
      <c r="C181" s="717"/>
      <c r="D181" s="968"/>
      <c r="E181" s="968"/>
      <c r="F181" s="968"/>
      <c r="G181" s="968"/>
      <c r="H181" s="968"/>
      <c r="I181" s="968"/>
      <c r="J181" s="2623"/>
      <c r="K181" s="2624"/>
      <c r="L181" s="2624"/>
      <c r="M181" s="2624"/>
      <c r="N181" s="2624"/>
      <c r="O181" s="2625"/>
      <c r="P181" s="968"/>
      <c r="Q181" s="968"/>
      <c r="R181" s="968"/>
      <c r="S181" s="968"/>
      <c r="T181" s="968"/>
      <c r="U181" s="716"/>
      <c r="V181" s="59"/>
    </row>
    <row r="182" spans="2:22" ht="15.95" customHeight="1" x14ac:dyDescent="0.4">
      <c r="B182" s="58"/>
      <c r="C182" s="726"/>
      <c r="D182" s="709"/>
      <c r="E182" s="709"/>
      <c r="F182" s="709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716"/>
      <c r="V182" s="59"/>
    </row>
    <row r="183" spans="2:22" ht="24.95" customHeight="1" x14ac:dyDescent="0.4">
      <c r="B183" s="58"/>
      <c r="C183" s="729"/>
      <c r="D183" s="730"/>
      <c r="E183" s="730"/>
      <c r="F183" s="730"/>
      <c r="G183" s="730"/>
      <c r="H183" s="730"/>
      <c r="I183" s="730"/>
      <c r="J183" s="2626" t="s">
        <v>9217</v>
      </c>
      <c r="K183" s="2626"/>
      <c r="L183" s="2626"/>
      <c r="M183" s="2626"/>
      <c r="N183" s="2626"/>
      <c r="O183" s="2626"/>
      <c r="P183" s="730"/>
      <c r="Q183" s="730"/>
      <c r="R183" s="730"/>
      <c r="S183" s="730"/>
      <c r="T183" s="730"/>
      <c r="U183" s="731"/>
      <c r="V183" s="59"/>
    </row>
    <row r="184" spans="2:22" ht="15.95" customHeight="1" x14ac:dyDescent="0.4">
      <c r="B184" s="58"/>
      <c r="C184" s="2611"/>
      <c r="D184" s="2612"/>
      <c r="E184" s="2612"/>
      <c r="F184" s="2612"/>
      <c r="G184" s="2612"/>
      <c r="H184" s="2612"/>
      <c r="I184" s="2612"/>
      <c r="J184" s="2612" t="s">
        <v>8057</v>
      </c>
      <c r="K184" s="2612"/>
      <c r="L184" s="2612"/>
      <c r="M184" s="2612"/>
      <c r="N184" s="2612"/>
      <c r="O184" s="2612" t="s">
        <v>8057</v>
      </c>
      <c r="P184" s="2612"/>
      <c r="Q184" s="2612"/>
      <c r="R184" s="2612"/>
      <c r="S184" s="2612"/>
      <c r="T184" s="2612" t="s">
        <v>8057</v>
      </c>
      <c r="U184" s="2622"/>
      <c r="V184" s="59"/>
    </row>
    <row r="185" spans="2:22" ht="15.95" customHeight="1" x14ac:dyDescent="0.4">
      <c r="B185" s="58"/>
      <c r="C185" s="2611"/>
      <c r="D185" s="2612"/>
      <c r="E185" s="2612"/>
      <c r="F185" s="2612"/>
      <c r="G185" s="2612"/>
      <c r="H185" s="2612"/>
      <c r="I185" s="2612"/>
      <c r="J185" s="2612"/>
      <c r="K185" s="2612"/>
      <c r="L185" s="2612"/>
      <c r="M185" s="2612"/>
      <c r="N185" s="2612"/>
      <c r="O185" s="2612"/>
      <c r="P185" s="2612"/>
      <c r="Q185" s="2612"/>
      <c r="R185" s="2612"/>
      <c r="S185" s="2612"/>
      <c r="T185" s="2612"/>
      <c r="U185" s="2622"/>
      <c r="V185" s="59"/>
    </row>
    <row r="186" spans="2:22" ht="15.95" customHeight="1" thickBot="1" x14ac:dyDescent="0.45">
      <c r="B186" s="58"/>
      <c r="C186" s="718"/>
      <c r="D186" s="719"/>
      <c r="E186" s="719"/>
      <c r="F186" s="719"/>
      <c r="G186" s="719"/>
      <c r="H186" s="719"/>
      <c r="I186" s="719"/>
      <c r="J186" s="719"/>
      <c r="K186" s="719"/>
      <c r="L186" s="719"/>
      <c r="M186" s="719"/>
      <c r="N186" s="719"/>
      <c r="O186" s="719"/>
      <c r="P186" s="719"/>
      <c r="Q186" s="719"/>
      <c r="R186" s="719"/>
      <c r="S186" s="719"/>
      <c r="T186" s="719"/>
      <c r="U186" s="720"/>
      <c r="V186" s="59"/>
    </row>
    <row r="187" spans="2:22" ht="15.95" customHeight="1" thickBot="1" x14ac:dyDescent="0.45">
      <c r="B187" s="60"/>
      <c r="C187" s="61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3"/>
    </row>
    <row r="188" spans="2:22" ht="5.0999999999999996" customHeight="1" thickTop="1" thickBot="1" x14ac:dyDescent="0.45"/>
    <row r="189" spans="2:22" ht="15.95" customHeight="1" thickTop="1" x14ac:dyDescent="0.4">
      <c r="B189" s="52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5"/>
    </row>
    <row r="190" spans="2:22" ht="6" customHeight="1" x14ac:dyDescent="0.4">
      <c r="B190" s="58"/>
      <c r="C190" s="266"/>
      <c r="D190" s="339"/>
      <c r="E190" s="339"/>
      <c r="F190" s="339"/>
      <c r="G190" s="339"/>
      <c r="H190" s="339"/>
      <c r="I190" s="339"/>
      <c r="J190" s="339"/>
      <c r="K190" s="339"/>
      <c r="L190" s="339"/>
      <c r="M190" s="339"/>
      <c r="N190" s="339"/>
      <c r="O190" s="339"/>
      <c r="P190" s="339"/>
      <c r="Q190" s="339"/>
      <c r="R190" s="339"/>
      <c r="S190" s="339"/>
      <c r="T190" s="339"/>
      <c r="U190" s="339"/>
      <c r="V190" s="59"/>
    </row>
    <row r="191" spans="2:22" s="3" customFormat="1" ht="12.95" customHeight="1" x14ac:dyDescent="0.25">
      <c r="B191" s="56"/>
      <c r="C191" s="929"/>
      <c r="D191" s="929"/>
      <c r="E191" s="930"/>
      <c r="F191" s="1433" t="s">
        <v>7925</v>
      </c>
      <c r="G191" s="1433"/>
      <c r="H191" s="1433"/>
      <c r="I191" s="1433"/>
      <c r="J191" s="1433"/>
      <c r="K191" s="1433"/>
      <c r="L191" s="1433"/>
      <c r="M191" s="1433"/>
      <c r="N191" s="1433"/>
      <c r="O191" s="1433"/>
      <c r="P191" s="1433"/>
      <c r="Q191" s="1433"/>
      <c r="R191" s="1433"/>
      <c r="S191" s="1433"/>
      <c r="T191" s="1433"/>
      <c r="U191" s="1433"/>
      <c r="V191" s="57"/>
    </row>
    <row r="192" spans="2:22" ht="12.95" customHeight="1" x14ac:dyDescent="0.4">
      <c r="B192" s="58"/>
      <c r="C192" s="928"/>
      <c r="D192" s="927"/>
      <c r="E192" s="930"/>
      <c r="F192" s="1433" t="s">
        <v>7926</v>
      </c>
      <c r="G192" s="1433"/>
      <c r="H192" s="1433"/>
      <c r="I192" s="1433"/>
      <c r="J192" s="1433"/>
      <c r="K192" s="1433"/>
      <c r="L192" s="1433"/>
      <c r="M192" s="1433"/>
      <c r="N192" s="1433"/>
      <c r="O192" s="1433"/>
      <c r="P192" s="1433"/>
      <c r="Q192" s="1433"/>
      <c r="R192" s="1433"/>
      <c r="S192" s="1433"/>
      <c r="T192" s="1433"/>
      <c r="U192" s="1433"/>
      <c r="V192" s="59"/>
    </row>
    <row r="193" spans="2:22" ht="12.95" customHeight="1" x14ac:dyDescent="0.4">
      <c r="B193" s="58"/>
      <c r="C193" s="930"/>
      <c r="D193" s="930"/>
      <c r="E193" s="929"/>
      <c r="F193" s="2291" t="s">
        <v>8079</v>
      </c>
      <c r="G193" s="2291"/>
      <c r="H193" s="2291"/>
      <c r="I193" s="2291"/>
      <c r="J193" s="2291"/>
      <c r="K193" s="2291"/>
      <c r="L193" s="2291"/>
      <c r="M193" s="2291"/>
      <c r="N193" s="1435" t="str">
        <f>Geral!I8</f>
        <v>Uberaba</v>
      </c>
      <c r="O193" s="1435"/>
      <c r="P193" s="1435"/>
      <c r="Q193" s="1435"/>
      <c r="R193" s="1435"/>
      <c r="S193" s="1435"/>
      <c r="T193" s="1435"/>
      <c r="U193" s="1435"/>
      <c r="V193" s="59"/>
    </row>
    <row r="194" spans="2:22" ht="12.95" customHeight="1" x14ac:dyDescent="0.4">
      <c r="B194" s="58"/>
      <c r="C194" s="936"/>
      <c r="D194" s="936"/>
      <c r="E194" s="1434"/>
      <c r="F194" s="1434"/>
      <c r="G194" s="1434"/>
      <c r="H194" s="1434"/>
      <c r="I194" s="1434"/>
      <c r="J194" s="1434"/>
      <c r="K194" s="1434"/>
      <c r="L194" s="1434"/>
      <c r="M194" s="1434"/>
      <c r="N194" s="1434"/>
      <c r="O194" s="1434"/>
      <c r="P194" s="1434"/>
      <c r="Q194" s="1434"/>
      <c r="R194" s="1434"/>
      <c r="S194" s="1434"/>
      <c r="T194" s="1434"/>
      <c r="U194" s="1434"/>
      <c r="V194" s="59"/>
    </row>
    <row r="195" spans="2:22" ht="12.95" customHeight="1" x14ac:dyDescent="0.4">
      <c r="B195" s="58"/>
      <c r="C195" s="936"/>
      <c r="D195" s="936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930"/>
      <c r="S195" s="930"/>
      <c r="T195" s="930"/>
      <c r="U195" s="930"/>
      <c r="V195" s="59"/>
    </row>
    <row r="196" spans="2:22" ht="12.95" customHeight="1" x14ac:dyDescent="0.4">
      <c r="B196" s="58"/>
      <c r="C196" s="936"/>
      <c r="D196" s="936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  <c r="R196" s="930"/>
      <c r="S196" s="930"/>
      <c r="T196" s="930"/>
      <c r="U196" s="930"/>
      <c r="V196" s="59"/>
    </row>
    <row r="197" spans="2:22" ht="12.95" customHeight="1" x14ac:dyDescent="0.4">
      <c r="B197" s="58"/>
      <c r="C197" s="936"/>
      <c r="D197" s="936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  <c r="R197" s="930"/>
      <c r="S197" s="930"/>
      <c r="T197" s="930"/>
      <c r="U197" s="930"/>
      <c r="V197" s="59"/>
    </row>
    <row r="198" spans="2:22" ht="12.95" customHeight="1" x14ac:dyDescent="0.4">
      <c r="B198" s="58"/>
      <c r="C198" s="936"/>
      <c r="D198" s="936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  <c r="R198" s="930"/>
      <c r="S198" s="930"/>
      <c r="T198" s="930"/>
      <c r="U198" s="930"/>
      <c r="V198" s="59"/>
    </row>
    <row r="199" spans="2:22" ht="15.95" customHeight="1" x14ac:dyDescent="0.4">
      <c r="B199" s="58"/>
      <c r="C199" s="936"/>
      <c r="D199" s="936"/>
      <c r="E199" s="936"/>
      <c r="F199" s="927"/>
      <c r="G199" s="927"/>
      <c r="H199" s="927"/>
      <c r="I199" s="927"/>
      <c r="J199" s="927"/>
      <c r="K199" s="927"/>
      <c r="L199" s="927"/>
      <c r="M199" s="927"/>
      <c r="N199" s="928"/>
      <c r="O199" s="928"/>
      <c r="P199" s="928"/>
      <c r="Q199" s="928"/>
      <c r="R199" s="928"/>
      <c r="S199" s="928"/>
      <c r="T199" s="928"/>
      <c r="U199" s="928"/>
      <c r="V199" s="59"/>
    </row>
    <row r="200" spans="2:22" ht="15.95" customHeight="1" x14ac:dyDescent="0.4">
      <c r="B200" s="58"/>
      <c r="C200" s="936"/>
      <c r="D200" s="936"/>
      <c r="E200" s="936"/>
      <c r="F200" s="927"/>
      <c r="G200" s="927"/>
      <c r="H200" s="927"/>
      <c r="I200" s="927"/>
      <c r="J200" s="927"/>
      <c r="K200" s="927"/>
      <c r="L200" s="927"/>
      <c r="M200" s="927"/>
      <c r="N200" s="928"/>
      <c r="O200" s="928"/>
      <c r="P200" s="928"/>
      <c r="Q200" s="928"/>
      <c r="R200" s="928"/>
      <c r="S200" s="928"/>
      <c r="T200" s="928"/>
      <c r="U200" s="928"/>
      <c r="V200" s="59"/>
    </row>
    <row r="201" spans="2:22" ht="24.95" customHeight="1" x14ac:dyDescent="0.4">
      <c r="B201" s="58"/>
      <c r="C201" s="2627" t="s">
        <v>9196</v>
      </c>
      <c r="D201" s="2627"/>
      <c r="E201" s="2627"/>
      <c r="F201" s="2627"/>
      <c r="G201" s="2627"/>
      <c r="H201" s="2627"/>
      <c r="I201" s="2627"/>
      <c r="J201" s="2627"/>
      <c r="K201" s="2627"/>
      <c r="L201" s="2627"/>
      <c r="M201" s="2627"/>
      <c r="N201" s="2627"/>
      <c r="O201" s="2627"/>
      <c r="P201" s="2627"/>
      <c r="Q201" s="2627"/>
      <c r="R201" s="2627"/>
      <c r="S201" s="2627"/>
      <c r="T201" s="2627"/>
      <c r="U201" s="2627"/>
      <c r="V201" s="59"/>
    </row>
    <row r="202" spans="2:22" ht="24.95" customHeight="1" x14ac:dyDescent="0.4">
      <c r="B202" s="58"/>
      <c r="C202" s="708"/>
      <c r="D202" s="708"/>
      <c r="E202" s="708"/>
      <c r="F202" s="708"/>
      <c r="G202" s="708"/>
      <c r="H202" s="708"/>
      <c r="I202" s="708"/>
      <c r="J202" s="708"/>
      <c r="K202" s="708"/>
      <c r="L202" s="708"/>
      <c r="M202" s="708"/>
      <c r="N202" s="708"/>
      <c r="O202" s="708"/>
      <c r="P202" s="708"/>
      <c r="Q202" s="708"/>
      <c r="R202" s="708"/>
      <c r="S202" s="708"/>
      <c r="T202" s="708"/>
      <c r="U202" s="708"/>
      <c r="V202" s="59"/>
    </row>
    <row r="203" spans="2:22" ht="24.95" customHeight="1" x14ac:dyDescent="0.4">
      <c r="B203" s="58"/>
      <c r="C203" s="434"/>
      <c r="D203" s="434"/>
      <c r="E203" s="434"/>
      <c r="F203" s="969"/>
      <c r="G203" s="969"/>
      <c r="H203" s="969"/>
      <c r="I203" s="969"/>
      <c r="J203" s="969"/>
      <c r="K203" s="969"/>
      <c r="L203" s="969"/>
      <c r="M203" s="969"/>
      <c r="N203" s="968"/>
      <c r="O203" s="968"/>
      <c r="P203" s="968"/>
      <c r="Q203" s="968"/>
      <c r="R203" s="968"/>
      <c r="S203" s="968"/>
      <c r="T203" s="968"/>
      <c r="U203" s="968"/>
      <c r="V203" s="59"/>
    </row>
    <row r="204" spans="2:22" ht="24.95" customHeight="1" x14ac:dyDescent="0.4">
      <c r="B204" s="58"/>
      <c r="C204" s="2628" t="s">
        <v>9197</v>
      </c>
      <c r="D204" s="2629"/>
      <c r="E204" s="2629"/>
      <c r="F204" s="2629"/>
      <c r="G204" s="2629"/>
      <c r="H204" s="2629"/>
      <c r="I204" s="2629"/>
      <c r="J204" s="2629"/>
      <c r="K204" s="2629"/>
      <c r="L204" s="2629"/>
      <c r="M204" s="2629"/>
      <c r="N204" s="2629"/>
      <c r="O204" s="2629"/>
      <c r="P204" s="2629"/>
      <c r="Q204" s="2629"/>
      <c r="R204" s="2629"/>
      <c r="S204" s="2629"/>
      <c r="T204" s="2629"/>
      <c r="U204" s="2629"/>
      <c r="V204" s="59"/>
    </row>
    <row r="205" spans="2:22" ht="24.95" customHeight="1" x14ac:dyDescent="0.4">
      <c r="B205" s="58"/>
      <c r="C205" s="2630" t="str">
        <f>IF(AND(R10="",U10=""),"Aguardando Dados de Saldo de Férias Prêmio em Espécie",IF(AND(R10=0,U10=0),"Aguardando Dados de Saldo de Férias Prêmio em Espécie,",IF(AND(R10&gt;1,U10&gt;1),R10&amp;" ("&amp;Extenso!N12&amp;")"&amp;" meses e "&amp;U10&amp;" ("&amp;Extenso!N13&amp;")"&amp;" dias "&amp;"de Férias Prêmio em Espécie,",IF(AND(R10=1,U10=1),R10&amp;" ("&amp;Extenso!N12&amp;")"&amp;" mês e "&amp;U10&amp;" ("&amp;Extenso!N13&amp;")"&amp;" dia "&amp;"de Férias Prêmio em Espécie,",IF(AND(R10&gt;1,U10=1),R10&amp;" ("&amp;Extenso!N12&amp;")"&amp;" meses e "&amp;U10&amp;" ("&amp;Extenso!N13&amp;")"&amp;" dia "&amp;"de Férias Prêmio em Espécie,",IF(AND(R10=1,U10&gt;1),R10&amp;" ("&amp;Extenso!N12&amp;")"&amp;" mês e "&amp;U10&amp;" ("&amp;Extenso!N13&amp;")"&amp;" dias "&amp;"de Férias Prêmio em Espécie,",IF(AND(R10=1,U10=0),R10&amp;" ("&amp;Extenso!N12&amp;")"&amp;" mês de Férias Prêmio em Espécie,",IF(AND(R10=0,U10=1),U10&amp;" ("&amp;Extenso!N13&amp;")"&amp;" dia de Férias Prêmio em Espécie,",IF(AND(R10&gt;1,U10=0),R10&amp;" ("&amp;Extenso!N12&amp;")"&amp;" meses de Férias Prêmio em Espécie,",IF(AND(R10=0,U10&gt;1),U10&amp;" ("&amp;Extenso!N13&amp;")"&amp;" dias "&amp;"de Férias Prêmio em Espécie,"))))))))))</f>
        <v>Aguardando Dados de Saldo de Férias Prêmio em Espécie</v>
      </c>
      <c r="D205" s="2630"/>
      <c r="E205" s="2630"/>
      <c r="F205" s="2630"/>
      <c r="G205" s="2630"/>
      <c r="H205" s="2630"/>
      <c r="I205" s="2630"/>
      <c r="J205" s="2630"/>
      <c r="K205" s="2630"/>
      <c r="L205" s="2630"/>
      <c r="M205" s="2630"/>
      <c r="N205" s="2630"/>
      <c r="O205" s="2630"/>
      <c r="P205" s="2630"/>
      <c r="Q205" s="2630"/>
      <c r="R205" s="2630"/>
      <c r="S205" s="2630"/>
      <c r="T205" s="2630"/>
      <c r="U205" s="2630"/>
      <c r="V205" s="59"/>
    </row>
    <row r="206" spans="2:22" ht="24.95" customHeight="1" x14ac:dyDescent="0.4">
      <c r="B206" s="58"/>
      <c r="C206" s="2631" t="s">
        <v>9201</v>
      </c>
      <c r="D206" s="2631"/>
      <c r="E206" s="2631"/>
      <c r="F206" s="2631"/>
      <c r="G206" s="2631"/>
      <c r="H206" s="2631"/>
      <c r="I206" s="2631"/>
      <c r="J206" s="2631"/>
      <c r="K206" s="2631"/>
      <c r="L206" s="2631"/>
      <c r="M206" s="2630" t="str">
        <f>P4&amp;Q4&amp;R4&amp;S4&amp;T4&amp;","</f>
        <v>//,</v>
      </c>
      <c r="N206" s="2630"/>
      <c r="O206" s="2630"/>
      <c r="P206" s="2630"/>
      <c r="Q206" s="2631" t="s">
        <v>9198</v>
      </c>
      <c r="R206" s="2631"/>
      <c r="S206" s="2631"/>
      <c r="T206" s="2631"/>
      <c r="U206" s="2631"/>
      <c r="V206" s="59"/>
    </row>
    <row r="207" spans="2:22" ht="24.95" customHeight="1" x14ac:dyDescent="0.4">
      <c r="B207" s="58"/>
      <c r="C207" s="2637">
        <f>G6</f>
        <v>0</v>
      </c>
      <c r="D207" s="2637"/>
      <c r="E207" s="2637"/>
      <c r="F207" s="2637"/>
      <c r="G207" s="2637"/>
      <c r="H207" s="2637"/>
      <c r="I207" s="2637"/>
      <c r="J207" s="2637"/>
      <c r="K207" s="2637"/>
      <c r="L207" s="2637"/>
      <c r="M207" s="2637"/>
      <c r="N207" s="2637"/>
      <c r="O207" s="2638" t="s">
        <v>9202</v>
      </c>
      <c r="P207" s="2638"/>
      <c r="Q207" s="2638"/>
      <c r="R207" s="2639">
        <f>IF(T6="","",T6)</f>
        <v>0</v>
      </c>
      <c r="S207" s="2639"/>
      <c r="T207" s="2639"/>
      <c r="U207" s="712" t="s">
        <v>365</v>
      </c>
      <c r="V207" s="59"/>
    </row>
    <row r="208" spans="2:22" ht="24.95" customHeight="1" x14ac:dyDescent="0.4">
      <c r="B208" s="58"/>
      <c r="C208" s="2640" t="s">
        <v>9200</v>
      </c>
      <c r="D208" s="2640"/>
      <c r="E208" s="2640"/>
      <c r="F208" s="2640"/>
      <c r="G208" s="2640"/>
      <c r="H208" s="2640"/>
      <c r="I208" s="2640"/>
      <c r="J208" s="2640"/>
      <c r="K208" s="2640"/>
      <c r="L208" s="2640"/>
      <c r="M208" s="2640"/>
      <c r="N208" s="2640"/>
      <c r="O208" s="2640"/>
      <c r="P208" s="2640"/>
      <c r="Q208" s="2640"/>
      <c r="R208" s="2640"/>
      <c r="S208" s="2640"/>
      <c r="T208" s="2640"/>
      <c r="U208" s="2640"/>
      <c r="V208" s="59"/>
    </row>
    <row r="209" spans="2:22" ht="24.95" customHeight="1" x14ac:dyDescent="0.4">
      <c r="B209" s="58"/>
      <c r="C209" s="1433"/>
      <c r="D209" s="1433"/>
      <c r="E209" s="1433"/>
      <c r="F209" s="1433"/>
      <c r="G209" s="1433"/>
      <c r="H209" s="1433"/>
      <c r="I209" s="1433"/>
      <c r="J209" s="1433"/>
      <c r="K209" s="1433"/>
      <c r="L209" s="1433"/>
      <c r="M209" s="1433"/>
      <c r="N209" s="1433"/>
      <c r="O209" s="1433"/>
      <c r="P209" s="1433"/>
      <c r="Q209" s="1433"/>
      <c r="R209" s="1433"/>
      <c r="S209" s="1433"/>
      <c r="T209" s="1433"/>
      <c r="U209" s="1433"/>
      <c r="V209" s="59"/>
    </row>
    <row r="210" spans="2:22" ht="15.95" customHeight="1" x14ac:dyDescent="0.4">
      <c r="B210" s="58"/>
      <c r="C210" s="928"/>
      <c r="D210" s="928"/>
      <c r="E210" s="928"/>
      <c r="F210" s="928"/>
      <c r="G210" s="928"/>
      <c r="H210" s="928"/>
      <c r="I210" s="928"/>
      <c r="J210" s="928"/>
      <c r="K210" s="928"/>
      <c r="L210" s="928"/>
      <c r="M210" s="928"/>
      <c r="N210" s="928"/>
      <c r="O210" s="928"/>
      <c r="P210" s="928"/>
      <c r="Q210" s="928"/>
      <c r="R210" s="928"/>
      <c r="S210" s="928"/>
      <c r="T210" s="928"/>
      <c r="U210" s="928"/>
      <c r="V210" s="59"/>
    </row>
    <row r="211" spans="2:22" ht="15.95" customHeight="1" x14ac:dyDescent="0.4">
      <c r="B211" s="58"/>
      <c r="C211" s="928"/>
      <c r="D211" s="928"/>
      <c r="E211" s="928"/>
      <c r="F211" s="928"/>
      <c r="G211" s="928"/>
      <c r="H211" s="928"/>
      <c r="I211" s="928"/>
      <c r="J211" s="928"/>
      <c r="K211" s="928"/>
      <c r="L211" s="928"/>
      <c r="M211" s="928"/>
      <c r="N211" s="928"/>
      <c r="O211" s="928"/>
      <c r="P211" s="928"/>
      <c r="Q211" s="928"/>
      <c r="R211" s="928"/>
      <c r="S211" s="928"/>
      <c r="T211" s="928"/>
      <c r="U211" s="928"/>
      <c r="V211" s="59"/>
    </row>
    <row r="212" spans="2:22" ht="15.95" customHeight="1" x14ac:dyDescent="0.4">
      <c r="B212" s="58"/>
      <c r="C212" s="1434"/>
      <c r="D212" s="1434"/>
      <c r="E212" s="1434"/>
      <c r="F212" s="1434"/>
      <c r="G212" s="1434"/>
      <c r="H212" s="1434"/>
      <c r="I212" s="1434"/>
      <c r="J212" s="1434"/>
      <c r="K212" s="1434"/>
      <c r="L212" s="1434"/>
      <c r="M212" s="1434"/>
      <c r="N212" s="1434"/>
      <c r="O212" s="1434"/>
      <c r="P212" s="1434"/>
      <c r="Q212" s="1434"/>
      <c r="R212" s="1434"/>
      <c r="S212" s="1434"/>
      <c r="T212" s="1434"/>
      <c r="U212" s="1434"/>
      <c r="V212" s="59"/>
    </row>
    <row r="213" spans="2:22" ht="15.95" customHeight="1" x14ac:dyDescent="0.4">
      <c r="B213" s="58"/>
      <c r="C213" s="2632" t="str">
        <f>Geral!I8</f>
        <v>Uberaba</v>
      </c>
      <c r="D213" s="2632"/>
      <c r="E213" s="2632"/>
      <c r="F213" s="2632"/>
      <c r="G213" s="2632"/>
      <c r="H213" s="2632"/>
      <c r="I213" s="2632"/>
      <c r="J213" s="2632"/>
      <c r="K213" s="2632"/>
      <c r="L213" s="968" t="s">
        <v>365</v>
      </c>
      <c r="M213" s="2633">
        <f ca="1">IF(D14&lt;&gt;0,C15,TODAY())</f>
        <v>43238</v>
      </c>
      <c r="N213" s="2633"/>
      <c r="O213" s="2633"/>
      <c r="P213" s="2633"/>
      <c r="Q213" s="2633"/>
      <c r="R213" s="2633"/>
      <c r="S213" s="2633"/>
      <c r="T213" s="2633"/>
      <c r="U213" s="2633"/>
      <c r="V213" s="59"/>
    </row>
    <row r="214" spans="2:22" ht="15.95" customHeight="1" x14ac:dyDescent="0.4">
      <c r="B214" s="58"/>
      <c r="C214" s="1433"/>
      <c r="D214" s="1433"/>
      <c r="E214" s="1433"/>
      <c r="F214" s="1433"/>
      <c r="G214" s="1433"/>
      <c r="H214" s="1433"/>
      <c r="I214" s="1433"/>
      <c r="J214" s="1433"/>
      <c r="K214" s="1433"/>
      <c r="L214" s="1433"/>
      <c r="M214" s="1433"/>
      <c r="N214" s="1433"/>
      <c r="O214" s="1433"/>
      <c r="P214" s="1433"/>
      <c r="Q214" s="1433"/>
      <c r="R214" s="1433"/>
      <c r="S214" s="1433"/>
      <c r="T214" s="1433"/>
      <c r="U214" s="1433"/>
      <c r="V214" s="59"/>
    </row>
    <row r="215" spans="2:22" ht="15.95" customHeight="1" x14ac:dyDescent="0.4">
      <c r="B215" s="58"/>
      <c r="C215" s="928"/>
      <c r="D215" s="928"/>
      <c r="E215" s="928"/>
      <c r="F215" s="928"/>
      <c r="G215" s="928"/>
      <c r="H215" s="928"/>
      <c r="I215" s="928"/>
      <c r="J215" s="928"/>
      <c r="K215" s="928"/>
      <c r="L215" s="928"/>
      <c r="M215" s="928"/>
      <c r="N215" s="928"/>
      <c r="O215" s="928"/>
      <c r="P215" s="928"/>
      <c r="Q215" s="928"/>
      <c r="R215" s="928"/>
      <c r="S215" s="928"/>
      <c r="T215" s="928"/>
      <c r="U215" s="928"/>
      <c r="V215" s="59"/>
    </row>
    <row r="216" spans="2:22" ht="15.95" customHeight="1" x14ac:dyDescent="0.4">
      <c r="B216" s="58"/>
      <c r="C216" s="928"/>
      <c r="D216" s="928"/>
      <c r="E216" s="928"/>
      <c r="F216" s="928"/>
      <c r="G216" s="928"/>
      <c r="H216" s="928"/>
      <c r="I216" s="928"/>
      <c r="J216" s="928"/>
      <c r="K216" s="928"/>
      <c r="L216" s="928"/>
      <c r="M216" s="928"/>
      <c r="N216" s="928"/>
      <c r="O216" s="928"/>
      <c r="P216" s="928"/>
      <c r="Q216" s="928"/>
      <c r="R216" s="928"/>
      <c r="S216" s="928"/>
      <c r="T216" s="928"/>
      <c r="U216" s="928"/>
      <c r="V216" s="59"/>
    </row>
    <row r="217" spans="2:22" ht="15.95" customHeight="1" x14ac:dyDescent="0.4">
      <c r="B217" s="58"/>
      <c r="C217" s="928"/>
      <c r="D217" s="928"/>
      <c r="E217" s="928"/>
      <c r="F217" s="928"/>
      <c r="G217" s="928"/>
      <c r="H217" s="928"/>
      <c r="I217" s="928"/>
      <c r="J217" s="928"/>
      <c r="K217" s="928"/>
      <c r="L217" s="928"/>
      <c r="M217" s="928"/>
      <c r="N217" s="928"/>
      <c r="O217" s="928"/>
      <c r="P217" s="928"/>
      <c r="Q217" s="928"/>
      <c r="R217" s="928"/>
      <c r="S217" s="928"/>
      <c r="T217" s="928"/>
      <c r="U217" s="928"/>
      <c r="V217" s="59"/>
    </row>
    <row r="218" spans="2:22" ht="15.95" customHeight="1" x14ac:dyDescent="0.4">
      <c r="B218" s="58"/>
      <c r="C218" s="928"/>
      <c r="D218" s="928"/>
      <c r="E218" s="928"/>
      <c r="F218" s="928"/>
      <c r="G218" s="928"/>
      <c r="H218" s="928"/>
      <c r="I218" s="928"/>
      <c r="J218" s="928"/>
      <c r="K218" s="928"/>
      <c r="L218" s="928"/>
      <c r="M218" s="928"/>
      <c r="N218" s="928"/>
      <c r="O218" s="928"/>
      <c r="P218" s="928"/>
      <c r="Q218" s="928"/>
      <c r="R218" s="928"/>
      <c r="S218" s="928"/>
      <c r="T218" s="928"/>
      <c r="U218" s="928"/>
      <c r="V218" s="59"/>
    </row>
    <row r="219" spans="2:22" ht="15.95" customHeight="1" x14ac:dyDescent="0.4">
      <c r="B219" s="58"/>
      <c r="C219" s="928"/>
      <c r="D219" s="928"/>
      <c r="E219" s="928"/>
      <c r="F219" s="928"/>
      <c r="G219" s="928"/>
      <c r="H219" s="928"/>
      <c r="I219" s="928"/>
      <c r="J219" s="928"/>
      <c r="K219" s="928"/>
      <c r="L219" s="928"/>
      <c r="M219" s="928"/>
      <c r="N219" s="928"/>
      <c r="O219" s="928"/>
      <c r="P219" s="928"/>
      <c r="Q219" s="928"/>
      <c r="R219" s="928"/>
      <c r="S219" s="928"/>
      <c r="T219" s="928"/>
      <c r="U219" s="928"/>
      <c r="V219" s="59"/>
    </row>
    <row r="220" spans="2:22" ht="15.95" customHeight="1" x14ac:dyDescent="0.4">
      <c r="B220" s="58"/>
      <c r="C220" s="928"/>
      <c r="D220" s="927"/>
      <c r="E220" s="927"/>
      <c r="F220" s="2634"/>
      <c r="G220" s="2634"/>
      <c r="H220" s="2634"/>
      <c r="I220" s="2634"/>
      <c r="J220" s="2634"/>
      <c r="K220" s="2634"/>
      <c r="L220" s="2634"/>
      <c r="M220" s="2634"/>
      <c r="N220" s="2634"/>
      <c r="O220" s="2634"/>
      <c r="P220" s="2634"/>
      <c r="Q220" s="2634"/>
      <c r="R220" s="2634"/>
      <c r="S220" s="927"/>
      <c r="T220" s="927"/>
      <c r="U220" s="927"/>
      <c r="V220" s="59"/>
    </row>
    <row r="221" spans="2:22" ht="15.95" customHeight="1" x14ac:dyDescent="0.4">
      <c r="B221" s="58"/>
      <c r="C221" s="2635"/>
      <c r="D221" s="2635"/>
      <c r="E221" s="2635"/>
      <c r="F221" s="2635"/>
      <c r="G221" s="2635"/>
      <c r="H221" s="2636" t="str">
        <f>Geral!I11</f>
        <v>Elizabet das Graças Limido Santos</v>
      </c>
      <c r="I221" s="2636"/>
      <c r="J221" s="2636"/>
      <c r="K221" s="2636"/>
      <c r="L221" s="2636"/>
      <c r="M221" s="2636"/>
      <c r="N221" s="2636"/>
      <c r="O221" s="2636"/>
      <c r="P221" s="2636"/>
      <c r="Q221" s="2635"/>
      <c r="R221" s="2635"/>
      <c r="S221" s="2635"/>
      <c r="T221" s="2635"/>
      <c r="U221" s="2635"/>
      <c r="V221" s="59"/>
    </row>
    <row r="222" spans="2:22" ht="15.95" customHeight="1" x14ac:dyDescent="0.4">
      <c r="B222" s="58"/>
      <c r="C222" s="968"/>
      <c r="D222" s="968"/>
      <c r="E222" s="968"/>
      <c r="F222" s="968"/>
      <c r="G222" s="968"/>
      <c r="H222" s="2636" t="s">
        <v>9212</v>
      </c>
      <c r="I222" s="2636"/>
      <c r="J222" s="2636"/>
      <c r="K222" s="2636"/>
      <c r="L222" s="2636"/>
      <c r="M222" s="2636"/>
      <c r="N222" s="2636"/>
      <c r="O222" s="2636"/>
      <c r="P222" s="2636"/>
      <c r="Q222" s="968"/>
      <c r="R222" s="968"/>
      <c r="S222" s="968"/>
      <c r="T222" s="968"/>
      <c r="U222" s="968"/>
      <c r="V222" s="59"/>
    </row>
    <row r="223" spans="2:22" ht="15.95" customHeight="1" x14ac:dyDescent="0.4">
      <c r="B223" s="58"/>
      <c r="C223" s="968"/>
      <c r="D223" s="968"/>
      <c r="E223" s="968"/>
      <c r="F223" s="968"/>
      <c r="G223" s="968"/>
      <c r="H223" s="967"/>
      <c r="I223" s="967"/>
      <c r="J223" s="967"/>
      <c r="K223" s="967"/>
      <c r="L223" s="967"/>
      <c r="M223" s="967"/>
      <c r="N223" s="967"/>
      <c r="O223" s="967"/>
      <c r="P223" s="967"/>
      <c r="Q223" s="968"/>
      <c r="R223" s="968"/>
      <c r="S223" s="968"/>
      <c r="T223" s="968"/>
      <c r="U223" s="968"/>
      <c r="V223" s="59"/>
    </row>
    <row r="224" spans="2:22" ht="15.95" customHeight="1" x14ac:dyDescent="0.4">
      <c r="B224" s="58"/>
      <c r="C224" s="968"/>
      <c r="D224" s="968"/>
      <c r="E224" s="968"/>
      <c r="F224" s="968"/>
      <c r="G224" s="968"/>
      <c r="H224" s="967"/>
      <c r="I224" s="967"/>
      <c r="J224" s="967"/>
      <c r="K224" s="967"/>
      <c r="L224" s="967"/>
      <c r="M224" s="967"/>
      <c r="N224" s="967"/>
      <c r="O224" s="967"/>
      <c r="P224" s="967"/>
      <c r="Q224" s="968"/>
      <c r="R224" s="968"/>
      <c r="S224" s="968"/>
      <c r="T224" s="968"/>
      <c r="U224" s="968"/>
      <c r="V224" s="59"/>
    </row>
    <row r="225" spans="2:22" ht="15.95" customHeight="1" x14ac:dyDescent="0.4">
      <c r="B225" s="58"/>
      <c r="C225" s="968"/>
      <c r="D225" s="968"/>
      <c r="E225" s="968"/>
      <c r="F225" s="968"/>
      <c r="G225" s="968"/>
      <c r="H225" s="967"/>
      <c r="I225" s="967"/>
      <c r="J225" s="967"/>
      <c r="K225" s="967"/>
      <c r="L225" s="967"/>
      <c r="M225" s="967"/>
      <c r="N225" s="967"/>
      <c r="O225" s="967"/>
      <c r="P225" s="967"/>
      <c r="Q225" s="968"/>
      <c r="R225" s="968"/>
      <c r="S225" s="968"/>
      <c r="T225" s="968"/>
      <c r="U225" s="968"/>
      <c r="V225" s="59"/>
    </row>
    <row r="226" spans="2:22" ht="15.95" customHeight="1" x14ac:dyDescent="0.4">
      <c r="B226" s="58"/>
      <c r="C226" s="968"/>
      <c r="D226" s="968"/>
      <c r="E226" s="968"/>
      <c r="F226" s="968"/>
      <c r="G226" s="968"/>
      <c r="H226" s="967"/>
      <c r="I226" s="967"/>
      <c r="J226" s="967"/>
      <c r="K226" s="967"/>
      <c r="L226" s="967"/>
      <c r="M226" s="967"/>
      <c r="N226" s="967"/>
      <c r="O226" s="967"/>
      <c r="P226" s="967"/>
      <c r="Q226" s="968"/>
      <c r="R226" s="968"/>
      <c r="S226" s="968"/>
      <c r="T226" s="968"/>
      <c r="U226" s="968"/>
      <c r="V226" s="59"/>
    </row>
    <row r="227" spans="2:22" ht="15.95" customHeight="1" x14ac:dyDescent="0.4">
      <c r="B227" s="58"/>
      <c r="C227" s="968"/>
      <c r="D227" s="968"/>
      <c r="E227" s="968"/>
      <c r="F227" s="968"/>
      <c r="G227" s="968"/>
      <c r="H227" s="967"/>
      <c r="I227" s="967"/>
      <c r="J227" s="967"/>
      <c r="K227" s="967"/>
      <c r="L227" s="967"/>
      <c r="M227" s="967"/>
      <c r="N227" s="967"/>
      <c r="O227" s="967"/>
      <c r="P227" s="967"/>
      <c r="Q227" s="968"/>
      <c r="R227" s="968"/>
      <c r="S227" s="968"/>
      <c r="T227" s="968"/>
      <c r="U227" s="968"/>
      <c r="V227" s="59"/>
    </row>
    <row r="228" spans="2:22" ht="15.95" customHeight="1" x14ac:dyDescent="0.4">
      <c r="B228" s="58"/>
      <c r="C228" s="968"/>
      <c r="D228" s="968"/>
      <c r="E228" s="968"/>
      <c r="F228" s="968"/>
      <c r="G228" s="968"/>
      <c r="H228" s="967"/>
      <c r="I228" s="967"/>
      <c r="J228" s="967"/>
      <c r="K228" s="967"/>
      <c r="L228" s="967"/>
      <c r="M228" s="967"/>
      <c r="N228" s="967"/>
      <c r="O228" s="967"/>
      <c r="P228" s="967"/>
      <c r="Q228" s="968"/>
      <c r="R228" s="968"/>
      <c r="S228" s="968"/>
      <c r="T228" s="968"/>
      <c r="U228" s="968"/>
      <c r="V228" s="59"/>
    </row>
    <row r="229" spans="2:22" ht="15.95" customHeight="1" x14ac:dyDescent="0.4">
      <c r="B229" s="58"/>
      <c r="C229" s="968"/>
      <c r="D229" s="968"/>
      <c r="E229" s="968"/>
      <c r="F229" s="2641"/>
      <c r="G229" s="2641"/>
      <c r="H229" s="2641"/>
      <c r="I229" s="2641"/>
      <c r="J229" s="2641"/>
      <c r="K229" s="2641"/>
      <c r="L229" s="2641"/>
      <c r="M229" s="2641"/>
      <c r="N229" s="2641"/>
      <c r="O229" s="2641"/>
      <c r="P229" s="2641"/>
      <c r="Q229" s="2641"/>
      <c r="R229" s="2641"/>
      <c r="S229" s="968"/>
      <c r="T229" s="968"/>
      <c r="U229" s="968"/>
      <c r="V229" s="59"/>
    </row>
    <row r="230" spans="2:22" ht="15.95" customHeight="1" x14ac:dyDescent="0.4">
      <c r="B230" s="58"/>
      <c r="C230" s="968"/>
      <c r="D230" s="968"/>
      <c r="E230" s="968"/>
      <c r="F230" s="968"/>
      <c r="G230" s="1036"/>
      <c r="H230" s="2642" t="str">
        <f>Geral!I13</f>
        <v>Marilda Ribeiro Resende</v>
      </c>
      <c r="I230" s="2642"/>
      <c r="J230" s="2642"/>
      <c r="K230" s="2642"/>
      <c r="L230" s="2642"/>
      <c r="M230" s="2642"/>
      <c r="N230" s="2642"/>
      <c r="O230" s="2642"/>
      <c r="P230" s="2642"/>
      <c r="Q230" s="2642"/>
      <c r="R230" s="2642"/>
      <c r="S230" s="968"/>
      <c r="T230" s="968"/>
      <c r="U230" s="968"/>
      <c r="V230" s="59"/>
    </row>
    <row r="231" spans="2:22" ht="15.95" customHeight="1" x14ac:dyDescent="0.4">
      <c r="B231" s="58"/>
      <c r="C231" s="969"/>
      <c r="D231" s="969"/>
      <c r="E231" s="969"/>
      <c r="F231" s="969"/>
      <c r="G231" s="969"/>
      <c r="H231" s="1433" t="str">
        <f>Geral!C13</f>
        <v>Diretor(a) da S.R.E.</v>
      </c>
      <c r="I231" s="1433"/>
      <c r="J231" s="1433"/>
      <c r="K231" s="1433"/>
      <c r="L231" s="2635" t="str">
        <f>Geral!I8</f>
        <v>Uberaba</v>
      </c>
      <c r="M231" s="2635"/>
      <c r="N231" s="2635"/>
      <c r="O231" s="2635"/>
      <c r="P231" s="2635"/>
      <c r="Q231" s="2635"/>
      <c r="R231" s="2635"/>
      <c r="S231" s="2635"/>
      <c r="T231" s="2635"/>
      <c r="U231" s="2635"/>
      <c r="V231" s="59"/>
    </row>
    <row r="232" spans="2:22" ht="15.95" customHeight="1" x14ac:dyDescent="0.4">
      <c r="B232" s="58"/>
      <c r="C232" s="928"/>
      <c r="D232" s="927"/>
      <c r="E232" s="927"/>
      <c r="F232" s="927"/>
      <c r="G232" s="927"/>
      <c r="H232" s="927"/>
      <c r="I232" s="927"/>
      <c r="J232" s="927"/>
      <c r="K232" s="927"/>
      <c r="L232" s="927"/>
      <c r="M232" s="927"/>
      <c r="N232" s="927"/>
      <c r="O232" s="927"/>
      <c r="P232" s="927"/>
      <c r="Q232" s="927"/>
      <c r="R232" s="927"/>
      <c r="S232" s="927"/>
      <c r="T232" s="927"/>
      <c r="U232" s="927"/>
      <c r="V232" s="59"/>
    </row>
    <row r="233" spans="2:22" ht="15.95" customHeight="1" x14ac:dyDescent="0.4">
      <c r="B233" s="58"/>
      <c r="C233" s="928"/>
      <c r="D233" s="927"/>
      <c r="E233" s="927"/>
      <c r="F233" s="927"/>
      <c r="G233" s="927"/>
      <c r="H233" s="927"/>
      <c r="I233" s="927"/>
      <c r="J233" s="927"/>
      <c r="K233" s="927"/>
      <c r="L233" s="927"/>
      <c r="M233" s="927"/>
      <c r="N233" s="927"/>
      <c r="O233" s="927"/>
      <c r="P233" s="927"/>
      <c r="Q233" s="927"/>
      <c r="R233" s="927"/>
      <c r="S233" s="927"/>
      <c r="T233" s="927"/>
      <c r="U233" s="927"/>
      <c r="V233" s="59"/>
    </row>
    <row r="234" spans="2:22" ht="15.95" customHeight="1" x14ac:dyDescent="0.4">
      <c r="B234" s="58"/>
      <c r="C234" s="928"/>
      <c r="D234" s="927"/>
      <c r="E234" s="927"/>
      <c r="F234" s="927"/>
      <c r="G234" s="927"/>
      <c r="H234" s="927"/>
      <c r="I234" s="927"/>
      <c r="J234" s="927"/>
      <c r="K234" s="927"/>
      <c r="L234" s="927"/>
      <c r="M234" s="927"/>
      <c r="N234" s="927"/>
      <c r="O234" s="927"/>
      <c r="P234" s="927"/>
      <c r="Q234" s="927"/>
      <c r="R234" s="927"/>
      <c r="S234" s="927"/>
      <c r="T234" s="927"/>
      <c r="U234" s="927"/>
      <c r="V234" s="59"/>
    </row>
    <row r="235" spans="2:22" ht="15.95" customHeight="1" x14ac:dyDescent="0.4">
      <c r="B235" s="58"/>
      <c r="C235" s="968"/>
      <c r="D235" s="968"/>
      <c r="E235" s="968"/>
      <c r="F235" s="968"/>
      <c r="G235" s="968"/>
      <c r="H235" s="968"/>
      <c r="I235" s="968"/>
      <c r="J235" s="968"/>
      <c r="K235" s="968"/>
      <c r="L235" s="968"/>
      <c r="M235" s="968"/>
      <c r="N235" s="968"/>
      <c r="O235" s="968"/>
      <c r="P235" s="968"/>
      <c r="Q235" s="968"/>
      <c r="R235" s="968"/>
      <c r="S235" s="968"/>
      <c r="T235" s="968"/>
      <c r="U235" s="968"/>
      <c r="V235" s="59"/>
    </row>
    <row r="236" spans="2:22" ht="15.95" customHeight="1" x14ac:dyDescent="0.4">
      <c r="B236" s="58"/>
      <c r="C236" s="968"/>
      <c r="D236" s="968"/>
      <c r="E236" s="968"/>
      <c r="F236" s="968"/>
      <c r="G236" s="968"/>
      <c r="H236" s="968"/>
      <c r="I236" s="968"/>
      <c r="J236" s="968"/>
      <c r="K236" s="968"/>
      <c r="L236" s="968"/>
      <c r="M236" s="968"/>
      <c r="N236" s="968"/>
      <c r="O236" s="968"/>
      <c r="P236" s="968"/>
      <c r="Q236" s="968"/>
      <c r="R236" s="968"/>
      <c r="S236" s="968"/>
      <c r="T236" s="968"/>
      <c r="U236" s="968"/>
      <c r="V236" s="59"/>
    </row>
    <row r="237" spans="2:22" ht="15.95" customHeight="1" x14ac:dyDescent="0.4">
      <c r="B237" s="58"/>
      <c r="C237" s="968"/>
      <c r="D237" s="968"/>
      <c r="E237" s="968"/>
      <c r="F237" s="968"/>
      <c r="G237" s="968"/>
      <c r="H237" s="968"/>
      <c r="I237" s="968"/>
      <c r="J237" s="968"/>
      <c r="K237" s="968"/>
      <c r="L237" s="968"/>
      <c r="M237" s="968"/>
      <c r="N237" s="968"/>
      <c r="O237" s="968"/>
      <c r="P237" s="968"/>
      <c r="Q237" s="968"/>
      <c r="R237" s="968"/>
      <c r="S237" s="968"/>
      <c r="T237" s="968"/>
      <c r="U237" s="968"/>
      <c r="V237" s="59"/>
    </row>
    <row r="238" spans="2:22" ht="15.95" customHeight="1" x14ac:dyDescent="0.4">
      <c r="B238" s="58"/>
      <c r="C238" s="968"/>
      <c r="D238" s="968"/>
      <c r="E238" s="968"/>
      <c r="F238" s="968"/>
      <c r="G238" s="968"/>
      <c r="H238" s="968"/>
      <c r="I238" s="968"/>
      <c r="J238" s="968"/>
      <c r="K238" s="968"/>
      <c r="L238" s="968"/>
      <c r="M238" s="968"/>
      <c r="N238" s="968"/>
      <c r="O238" s="968"/>
      <c r="P238" s="968"/>
      <c r="Q238" s="968"/>
      <c r="R238" s="968"/>
      <c r="S238" s="968"/>
      <c r="T238" s="968"/>
      <c r="U238" s="968"/>
      <c r="V238" s="59"/>
    </row>
    <row r="239" spans="2:22" ht="15.95" customHeight="1" thickBot="1" x14ac:dyDescent="0.45">
      <c r="B239" s="60"/>
      <c r="C239" s="61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3"/>
    </row>
    <row r="240" spans="2:22" ht="5.0999999999999996" customHeight="1" thickTop="1" thickBot="1" x14ac:dyDescent="0.45"/>
    <row r="241" spans="2:22" ht="15.95" customHeight="1" thickTop="1" x14ac:dyDescent="0.4">
      <c r="B241" s="52"/>
      <c r="C241" s="53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5"/>
    </row>
    <row r="242" spans="2:22" s="3" customFormat="1" ht="15.95" customHeight="1" x14ac:dyDescent="0.25">
      <c r="B242" s="56"/>
      <c r="C242" s="929"/>
      <c r="D242" s="929"/>
      <c r="E242" s="1438" t="s">
        <v>352</v>
      </c>
      <c r="F242" s="1438"/>
      <c r="G242" s="1438"/>
      <c r="H242" s="1438"/>
      <c r="I242" s="1438"/>
      <c r="J242" s="1438"/>
      <c r="K242" s="1438"/>
      <c r="L242" s="1438"/>
      <c r="M242" s="1438"/>
      <c r="N242" s="1438"/>
      <c r="O242" s="1438"/>
      <c r="P242" s="1438"/>
      <c r="Q242" s="1438"/>
      <c r="R242" s="1438"/>
      <c r="S242" s="1438"/>
      <c r="T242" s="1438"/>
      <c r="U242" s="1438"/>
      <c r="V242" s="57"/>
    </row>
    <row r="243" spans="2:22" ht="15.95" customHeight="1" x14ac:dyDescent="0.4">
      <c r="B243" s="58"/>
      <c r="C243" s="928"/>
      <c r="D243" s="927"/>
      <c r="E243" s="1482" t="s">
        <v>9209</v>
      </c>
      <c r="F243" s="1482"/>
      <c r="G243" s="1482"/>
      <c r="H243" s="1482"/>
      <c r="I243" s="1482"/>
      <c r="J243" s="1482"/>
      <c r="K243" s="1482"/>
      <c r="L243" s="1482"/>
      <c r="M243" s="1482"/>
      <c r="N243" s="1482"/>
      <c r="O243" s="1482"/>
      <c r="P243" s="1482"/>
      <c r="Q243" s="1482"/>
      <c r="R243" s="1482"/>
      <c r="S243" s="1482"/>
      <c r="T243" s="1482"/>
      <c r="U243" s="1482"/>
      <c r="V243" s="59"/>
    </row>
    <row r="244" spans="2:22" ht="15.95" customHeight="1" x14ac:dyDescent="0.4">
      <c r="B244" s="58"/>
      <c r="C244" s="1434"/>
      <c r="D244" s="1434"/>
      <c r="E244" s="1434"/>
      <c r="F244" s="1434"/>
      <c r="G244" s="1434"/>
      <c r="H244" s="1434"/>
      <c r="I244" s="1434"/>
      <c r="J244" s="1434"/>
      <c r="K244" s="1434"/>
      <c r="L244" s="1434"/>
      <c r="M244" s="1434"/>
      <c r="N244" s="1434"/>
      <c r="O244" s="1434"/>
      <c r="P244" s="1434"/>
      <c r="Q244" s="1434"/>
      <c r="R244" s="1434"/>
      <c r="S244" s="1434"/>
      <c r="T244" s="1434"/>
      <c r="U244" s="1434"/>
      <c r="V244" s="59"/>
    </row>
    <row r="245" spans="2:22" ht="15.95" customHeight="1" x14ac:dyDescent="0.4">
      <c r="B245" s="58"/>
      <c r="C245" s="1460" t="s">
        <v>354</v>
      </c>
      <c r="D245" s="1460"/>
      <c r="E245" s="1460"/>
      <c r="F245" s="1460"/>
      <c r="G245" s="1460"/>
      <c r="H245" s="1460"/>
      <c r="I245" s="1433" t="s">
        <v>355</v>
      </c>
      <c r="J245" s="1433"/>
      <c r="K245" s="1433"/>
      <c r="L245" s="1433"/>
      <c r="M245" s="1433"/>
      <c r="N245" s="1433"/>
      <c r="O245" s="1433"/>
      <c r="P245" s="1433"/>
      <c r="Q245" s="1433"/>
      <c r="R245" s="1433"/>
      <c r="S245" s="1433"/>
      <c r="T245" s="1433"/>
      <c r="U245" s="1433"/>
      <c r="V245" s="59"/>
    </row>
    <row r="246" spans="2:22" ht="15.95" customHeight="1" x14ac:dyDescent="0.4">
      <c r="B246" s="58"/>
      <c r="C246" s="1460" t="s">
        <v>356</v>
      </c>
      <c r="D246" s="1460"/>
      <c r="E246" s="1460"/>
      <c r="F246" s="1436" t="s">
        <v>357</v>
      </c>
      <c r="G246" s="1436"/>
      <c r="H246" s="1436"/>
      <c r="I246" s="1436"/>
      <c r="J246" s="1436"/>
      <c r="K246" s="1436"/>
      <c r="L246" s="1436"/>
      <c r="M246" s="1436"/>
      <c r="N246" s="1433" t="str">
        <f>Geral!I8</f>
        <v>Uberaba</v>
      </c>
      <c r="O246" s="1433"/>
      <c r="P246" s="1433"/>
      <c r="Q246" s="1433"/>
      <c r="R246" s="1433"/>
      <c r="S246" s="1433"/>
      <c r="T246" s="1433"/>
      <c r="U246" s="1433"/>
      <c r="V246" s="59"/>
    </row>
    <row r="247" spans="2:22" ht="15.95" customHeight="1" x14ac:dyDescent="0.4">
      <c r="B247" s="58"/>
      <c r="C247" s="936"/>
      <c r="D247" s="936"/>
      <c r="E247" s="936"/>
      <c r="F247" s="927"/>
      <c r="G247" s="927"/>
      <c r="H247" s="927"/>
      <c r="I247" s="927"/>
      <c r="J247" s="927"/>
      <c r="K247" s="927"/>
      <c r="L247" s="927"/>
      <c r="M247" s="927"/>
      <c r="N247" s="928"/>
      <c r="O247" s="928"/>
      <c r="P247" s="928"/>
      <c r="Q247" s="928"/>
      <c r="R247" s="928"/>
      <c r="S247" s="928"/>
      <c r="T247" s="928"/>
      <c r="U247" s="928"/>
      <c r="V247" s="59"/>
    </row>
    <row r="248" spans="2:22" ht="5.0999999999999996" customHeight="1" x14ac:dyDescent="0.4">
      <c r="B248" s="58"/>
      <c r="C248" s="928"/>
      <c r="D248" s="927"/>
      <c r="E248" s="927"/>
      <c r="F248" s="927"/>
      <c r="G248" s="927"/>
      <c r="H248" s="927"/>
      <c r="I248" s="927"/>
      <c r="J248" s="927"/>
      <c r="K248" s="927"/>
      <c r="L248" s="927"/>
      <c r="M248" s="927"/>
      <c r="N248" s="927"/>
      <c r="O248" s="927"/>
      <c r="P248" s="927"/>
      <c r="Q248" s="927"/>
      <c r="R248" s="927"/>
      <c r="S248" s="927"/>
      <c r="T248" s="927"/>
      <c r="U248" s="927"/>
      <c r="V248" s="59"/>
    </row>
    <row r="249" spans="2:22" ht="21.95" customHeight="1" x14ac:dyDescent="0.4">
      <c r="B249" s="58"/>
      <c r="C249" s="1433"/>
      <c r="D249" s="1433"/>
      <c r="E249" s="1433"/>
      <c r="F249" s="1433"/>
      <c r="G249" s="1456" t="s">
        <v>358</v>
      </c>
      <c r="H249" s="1456"/>
      <c r="I249" s="1456"/>
      <c r="J249" s="1456"/>
      <c r="K249" s="1456"/>
      <c r="L249" s="1456"/>
      <c r="M249" s="1456"/>
      <c r="N249" s="1456"/>
      <c r="O249" s="1456"/>
      <c r="P249" s="1456"/>
      <c r="Q249" s="1456"/>
      <c r="R249" s="1456"/>
      <c r="S249" s="1456"/>
      <c r="T249" s="1456"/>
      <c r="U249" s="1456"/>
      <c r="V249" s="59"/>
    </row>
    <row r="250" spans="2:22" ht="21.95" customHeight="1" x14ac:dyDescent="0.4">
      <c r="B250" s="58"/>
      <c r="C250" s="1458">
        <f>G6</f>
        <v>0</v>
      </c>
      <c r="D250" s="1458"/>
      <c r="E250" s="1458"/>
      <c r="F250" s="1458"/>
      <c r="G250" s="1458"/>
      <c r="H250" s="1458"/>
      <c r="I250" s="1458"/>
      <c r="J250" s="1458"/>
      <c r="K250" s="1458"/>
      <c r="L250" s="1458"/>
      <c r="M250" s="1434" t="s">
        <v>360</v>
      </c>
      <c r="N250" s="1434"/>
      <c r="O250" s="1459">
        <f>IF(T6="","",T6)</f>
        <v>0</v>
      </c>
      <c r="P250" s="1459"/>
      <c r="Q250" s="1459"/>
      <c r="R250" s="1456" t="s">
        <v>359</v>
      </c>
      <c r="S250" s="1456"/>
      <c r="T250" s="1456"/>
      <c r="U250" s="1456"/>
      <c r="V250" s="59"/>
    </row>
    <row r="251" spans="2:22" ht="21.95" customHeight="1" x14ac:dyDescent="0.4">
      <c r="B251" s="58"/>
      <c r="C251" s="1452">
        <f>IF(C11="","",C11)</f>
        <v>0</v>
      </c>
      <c r="D251" s="1452"/>
      <c r="E251" s="1452"/>
      <c r="F251" s="1453" t="str">
        <f>IF(C11="Aguard. Dados","",IF(Extenso!N11="","","(" &amp; Extenso!N11 &amp; ")"))</f>
        <v/>
      </c>
      <c r="G251" s="1453"/>
      <c r="H251" s="1453"/>
      <c r="I251" s="1453"/>
      <c r="J251" s="1453"/>
      <c r="K251" s="1453"/>
      <c r="L251" s="1453"/>
      <c r="M251" s="1453"/>
      <c r="N251" s="1453"/>
      <c r="O251" s="1453"/>
      <c r="P251" s="1453"/>
      <c r="Q251" s="1453"/>
      <c r="R251" s="1453"/>
      <c r="S251" s="1453"/>
      <c r="T251" s="1453"/>
      <c r="U251" s="1453"/>
      <c r="V251" s="59"/>
    </row>
    <row r="252" spans="2:22" ht="8.1" customHeight="1" x14ac:dyDescent="0.4">
      <c r="B252" s="58"/>
      <c r="C252" s="934"/>
      <c r="D252" s="934"/>
      <c r="E252" s="934"/>
      <c r="F252" s="933"/>
      <c r="G252" s="933"/>
      <c r="H252" s="933"/>
      <c r="I252" s="933"/>
      <c r="J252" s="933"/>
      <c r="K252" s="933"/>
      <c r="L252" s="933"/>
      <c r="M252" s="933"/>
      <c r="N252" s="933"/>
      <c r="O252" s="933"/>
      <c r="P252" s="933"/>
      <c r="Q252" s="933"/>
      <c r="R252" s="933"/>
      <c r="S252" s="933"/>
      <c r="T252" s="933"/>
      <c r="U252" s="933"/>
      <c r="V252" s="59"/>
    </row>
    <row r="253" spans="2:22" ht="15.95" customHeight="1" x14ac:dyDescent="0.4">
      <c r="B253" s="58"/>
      <c r="C253" s="2643" t="str">
        <f>F11</f>
        <v>Referente a:</v>
      </c>
      <c r="D253" s="2643"/>
      <c r="E253" s="2643"/>
      <c r="F253" s="2644" t="str">
        <f>IF(I11="","",F12&amp;I11&amp;I15)</f>
        <v>Pagamento de Aguardando Dados de Saldo de Férias Prêmio em Espécie adm. 0.</v>
      </c>
      <c r="G253" s="2644"/>
      <c r="H253" s="2644"/>
      <c r="I253" s="2644"/>
      <c r="J253" s="2644"/>
      <c r="K253" s="2644"/>
      <c r="L253" s="2644"/>
      <c r="M253" s="2644"/>
      <c r="N253" s="2644"/>
      <c r="O253" s="2644"/>
      <c r="P253" s="2644"/>
      <c r="Q253" s="2644"/>
      <c r="R253" s="2644"/>
      <c r="S253" s="2644"/>
      <c r="T253" s="2644"/>
      <c r="U253" s="2644"/>
      <c r="V253" s="59"/>
    </row>
    <row r="254" spans="2:22" ht="9.9499999999999993" customHeight="1" x14ac:dyDescent="0.4">
      <c r="B254" s="58"/>
      <c r="C254" s="1434"/>
      <c r="D254" s="1434"/>
      <c r="E254" s="1434"/>
      <c r="F254" s="1434"/>
      <c r="G254" s="1434"/>
      <c r="H254" s="1434"/>
      <c r="I254" s="1434"/>
      <c r="J254" s="1434"/>
      <c r="K254" s="1434"/>
      <c r="L254" s="1434"/>
      <c r="M254" s="1434"/>
      <c r="N254" s="1434"/>
      <c r="O254" s="1434"/>
      <c r="P254" s="1434"/>
      <c r="Q254" s="1434"/>
      <c r="R254" s="1434"/>
      <c r="S254" s="1434"/>
      <c r="T254" s="1434"/>
      <c r="U254" s="1434"/>
      <c r="V254" s="59"/>
    </row>
    <row r="255" spans="2:22" ht="15.95" customHeight="1" x14ac:dyDescent="0.4">
      <c r="B255" s="58"/>
      <c r="C255" s="1433" t="s">
        <v>363</v>
      </c>
      <c r="D255" s="1433"/>
      <c r="E255" s="1433"/>
      <c r="F255" s="1433"/>
      <c r="G255" s="1433"/>
      <c r="H255" s="1433">
        <f>IF(H10="","",H10)</f>
        <v>160</v>
      </c>
      <c r="I255" s="1433"/>
      <c r="J255" s="1433"/>
      <c r="K255" s="1433"/>
      <c r="L255" s="1433"/>
      <c r="M255" s="1433"/>
      <c r="N255" s="1433"/>
      <c r="O255" s="1433"/>
      <c r="P255" s="1433"/>
      <c r="Q255" s="1433"/>
      <c r="R255" s="1433"/>
      <c r="S255" s="1433"/>
      <c r="T255" s="1433"/>
      <c r="U255" s="1433"/>
      <c r="V255" s="59"/>
    </row>
    <row r="256" spans="2:22" ht="15.95" customHeight="1" x14ac:dyDescent="0.4">
      <c r="B256" s="58"/>
      <c r="C256" s="928"/>
      <c r="D256" s="927"/>
      <c r="E256" s="927"/>
      <c r="F256" s="927"/>
      <c r="G256" s="927"/>
      <c r="H256" s="927"/>
      <c r="I256" s="927"/>
      <c r="J256" s="927"/>
      <c r="K256" s="927"/>
      <c r="L256" s="927"/>
      <c r="M256" s="927"/>
      <c r="N256" s="927"/>
      <c r="O256" s="927"/>
      <c r="P256" s="927"/>
      <c r="Q256" s="927"/>
      <c r="R256" s="927"/>
      <c r="S256" s="927"/>
      <c r="T256" s="927"/>
      <c r="U256" s="927"/>
      <c r="V256" s="59"/>
    </row>
    <row r="257" spans="2:22" ht="15.95" customHeight="1" x14ac:dyDescent="0.4">
      <c r="B257" s="58"/>
      <c r="C257" s="1434" t="s">
        <v>362</v>
      </c>
      <c r="D257" s="1434"/>
      <c r="E257" s="1434"/>
      <c r="F257" s="1442" t="str">
        <f>IF(AC31=1,"Aposentado(a)","Falecido(a)")</f>
        <v>Aposentado(a)</v>
      </c>
      <c r="G257" s="1442"/>
      <c r="H257" s="1442"/>
      <c r="I257" s="1442"/>
      <c r="J257" s="1442"/>
      <c r="K257" s="1442"/>
      <c r="L257" s="1442"/>
      <c r="M257" s="1442"/>
      <c r="N257" s="1442"/>
      <c r="O257" s="1443" t="s">
        <v>364</v>
      </c>
      <c r="P257" s="1443"/>
      <c r="Q257" s="1443"/>
      <c r="R257" s="1444" t="str">
        <f>Q8</f>
        <v/>
      </c>
      <c r="S257" s="1444"/>
      <c r="T257" s="1444"/>
      <c r="U257" s="1444"/>
      <c r="V257" s="59"/>
    </row>
    <row r="258" spans="2:22" ht="9.9499999999999993" customHeight="1" x14ac:dyDescent="0.4">
      <c r="B258" s="58"/>
      <c r="C258" s="928"/>
      <c r="D258" s="927"/>
      <c r="E258" s="927"/>
      <c r="F258" s="927"/>
      <c r="G258" s="927"/>
      <c r="H258" s="927"/>
      <c r="I258" s="927"/>
      <c r="J258" s="927"/>
      <c r="K258" s="927"/>
      <c r="L258" s="927"/>
      <c r="M258" s="927"/>
      <c r="N258" s="927"/>
      <c r="O258" s="927"/>
      <c r="P258" s="927"/>
      <c r="Q258" s="927"/>
      <c r="R258" s="927"/>
      <c r="S258" s="927"/>
      <c r="T258" s="927"/>
      <c r="U258" s="927"/>
      <c r="V258" s="59"/>
    </row>
    <row r="259" spans="2:22" ht="15.95" customHeight="1" x14ac:dyDescent="0.4">
      <c r="B259" s="58"/>
      <c r="C259" s="1436" t="str">
        <f>Geral!I8</f>
        <v>Uberaba</v>
      </c>
      <c r="D259" s="1436"/>
      <c r="E259" s="1436"/>
      <c r="F259" s="1436"/>
      <c r="G259" s="1436"/>
      <c r="H259" s="1436"/>
      <c r="I259" s="1436"/>
      <c r="J259" s="1436"/>
      <c r="K259" s="1436"/>
      <c r="L259" s="928" t="s">
        <v>365</v>
      </c>
      <c r="M259" s="1445">
        <f ca="1">IF(D14&lt;&gt;0,C15,TODAY())</f>
        <v>43238</v>
      </c>
      <c r="N259" s="1445"/>
      <c r="O259" s="1445"/>
      <c r="P259" s="1445"/>
      <c r="Q259" s="1445"/>
      <c r="R259" s="1445"/>
      <c r="S259" s="1445"/>
      <c r="T259" s="1445"/>
      <c r="U259" s="1445"/>
      <c r="V259" s="59"/>
    </row>
    <row r="260" spans="2:22" ht="8.1" customHeight="1" x14ac:dyDescent="0.4">
      <c r="B260" s="58"/>
      <c r="C260" s="928"/>
      <c r="D260" s="927"/>
      <c r="E260" s="927"/>
      <c r="F260" s="927"/>
      <c r="G260" s="927"/>
      <c r="H260" s="927"/>
      <c r="I260" s="927"/>
      <c r="J260" s="927"/>
      <c r="K260" s="927"/>
      <c r="L260" s="927"/>
      <c r="M260" s="927"/>
      <c r="N260" s="927"/>
      <c r="O260" s="927"/>
      <c r="P260" s="927"/>
      <c r="Q260" s="927"/>
      <c r="R260" s="927"/>
      <c r="S260" s="927"/>
      <c r="T260" s="927"/>
      <c r="U260" s="927"/>
      <c r="V260" s="59"/>
    </row>
    <row r="261" spans="2:22" ht="15.95" customHeight="1" x14ac:dyDescent="0.4">
      <c r="B261" s="58"/>
      <c r="C261" s="1439" t="s">
        <v>366</v>
      </c>
      <c r="D261" s="1439"/>
      <c r="E261" s="1439"/>
      <c r="F261" s="1439"/>
      <c r="G261" s="1439"/>
      <c r="H261" s="1439"/>
      <c r="I261" s="1439"/>
      <c r="J261" s="1439"/>
      <c r="K261" s="1439"/>
      <c r="L261" s="1439"/>
      <c r="M261" s="1439"/>
      <c r="N261" s="1439"/>
      <c r="O261" s="1439"/>
      <c r="P261" s="1439"/>
      <c r="Q261" s="1439"/>
      <c r="R261" s="1439"/>
      <c r="S261" s="1439"/>
      <c r="T261" s="1439"/>
      <c r="U261" s="1439"/>
      <c r="V261" s="59"/>
    </row>
    <row r="262" spans="2:22" ht="3" customHeight="1" x14ac:dyDescent="0.4">
      <c r="B262" s="58"/>
      <c r="C262" s="1440"/>
      <c r="D262" s="1440"/>
      <c r="E262" s="1440"/>
      <c r="F262" s="1440"/>
      <c r="G262" s="1440"/>
      <c r="H262" s="1440"/>
      <c r="I262" s="1440"/>
      <c r="J262" s="1440"/>
      <c r="K262" s="1440"/>
      <c r="L262" s="1440"/>
      <c r="M262" s="1440"/>
      <c r="N262" s="1440"/>
      <c r="O262" s="1440"/>
      <c r="P262" s="1440"/>
      <c r="Q262" s="1440"/>
      <c r="R262" s="1440"/>
      <c r="S262" s="1440"/>
      <c r="T262" s="1440"/>
      <c r="U262" s="1440"/>
      <c r="V262" s="59"/>
    </row>
    <row r="263" spans="2:22" ht="15.95" customHeight="1" x14ac:dyDescent="0.4">
      <c r="B263" s="58"/>
      <c r="C263" s="1433" t="s">
        <v>367</v>
      </c>
      <c r="D263" s="1433"/>
      <c r="E263" s="2645" t="str">
        <f>Geral!I10</f>
        <v>Alterar</v>
      </c>
      <c r="F263" s="2645"/>
      <c r="G263" s="2645"/>
      <c r="H263" s="2645"/>
      <c r="I263" s="2645"/>
      <c r="J263" s="2645"/>
      <c r="K263" s="2645"/>
      <c r="L263" s="2645"/>
      <c r="M263" s="2645"/>
      <c r="N263" s="1436" t="s">
        <v>9210</v>
      </c>
      <c r="O263" s="1436"/>
      <c r="P263" s="1436"/>
      <c r="Q263" s="2646">
        <f>Geral!T10</f>
        <v>0</v>
      </c>
      <c r="R263" s="2646"/>
      <c r="S263" s="2646"/>
      <c r="T263" s="930"/>
      <c r="U263" s="930"/>
      <c r="V263" s="59"/>
    </row>
    <row r="264" spans="2:22" ht="5.0999999999999996" customHeight="1" x14ac:dyDescent="0.4">
      <c r="B264" s="58"/>
      <c r="C264" s="928"/>
      <c r="D264" s="928"/>
      <c r="E264" s="928"/>
      <c r="F264" s="928"/>
      <c r="G264" s="928"/>
      <c r="H264" s="928"/>
      <c r="I264" s="928"/>
      <c r="J264" s="928"/>
      <c r="K264" s="928"/>
      <c r="L264" s="928"/>
      <c r="M264" s="927"/>
      <c r="N264" s="927"/>
      <c r="O264" s="931"/>
      <c r="P264" s="931"/>
      <c r="Q264" s="931"/>
      <c r="R264" s="930"/>
      <c r="S264" s="930"/>
      <c r="T264" s="930"/>
      <c r="U264" s="930"/>
      <c r="V264" s="59"/>
    </row>
    <row r="265" spans="2:22" ht="15.95" customHeight="1" x14ac:dyDescent="0.4">
      <c r="B265" s="58"/>
      <c r="C265" s="1434" t="s">
        <v>369</v>
      </c>
      <c r="D265" s="1434"/>
      <c r="E265" s="2645"/>
      <c r="F265" s="2645"/>
      <c r="G265" s="2645"/>
      <c r="H265" s="2645"/>
      <c r="I265" s="2645"/>
      <c r="J265" s="2645"/>
      <c r="K265" s="2645"/>
      <c r="L265" s="2645"/>
      <c r="M265" s="2645"/>
      <c r="N265" s="930"/>
      <c r="O265" s="928"/>
      <c r="P265" s="928"/>
      <c r="Q265" s="928"/>
      <c r="R265" s="928"/>
      <c r="S265" s="928"/>
      <c r="T265" s="928"/>
      <c r="U265" s="928"/>
      <c r="V265" s="59"/>
    </row>
    <row r="266" spans="2:22" ht="15.95" customHeight="1" x14ac:dyDescent="0.4">
      <c r="B266" s="58"/>
      <c r="C266" s="928"/>
      <c r="D266" s="927"/>
      <c r="E266" s="927"/>
      <c r="F266" s="927"/>
      <c r="G266" s="927"/>
      <c r="H266" s="927"/>
      <c r="I266" s="927"/>
      <c r="J266" s="927"/>
      <c r="K266" s="927"/>
      <c r="L266" s="927"/>
      <c r="M266" s="927"/>
      <c r="N266" s="927"/>
      <c r="O266" s="927"/>
      <c r="P266" s="927"/>
      <c r="Q266" s="927"/>
      <c r="R266" s="927"/>
      <c r="S266" s="927"/>
      <c r="T266" s="927"/>
      <c r="U266" s="927"/>
      <c r="V266" s="59"/>
    </row>
    <row r="267" spans="2:22" ht="15.95" customHeight="1" x14ac:dyDescent="0.4">
      <c r="B267" s="58"/>
      <c r="C267" s="1435" t="s">
        <v>368</v>
      </c>
      <c r="D267" s="1435"/>
      <c r="E267" s="1435"/>
      <c r="F267" s="1435"/>
      <c r="G267" s="1435"/>
      <c r="H267" s="1435"/>
      <c r="I267" s="1435"/>
      <c r="J267" s="1435"/>
      <c r="K267" s="1435"/>
      <c r="L267" s="1435"/>
      <c r="M267" s="1435"/>
      <c r="N267" s="1435"/>
      <c r="O267" s="1435"/>
      <c r="P267" s="1435"/>
      <c r="Q267" s="1435"/>
      <c r="R267" s="1435"/>
      <c r="S267" s="1435"/>
      <c r="T267" s="1435"/>
      <c r="U267" s="1435"/>
      <c r="V267" s="59"/>
    </row>
    <row r="268" spans="2:22" ht="3.95" customHeight="1" x14ac:dyDescent="0.4">
      <c r="B268" s="58"/>
      <c r="C268" s="928"/>
      <c r="D268" s="927"/>
      <c r="E268" s="927"/>
      <c r="F268" s="927"/>
      <c r="G268" s="927"/>
      <c r="H268" s="927"/>
      <c r="I268" s="927"/>
      <c r="J268" s="927"/>
      <c r="K268" s="927"/>
      <c r="L268" s="927"/>
      <c r="M268" s="927"/>
      <c r="N268" s="927"/>
      <c r="O268" s="927"/>
      <c r="P268" s="927"/>
      <c r="Q268" s="927"/>
      <c r="R268" s="927"/>
      <c r="S268" s="927"/>
      <c r="T268" s="927"/>
      <c r="U268" s="927"/>
      <c r="V268" s="59"/>
    </row>
    <row r="269" spans="2:22" ht="15.95" customHeight="1" x14ac:dyDescent="0.4">
      <c r="B269" s="58"/>
      <c r="C269" s="1435" t="s">
        <v>9211</v>
      </c>
      <c r="D269" s="1435"/>
      <c r="E269" s="1435"/>
      <c r="F269" s="1435"/>
      <c r="G269" s="1435"/>
      <c r="H269" s="1435"/>
      <c r="I269" s="1435"/>
      <c r="J269" s="1435"/>
      <c r="K269" s="1435"/>
      <c r="L269" s="1435"/>
      <c r="M269" s="1435"/>
      <c r="N269" s="1435"/>
      <c r="O269" s="1435"/>
      <c r="P269" s="1435"/>
      <c r="Q269" s="1435"/>
      <c r="R269" s="1435"/>
      <c r="S269" s="1435"/>
      <c r="T269" s="1435"/>
      <c r="U269" s="1435"/>
      <c r="V269" s="59"/>
    </row>
    <row r="270" spans="2:22" ht="3" customHeight="1" x14ac:dyDescent="0.4">
      <c r="B270" s="58"/>
      <c r="C270" s="1438"/>
      <c r="D270" s="1438"/>
      <c r="E270" s="1438"/>
      <c r="F270" s="1438"/>
      <c r="G270" s="1438"/>
      <c r="H270" s="1438"/>
      <c r="I270" s="1438"/>
      <c r="J270" s="1438"/>
      <c r="K270" s="1438"/>
      <c r="L270" s="1438"/>
      <c r="M270" s="1438"/>
      <c r="N270" s="1438"/>
      <c r="O270" s="1438"/>
      <c r="P270" s="1438"/>
      <c r="Q270" s="1438"/>
      <c r="R270" s="1438"/>
      <c r="S270" s="1438"/>
      <c r="T270" s="1438"/>
      <c r="U270" s="1438"/>
      <c r="V270" s="59"/>
    </row>
    <row r="271" spans="2:22" ht="15.95" customHeight="1" x14ac:dyDescent="0.4">
      <c r="B271" s="58"/>
      <c r="C271" s="1433" t="s">
        <v>367</v>
      </c>
      <c r="D271" s="1433"/>
      <c r="E271" s="2645" t="str">
        <f>Geral!I11</f>
        <v>Elizabet das Graças Limido Santos</v>
      </c>
      <c r="F271" s="2645"/>
      <c r="G271" s="2645"/>
      <c r="H271" s="2645"/>
      <c r="I271" s="2645"/>
      <c r="J271" s="2645"/>
      <c r="K271" s="2645"/>
      <c r="L271" s="2645"/>
      <c r="M271" s="2645"/>
      <c r="N271" s="1436" t="s">
        <v>9210</v>
      </c>
      <c r="O271" s="1436"/>
      <c r="P271" s="1436"/>
      <c r="Q271" s="2646">
        <f>Geral!T11</f>
        <v>4440780</v>
      </c>
      <c r="R271" s="2646"/>
      <c r="S271" s="2646"/>
      <c r="T271" s="930"/>
      <c r="U271" s="930"/>
      <c r="V271" s="59"/>
    </row>
    <row r="272" spans="2:22" ht="5.0999999999999996" customHeight="1" x14ac:dyDescent="0.4">
      <c r="B272" s="58"/>
      <c r="C272" s="928"/>
      <c r="D272" s="928"/>
      <c r="E272" s="928"/>
      <c r="F272" s="928"/>
      <c r="G272" s="928"/>
      <c r="H272" s="928"/>
      <c r="I272" s="928"/>
      <c r="J272" s="928"/>
      <c r="K272" s="928"/>
      <c r="L272" s="928"/>
      <c r="M272" s="927"/>
      <c r="N272" s="927"/>
      <c r="O272" s="931"/>
      <c r="P272" s="931"/>
      <c r="Q272" s="931"/>
      <c r="R272" s="930"/>
      <c r="S272" s="930"/>
      <c r="T272" s="930"/>
      <c r="U272" s="930"/>
      <c r="V272" s="59"/>
    </row>
    <row r="273" spans="2:22" ht="15.95" customHeight="1" x14ac:dyDescent="0.4">
      <c r="B273" s="58"/>
      <c r="C273" s="2647" t="s">
        <v>369</v>
      </c>
      <c r="D273" s="2647"/>
      <c r="E273" s="2645"/>
      <c r="F273" s="2645"/>
      <c r="G273" s="2645"/>
      <c r="H273" s="2645"/>
      <c r="I273" s="2645"/>
      <c r="J273" s="2645"/>
      <c r="K273" s="2645"/>
      <c r="L273" s="2645"/>
      <c r="M273" s="2645"/>
      <c r="N273" s="1436" t="s">
        <v>7959</v>
      </c>
      <c r="O273" s="1436"/>
      <c r="P273" s="1436"/>
      <c r="Q273" s="2648">
        <f ca="1">M259</f>
        <v>43238</v>
      </c>
      <c r="R273" s="2648"/>
      <c r="S273" s="2648"/>
      <c r="T273" s="928"/>
      <c r="U273" s="928"/>
      <c r="V273" s="59"/>
    </row>
    <row r="274" spans="2:22" ht="15.95" customHeight="1" x14ac:dyDescent="0.4">
      <c r="B274" s="58"/>
      <c r="C274" s="928"/>
      <c r="D274" s="928"/>
      <c r="E274" s="928"/>
      <c r="F274" s="928"/>
      <c r="G274" s="928"/>
      <c r="H274" s="928"/>
      <c r="I274" s="928"/>
      <c r="J274" s="928"/>
      <c r="K274" s="928"/>
      <c r="L274" s="928"/>
      <c r="M274" s="927"/>
      <c r="N274" s="927"/>
      <c r="O274" s="938"/>
      <c r="P274" s="938"/>
      <c r="Q274" s="938"/>
      <c r="R274" s="928"/>
      <c r="S274" s="928"/>
      <c r="T274" s="928"/>
      <c r="U274" s="928"/>
      <c r="V274" s="59"/>
    </row>
    <row r="275" spans="2:22" ht="15.95" customHeight="1" x14ac:dyDescent="0.4">
      <c r="B275" s="58"/>
      <c r="C275" s="1435" t="str">
        <f>IF(C11&gt;=Geral!F27,"AUTORIZO O PAGAMENTO","")</f>
        <v/>
      </c>
      <c r="D275" s="1435"/>
      <c r="E275" s="1435"/>
      <c r="F275" s="1435"/>
      <c r="G275" s="1435"/>
      <c r="H275" s="1435"/>
      <c r="I275" s="1435"/>
      <c r="J275" s="1435"/>
      <c r="K275" s="1435"/>
      <c r="L275" s="1435"/>
      <c r="M275" s="1435"/>
      <c r="N275" s="1435"/>
      <c r="O275" s="1435"/>
      <c r="P275" s="1435"/>
      <c r="Q275" s="1435"/>
      <c r="R275" s="1435"/>
      <c r="S275" s="1435"/>
      <c r="T275" s="1435"/>
      <c r="U275" s="1435"/>
      <c r="V275" s="59"/>
    </row>
    <row r="276" spans="2:22" ht="3.95" customHeight="1" x14ac:dyDescent="0.4">
      <c r="B276" s="58"/>
      <c r="C276" s="932"/>
      <c r="D276" s="932"/>
      <c r="E276" s="932"/>
      <c r="F276" s="932"/>
      <c r="G276" s="932"/>
      <c r="H276" s="932"/>
      <c r="I276" s="932"/>
      <c r="J276" s="932"/>
      <c r="K276" s="932"/>
      <c r="L276" s="932"/>
      <c r="M276" s="932"/>
      <c r="N276" s="932"/>
      <c r="O276" s="932"/>
      <c r="P276" s="932"/>
      <c r="Q276" s="932"/>
      <c r="R276" s="932"/>
      <c r="S276" s="932"/>
      <c r="T276" s="932"/>
      <c r="U276" s="932"/>
      <c r="V276" s="59"/>
    </row>
    <row r="277" spans="2:22" ht="15.95" customHeight="1" x14ac:dyDescent="0.4">
      <c r="B277" s="58"/>
      <c r="C277" s="1435" t="str">
        <f>IF(C11&gt;=Geral!F27,"Diretor(a) de Pessoal:","")</f>
        <v/>
      </c>
      <c r="D277" s="1435"/>
      <c r="E277" s="1435"/>
      <c r="F277" s="1435"/>
      <c r="G277" s="1435"/>
      <c r="H277" s="1435"/>
      <c r="I277" s="1435"/>
      <c r="J277" s="1435"/>
      <c r="K277" s="1435"/>
      <c r="L277" s="1435"/>
      <c r="M277" s="1435"/>
      <c r="N277" s="1435"/>
      <c r="O277" s="1435"/>
      <c r="P277" s="1435"/>
      <c r="Q277" s="1435"/>
      <c r="R277" s="1435"/>
      <c r="S277" s="1435"/>
      <c r="T277" s="1435"/>
      <c r="U277" s="1435"/>
      <c r="V277" s="59"/>
    </row>
    <row r="278" spans="2:22" ht="3" customHeight="1" x14ac:dyDescent="0.4">
      <c r="B278" s="58"/>
      <c r="C278" s="1438"/>
      <c r="D278" s="1438"/>
      <c r="E278" s="1438"/>
      <c r="F278" s="1438"/>
      <c r="G278" s="1438"/>
      <c r="H278" s="1438"/>
      <c r="I278" s="1438"/>
      <c r="J278" s="1438"/>
      <c r="K278" s="1438"/>
      <c r="L278" s="1438"/>
      <c r="M278" s="1438"/>
      <c r="N278" s="1438"/>
      <c r="O278" s="1438"/>
      <c r="P278" s="1438"/>
      <c r="Q278" s="1438"/>
      <c r="R278" s="1438"/>
      <c r="S278" s="1438"/>
      <c r="T278" s="1438"/>
      <c r="U278" s="1438"/>
      <c r="V278" s="59"/>
    </row>
    <row r="279" spans="2:22" ht="15.95" customHeight="1" x14ac:dyDescent="0.4">
      <c r="B279" s="58"/>
      <c r="C279" s="1433" t="str">
        <f>IF(C11&gt;=Geral!F27,"Nome:","")</f>
        <v/>
      </c>
      <c r="D279" s="1433"/>
      <c r="E279" s="1433" t="str">
        <f>IF(C11&gt;=Geral!F27,Geral!I12,"")</f>
        <v/>
      </c>
      <c r="F279" s="1433"/>
      <c r="G279" s="1433"/>
      <c r="H279" s="1433"/>
      <c r="I279" s="1433"/>
      <c r="J279" s="1433"/>
      <c r="K279" s="1433"/>
      <c r="L279" s="1433"/>
      <c r="M279" s="1433"/>
      <c r="N279" s="1436" t="str">
        <f>IF(C11&gt;=Geral!F27,"MaSP n.º:","")</f>
        <v/>
      </c>
      <c r="O279" s="1436"/>
      <c r="P279" s="1436"/>
      <c r="Q279" s="1437" t="str">
        <f>IF(C11&gt;=Geral!F27,Geral!T12,"")</f>
        <v/>
      </c>
      <c r="R279" s="1437"/>
      <c r="S279" s="1437"/>
      <c r="T279" s="930"/>
      <c r="U279" s="930"/>
      <c r="V279" s="59"/>
    </row>
    <row r="280" spans="2:22" ht="5.0999999999999996" customHeight="1" x14ac:dyDescent="0.4">
      <c r="B280" s="58"/>
      <c r="C280" s="928"/>
      <c r="D280" s="928"/>
      <c r="E280" s="928"/>
      <c r="F280" s="928"/>
      <c r="G280" s="928"/>
      <c r="H280" s="928"/>
      <c r="I280" s="928"/>
      <c r="J280" s="928"/>
      <c r="K280" s="928"/>
      <c r="L280" s="928"/>
      <c r="M280" s="927"/>
      <c r="N280" s="927"/>
      <c r="O280" s="931"/>
      <c r="P280" s="931"/>
      <c r="Q280" s="931"/>
      <c r="R280" s="930"/>
      <c r="S280" s="930"/>
      <c r="T280" s="930"/>
      <c r="U280" s="930"/>
      <c r="V280" s="59"/>
    </row>
    <row r="281" spans="2:22" ht="15.95" customHeight="1" x14ac:dyDescent="0.4">
      <c r="B281" s="58"/>
      <c r="C281" s="2647" t="str">
        <f>IF(C11&gt;=Geral!F27,"Assinatura:","")</f>
        <v/>
      </c>
      <c r="D281" s="2647"/>
      <c r="E281" s="1433"/>
      <c r="F281" s="1433"/>
      <c r="G281" s="1433"/>
      <c r="H281" s="1433"/>
      <c r="I281" s="1433"/>
      <c r="J281" s="1433"/>
      <c r="K281" s="1433"/>
      <c r="L281" s="1433"/>
      <c r="M281" s="1433"/>
      <c r="N281" s="1436" t="str">
        <f>IF(C11&gt;=Geral!F27,"Data:","")</f>
        <v/>
      </c>
      <c r="O281" s="1436"/>
      <c r="P281" s="1436"/>
      <c r="Q281" s="2649" t="str">
        <f>IF(C11&gt;=Geral!F27,M259,"")</f>
        <v/>
      </c>
      <c r="R281" s="2649"/>
      <c r="S281" s="2649"/>
      <c r="T281" s="928"/>
      <c r="U281" s="928"/>
      <c r="V281" s="59"/>
    </row>
    <row r="282" spans="2:22" ht="14.1" customHeight="1" x14ac:dyDescent="0.4">
      <c r="B282" s="58"/>
      <c r="C282" s="1434"/>
      <c r="D282" s="1434"/>
      <c r="E282" s="1434"/>
      <c r="F282" s="1434"/>
      <c r="G282" s="1434"/>
      <c r="H282" s="1434"/>
      <c r="I282" s="1434"/>
      <c r="J282" s="1434"/>
      <c r="K282" s="1434"/>
      <c r="L282" s="1434"/>
      <c r="M282" s="1434"/>
      <c r="N282" s="1434"/>
      <c r="O282" s="1434"/>
      <c r="P282" s="1434"/>
      <c r="Q282" s="1434"/>
      <c r="R282" s="1434"/>
      <c r="S282" s="1434"/>
      <c r="T282" s="1434"/>
      <c r="U282" s="1434"/>
      <c r="V282" s="59"/>
    </row>
    <row r="283" spans="2:22" ht="14.1" customHeight="1" x14ac:dyDescent="0.4">
      <c r="B283" s="58"/>
      <c r="C283" s="1435" t="str">
        <f>IF(C12&gt;=Geral!K27,"AUTORIZO O PAGAMENTO","")</f>
        <v/>
      </c>
      <c r="D283" s="1435"/>
      <c r="E283" s="1435"/>
      <c r="F283" s="1435"/>
      <c r="G283" s="1435"/>
      <c r="H283" s="1435"/>
      <c r="I283" s="1435"/>
      <c r="J283" s="1435"/>
      <c r="K283" s="1435"/>
      <c r="L283" s="1435"/>
      <c r="M283" s="1435"/>
      <c r="N283" s="1435"/>
      <c r="O283" s="1435"/>
      <c r="P283" s="1435"/>
      <c r="Q283" s="1435"/>
      <c r="R283" s="1435"/>
      <c r="S283" s="1435"/>
      <c r="T283" s="1435"/>
      <c r="U283" s="1435"/>
      <c r="V283" s="59"/>
    </row>
    <row r="284" spans="2:22" ht="3.95" customHeight="1" x14ac:dyDescent="0.4">
      <c r="B284" s="58"/>
      <c r="C284" s="932"/>
      <c r="D284" s="932"/>
      <c r="E284" s="932"/>
      <c r="F284" s="932"/>
      <c r="G284" s="932"/>
      <c r="H284" s="932"/>
      <c r="I284" s="932"/>
      <c r="J284" s="932"/>
      <c r="K284" s="932"/>
      <c r="L284" s="932"/>
      <c r="M284" s="932"/>
      <c r="N284" s="932"/>
      <c r="O284" s="932"/>
      <c r="P284" s="932"/>
      <c r="Q284" s="932"/>
      <c r="R284" s="932"/>
      <c r="S284" s="932"/>
      <c r="T284" s="932"/>
      <c r="U284" s="932"/>
      <c r="V284" s="59"/>
    </row>
    <row r="285" spans="2:22" ht="15.95" customHeight="1" x14ac:dyDescent="0.4">
      <c r="B285" s="58"/>
      <c r="C285" s="1435" t="str">
        <f>IF(C11&gt;=Geral!K27,"Diretor(a) da Superintendência Regional de Ensino:","")</f>
        <v/>
      </c>
      <c r="D285" s="1435"/>
      <c r="E285" s="1435"/>
      <c r="F285" s="1435"/>
      <c r="G285" s="1435"/>
      <c r="H285" s="1435"/>
      <c r="I285" s="1435"/>
      <c r="J285" s="1435"/>
      <c r="K285" s="1435"/>
      <c r="L285" s="1435"/>
      <c r="M285" s="1435"/>
      <c r="N285" s="1435"/>
      <c r="O285" s="1435"/>
      <c r="P285" s="1435"/>
      <c r="Q285" s="1435"/>
      <c r="R285" s="1435"/>
      <c r="S285" s="1435"/>
      <c r="T285" s="1435"/>
      <c r="U285" s="1435"/>
      <c r="V285" s="59"/>
    </row>
    <row r="286" spans="2:22" ht="3" customHeight="1" x14ac:dyDescent="0.4">
      <c r="B286" s="58"/>
      <c r="C286" s="1438"/>
      <c r="D286" s="1438"/>
      <c r="E286" s="1438"/>
      <c r="F286" s="1438"/>
      <c r="G286" s="1438"/>
      <c r="H286" s="1438"/>
      <c r="I286" s="1438"/>
      <c r="J286" s="1438"/>
      <c r="K286" s="1438"/>
      <c r="L286" s="1438"/>
      <c r="M286" s="1438"/>
      <c r="N286" s="1438"/>
      <c r="O286" s="1438"/>
      <c r="P286" s="1438"/>
      <c r="Q286" s="1438"/>
      <c r="R286" s="1438"/>
      <c r="S286" s="1438"/>
      <c r="T286" s="1438"/>
      <c r="U286" s="1438"/>
      <c r="V286" s="59"/>
    </row>
    <row r="287" spans="2:22" ht="15.95" customHeight="1" x14ac:dyDescent="0.4">
      <c r="B287" s="58"/>
      <c r="C287" s="1433" t="str">
        <f>IF(C11&gt;=Geral!K27,"Nome:","")</f>
        <v/>
      </c>
      <c r="D287" s="1433"/>
      <c r="E287" s="1433" t="str">
        <f>IF(C11&gt;=Geral!K27,Geral!I13,"")</f>
        <v/>
      </c>
      <c r="F287" s="1433"/>
      <c r="G287" s="1433"/>
      <c r="H287" s="1433"/>
      <c r="I287" s="1433"/>
      <c r="J287" s="1433"/>
      <c r="K287" s="1433"/>
      <c r="L287" s="1433"/>
      <c r="M287" s="1433"/>
      <c r="N287" s="1436" t="str">
        <f>IF(C11&gt;=Geral!K27,"MaSP n.º:","")</f>
        <v/>
      </c>
      <c r="O287" s="1436"/>
      <c r="P287" s="1436"/>
      <c r="Q287" s="1437" t="str">
        <f>IF(C11&gt;=Geral!K27,Geral!T13,"")</f>
        <v/>
      </c>
      <c r="R287" s="1437"/>
      <c r="S287" s="1437"/>
      <c r="T287" s="930"/>
      <c r="U287" s="930"/>
      <c r="V287" s="59"/>
    </row>
    <row r="288" spans="2:22" ht="5.0999999999999996" customHeight="1" x14ac:dyDescent="0.4">
      <c r="B288" s="58"/>
      <c r="C288" s="928"/>
      <c r="D288" s="928"/>
      <c r="E288" s="928"/>
      <c r="F288" s="928"/>
      <c r="G288" s="928"/>
      <c r="H288" s="928"/>
      <c r="I288" s="928"/>
      <c r="J288" s="928"/>
      <c r="K288" s="928"/>
      <c r="L288" s="928"/>
      <c r="M288" s="927"/>
      <c r="N288" s="927"/>
      <c r="O288" s="931"/>
      <c r="P288" s="931"/>
      <c r="Q288" s="931"/>
      <c r="R288" s="930"/>
      <c r="S288" s="930"/>
      <c r="T288" s="930"/>
      <c r="U288" s="930"/>
      <c r="V288" s="59"/>
    </row>
    <row r="289" spans="2:22" ht="15.95" customHeight="1" x14ac:dyDescent="0.4">
      <c r="B289" s="58"/>
      <c r="C289" s="2647" t="str">
        <f>IF(C11&gt;=Geral!K27,"Assinatura:","")</f>
        <v/>
      </c>
      <c r="D289" s="2647"/>
      <c r="E289" s="1433"/>
      <c r="F289" s="1433"/>
      <c r="G289" s="1433"/>
      <c r="H289" s="1433"/>
      <c r="I289" s="1433"/>
      <c r="J289" s="1433"/>
      <c r="K289" s="1433"/>
      <c r="L289" s="1433"/>
      <c r="M289" s="1433"/>
      <c r="N289" s="1436" t="str">
        <f>IF(C11&gt;=Geral!K27,"Data:","")</f>
        <v/>
      </c>
      <c r="O289" s="1436"/>
      <c r="P289" s="1436"/>
      <c r="Q289" s="2649" t="str">
        <f>IF(C11&gt;=Geral!K27,M259,"")</f>
        <v/>
      </c>
      <c r="R289" s="2649"/>
      <c r="S289" s="2649"/>
      <c r="T289" s="928"/>
      <c r="U289" s="928"/>
      <c r="V289" s="59"/>
    </row>
    <row r="290" spans="2:22" ht="14.1" customHeight="1" x14ac:dyDescent="0.4">
      <c r="B290" s="58"/>
      <c r="C290" s="1434"/>
      <c r="D290" s="1434"/>
      <c r="E290" s="1434"/>
      <c r="F290" s="1434"/>
      <c r="G290" s="1434"/>
      <c r="H290" s="1434"/>
      <c r="I290" s="1434"/>
      <c r="J290" s="1434"/>
      <c r="K290" s="1434"/>
      <c r="L290" s="1434"/>
      <c r="M290" s="1434"/>
      <c r="N290" s="1434"/>
      <c r="O290" s="1434"/>
      <c r="P290" s="1434"/>
      <c r="Q290" s="1434"/>
      <c r="R290" s="1434"/>
      <c r="S290" s="1434"/>
      <c r="T290" s="1434"/>
      <c r="U290" s="1434"/>
      <c r="V290" s="59"/>
    </row>
    <row r="291" spans="2:22" ht="14.1" customHeight="1" x14ac:dyDescent="0.4">
      <c r="B291" s="58"/>
      <c r="C291" s="1435" t="str">
        <f>IF(C11&gt;=Geral!P27,"AUTORIZO O PAGAMENTO","")</f>
        <v/>
      </c>
      <c r="D291" s="1435"/>
      <c r="E291" s="1435"/>
      <c r="F291" s="1435"/>
      <c r="G291" s="1435"/>
      <c r="H291" s="1435"/>
      <c r="I291" s="1435"/>
      <c r="J291" s="1435"/>
      <c r="K291" s="1435"/>
      <c r="L291" s="1435"/>
      <c r="M291" s="1435"/>
      <c r="N291" s="1435"/>
      <c r="O291" s="1435"/>
      <c r="P291" s="1435"/>
      <c r="Q291" s="1435"/>
      <c r="R291" s="1435"/>
      <c r="S291" s="1435"/>
      <c r="T291" s="1435"/>
      <c r="U291" s="1435"/>
      <c r="V291" s="59"/>
    </row>
    <row r="292" spans="2:22" ht="3.95" customHeight="1" x14ac:dyDescent="0.4">
      <c r="B292" s="58"/>
      <c r="C292" s="932"/>
      <c r="D292" s="932"/>
      <c r="E292" s="932"/>
      <c r="F292" s="932"/>
      <c r="G292" s="932"/>
      <c r="H292" s="932"/>
      <c r="I292" s="932"/>
      <c r="J292" s="932"/>
      <c r="K292" s="932"/>
      <c r="L292" s="932"/>
      <c r="M292" s="932"/>
      <c r="N292" s="932"/>
      <c r="O292" s="932"/>
      <c r="P292" s="932"/>
      <c r="Q292" s="932"/>
      <c r="R292" s="932"/>
      <c r="S292" s="932"/>
      <c r="T292" s="932"/>
      <c r="U292" s="932"/>
      <c r="V292" s="59"/>
    </row>
    <row r="293" spans="2:22" ht="15.95" customHeight="1" x14ac:dyDescent="0.4">
      <c r="B293" s="58"/>
      <c r="C293" s="1435" t="str">
        <f>IF(C11&gt;=Geral!P27,"Superintendente de Planejamento, Gestão e Finanças ou Subsecretário de Gestão de Recursos Humanos da Secretaria de Estado de Educação:","")</f>
        <v/>
      </c>
      <c r="D293" s="1435"/>
      <c r="E293" s="1435"/>
      <c r="F293" s="1435"/>
      <c r="G293" s="1435"/>
      <c r="H293" s="1435"/>
      <c r="I293" s="1435"/>
      <c r="J293" s="1435"/>
      <c r="K293" s="1435"/>
      <c r="L293" s="1435"/>
      <c r="M293" s="1435"/>
      <c r="N293" s="1435"/>
      <c r="O293" s="1435"/>
      <c r="P293" s="1435"/>
      <c r="Q293" s="1435"/>
      <c r="R293" s="1435"/>
      <c r="S293" s="1435"/>
      <c r="T293" s="1435"/>
      <c r="U293" s="1435"/>
      <c r="V293" s="59"/>
    </row>
    <row r="294" spans="2:22" ht="15.95" customHeight="1" x14ac:dyDescent="0.4">
      <c r="B294" s="58"/>
      <c r="C294" s="1435"/>
      <c r="D294" s="1435"/>
      <c r="E294" s="1435"/>
      <c r="F294" s="1435"/>
      <c r="G294" s="1435"/>
      <c r="H294" s="1435"/>
      <c r="I294" s="1435"/>
      <c r="J294" s="1435"/>
      <c r="K294" s="1435"/>
      <c r="L294" s="1435"/>
      <c r="M294" s="1435"/>
      <c r="N294" s="1435"/>
      <c r="O294" s="1435"/>
      <c r="P294" s="1435"/>
      <c r="Q294" s="1435"/>
      <c r="R294" s="1435"/>
      <c r="S294" s="1435"/>
      <c r="T294" s="1435"/>
      <c r="U294" s="1435"/>
      <c r="V294" s="59"/>
    </row>
    <row r="295" spans="2:22" ht="3" customHeight="1" x14ac:dyDescent="0.4">
      <c r="B295" s="58"/>
      <c r="C295" s="1438"/>
      <c r="D295" s="1438"/>
      <c r="E295" s="1438"/>
      <c r="F295" s="1438"/>
      <c r="G295" s="1438"/>
      <c r="H295" s="1438"/>
      <c r="I295" s="1438"/>
      <c r="J295" s="1438"/>
      <c r="K295" s="1438"/>
      <c r="L295" s="1438"/>
      <c r="M295" s="1438"/>
      <c r="N295" s="1438"/>
      <c r="O295" s="1438"/>
      <c r="P295" s="1438"/>
      <c r="Q295" s="1438"/>
      <c r="R295" s="1438"/>
      <c r="S295" s="1438"/>
      <c r="T295" s="1438"/>
      <c r="U295" s="1438"/>
      <c r="V295" s="59"/>
    </row>
    <row r="296" spans="2:22" ht="15.95" customHeight="1" x14ac:dyDescent="0.4">
      <c r="B296" s="58"/>
      <c r="C296" s="1433" t="str">
        <f>IF(C11&gt;=Geral!P27,"Nome:","")</f>
        <v/>
      </c>
      <c r="D296" s="1433"/>
      <c r="E296" s="1433"/>
      <c r="F296" s="1433"/>
      <c r="G296" s="1433"/>
      <c r="H296" s="1433"/>
      <c r="I296" s="1433"/>
      <c r="J296" s="1433"/>
      <c r="K296" s="1433"/>
      <c r="L296" s="1433"/>
      <c r="M296" s="1433"/>
      <c r="N296" s="1436" t="str">
        <f>IF(C11&gt;=Geral!P27,"MaSP n.º:","")</f>
        <v/>
      </c>
      <c r="O296" s="1436"/>
      <c r="P296" s="1436"/>
      <c r="Q296" s="1437"/>
      <c r="R296" s="1437"/>
      <c r="S296" s="1437"/>
      <c r="T296" s="930"/>
      <c r="U296" s="930"/>
      <c r="V296" s="59"/>
    </row>
    <row r="297" spans="2:22" ht="5.0999999999999996" customHeight="1" x14ac:dyDescent="0.4">
      <c r="B297" s="58"/>
      <c r="C297" s="928"/>
      <c r="D297" s="928"/>
      <c r="E297" s="928"/>
      <c r="F297" s="928"/>
      <c r="G297" s="928"/>
      <c r="H297" s="928"/>
      <c r="I297" s="928"/>
      <c r="J297" s="928"/>
      <c r="K297" s="928"/>
      <c r="L297" s="928"/>
      <c r="M297" s="927"/>
      <c r="N297" s="927"/>
      <c r="O297" s="927"/>
      <c r="P297" s="931"/>
      <c r="Q297" s="931"/>
      <c r="R297" s="931"/>
      <c r="S297" s="930"/>
      <c r="T297" s="930"/>
      <c r="U297" s="930"/>
      <c r="V297" s="59"/>
    </row>
    <row r="298" spans="2:22" ht="15.95" customHeight="1" x14ac:dyDescent="0.4">
      <c r="B298" s="58"/>
      <c r="C298" s="2647" t="str">
        <f>IF(C11&gt;=Geral!P27,"Assinatura:","")</f>
        <v/>
      </c>
      <c r="D298" s="2647"/>
      <c r="E298" s="1433"/>
      <c r="F298" s="1433"/>
      <c r="G298" s="1433"/>
      <c r="H298" s="1433"/>
      <c r="I298" s="1433"/>
      <c r="J298" s="1433"/>
      <c r="K298" s="1433"/>
      <c r="L298" s="1433"/>
      <c r="M298" s="1433"/>
      <c r="N298" s="1436" t="str">
        <f>IF(C11&gt;=Geral!P27,"Data:","")</f>
        <v/>
      </c>
      <c r="O298" s="1436"/>
      <c r="P298" s="1436"/>
      <c r="Q298" s="2649" t="str">
        <f>IF(C11&gt;=Geral!P27,"___/___/_____","")</f>
        <v/>
      </c>
      <c r="R298" s="2649"/>
      <c r="S298" s="2649"/>
      <c r="T298" s="928"/>
      <c r="U298" s="928"/>
      <c r="V298" s="59"/>
    </row>
    <row r="299" spans="2:22" ht="14.1" customHeight="1" x14ac:dyDescent="0.4">
      <c r="B299" s="58"/>
      <c r="C299" s="1434"/>
      <c r="D299" s="1434"/>
      <c r="E299" s="1434"/>
      <c r="F299" s="1434"/>
      <c r="G299" s="1434"/>
      <c r="H299" s="1434"/>
      <c r="I299" s="1434"/>
      <c r="J299" s="1434"/>
      <c r="K299" s="1434"/>
      <c r="L299" s="1434"/>
      <c r="M299" s="1434"/>
      <c r="N299" s="1434"/>
      <c r="O299" s="1434"/>
      <c r="P299" s="1434"/>
      <c r="Q299" s="1434"/>
      <c r="R299" s="1434"/>
      <c r="S299" s="1434"/>
      <c r="T299" s="1434"/>
      <c r="U299" s="1434"/>
      <c r="V299" s="59"/>
    </row>
    <row r="300" spans="2:22" ht="14.1" customHeight="1" x14ac:dyDescent="0.4">
      <c r="B300" s="58"/>
      <c r="C300" s="1435" t="str">
        <f>IF(C11&gt;=Geral!T27,"AUTORIZO O PAGAMENTO","")</f>
        <v/>
      </c>
      <c r="D300" s="1435"/>
      <c r="E300" s="1435"/>
      <c r="F300" s="1435"/>
      <c r="G300" s="1435"/>
      <c r="H300" s="1435"/>
      <c r="I300" s="1435"/>
      <c r="J300" s="1435"/>
      <c r="K300" s="1435"/>
      <c r="L300" s="1435"/>
      <c r="M300" s="1435"/>
      <c r="N300" s="1435"/>
      <c r="O300" s="1435"/>
      <c r="P300" s="1435"/>
      <c r="Q300" s="1435"/>
      <c r="R300" s="1435"/>
      <c r="S300" s="1435"/>
      <c r="T300" s="1435"/>
      <c r="U300" s="1435"/>
      <c r="V300" s="59"/>
    </row>
    <row r="301" spans="2:22" ht="3.95" customHeight="1" x14ac:dyDescent="0.4">
      <c r="B301" s="58"/>
      <c r="C301" s="932"/>
      <c r="D301" s="932"/>
      <c r="E301" s="932"/>
      <c r="F301" s="932"/>
      <c r="G301" s="932"/>
      <c r="H301" s="932"/>
      <c r="I301" s="932"/>
      <c r="J301" s="932"/>
      <c r="K301" s="932"/>
      <c r="L301" s="932"/>
      <c r="M301" s="932"/>
      <c r="N301" s="932"/>
      <c r="O301" s="932"/>
      <c r="P301" s="932"/>
      <c r="Q301" s="932"/>
      <c r="R301" s="932"/>
      <c r="S301" s="932"/>
      <c r="T301" s="932"/>
      <c r="U301" s="932"/>
      <c r="V301" s="59"/>
    </row>
    <row r="302" spans="2:22" ht="15.95" customHeight="1" x14ac:dyDescent="0.4">
      <c r="B302" s="58"/>
      <c r="C302" s="1435" t="str">
        <f>IF(C11&gt;=Geral!T27,"Secretário de Estado ou Dirigente Máximo de Órgão ou Entidade da Administração:","")</f>
        <v/>
      </c>
      <c r="D302" s="1435"/>
      <c r="E302" s="1435"/>
      <c r="F302" s="1435"/>
      <c r="G302" s="1435"/>
      <c r="H302" s="1435"/>
      <c r="I302" s="1435"/>
      <c r="J302" s="1435"/>
      <c r="K302" s="1435"/>
      <c r="L302" s="1435"/>
      <c r="M302" s="1435"/>
      <c r="N302" s="1435"/>
      <c r="O302" s="1435"/>
      <c r="P302" s="1435"/>
      <c r="Q302" s="1435"/>
      <c r="R302" s="1435"/>
      <c r="S302" s="1435"/>
      <c r="T302" s="1435"/>
      <c r="U302" s="1435"/>
      <c r="V302" s="59"/>
    </row>
    <row r="303" spans="2:22" ht="3" customHeight="1" x14ac:dyDescent="0.4">
      <c r="B303" s="58"/>
      <c r="C303" s="1434"/>
      <c r="D303" s="1434"/>
      <c r="E303" s="1434"/>
      <c r="F303" s="1434"/>
      <c r="G303" s="1434"/>
      <c r="H303" s="1434"/>
      <c r="I303" s="1434"/>
      <c r="J303" s="1434"/>
      <c r="K303" s="1434"/>
      <c r="L303" s="1434"/>
      <c r="M303" s="1434"/>
      <c r="N303" s="1434"/>
      <c r="O303" s="1434"/>
      <c r="P303" s="1434"/>
      <c r="Q303" s="1434"/>
      <c r="R303" s="1434"/>
      <c r="S303" s="1434"/>
      <c r="T303" s="1434"/>
      <c r="U303" s="1434"/>
      <c r="V303" s="59"/>
    </row>
    <row r="304" spans="2:22" ht="15.95" customHeight="1" x14ac:dyDescent="0.4">
      <c r="B304" s="58"/>
      <c r="C304" s="1433" t="str">
        <f>IF(C11&gt;=Geral!T27,"Nome:","")</f>
        <v/>
      </c>
      <c r="D304" s="1433"/>
      <c r="E304" s="1433"/>
      <c r="F304" s="1433"/>
      <c r="G304" s="1433"/>
      <c r="H304" s="1433"/>
      <c r="I304" s="1433"/>
      <c r="J304" s="1433"/>
      <c r="K304" s="1433"/>
      <c r="L304" s="1433"/>
      <c r="M304" s="1433"/>
      <c r="N304" s="1436" t="str">
        <f>IF(C11&gt;=Geral!T27,"MaSP n.º:","")</f>
        <v/>
      </c>
      <c r="O304" s="1436"/>
      <c r="P304" s="1436"/>
      <c r="Q304" s="1437"/>
      <c r="R304" s="1437"/>
      <c r="S304" s="1437"/>
      <c r="T304" s="930"/>
      <c r="U304" s="930"/>
      <c r="V304" s="59"/>
    </row>
    <row r="305" spans="2:22" ht="5.0999999999999996" customHeight="1" x14ac:dyDescent="0.4">
      <c r="B305" s="58"/>
      <c r="C305" s="928"/>
      <c r="D305" s="928"/>
      <c r="E305" s="928"/>
      <c r="F305" s="928"/>
      <c r="G305" s="928"/>
      <c r="H305" s="928"/>
      <c r="I305" s="928"/>
      <c r="J305" s="928"/>
      <c r="K305" s="928"/>
      <c r="L305" s="928"/>
      <c r="M305" s="927"/>
      <c r="N305" s="927"/>
      <c r="O305" s="931"/>
      <c r="P305" s="931"/>
      <c r="Q305" s="931"/>
      <c r="R305" s="930"/>
      <c r="S305" s="930"/>
      <c r="T305" s="930"/>
      <c r="U305" s="930"/>
      <c r="V305" s="59"/>
    </row>
    <row r="306" spans="2:22" ht="15.95" customHeight="1" x14ac:dyDescent="0.4">
      <c r="B306" s="58"/>
      <c r="C306" s="2647" t="str">
        <f>IF(C11&gt;=Geral!T27,"Assinatura:","")</f>
        <v/>
      </c>
      <c r="D306" s="2647"/>
      <c r="E306" s="1433"/>
      <c r="F306" s="1433"/>
      <c r="G306" s="1433"/>
      <c r="H306" s="1433"/>
      <c r="I306" s="1433"/>
      <c r="J306" s="1433"/>
      <c r="K306" s="1433"/>
      <c r="L306" s="1433"/>
      <c r="M306" s="1433"/>
      <c r="N306" s="1436" t="str">
        <f>IF(C11&gt;=Geral!T27,"Data:","")</f>
        <v/>
      </c>
      <c r="O306" s="1436"/>
      <c r="P306" s="1436"/>
      <c r="Q306" s="1436" t="str">
        <f>IF(C11&gt;=Geral!T27,"___/___/_____","")</f>
        <v/>
      </c>
      <c r="R306" s="1436"/>
      <c r="S306" s="1436"/>
      <c r="T306" s="928"/>
      <c r="U306" s="928"/>
      <c r="V306" s="59"/>
    </row>
    <row r="307" spans="2:22" ht="15.95" customHeight="1" thickBot="1" x14ac:dyDescent="0.45">
      <c r="B307" s="60"/>
      <c r="C307" s="61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3"/>
    </row>
    <row r="308" spans="2:22" ht="15.95" customHeight="1" thickTop="1" x14ac:dyDescent="0.4"/>
  </sheetData>
  <sheetProtection sheet="1" objects="1" scenarios="1" selectLockedCells="1"/>
  <dataConsolidate/>
  <mergeCells count="754">
    <mergeCell ref="C306:D306"/>
    <mergeCell ref="E306:M306"/>
    <mergeCell ref="N306:P306"/>
    <mergeCell ref="Q306:S306"/>
    <mergeCell ref="C302:U302"/>
    <mergeCell ref="C303:U303"/>
    <mergeCell ref="C304:D304"/>
    <mergeCell ref="E304:M304"/>
    <mergeCell ref="N304:P304"/>
    <mergeCell ref="Q304:S304"/>
    <mergeCell ref="C298:D298"/>
    <mergeCell ref="E298:M298"/>
    <mergeCell ref="N298:P298"/>
    <mergeCell ref="Q298:S298"/>
    <mergeCell ref="C299:U299"/>
    <mergeCell ref="C300:U300"/>
    <mergeCell ref="C293:U294"/>
    <mergeCell ref="C295:U295"/>
    <mergeCell ref="C296:D296"/>
    <mergeCell ref="E296:M296"/>
    <mergeCell ref="N296:P296"/>
    <mergeCell ref="Q296:S296"/>
    <mergeCell ref="C289:D289"/>
    <mergeCell ref="E289:M289"/>
    <mergeCell ref="N289:P289"/>
    <mergeCell ref="Q289:S289"/>
    <mergeCell ref="C290:U290"/>
    <mergeCell ref="C291:U291"/>
    <mergeCell ref="C282:U282"/>
    <mergeCell ref="C283:U283"/>
    <mergeCell ref="C285:U285"/>
    <mergeCell ref="C286:U286"/>
    <mergeCell ref="C287:D287"/>
    <mergeCell ref="E287:M287"/>
    <mergeCell ref="N287:P287"/>
    <mergeCell ref="Q287:S287"/>
    <mergeCell ref="C278:U278"/>
    <mergeCell ref="C279:D279"/>
    <mergeCell ref="E279:M279"/>
    <mergeCell ref="N279:P279"/>
    <mergeCell ref="Q279:S279"/>
    <mergeCell ref="C281:D281"/>
    <mergeCell ref="E281:M281"/>
    <mergeCell ref="N281:P281"/>
    <mergeCell ref="Q281:S281"/>
    <mergeCell ref="C273:D273"/>
    <mergeCell ref="E273:M273"/>
    <mergeCell ref="N273:P273"/>
    <mergeCell ref="Q273:S273"/>
    <mergeCell ref="C275:U275"/>
    <mergeCell ref="C277:U277"/>
    <mergeCell ref="C265:D265"/>
    <mergeCell ref="E265:M265"/>
    <mergeCell ref="C267:U267"/>
    <mergeCell ref="C269:U269"/>
    <mergeCell ref="C270:U270"/>
    <mergeCell ref="C271:D271"/>
    <mergeCell ref="E271:M271"/>
    <mergeCell ref="N271:P271"/>
    <mergeCell ref="Q271:S271"/>
    <mergeCell ref="C261:U261"/>
    <mergeCell ref="C262:U262"/>
    <mergeCell ref="C263:D263"/>
    <mergeCell ref="E263:M263"/>
    <mergeCell ref="N263:P263"/>
    <mergeCell ref="Q263:S263"/>
    <mergeCell ref="C257:E257"/>
    <mergeCell ref="F257:N257"/>
    <mergeCell ref="O257:Q257"/>
    <mergeCell ref="R257:U257"/>
    <mergeCell ref="C259:K259"/>
    <mergeCell ref="M259:U259"/>
    <mergeCell ref="C251:E251"/>
    <mergeCell ref="F251:U251"/>
    <mergeCell ref="C253:E253"/>
    <mergeCell ref="F253:U253"/>
    <mergeCell ref="C254:U254"/>
    <mergeCell ref="C255:G255"/>
    <mergeCell ref="H255:U255"/>
    <mergeCell ref="C249:F249"/>
    <mergeCell ref="G249:U249"/>
    <mergeCell ref="C250:L250"/>
    <mergeCell ref="M250:N250"/>
    <mergeCell ref="O250:Q250"/>
    <mergeCell ref="R250:U250"/>
    <mergeCell ref="E243:U243"/>
    <mergeCell ref="C244:U244"/>
    <mergeCell ref="C245:H245"/>
    <mergeCell ref="I245:U245"/>
    <mergeCell ref="C246:E246"/>
    <mergeCell ref="F246:M246"/>
    <mergeCell ref="N246:U246"/>
    <mergeCell ref="H222:P222"/>
    <mergeCell ref="F229:R229"/>
    <mergeCell ref="H230:R230"/>
    <mergeCell ref="H231:K231"/>
    <mergeCell ref="L231:U231"/>
    <mergeCell ref="E242:U242"/>
    <mergeCell ref="C213:K213"/>
    <mergeCell ref="M213:U213"/>
    <mergeCell ref="C214:U214"/>
    <mergeCell ref="F220:R220"/>
    <mergeCell ref="C221:G221"/>
    <mergeCell ref="H221:P221"/>
    <mergeCell ref="Q221:U221"/>
    <mergeCell ref="C207:N207"/>
    <mergeCell ref="O207:Q207"/>
    <mergeCell ref="R207:T207"/>
    <mergeCell ref="C208:U208"/>
    <mergeCell ref="C209:U209"/>
    <mergeCell ref="C212:U212"/>
    <mergeCell ref="C201:U201"/>
    <mergeCell ref="C204:U204"/>
    <mergeCell ref="C205:U205"/>
    <mergeCell ref="C206:L206"/>
    <mergeCell ref="M206:P206"/>
    <mergeCell ref="Q206:U206"/>
    <mergeCell ref="U184:U185"/>
    <mergeCell ref="F191:U191"/>
    <mergeCell ref="F192:U192"/>
    <mergeCell ref="F193:M193"/>
    <mergeCell ref="N193:U193"/>
    <mergeCell ref="E194:U194"/>
    <mergeCell ref="O184:O185"/>
    <mergeCell ref="P184:P185"/>
    <mergeCell ref="Q184:Q185"/>
    <mergeCell ref="R184:R185"/>
    <mergeCell ref="S184:S185"/>
    <mergeCell ref="T184:T185"/>
    <mergeCell ref="I184:I185"/>
    <mergeCell ref="J184:J185"/>
    <mergeCell ref="K184:K185"/>
    <mergeCell ref="L184:L185"/>
    <mergeCell ref="M184:M185"/>
    <mergeCell ref="N184:N185"/>
    <mergeCell ref="C184:C185"/>
    <mergeCell ref="D184:D185"/>
    <mergeCell ref="E184:E185"/>
    <mergeCell ref="F184:F185"/>
    <mergeCell ref="G184:G185"/>
    <mergeCell ref="H184:H185"/>
    <mergeCell ref="C161:I161"/>
    <mergeCell ref="C162:I162"/>
    <mergeCell ref="K162:U165"/>
    <mergeCell ref="J175:O175"/>
    <mergeCell ref="J176:O181"/>
    <mergeCell ref="J183:O183"/>
    <mergeCell ref="C157:U157"/>
    <mergeCell ref="C158:I158"/>
    <mergeCell ref="K158:U159"/>
    <mergeCell ref="C159:J159"/>
    <mergeCell ref="C160:I160"/>
    <mergeCell ref="K160:N160"/>
    <mergeCell ref="O160:S160"/>
    <mergeCell ref="T160:U160"/>
    <mergeCell ref="F146:U146"/>
    <mergeCell ref="F147:U147"/>
    <mergeCell ref="F148:M148"/>
    <mergeCell ref="N148:U148"/>
    <mergeCell ref="F149:U149"/>
    <mergeCell ref="C150:U154"/>
    <mergeCell ref="C137:U137"/>
    <mergeCell ref="C138:D138"/>
    <mergeCell ref="E138:P138"/>
    <mergeCell ref="Q138:R138"/>
    <mergeCell ref="S138:U138"/>
    <mergeCell ref="C139:G139"/>
    <mergeCell ref="H139:P139"/>
    <mergeCell ref="Q139:R139"/>
    <mergeCell ref="S139:U139"/>
    <mergeCell ref="C135:G135"/>
    <mergeCell ref="H135:M135"/>
    <mergeCell ref="N135:O135"/>
    <mergeCell ref="Q135:R135"/>
    <mergeCell ref="S135:U135"/>
    <mergeCell ref="C136:R136"/>
    <mergeCell ref="S136:U136"/>
    <mergeCell ref="C133:M133"/>
    <mergeCell ref="N133:O133"/>
    <mergeCell ref="Q133:R133"/>
    <mergeCell ref="S133:U133"/>
    <mergeCell ref="C134:M134"/>
    <mergeCell ref="N134:O134"/>
    <mergeCell ref="Q134:R134"/>
    <mergeCell ref="S134:U134"/>
    <mergeCell ref="C131:M131"/>
    <mergeCell ref="N131:O131"/>
    <mergeCell ref="Q131:R131"/>
    <mergeCell ref="S131:U131"/>
    <mergeCell ref="C132:M132"/>
    <mergeCell ref="N132:O132"/>
    <mergeCell ref="Q132:R132"/>
    <mergeCell ref="S132:U132"/>
    <mergeCell ref="C129:M129"/>
    <mergeCell ref="N129:O129"/>
    <mergeCell ref="Q129:R129"/>
    <mergeCell ref="S129:U129"/>
    <mergeCell ref="C130:M130"/>
    <mergeCell ref="N130:O130"/>
    <mergeCell ref="Q130:R130"/>
    <mergeCell ref="S130:U130"/>
    <mergeCell ref="C127:M127"/>
    <mergeCell ref="N127:O127"/>
    <mergeCell ref="Q127:R127"/>
    <mergeCell ref="S127:U127"/>
    <mergeCell ref="C128:M128"/>
    <mergeCell ref="N128:O128"/>
    <mergeCell ref="Q128:R128"/>
    <mergeCell ref="S128:U128"/>
    <mergeCell ref="D125:L125"/>
    <mergeCell ref="N125:O125"/>
    <mergeCell ref="Q125:R125"/>
    <mergeCell ref="S125:U125"/>
    <mergeCell ref="D126:L126"/>
    <mergeCell ref="N126:O126"/>
    <mergeCell ref="Q126:R126"/>
    <mergeCell ref="S126:U126"/>
    <mergeCell ref="C123:M123"/>
    <mergeCell ref="N123:O123"/>
    <mergeCell ref="Q123:R123"/>
    <mergeCell ref="S123:U123"/>
    <mergeCell ref="C124:M124"/>
    <mergeCell ref="N124:O124"/>
    <mergeCell ref="Q124:R124"/>
    <mergeCell ref="S124:U124"/>
    <mergeCell ref="C122:M122"/>
    <mergeCell ref="N122:O122"/>
    <mergeCell ref="Q122:R122"/>
    <mergeCell ref="S122:U122"/>
    <mergeCell ref="Y122:AB122"/>
    <mergeCell ref="AD122:AF122"/>
    <mergeCell ref="AD120:AF120"/>
    <mergeCell ref="C121:H121"/>
    <mergeCell ref="I121:M121"/>
    <mergeCell ref="N121:O121"/>
    <mergeCell ref="Q121:R121"/>
    <mergeCell ref="S121:U121"/>
    <mergeCell ref="Y121:AB121"/>
    <mergeCell ref="AD121:AF121"/>
    <mergeCell ref="C120:H120"/>
    <mergeCell ref="I120:M120"/>
    <mergeCell ref="N120:O120"/>
    <mergeCell ref="Q120:R120"/>
    <mergeCell ref="S120:U120"/>
    <mergeCell ref="Y120:AB120"/>
    <mergeCell ref="Y118:AB118"/>
    <mergeCell ref="AD118:AF118"/>
    <mergeCell ref="C119:M119"/>
    <mergeCell ref="N119:O119"/>
    <mergeCell ref="Q119:R119"/>
    <mergeCell ref="S119:U119"/>
    <mergeCell ref="Y119:AB119"/>
    <mergeCell ref="AD119:AF119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6:M116"/>
    <mergeCell ref="N116:O116"/>
    <mergeCell ref="Q116:R116"/>
    <mergeCell ref="S116:U116"/>
    <mergeCell ref="Y116:AB116"/>
    <mergeCell ref="AD116:AF116"/>
    <mergeCell ref="Y114:AB114"/>
    <mergeCell ref="AD114:AF114"/>
    <mergeCell ref="C115:M115"/>
    <mergeCell ref="N115:O115"/>
    <mergeCell ref="Q115:R115"/>
    <mergeCell ref="S115:U115"/>
    <mergeCell ref="Y115:AB115"/>
    <mergeCell ref="AD115:AF115"/>
    <mergeCell ref="C113:M113"/>
    <mergeCell ref="N113:O113"/>
    <mergeCell ref="Q113:R113"/>
    <mergeCell ref="S113:U113"/>
    <mergeCell ref="C114:M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09:M109"/>
    <mergeCell ref="N109:O109"/>
    <mergeCell ref="Q109:R109"/>
    <mergeCell ref="S109:U109"/>
    <mergeCell ref="C110:M110"/>
    <mergeCell ref="N110:O110"/>
    <mergeCell ref="Q110:R110"/>
    <mergeCell ref="S110:U110"/>
    <mergeCell ref="C107:M107"/>
    <mergeCell ref="N107:O107"/>
    <mergeCell ref="Q107:R107"/>
    <mergeCell ref="S107:U107"/>
    <mergeCell ref="C108:M108"/>
    <mergeCell ref="N108:O108"/>
    <mergeCell ref="Q108:R108"/>
    <mergeCell ref="S108:U108"/>
    <mergeCell ref="C106:M106"/>
    <mergeCell ref="N106:O106"/>
    <mergeCell ref="Q106:R106"/>
    <mergeCell ref="S106:U106"/>
    <mergeCell ref="Y106:AB106"/>
    <mergeCell ref="AC106:AF106"/>
    <mergeCell ref="AG106:AJ106"/>
    <mergeCell ref="AK106:AN106"/>
    <mergeCell ref="AG105:AJ105"/>
    <mergeCell ref="AK105:AN105"/>
    <mergeCell ref="C105:M105"/>
    <mergeCell ref="N105:O105"/>
    <mergeCell ref="BQ104:BT104"/>
    <mergeCell ref="AW106:AZ106"/>
    <mergeCell ref="BA106:BD106"/>
    <mergeCell ref="BE106:BH106"/>
    <mergeCell ref="BM106:BP106"/>
    <mergeCell ref="BQ106:BT106"/>
    <mergeCell ref="BU106:BW106"/>
    <mergeCell ref="BQ105:BT105"/>
    <mergeCell ref="BU105:BW105"/>
    <mergeCell ref="AW105:AZ105"/>
    <mergeCell ref="BA105:BD105"/>
    <mergeCell ref="BE105:BH105"/>
    <mergeCell ref="BM105:BP105"/>
    <mergeCell ref="BM103:BP103"/>
    <mergeCell ref="C103:M103"/>
    <mergeCell ref="N103:O103"/>
    <mergeCell ref="Q103:R103"/>
    <mergeCell ref="S103:U103"/>
    <mergeCell ref="Y103:AB103"/>
    <mergeCell ref="AC103:AF103"/>
    <mergeCell ref="Q105:R105"/>
    <mergeCell ref="S105:U105"/>
    <mergeCell ref="Y105:AB105"/>
    <mergeCell ref="AC105:AF105"/>
    <mergeCell ref="AW104:AZ104"/>
    <mergeCell ref="BA104:BD104"/>
    <mergeCell ref="BE104:BH104"/>
    <mergeCell ref="BM104:BP104"/>
    <mergeCell ref="C102:M102"/>
    <mergeCell ref="N102:O102"/>
    <mergeCell ref="Q102:R102"/>
    <mergeCell ref="S102:U102"/>
    <mergeCell ref="C100:K100"/>
    <mergeCell ref="N100:O100"/>
    <mergeCell ref="Q100:R100"/>
    <mergeCell ref="S100:U100"/>
    <mergeCell ref="BU104:BW104"/>
    <mergeCell ref="BQ103:BT103"/>
    <mergeCell ref="BU103:BW103"/>
    <mergeCell ref="C104:M104"/>
    <mergeCell ref="N104:O104"/>
    <mergeCell ref="Q104:R104"/>
    <mergeCell ref="S104:U104"/>
    <mergeCell ref="Y104:AB104"/>
    <mergeCell ref="AC104:AF104"/>
    <mergeCell ref="AG104:AJ104"/>
    <mergeCell ref="AK104:AN104"/>
    <mergeCell ref="AG103:AJ103"/>
    <mergeCell ref="AK103:AN103"/>
    <mergeCell ref="AW103:AZ103"/>
    <mergeCell ref="BA103:BD103"/>
    <mergeCell ref="BE103:BH103"/>
    <mergeCell ref="AW98:AZ98"/>
    <mergeCell ref="BQ98:BT98"/>
    <mergeCell ref="C99:K99"/>
    <mergeCell ref="N99:O99"/>
    <mergeCell ref="Q99:R99"/>
    <mergeCell ref="S99:U99"/>
    <mergeCell ref="Y99:AB99"/>
    <mergeCell ref="AC99:AF99"/>
    <mergeCell ref="C101:M101"/>
    <mergeCell ref="N101:O101"/>
    <mergeCell ref="Q101:R101"/>
    <mergeCell ref="S101:U101"/>
    <mergeCell ref="C98:K98"/>
    <mergeCell ref="N98:O98"/>
    <mergeCell ref="Q98:R98"/>
    <mergeCell ref="S98:U98"/>
    <mergeCell ref="Y98:AB98"/>
    <mergeCell ref="AC98:AF98"/>
    <mergeCell ref="AK98:AN98"/>
    <mergeCell ref="Y100:AB100"/>
    <mergeCell ref="AC100:AF100"/>
    <mergeCell ref="AW96:AZ96"/>
    <mergeCell ref="BA96:BD96"/>
    <mergeCell ref="BQ96:BT96"/>
    <mergeCell ref="C97:K97"/>
    <mergeCell ref="N97:O97"/>
    <mergeCell ref="Q97:R97"/>
    <mergeCell ref="S97:U97"/>
    <mergeCell ref="Y97:AB97"/>
    <mergeCell ref="AC97:AF97"/>
    <mergeCell ref="AK97:AN97"/>
    <mergeCell ref="C96:P96"/>
    <mergeCell ref="Q96:R96"/>
    <mergeCell ref="S96:U96"/>
    <mergeCell ref="Y96:AB96"/>
    <mergeCell ref="AC96:AF96"/>
    <mergeCell ref="AK96:AN96"/>
    <mergeCell ref="AW97:AZ97"/>
    <mergeCell ref="BA97:BD97"/>
    <mergeCell ref="BQ97:BT97"/>
    <mergeCell ref="C95:H95"/>
    <mergeCell ref="I95:K95"/>
    <mergeCell ref="L95:Q95"/>
    <mergeCell ref="R95:T95"/>
    <mergeCell ref="Y95:AB95"/>
    <mergeCell ref="AC95:AF95"/>
    <mergeCell ref="AC93:AF93"/>
    <mergeCell ref="C94:F94"/>
    <mergeCell ref="G94:H94"/>
    <mergeCell ref="J94:L94"/>
    <mergeCell ref="N94:P94"/>
    <mergeCell ref="R94:T94"/>
    <mergeCell ref="Y94:AF94"/>
    <mergeCell ref="C92:E92"/>
    <mergeCell ref="G92:U92"/>
    <mergeCell ref="C93:I93"/>
    <mergeCell ref="J93:L93"/>
    <mergeCell ref="M93:N93"/>
    <mergeCell ref="Y93:AB93"/>
    <mergeCell ref="F87:U87"/>
    <mergeCell ref="F88:M88"/>
    <mergeCell ref="N88:U88"/>
    <mergeCell ref="C89:U89"/>
    <mergeCell ref="C90:U90"/>
    <mergeCell ref="C91:D91"/>
    <mergeCell ref="E91:P91"/>
    <mergeCell ref="Q91:R91"/>
    <mergeCell ref="S91:U91"/>
    <mergeCell ref="C78:G78"/>
    <mergeCell ref="H78:P78"/>
    <mergeCell ref="Q78:R78"/>
    <mergeCell ref="S78:U78"/>
    <mergeCell ref="C85:U85"/>
    <mergeCell ref="F86:U86"/>
    <mergeCell ref="C75:R75"/>
    <mergeCell ref="S75:U75"/>
    <mergeCell ref="C76:U76"/>
    <mergeCell ref="C77:D77"/>
    <mergeCell ref="E77:P77"/>
    <mergeCell ref="Q77:R77"/>
    <mergeCell ref="S77:U77"/>
    <mergeCell ref="C73:D73"/>
    <mergeCell ref="E73:M73"/>
    <mergeCell ref="N73:O73"/>
    <mergeCell ref="S73:U73"/>
    <mergeCell ref="C74:G74"/>
    <mergeCell ref="H74:M74"/>
    <mergeCell ref="N74:O74"/>
    <mergeCell ref="S74:U74"/>
    <mergeCell ref="C71:M71"/>
    <mergeCell ref="N71:O71"/>
    <mergeCell ref="S71:U71"/>
    <mergeCell ref="C72:M72"/>
    <mergeCell ref="N72:O72"/>
    <mergeCell ref="S72:U72"/>
    <mergeCell ref="C69:M69"/>
    <mergeCell ref="N69:O69"/>
    <mergeCell ref="S69:U69"/>
    <mergeCell ref="C70:M70"/>
    <mergeCell ref="N70:O70"/>
    <mergeCell ref="S70:U70"/>
    <mergeCell ref="C67:M67"/>
    <mergeCell ref="N67:O67"/>
    <mergeCell ref="S67:U67"/>
    <mergeCell ref="D68:M68"/>
    <mergeCell ref="N68:O68"/>
    <mergeCell ref="S68:U68"/>
    <mergeCell ref="D65:L65"/>
    <mergeCell ref="N65:O65"/>
    <mergeCell ref="S65:U65"/>
    <mergeCell ref="C66:M66"/>
    <mergeCell ref="N66:O66"/>
    <mergeCell ref="S66:U66"/>
    <mergeCell ref="C63:M63"/>
    <mergeCell ref="N63:O63"/>
    <mergeCell ref="S63:U63"/>
    <mergeCell ref="D64:L64"/>
    <mergeCell ref="N64:O64"/>
    <mergeCell ref="S64:U64"/>
    <mergeCell ref="C61:M61"/>
    <mergeCell ref="N61:O61"/>
    <mergeCell ref="S61:U61"/>
    <mergeCell ref="Y61:AB61"/>
    <mergeCell ref="AD61:AF61"/>
    <mergeCell ref="C62:M62"/>
    <mergeCell ref="N62:O62"/>
    <mergeCell ref="S62:U62"/>
    <mergeCell ref="C60:H60"/>
    <mergeCell ref="I60:M60"/>
    <mergeCell ref="N60:O60"/>
    <mergeCell ref="S60:U60"/>
    <mergeCell ref="Y60:AB60"/>
    <mergeCell ref="AD60:AF60"/>
    <mergeCell ref="C59:H59"/>
    <mergeCell ref="I59:M59"/>
    <mergeCell ref="N59:O59"/>
    <mergeCell ref="S59:U59"/>
    <mergeCell ref="Y59:AB59"/>
    <mergeCell ref="AD59:AF59"/>
    <mergeCell ref="C57:M57"/>
    <mergeCell ref="N57:O57"/>
    <mergeCell ref="S57:U57"/>
    <mergeCell ref="Y57:AB57"/>
    <mergeCell ref="AD57:AF57"/>
    <mergeCell ref="C58:M58"/>
    <mergeCell ref="N58:O58"/>
    <mergeCell ref="S58:U58"/>
    <mergeCell ref="Y58:AB58"/>
    <mergeCell ref="AD58:AF58"/>
    <mergeCell ref="C55:M55"/>
    <mergeCell ref="N55:O55"/>
    <mergeCell ref="S55:U55"/>
    <mergeCell ref="Y55:AB55"/>
    <mergeCell ref="AD55:AF55"/>
    <mergeCell ref="C56:M56"/>
    <mergeCell ref="N56:O56"/>
    <mergeCell ref="S56:U56"/>
    <mergeCell ref="Y56:AB56"/>
    <mergeCell ref="AD56:AF56"/>
    <mergeCell ref="Y53:AB53"/>
    <mergeCell ref="AD53:AF53"/>
    <mergeCell ref="C54:M54"/>
    <mergeCell ref="N54:O54"/>
    <mergeCell ref="S54:U54"/>
    <mergeCell ref="Y54:AB54"/>
    <mergeCell ref="AD54:AF54"/>
    <mergeCell ref="C52:E52"/>
    <mergeCell ref="F52:K52"/>
    <mergeCell ref="L52:M52"/>
    <mergeCell ref="N52:O52"/>
    <mergeCell ref="S52:U52"/>
    <mergeCell ref="C53:M53"/>
    <mergeCell ref="N53:O53"/>
    <mergeCell ref="S53:U53"/>
    <mergeCell ref="BQ45:BT45"/>
    <mergeCell ref="C50:M50"/>
    <mergeCell ref="N50:O50"/>
    <mergeCell ref="S50:U50"/>
    <mergeCell ref="C51:M51"/>
    <mergeCell ref="N51:O51"/>
    <mergeCell ref="S51:U51"/>
    <mergeCell ref="C48:M48"/>
    <mergeCell ref="N48:O48"/>
    <mergeCell ref="S48:U48"/>
    <mergeCell ref="C49:M49"/>
    <mergeCell ref="N49:O49"/>
    <mergeCell ref="S49:U49"/>
    <mergeCell ref="C46:M46"/>
    <mergeCell ref="N46:O46"/>
    <mergeCell ref="S46:U46"/>
    <mergeCell ref="C47:M47"/>
    <mergeCell ref="N47:O47"/>
    <mergeCell ref="S47:U47"/>
    <mergeCell ref="AW45:AZ45"/>
    <mergeCell ref="BA45:BD45"/>
    <mergeCell ref="BE45:BH45"/>
    <mergeCell ref="BA43:BD43"/>
    <mergeCell ref="BE43:BH43"/>
    <mergeCell ref="BI43:BL43"/>
    <mergeCell ref="BM43:BP43"/>
    <mergeCell ref="BQ43:BT43"/>
    <mergeCell ref="BU44:BW44"/>
    <mergeCell ref="C45:M45"/>
    <mergeCell ref="N45:O45"/>
    <mergeCell ref="S45:U45"/>
    <mergeCell ref="Y45:AB45"/>
    <mergeCell ref="AC45:AF45"/>
    <mergeCell ref="AG45:AJ45"/>
    <mergeCell ref="AK45:AN45"/>
    <mergeCell ref="AO45:AR45"/>
    <mergeCell ref="AS45:AV45"/>
    <mergeCell ref="AW44:AZ44"/>
    <mergeCell ref="BA44:BD44"/>
    <mergeCell ref="BE44:BH44"/>
    <mergeCell ref="BI44:BL44"/>
    <mergeCell ref="BM44:BP44"/>
    <mergeCell ref="BQ44:BT44"/>
    <mergeCell ref="BU45:BW45"/>
    <mergeCell ref="BI45:BL45"/>
    <mergeCell ref="BM45:BP45"/>
    <mergeCell ref="C44:M44"/>
    <mergeCell ref="N44:O44"/>
    <mergeCell ref="S44:U44"/>
    <mergeCell ref="Y44:AB44"/>
    <mergeCell ref="AC44:AF44"/>
    <mergeCell ref="AG44:AJ44"/>
    <mergeCell ref="AK44:AN44"/>
    <mergeCell ref="AO44:AR44"/>
    <mergeCell ref="AS44:AV44"/>
    <mergeCell ref="BU42:BW42"/>
    <mergeCell ref="C43:M43"/>
    <mergeCell ref="N43:O43"/>
    <mergeCell ref="S43:U43"/>
    <mergeCell ref="Y43:AB43"/>
    <mergeCell ref="AC43:AF43"/>
    <mergeCell ref="AG43:AJ43"/>
    <mergeCell ref="AK43:AN43"/>
    <mergeCell ref="AO43:AR43"/>
    <mergeCell ref="AS43:AV43"/>
    <mergeCell ref="AW42:AZ42"/>
    <mergeCell ref="BA42:BD42"/>
    <mergeCell ref="BE42:BH42"/>
    <mergeCell ref="BI42:BL42"/>
    <mergeCell ref="BM42:BP42"/>
    <mergeCell ref="BQ42:BT42"/>
    <mergeCell ref="Y42:AB42"/>
    <mergeCell ref="AC42:AF42"/>
    <mergeCell ref="AG42:AJ42"/>
    <mergeCell ref="AK42:AN42"/>
    <mergeCell ref="AO42:AR42"/>
    <mergeCell ref="AS42:AV42"/>
    <mergeCell ref="BU43:BW43"/>
    <mergeCell ref="AW43:AZ43"/>
    <mergeCell ref="C41:M41"/>
    <mergeCell ref="N41:O41"/>
    <mergeCell ref="S41:U41"/>
    <mergeCell ref="C42:M42"/>
    <mergeCell ref="N42:O42"/>
    <mergeCell ref="S42:U42"/>
    <mergeCell ref="C39:K39"/>
    <mergeCell ref="N39:O39"/>
    <mergeCell ref="S39:U39"/>
    <mergeCell ref="Y39:AB39"/>
    <mergeCell ref="AC39:AF39"/>
    <mergeCell ref="C40:M40"/>
    <mergeCell ref="N40:O40"/>
    <mergeCell ref="S40:U40"/>
    <mergeCell ref="AW37:AZ37"/>
    <mergeCell ref="BQ37:BT37"/>
    <mergeCell ref="C38:K38"/>
    <mergeCell ref="N38:O38"/>
    <mergeCell ref="S38:U38"/>
    <mergeCell ref="Y38:AB38"/>
    <mergeCell ref="AC38:AF38"/>
    <mergeCell ref="C37:J37"/>
    <mergeCell ref="N37:O37"/>
    <mergeCell ref="S37:U37"/>
    <mergeCell ref="Y37:AB37"/>
    <mergeCell ref="AC37:AF37"/>
    <mergeCell ref="AK37:AN37"/>
    <mergeCell ref="AO36:AQ36"/>
    <mergeCell ref="AR36:AT36"/>
    <mergeCell ref="AU36:AW36"/>
    <mergeCell ref="AX36:AZ36"/>
    <mergeCell ref="BA36:BD36"/>
    <mergeCell ref="BQ36:BT36"/>
    <mergeCell ref="AR35:AT35"/>
    <mergeCell ref="AU35:AW35"/>
    <mergeCell ref="AX35:AZ35"/>
    <mergeCell ref="BA35:BD35"/>
    <mergeCell ref="BQ35:BT35"/>
    <mergeCell ref="AO35:AQ35"/>
    <mergeCell ref="C36:K36"/>
    <mergeCell ref="S36:U36"/>
    <mergeCell ref="Y36:AB36"/>
    <mergeCell ref="AC36:AF36"/>
    <mergeCell ref="AK36:AN36"/>
    <mergeCell ref="C35:P35"/>
    <mergeCell ref="S35:U35"/>
    <mergeCell ref="Y35:AB35"/>
    <mergeCell ref="AC35:AF35"/>
    <mergeCell ref="AK35:AN35"/>
    <mergeCell ref="C32:M32"/>
    <mergeCell ref="N32:Q32"/>
    <mergeCell ref="R32:T32"/>
    <mergeCell ref="Y32:AB32"/>
    <mergeCell ref="AC32:AF32"/>
    <mergeCell ref="C33:U34"/>
    <mergeCell ref="Y33:AB33"/>
    <mergeCell ref="AC33:AF33"/>
    <mergeCell ref="Y34:AF34"/>
    <mergeCell ref="C31:G31"/>
    <mergeCell ref="I31:K31"/>
    <mergeCell ref="L31:Q31"/>
    <mergeCell ref="R31:T31"/>
    <mergeCell ref="Y31:AB31"/>
    <mergeCell ref="AC31:AF31"/>
    <mergeCell ref="Y29:AB29"/>
    <mergeCell ref="AC29:AF29"/>
    <mergeCell ref="C30:F30"/>
    <mergeCell ref="G30:H30"/>
    <mergeCell ref="J30:L30"/>
    <mergeCell ref="N30:P30"/>
    <mergeCell ref="R30:T30"/>
    <mergeCell ref="Y30:AF30"/>
    <mergeCell ref="C28:E28"/>
    <mergeCell ref="G28:O28"/>
    <mergeCell ref="P28:U28"/>
    <mergeCell ref="X28:X29"/>
    <mergeCell ref="C29:I29"/>
    <mergeCell ref="J29:K29"/>
    <mergeCell ref="M29:N29"/>
    <mergeCell ref="F23:U23"/>
    <mergeCell ref="F24:M24"/>
    <mergeCell ref="N24:U24"/>
    <mergeCell ref="C25:U25"/>
    <mergeCell ref="C26:U26"/>
    <mergeCell ref="C27:D27"/>
    <mergeCell ref="E27:P27"/>
    <mergeCell ref="Q27:R27"/>
    <mergeCell ref="S27:U27"/>
    <mergeCell ref="H8:P8"/>
    <mergeCell ref="Q8:U8"/>
    <mergeCell ref="I15:O15"/>
    <mergeCell ref="C16:R17"/>
    <mergeCell ref="S16:U17"/>
    <mergeCell ref="B18:V18"/>
    <mergeCell ref="C21:U21"/>
    <mergeCell ref="F22:U22"/>
    <mergeCell ref="C11:E11"/>
    <mergeCell ref="F11:H11"/>
    <mergeCell ref="I11:O14"/>
    <mergeCell ref="P11:U15"/>
    <mergeCell ref="C12:E12"/>
    <mergeCell ref="F12:H13"/>
    <mergeCell ref="C13:E13"/>
    <mergeCell ref="D14:E14"/>
    <mergeCell ref="F14:H15"/>
    <mergeCell ref="C15:E15"/>
    <mergeCell ref="B1:U2"/>
    <mergeCell ref="B3:V3"/>
    <mergeCell ref="B4:B16"/>
    <mergeCell ref="C4:I4"/>
    <mergeCell ref="J4:O4"/>
    <mergeCell ref="T4:U4"/>
    <mergeCell ref="V4:V16"/>
    <mergeCell ref="C5:U5"/>
    <mergeCell ref="C6:F6"/>
    <mergeCell ref="G6:Q6"/>
    <mergeCell ref="R6:S6"/>
    <mergeCell ref="C9:O9"/>
    <mergeCell ref="T9:U9"/>
    <mergeCell ref="C10:E10"/>
    <mergeCell ref="F10:G10"/>
    <mergeCell ref="H10:I10"/>
    <mergeCell ref="K10:O10"/>
    <mergeCell ref="P10:Q10"/>
    <mergeCell ref="S10:T10"/>
    <mergeCell ref="T6:U6"/>
    <mergeCell ref="C7:F8"/>
    <mergeCell ref="G7:G8"/>
    <mergeCell ref="H7:K7"/>
    <mergeCell ref="M7:N7"/>
  </mergeCells>
  <conditionalFormatting sqref="C15:E15">
    <cfRule type="expression" dxfId="258" priority="17">
      <formula>IF(D14&lt;&gt;"",1,0)</formula>
    </cfRule>
  </conditionalFormatting>
  <conditionalFormatting sqref="P28:U28">
    <cfRule type="expression" dxfId="257" priority="16">
      <formula>IF($L$29="EEB",1,0)</formula>
    </cfRule>
  </conditionalFormatting>
  <conditionalFormatting sqref="E73:M73">
    <cfRule type="expression" dxfId="256" priority="15">
      <formula>IF(L29="PEB",1,0)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7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32</xdr:row>
                    <xdr:rowOff>57150</xdr:rowOff>
                  </from>
                  <to>
                    <xdr:col>20</xdr:col>
                    <xdr:colOff>333375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>
                  <from>
                    <xdr:col>16</xdr:col>
                    <xdr:colOff>133350</xdr:colOff>
                    <xdr:row>32</xdr:row>
                    <xdr:rowOff>95250</xdr:rowOff>
                  </from>
                  <to>
                    <xdr:col>18</xdr:col>
                    <xdr:colOff>190500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Option Button 3">
              <controlPr defaultSize="0" autoFill="0" autoLine="0" autoPict="0">
                <anchor>
                  <from>
                    <xdr:col>18</xdr:col>
                    <xdr:colOff>247650</xdr:colOff>
                    <xdr:row>32</xdr:row>
                    <xdr:rowOff>95250</xdr:rowOff>
                  </from>
                  <to>
                    <xdr:col>20</xdr:col>
                    <xdr:colOff>295275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Group Box 4">
              <controlPr defaultSize="0" autoFill="0" autoPict="0">
                <anchor moveWithCells="1">
                  <from>
                    <xdr:col>9</xdr:col>
                    <xdr:colOff>114300</xdr:colOff>
                    <xdr:row>52</xdr:row>
                    <xdr:rowOff>0</xdr:rowOff>
                  </from>
                  <to>
                    <xdr:col>12</xdr:col>
                    <xdr:colOff>276225</xdr:colOff>
                    <xdr:row>53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Option Button 5">
              <controlPr defaultSize="0" autoFill="0" autoLine="0" autoPict="0">
                <anchor>
                  <from>
                    <xdr:col>9</xdr:col>
                    <xdr:colOff>171450</xdr:colOff>
                    <xdr:row>52</xdr:row>
                    <xdr:rowOff>28575</xdr:rowOff>
                  </from>
                  <to>
                    <xdr:col>11</xdr:col>
                    <xdr:colOff>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Option Button 6">
              <controlPr defaultSize="0" autoFill="0" autoLine="0" autoPict="0">
                <anchor>
                  <from>
                    <xdr:col>11</xdr:col>
                    <xdr:colOff>66675</xdr:colOff>
                    <xdr:row>52</xdr:row>
                    <xdr:rowOff>28575</xdr:rowOff>
                  </from>
                  <to>
                    <xdr:col>12</xdr:col>
                    <xdr:colOff>219075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Group Box 7">
              <controlPr defaultSize="0" autoFill="0" autoPict="0">
                <anchor moveWithCells="1">
                  <from>
                    <xdr:col>2</xdr:col>
                    <xdr:colOff>66675</xdr:colOff>
                    <xdr:row>29</xdr:row>
                    <xdr:rowOff>171450</xdr:rowOff>
                  </from>
                  <to>
                    <xdr:col>10</xdr:col>
                    <xdr:colOff>285750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Option Button 8">
              <controlPr defaultSize="0" autoFill="0" autoLine="0" autoPict="0">
                <anchor>
                  <from>
                    <xdr:col>2</xdr:col>
                    <xdr:colOff>95250</xdr:colOff>
                    <xdr:row>30</xdr:row>
                    <xdr:rowOff>38100</xdr:rowOff>
                  </from>
                  <to>
                    <xdr:col>7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Option Button 9">
              <controlPr defaultSize="0" autoFill="0" autoLine="0" autoPict="0">
                <anchor>
                  <from>
                    <xdr:col>7</xdr:col>
                    <xdr:colOff>276225</xdr:colOff>
                    <xdr:row>30</xdr:row>
                    <xdr:rowOff>38100</xdr:rowOff>
                  </from>
                  <to>
                    <xdr:col>10</xdr:col>
                    <xdr:colOff>257175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59</xdr:row>
                    <xdr:rowOff>142875</xdr:rowOff>
                  </from>
                  <to>
                    <xdr:col>13</xdr:col>
                    <xdr:colOff>66675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Option Button 11">
              <controlPr defaultSize="0" autoFill="0" autoLine="0" autoPict="0">
                <anchor>
                  <from>
                    <xdr:col>9</xdr:col>
                    <xdr:colOff>285750</xdr:colOff>
                    <xdr:row>60</xdr:row>
                    <xdr:rowOff>9525</xdr:rowOff>
                  </from>
                  <to>
                    <xdr:col>11</xdr:col>
                    <xdr:colOff>114300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Option Button 12">
              <controlPr defaultSize="0" autoFill="0" autoLine="0" autoPict="0">
                <anchor>
                  <from>
                    <xdr:col>11</xdr:col>
                    <xdr:colOff>180975</xdr:colOff>
                    <xdr:row>60</xdr:row>
                    <xdr:rowOff>9525</xdr:rowOff>
                  </from>
                  <to>
                    <xdr:col>13</xdr:col>
                    <xdr:colOff>9525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Group Box 13">
              <controlPr defaultSize="0" autoFill="0" autoPict="0">
                <anchor moveWithCells="1">
                  <from>
                    <xdr:col>15</xdr:col>
                    <xdr:colOff>19050</xdr:colOff>
                    <xdr:row>27</xdr:row>
                    <xdr:rowOff>9525</xdr:rowOff>
                  </from>
                  <to>
                    <xdr:col>20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Option Button 14">
              <controlPr defaultSize="0" autoFill="0" autoLine="0" autoPict="0">
                <anchor>
                  <from>
                    <xdr:col>16</xdr:col>
                    <xdr:colOff>104775</xdr:colOff>
                    <xdr:row>28</xdr:row>
                    <xdr:rowOff>19050</xdr:rowOff>
                  </from>
                  <to>
                    <xdr:col>18</xdr:col>
                    <xdr:colOff>161925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Option Button 15">
              <controlPr defaultSize="0" autoFill="0" autoLine="0" autoPict="0">
                <anchor>
                  <from>
                    <xdr:col>18</xdr:col>
                    <xdr:colOff>219075</xdr:colOff>
                    <xdr:row>28</xdr:row>
                    <xdr:rowOff>19050</xdr:rowOff>
                  </from>
                  <to>
                    <xdr:col>20</xdr:col>
                    <xdr:colOff>257175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Group Box 16">
              <controlPr defaultSize="0" autoFill="0" autoPict="0">
                <anchor moveWithCells="1">
                  <from>
                    <xdr:col>9</xdr:col>
                    <xdr:colOff>114300</xdr:colOff>
                    <xdr:row>54</xdr:row>
                    <xdr:rowOff>152400</xdr:rowOff>
                  </from>
                  <to>
                    <xdr:col>12</xdr:col>
                    <xdr:colOff>276225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Option Button 17">
              <controlPr defaultSize="0" autoFill="0" autoLine="0" autoPict="0">
                <anchor>
                  <from>
                    <xdr:col>9</xdr:col>
                    <xdr:colOff>171450</xdr:colOff>
                    <xdr:row>55</xdr:row>
                    <xdr:rowOff>19050</xdr:rowOff>
                  </from>
                  <to>
                    <xdr:col>11</xdr:col>
                    <xdr:colOff>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Option Button 18">
              <controlPr defaultSize="0" autoFill="0" autoLine="0" autoPict="0">
                <anchor>
                  <from>
                    <xdr:col>11</xdr:col>
                    <xdr:colOff>66675</xdr:colOff>
                    <xdr:row>55</xdr:row>
                    <xdr:rowOff>19050</xdr:rowOff>
                  </from>
                  <to>
                    <xdr:col>12</xdr:col>
                    <xdr:colOff>219075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BFA8C0B6-CBA3-4AB2-822E-75AD80E700EA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E296:M296</xm:sqref>
        </x14:conditionalFormatting>
        <x14:conditionalFormatting xmlns:xm="http://schemas.microsoft.com/office/excel/2006/main">
          <x14:cfRule type="expression" priority="13" id="{31A87E62-E153-4772-8715-32915B3B05B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E298:M298</xm:sqref>
        </x14:conditionalFormatting>
        <x14:conditionalFormatting xmlns:xm="http://schemas.microsoft.com/office/excel/2006/main">
          <x14:cfRule type="expression" priority="12" id="{40E32A8E-22E2-48E5-9EC1-AD4E7189438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E279:M279</xm:sqref>
        </x14:conditionalFormatting>
        <x14:conditionalFormatting xmlns:xm="http://schemas.microsoft.com/office/excel/2006/main">
          <x14:cfRule type="expression" priority="11" id="{5F8D9B7F-67CB-4A9A-8DC7-3E6F24AB861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Q279:S279</xm:sqref>
        </x14:conditionalFormatting>
        <x14:conditionalFormatting xmlns:xm="http://schemas.microsoft.com/office/excel/2006/main">
          <x14:cfRule type="expression" priority="10" id="{62EDDC5F-B2EB-41F9-A70B-7C9AA90E9426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E281:M281</xm:sqref>
        </x14:conditionalFormatting>
        <x14:conditionalFormatting xmlns:xm="http://schemas.microsoft.com/office/excel/2006/main">
          <x14:cfRule type="expression" priority="9" id="{1397BE82-F29A-40A5-86E8-379087DA68BD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Q281:S281</xm:sqref>
        </x14:conditionalFormatting>
        <x14:conditionalFormatting xmlns:xm="http://schemas.microsoft.com/office/excel/2006/main">
          <x14:cfRule type="expression" priority="8" id="{3AF2EE46-BA5A-484E-A358-EC58DCFFBD0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E287:M287</xm:sqref>
        </x14:conditionalFormatting>
        <x14:conditionalFormatting xmlns:xm="http://schemas.microsoft.com/office/excel/2006/main">
          <x14:cfRule type="expression" priority="7" id="{FF9C703A-C74B-48CB-815E-B8CC04BC5BEC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Q287:S287</xm:sqref>
        </x14:conditionalFormatting>
        <x14:conditionalFormatting xmlns:xm="http://schemas.microsoft.com/office/excel/2006/main">
          <x14:cfRule type="expression" priority="6" id="{F1B850BD-232A-4DB2-A21A-AF085947ABA7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E289:M289</xm:sqref>
        </x14:conditionalFormatting>
        <x14:conditionalFormatting xmlns:xm="http://schemas.microsoft.com/office/excel/2006/main">
          <x14:cfRule type="expression" priority="5" id="{EBCD6AEC-A334-4BBB-A65B-6BEC778DC1F5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Q289:S289</xm:sqref>
        </x14:conditionalFormatting>
        <x14:conditionalFormatting xmlns:xm="http://schemas.microsoft.com/office/excel/2006/main">
          <x14:cfRule type="expression" priority="4" id="{E912CFD4-59FE-4F20-821F-8204916ADF8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Q296:S296</xm:sqref>
        </x14:conditionalFormatting>
        <x14:conditionalFormatting xmlns:xm="http://schemas.microsoft.com/office/excel/2006/main">
          <x14:cfRule type="expression" priority="3" id="{C5961F6B-8FC2-4EAE-A3E9-0E0EC0A2F09E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E304:M304</xm:sqref>
        </x14:conditionalFormatting>
        <x14:conditionalFormatting xmlns:xm="http://schemas.microsoft.com/office/excel/2006/main">
          <x14:cfRule type="expression" priority="2" id="{CA432274-EF3E-4620-B9AD-903D7228AB11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Q304:S304</xm:sqref>
        </x14:conditionalFormatting>
        <x14:conditionalFormatting xmlns:xm="http://schemas.microsoft.com/office/excel/2006/main">
          <x14:cfRule type="expression" priority="1" id="{85F546FC-EF05-4060-8FD9-D5412892E803}">
            <xm:f>IF(C11&gt;=Geral!#REF!,0.1)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E306:M306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Vantagens"/>
  <dimension ref="A1:T372"/>
  <sheetViews>
    <sheetView workbookViewId="0">
      <selection activeCell="H10" sqref="H10"/>
    </sheetView>
  </sheetViews>
  <sheetFormatPr defaultColWidth="0" defaultRowHeight="15" zeroHeight="1" x14ac:dyDescent="0.25"/>
  <cols>
    <col min="1" max="1" width="2.7109375" style="575" customWidth="1"/>
    <col min="2" max="2" width="5.7109375" style="575" customWidth="1"/>
    <col min="3" max="3" width="6.42578125" style="575" customWidth="1"/>
    <col min="4" max="4" width="9.140625" style="575" customWidth="1"/>
    <col min="5" max="5" width="13.7109375" style="575" customWidth="1"/>
    <col min="6" max="6" width="19.28515625" style="575" customWidth="1"/>
    <col min="7" max="7" width="13.5703125" style="575" customWidth="1"/>
    <col min="8" max="8" width="9.140625" style="575" customWidth="1"/>
    <col min="9" max="9" width="10.7109375" style="575" customWidth="1"/>
    <col min="10" max="11" width="5.140625" style="575" customWidth="1"/>
    <col min="12" max="12" width="5.28515625" style="575" customWidth="1"/>
    <col min="13" max="13" width="5.7109375" style="575" customWidth="1"/>
    <col min="14" max="14" width="2.7109375" style="575" customWidth="1"/>
    <col min="15" max="16384" width="9.140625" style="1306" hidden="1"/>
  </cols>
  <sheetData>
    <row r="1" spans="1:20" s="575" customFormat="1" ht="15.75" thickBot="1" x14ac:dyDescent="0.3">
      <c r="A1" s="1350">
        <v>7</v>
      </c>
      <c r="B1" s="1350"/>
      <c r="C1" s="1350"/>
      <c r="D1" s="1350"/>
      <c r="E1" s="1350"/>
      <c r="F1" s="1350"/>
      <c r="G1" s="1350"/>
      <c r="H1" s="1350"/>
      <c r="I1" s="1350"/>
      <c r="J1" s="1350"/>
      <c r="K1" s="1350"/>
      <c r="L1" s="1350"/>
      <c r="M1" s="1350"/>
      <c r="N1" s="1350"/>
    </row>
    <row r="2" spans="1:20" ht="17.25" customHeight="1" thickTop="1" thickBot="1" x14ac:dyDescent="0.3">
      <c r="A2" s="1350"/>
      <c r="B2" s="1398"/>
      <c r="C2" s="1397"/>
      <c r="D2" s="1397"/>
      <c r="E2" s="1397"/>
      <c r="F2" s="1397"/>
      <c r="G2" s="1397"/>
      <c r="H2" s="1397"/>
      <c r="I2" s="1397"/>
      <c r="J2" s="1397"/>
      <c r="K2" s="1397"/>
      <c r="L2" s="1397"/>
      <c r="M2" s="1399"/>
      <c r="N2" s="1350"/>
      <c r="O2" s="1341"/>
      <c r="P2" s="1341"/>
      <c r="Q2" s="1341"/>
      <c r="R2" s="1341"/>
      <c r="S2" s="1341"/>
      <c r="T2" s="1345"/>
    </row>
    <row r="3" spans="1:20" ht="17.25" customHeight="1" thickBot="1" x14ac:dyDescent="0.3">
      <c r="A3" s="1350"/>
      <c r="B3" s="1342"/>
      <c r="C3" s="2650" t="s">
        <v>9613</v>
      </c>
      <c r="D3" s="2651"/>
      <c r="E3" s="2651"/>
      <c r="F3" s="2651"/>
      <c r="G3" s="2651"/>
      <c r="H3" s="2651"/>
      <c r="I3" s="2651"/>
      <c r="J3" s="2651"/>
      <c r="K3" s="2651"/>
      <c r="L3" s="2652"/>
      <c r="M3" s="1346"/>
      <c r="N3" s="1350"/>
      <c r="O3" s="1339"/>
      <c r="P3" s="1339"/>
      <c r="Q3" s="1339"/>
      <c r="R3" s="1339"/>
      <c r="S3" s="1339"/>
      <c r="T3" s="1346"/>
    </row>
    <row r="4" spans="1:20" ht="5.0999999999999996" customHeight="1" x14ac:dyDescent="0.25">
      <c r="A4" s="1350"/>
      <c r="B4" s="1342"/>
      <c r="C4" s="1339"/>
      <c r="D4" s="1339"/>
      <c r="E4" s="1339"/>
      <c r="F4" s="1339"/>
      <c r="G4" s="1339"/>
      <c r="H4" s="1339"/>
      <c r="I4" s="1339"/>
      <c r="J4" s="1339"/>
      <c r="K4" s="1339"/>
      <c r="L4" s="1339"/>
      <c r="M4" s="1346"/>
      <c r="N4" s="1350"/>
      <c r="O4" s="1339"/>
      <c r="P4" s="1339"/>
      <c r="Q4" s="1339"/>
      <c r="R4" s="1339"/>
      <c r="S4" s="1339"/>
      <c r="T4" s="1346"/>
    </row>
    <row r="5" spans="1:20" ht="15.75" x14ac:dyDescent="0.25">
      <c r="A5" s="1350" t="s">
        <v>8041</v>
      </c>
      <c r="B5" s="1343"/>
      <c r="C5" s="1338" t="s">
        <v>9463</v>
      </c>
      <c r="D5" s="1338" t="s">
        <v>391</v>
      </c>
      <c r="E5" s="1338" t="s">
        <v>9464</v>
      </c>
      <c r="F5" s="1338" t="s">
        <v>9465</v>
      </c>
      <c r="G5" s="1338" t="s">
        <v>9466</v>
      </c>
      <c r="H5" s="1338" t="s">
        <v>8184</v>
      </c>
      <c r="I5" s="1338" t="s">
        <v>9470</v>
      </c>
      <c r="J5" s="1338" t="s">
        <v>9467</v>
      </c>
      <c r="K5" s="1338" t="s">
        <v>9468</v>
      </c>
      <c r="L5" s="1338" t="s">
        <v>9469</v>
      </c>
      <c r="M5" s="1347" t="s">
        <v>9614</v>
      </c>
      <c r="N5" s="1350" t="s">
        <v>9615</v>
      </c>
      <c r="O5" s="1339"/>
      <c r="P5" s="1339"/>
      <c r="Q5" s="1339"/>
      <c r="R5" s="1339"/>
      <c r="S5" s="1339"/>
      <c r="T5" s="1346"/>
    </row>
    <row r="6" spans="1:20" ht="15.75" x14ac:dyDescent="0.25">
      <c r="A6" s="1350"/>
      <c r="B6" s="1343"/>
      <c r="C6" s="1362"/>
      <c r="D6" s="1362">
        <v>2881</v>
      </c>
      <c r="E6" s="1363">
        <v>43221</v>
      </c>
      <c r="F6" s="1363">
        <v>43251</v>
      </c>
      <c r="G6" s="1362"/>
      <c r="H6" s="1362">
        <v>51.4</v>
      </c>
      <c r="I6" s="1362"/>
      <c r="J6" s="1362"/>
      <c r="K6" s="1362"/>
      <c r="L6" s="1362"/>
      <c r="M6" s="1347"/>
      <c r="N6" s="1350"/>
      <c r="O6" s="1339"/>
      <c r="P6" s="1339"/>
      <c r="Q6" s="1339"/>
      <c r="R6" s="1339"/>
      <c r="S6" s="1339"/>
      <c r="T6" s="1346"/>
    </row>
    <row r="7" spans="1:20" ht="17.25" customHeight="1" x14ac:dyDescent="0.25">
      <c r="A7" s="1350"/>
      <c r="B7" s="1343"/>
      <c r="C7" s="1362"/>
      <c r="D7" s="1362">
        <v>2917</v>
      </c>
      <c r="E7" s="1363">
        <v>43221</v>
      </c>
      <c r="F7" s="1363">
        <v>43251</v>
      </c>
      <c r="G7" s="1362"/>
      <c r="H7" s="1362">
        <v>396.51</v>
      </c>
      <c r="I7" s="1362"/>
      <c r="J7" s="1362"/>
      <c r="K7" s="1362"/>
      <c r="L7" s="1362"/>
      <c r="M7" s="1347"/>
      <c r="N7" s="1350"/>
      <c r="O7" s="1339"/>
      <c r="P7" s="1339"/>
      <c r="Q7" s="1339"/>
      <c r="R7" s="1339"/>
      <c r="S7" s="1339"/>
      <c r="T7" s="1346"/>
    </row>
    <row r="8" spans="1:20" s="575" customFormat="1" ht="15.75" x14ac:dyDescent="0.25">
      <c r="A8" s="1350"/>
      <c r="B8" s="1343"/>
      <c r="C8" s="1362" t="s">
        <v>7936</v>
      </c>
      <c r="D8" s="1362">
        <v>2964</v>
      </c>
      <c r="E8" s="1363">
        <v>43221</v>
      </c>
      <c r="F8" s="1363">
        <v>43251</v>
      </c>
      <c r="G8" s="1362"/>
      <c r="H8" s="1362">
        <v>40.619999999999997</v>
      </c>
      <c r="I8" s="1362"/>
      <c r="J8" s="1362"/>
      <c r="K8" s="1362"/>
      <c r="L8" s="1362"/>
      <c r="M8" s="1348"/>
      <c r="N8" s="1350"/>
      <c r="O8" s="1339"/>
      <c r="P8" s="1339"/>
      <c r="Q8" s="1339"/>
      <c r="R8" s="1339"/>
      <c r="S8" s="1339"/>
      <c r="T8" s="1346"/>
    </row>
    <row r="9" spans="1:20" s="575" customFormat="1" ht="15.75" x14ac:dyDescent="0.25">
      <c r="A9" s="1350"/>
      <c r="B9" s="1343"/>
      <c r="C9" s="1362"/>
      <c r="D9" s="1362">
        <v>2966</v>
      </c>
      <c r="E9" s="1363">
        <v>43221</v>
      </c>
      <c r="F9" s="1363">
        <v>43251</v>
      </c>
      <c r="G9" s="1362"/>
      <c r="H9" s="1362">
        <v>3.97</v>
      </c>
      <c r="I9" s="1362"/>
      <c r="J9" s="1362"/>
      <c r="K9" s="1362"/>
      <c r="L9" s="1362"/>
      <c r="M9" s="1348"/>
      <c r="N9" s="1350"/>
      <c r="O9" s="1339"/>
      <c r="P9" s="1339"/>
      <c r="Q9" s="1339"/>
      <c r="R9" s="1339"/>
      <c r="S9" s="1339"/>
      <c r="T9" s="1346"/>
    </row>
    <row r="10" spans="1:20" s="575" customFormat="1" ht="15.75" x14ac:dyDescent="0.25">
      <c r="A10" s="1350"/>
      <c r="B10" s="1343"/>
      <c r="C10" s="1362"/>
      <c r="D10" s="1362">
        <v>2979</v>
      </c>
      <c r="E10" s="1363">
        <v>43221</v>
      </c>
      <c r="F10" s="1363">
        <v>43251</v>
      </c>
      <c r="G10" s="1362"/>
      <c r="H10" s="1362">
        <v>24.3</v>
      </c>
      <c r="I10" s="1362"/>
      <c r="J10" s="1362"/>
      <c r="K10" s="1362"/>
      <c r="L10" s="1362"/>
      <c r="M10" s="1348"/>
      <c r="N10" s="1350"/>
      <c r="O10" s="1339"/>
      <c r="P10" s="1339"/>
      <c r="Q10" s="1339"/>
      <c r="R10" s="1339"/>
      <c r="S10" s="1339"/>
      <c r="T10" s="1346"/>
    </row>
    <row r="11" spans="1:20" s="575" customFormat="1" ht="15.75" x14ac:dyDescent="0.25">
      <c r="A11" s="1350"/>
      <c r="B11" s="1343"/>
      <c r="C11" s="1362"/>
      <c r="D11" s="1362">
        <v>917</v>
      </c>
      <c r="E11" s="1363">
        <v>43221</v>
      </c>
      <c r="F11" s="1363">
        <v>43465</v>
      </c>
      <c r="G11" s="1362"/>
      <c r="H11" s="1362"/>
      <c r="I11" s="1362"/>
      <c r="J11" s="1362"/>
      <c r="K11" s="1362"/>
      <c r="L11" s="1362"/>
      <c r="M11" s="1348"/>
      <c r="N11" s="1350"/>
      <c r="O11" s="1339"/>
      <c r="P11" s="1339"/>
      <c r="Q11" s="1339"/>
      <c r="R11" s="1339"/>
      <c r="S11" s="1339"/>
      <c r="T11" s="1346"/>
    </row>
    <row r="12" spans="1:20" s="575" customFormat="1" ht="15.75" x14ac:dyDescent="0.25">
      <c r="A12" s="1350"/>
      <c r="B12" s="1343"/>
      <c r="C12" s="1362"/>
      <c r="D12" s="1362">
        <v>964</v>
      </c>
      <c r="E12" s="1363">
        <v>43221</v>
      </c>
      <c r="F12" s="1363">
        <v>43465</v>
      </c>
      <c r="G12" s="1362"/>
      <c r="H12" s="1362"/>
      <c r="I12" s="1362"/>
      <c r="J12" s="1362"/>
      <c r="K12" s="1362"/>
      <c r="L12" s="1362"/>
      <c r="M12" s="1348"/>
      <c r="N12" s="1350"/>
      <c r="O12" s="1339"/>
      <c r="P12" s="1339"/>
      <c r="Q12" s="1339"/>
      <c r="R12" s="1339"/>
      <c r="S12" s="1339"/>
      <c r="T12" s="1346"/>
    </row>
    <row r="13" spans="1:20" s="575" customFormat="1" ht="16.5" thickBot="1" x14ac:dyDescent="0.3">
      <c r="A13" s="1350"/>
      <c r="B13" s="1344"/>
      <c r="C13" s="1352"/>
      <c r="D13" s="1352"/>
      <c r="E13" s="1352"/>
      <c r="F13" s="1352"/>
      <c r="G13" s="1352"/>
      <c r="H13" s="1352"/>
      <c r="I13" s="1352"/>
      <c r="J13" s="1352"/>
      <c r="K13" s="1352"/>
      <c r="L13" s="1352"/>
      <c r="M13" s="1349"/>
      <c r="N13" s="1350"/>
      <c r="O13" s="1340"/>
      <c r="P13" s="1340"/>
      <c r="Q13" s="1340"/>
      <c r="R13" s="1340"/>
      <c r="S13" s="1340"/>
      <c r="T13" s="1351"/>
    </row>
    <row r="14" spans="1:20" s="575" customFormat="1" ht="16.5" thickTop="1" x14ac:dyDescent="0.25">
      <c r="A14" s="1350"/>
      <c r="B14" s="1372"/>
      <c r="C14" s="1350"/>
      <c r="D14" s="1350"/>
      <c r="E14" s="1350"/>
      <c r="F14" s="1350"/>
      <c r="G14" s="1350"/>
      <c r="H14" s="1350"/>
      <c r="I14" s="1350"/>
      <c r="J14" s="1350"/>
      <c r="K14" s="1350"/>
      <c r="L14" s="1350"/>
      <c r="M14" s="1372"/>
      <c r="N14" s="1350"/>
    </row>
    <row r="15" spans="1:20" s="575" customFormat="1" ht="15.75" x14ac:dyDescent="0.25">
      <c r="A15" s="1350"/>
      <c r="B15" s="1372"/>
      <c r="C15" s="2653"/>
      <c r="D15" s="2653"/>
      <c r="E15" s="2653"/>
      <c r="F15" s="2653"/>
      <c r="G15" s="2653"/>
      <c r="H15" s="2653"/>
      <c r="I15" s="2653"/>
      <c r="J15" s="2653"/>
      <c r="K15" s="2653"/>
      <c r="L15" s="2653"/>
      <c r="M15" s="1372"/>
      <c r="N15" s="1350"/>
    </row>
    <row r="16" spans="1:20" s="575" customFormat="1" ht="15.75" x14ac:dyDescent="0.25">
      <c r="A16" s="1350"/>
      <c r="B16" s="1372"/>
      <c r="C16" s="1350"/>
      <c r="D16" s="1350"/>
      <c r="E16" s="1350"/>
      <c r="F16" s="1350"/>
      <c r="G16" s="1350"/>
      <c r="H16" s="1350"/>
      <c r="I16" s="1350"/>
      <c r="J16" s="1350"/>
      <c r="K16" s="1350"/>
      <c r="L16" s="1350"/>
      <c r="M16" s="1372"/>
      <c r="N16" s="1350"/>
    </row>
    <row r="17" spans="1:14" s="575" customFormat="1" ht="15.75" x14ac:dyDescent="0.25">
      <c r="A17" s="1350"/>
      <c r="B17" s="1372"/>
      <c r="C17" s="1350"/>
      <c r="D17" s="1350"/>
      <c r="E17" s="1350"/>
      <c r="F17" s="1350"/>
      <c r="G17" s="1350"/>
      <c r="H17" s="1350"/>
      <c r="I17" s="1350"/>
      <c r="J17" s="1350"/>
      <c r="K17" s="1350"/>
      <c r="L17" s="1350"/>
      <c r="M17" s="1372"/>
      <c r="N17" s="1350"/>
    </row>
    <row r="18" spans="1:14" s="575" customFormat="1" ht="15.75" x14ac:dyDescent="0.25">
      <c r="A18" s="1350"/>
      <c r="B18" s="1372"/>
      <c r="C18" s="1350"/>
      <c r="D18" s="1350"/>
      <c r="E18" s="1350"/>
      <c r="F18" s="1350"/>
      <c r="G18" s="1350"/>
      <c r="H18" s="1350"/>
      <c r="I18" s="1350"/>
      <c r="J18" s="1350"/>
      <c r="K18" s="1350"/>
      <c r="L18" s="1350"/>
      <c r="M18" s="1372"/>
      <c r="N18" s="1350"/>
    </row>
    <row r="19" spans="1:14" s="575" customFormat="1" ht="15.75" x14ac:dyDescent="0.25">
      <c r="A19" s="1350"/>
      <c r="B19" s="1372"/>
      <c r="C19" s="1350"/>
      <c r="D19" s="1350"/>
      <c r="E19" s="1350"/>
      <c r="F19" s="1350"/>
      <c r="G19" s="1350"/>
      <c r="H19" s="1350"/>
      <c r="I19" s="1350"/>
      <c r="J19" s="1350"/>
      <c r="K19" s="1350"/>
      <c r="L19" s="1350"/>
      <c r="M19" s="1372"/>
      <c r="N19" s="1350"/>
    </row>
    <row r="20" spans="1:14" s="575" customFormat="1" ht="15.75" x14ac:dyDescent="0.25">
      <c r="A20" s="1350"/>
      <c r="B20" s="1372"/>
      <c r="C20" s="1350"/>
      <c r="D20" s="1350"/>
      <c r="E20" s="1350"/>
      <c r="F20" s="1350"/>
      <c r="G20" s="1350"/>
      <c r="H20" s="1350"/>
      <c r="I20" s="1350"/>
      <c r="J20" s="1350"/>
      <c r="K20" s="1350"/>
      <c r="L20" s="1350"/>
      <c r="M20" s="1372"/>
      <c r="N20" s="1350"/>
    </row>
    <row r="21" spans="1:14" s="575" customFormat="1" x14ac:dyDescent="0.25">
      <c r="A21" s="1350"/>
      <c r="B21" s="1350"/>
      <c r="C21" s="1350"/>
      <c r="D21" s="1350"/>
      <c r="E21" s="1350"/>
      <c r="F21" s="1350"/>
      <c r="G21" s="1350"/>
      <c r="H21" s="1350"/>
      <c r="I21" s="1350"/>
      <c r="J21" s="1350"/>
      <c r="K21" s="1350"/>
      <c r="L21" s="1350"/>
      <c r="M21" s="1350"/>
      <c r="N21" s="1350"/>
    </row>
    <row r="22" spans="1:14" s="575" customFormat="1" x14ac:dyDescent="0.25">
      <c r="A22" s="1350"/>
      <c r="B22" s="1350"/>
      <c r="C22" s="1350"/>
      <c r="D22" s="1350"/>
      <c r="E22" s="1350"/>
      <c r="F22" s="1350"/>
      <c r="G22" s="1350"/>
      <c r="H22" s="1350"/>
      <c r="I22" s="1350"/>
      <c r="J22" s="1350"/>
      <c r="K22" s="1350"/>
      <c r="L22" s="1350"/>
      <c r="M22" s="1350"/>
      <c r="N22" s="1350"/>
    </row>
    <row r="23" spans="1:14" s="575" customFormat="1" x14ac:dyDescent="0.25">
      <c r="A23" s="1350"/>
      <c r="B23" s="1350"/>
      <c r="C23" s="1350"/>
      <c r="D23" s="1350"/>
      <c r="E23" s="1350"/>
      <c r="F23" s="1350"/>
      <c r="G23" s="1350"/>
      <c r="H23" s="1350"/>
      <c r="I23" s="1350"/>
      <c r="J23" s="1350"/>
      <c r="K23" s="1350"/>
      <c r="L23" s="1350"/>
      <c r="M23" s="1350"/>
      <c r="N23" s="1350"/>
    </row>
    <row r="24" spans="1:14" s="575" customFormat="1" x14ac:dyDescent="0.25">
      <c r="A24" s="1350"/>
      <c r="B24" s="1350"/>
      <c r="C24" s="1350"/>
      <c r="D24" s="1350"/>
      <c r="E24" s="1350"/>
      <c r="F24" s="1350"/>
      <c r="G24" s="1350"/>
      <c r="H24" s="1350"/>
      <c r="I24" s="1350"/>
      <c r="J24" s="1350"/>
      <c r="K24" s="1350"/>
      <c r="L24" s="1350"/>
      <c r="M24" s="1350"/>
      <c r="N24" s="1350"/>
    </row>
    <row r="25" spans="1:14" s="575" customFormat="1" x14ac:dyDescent="0.25">
      <c r="A25" s="1350"/>
      <c r="B25" s="1350"/>
      <c r="C25" s="1350"/>
      <c r="D25" s="1350"/>
      <c r="E25" s="1350"/>
      <c r="F25" s="1350"/>
      <c r="G25" s="1350"/>
      <c r="H25" s="1350"/>
      <c r="I25" s="1350"/>
      <c r="J25" s="1350"/>
      <c r="K25" s="1350"/>
      <c r="L25" s="1350"/>
      <c r="M25" s="1350"/>
      <c r="N25" s="1350"/>
    </row>
    <row r="26" spans="1:14" s="575" customFormat="1" x14ac:dyDescent="0.25">
      <c r="A26" s="1350"/>
      <c r="B26" s="1350"/>
      <c r="C26" s="1350"/>
      <c r="D26" s="1350"/>
      <c r="E26" s="1350"/>
      <c r="F26" s="1350"/>
      <c r="G26" s="1350"/>
      <c r="H26" s="1350"/>
      <c r="I26" s="1350"/>
      <c r="J26" s="1350"/>
      <c r="K26" s="1350"/>
      <c r="L26" s="1350"/>
      <c r="M26" s="1350"/>
      <c r="N26" s="1350"/>
    </row>
    <row r="27" spans="1:14" s="575" customFormat="1" x14ac:dyDescent="0.25">
      <c r="A27" s="1350"/>
      <c r="B27" s="1350"/>
      <c r="C27" s="1350"/>
      <c r="D27" s="1350"/>
      <c r="E27" s="1350"/>
      <c r="F27" s="1350"/>
      <c r="G27" s="1350"/>
      <c r="H27" s="1350"/>
      <c r="I27" s="1350"/>
      <c r="J27" s="1350"/>
      <c r="K27" s="1350"/>
      <c r="L27" s="1350"/>
      <c r="M27" s="1350"/>
      <c r="N27" s="1350"/>
    </row>
    <row r="28" spans="1:14" s="575" customFormat="1" x14ac:dyDescent="0.25">
      <c r="A28" s="1350"/>
      <c r="B28" s="1350"/>
      <c r="C28" s="1350"/>
      <c r="D28" s="1350"/>
      <c r="E28" s="1350"/>
      <c r="F28" s="1350"/>
      <c r="G28" s="1350"/>
      <c r="H28" s="1350"/>
      <c r="I28" s="1350"/>
      <c r="J28" s="1350"/>
      <c r="K28" s="1350"/>
      <c r="L28" s="1350"/>
      <c r="M28" s="1350"/>
      <c r="N28" s="1350"/>
    </row>
    <row r="29" spans="1:14" s="575" customFormat="1" x14ac:dyDescent="0.25">
      <c r="A29" s="1350"/>
      <c r="B29" s="1350"/>
      <c r="C29" s="1350"/>
      <c r="D29" s="1350"/>
      <c r="E29" s="1350"/>
      <c r="F29" s="1350"/>
      <c r="G29" s="1350"/>
      <c r="H29" s="1350"/>
      <c r="I29" s="1350"/>
      <c r="J29" s="1350"/>
      <c r="K29" s="1350"/>
      <c r="L29" s="1350"/>
      <c r="M29" s="1350"/>
      <c r="N29" s="1350"/>
    </row>
    <row r="30" spans="1:14" s="575" customFormat="1" x14ac:dyDescent="0.25">
      <c r="A30" s="1350"/>
      <c r="B30" s="1350"/>
      <c r="C30" s="1350"/>
      <c r="D30" s="1350"/>
      <c r="E30" s="1350"/>
      <c r="F30" s="1350"/>
      <c r="G30" s="1350"/>
      <c r="H30" s="1350"/>
      <c r="I30" s="1350"/>
      <c r="J30" s="1350"/>
      <c r="K30" s="1350"/>
      <c r="L30" s="1350"/>
      <c r="M30" s="1350"/>
      <c r="N30" s="1350"/>
    </row>
    <row r="31" spans="1:14" s="575" customFormat="1" x14ac:dyDescent="0.25">
      <c r="A31" s="1350"/>
      <c r="B31" s="1350"/>
      <c r="C31" s="1350"/>
      <c r="D31" s="1350"/>
      <c r="E31" s="1350"/>
      <c r="F31" s="1350"/>
      <c r="G31" s="1350"/>
      <c r="H31" s="1350"/>
      <c r="I31" s="1350"/>
      <c r="J31" s="1350"/>
      <c r="K31" s="1350"/>
      <c r="L31" s="1350"/>
      <c r="M31" s="1350"/>
      <c r="N31" s="1350"/>
    </row>
    <row r="32" spans="1:14" s="575" customFormat="1" x14ac:dyDescent="0.25">
      <c r="A32" s="1350"/>
      <c r="B32" s="1350"/>
      <c r="C32" s="1350"/>
      <c r="D32" s="1350"/>
      <c r="E32" s="1350"/>
      <c r="F32" s="1350"/>
      <c r="G32" s="1350"/>
      <c r="H32" s="1350"/>
      <c r="I32" s="1350"/>
      <c r="J32" s="1350"/>
      <c r="K32" s="1350"/>
      <c r="L32" s="1350"/>
      <c r="M32" s="1350"/>
      <c r="N32" s="1350"/>
    </row>
    <row r="33" spans="1:14" s="575" customFormat="1" x14ac:dyDescent="0.25">
      <c r="A33" s="1350"/>
      <c r="B33" s="1350"/>
      <c r="C33" s="1350"/>
      <c r="D33" s="1350"/>
      <c r="E33" s="1350"/>
      <c r="F33" s="1350"/>
      <c r="G33" s="1350"/>
      <c r="H33" s="1350"/>
      <c r="I33" s="1350"/>
      <c r="J33" s="1350"/>
      <c r="K33" s="1350"/>
      <c r="L33" s="1350"/>
      <c r="M33" s="1350"/>
      <c r="N33" s="1350"/>
    </row>
    <row r="34" spans="1:14" s="575" customFormat="1" x14ac:dyDescent="0.25">
      <c r="A34" s="1350"/>
      <c r="B34" s="1350"/>
      <c r="C34" s="1350"/>
      <c r="D34" s="1350"/>
      <c r="E34" s="1350"/>
      <c r="F34" s="1350"/>
      <c r="G34" s="1350"/>
      <c r="H34" s="1350"/>
      <c r="I34" s="1350"/>
      <c r="J34" s="1350"/>
      <c r="K34" s="1350"/>
      <c r="L34" s="1350"/>
      <c r="M34" s="1350"/>
      <c r="N34" s="1350"/>
    </row>
    <row r="35" spans="1:14" s="575" customFormat="1" x14ac:dyDescent="0.25">
      <c r="A35" s="1350"/>
      <c r="B35" s="1350"/>
      <c r="C35" s="1350"/>
      <c r="D35" s="1350"/>
      <c r="E35" s="1350"/>
      <c r="F35" s="1350"/>
      <c r="G35" s="1350"/>
      <c r="H35" s="1350"/>
      <c r="I35" s="1350"/>
      <c r="J35" s="1350"/>
      <c r="K35" s="1350"/>
      <c r="L35" s="1350"/>
      <c r="M35" s="1350"/>
      <c r="N35" s="1350"/>
    </row>
    <row r="36" spans="1:14" s="575" customFormat="1" x14ac:dyDescent="0.25">
      <c r="A36" s="1350"/>
      <c r="B36" s="1350"/>
      <c r="C36" s="1350"/>
      <c r="D36" s="1350"/>
      <c r="E36" s="1350"/>
      <c r="F36" s="1350"/>
      <c r="G36" s="1350"/>
      <c r="H36" s="1350"/>
      <c r="I36" s="1350"/>
      <c r="J36" s="1350"/>
      <c r="K36" s="1350"/>
      <c r="L36" s="1350"/>
      <c r="M36" s="1350"/>
      <c r="N36" s="1350"/>
    </row>
    <row r="37" spans="1:14" s="575" customFormat="1" x14ac:dyDescent="0.25">
      <c r="A37" s="1350"/>
      <c r="B37" s="1350"/>
      <c r="C37" s="1350"/>
      <c r="D37" s="1350"/>
      <c r="E37" s="1350"/>
      <c r="F37" s="1350"/>
      <c r="G37" s="1350"/>
      <c r="H37" s="1350"/>
      <c r="I37" s="1350"/>
      <c r="J37" s="1350"/>
      <c r="K37" s="1350"/>
      <c r="L37" s="1350"/>
      <c r="M37" s="1350"/>
      <c r="N37" s="1350"/>
    </row>
    <row r="38" spans="1:14" s="575" customFormat="1" x14ac:dyDescent="0.25">
      <c r="A38" s="1350"/>
      <c r="B38" s="1350"/>
      <c r="C38" s="1350"/>
      <c r="D38" s="1350"/>
      <c r="E38" s="1350"/>
      <c r="F38" s="1350"/>
      <c r="G38" s="1350"/>
      <c r="H38" s="1350"/>
      <c r="I38" s="1350"/>
      <c r="J38" s="1350"/>
      <c r="K38" s="1350"/>
      <c r="L38" s="1350"/>
      <c r="M38" s="1350"/>
      <c r="N38" s="1350"/>
    </row>
    <row r="39" spans="1:14" s="575" customFormat="1" x14ac:dyDescent="0.25">
      <c r="A39" s="1350"/>
      <c r="B39" s="1350"/>
      <c r="C39" s="1350"/>
      <c r="D39" s="1350"/>
      <c r="E39" s="1350"/>
      <c r="F39" s="1350"/>
      <c r="G39" s="1350"/>
      <c r="H39" s="1350"/>
      <c r="I39" s="1350"/>
      <c r="J39" s="1350"/>
      <c r="K39" s="1350"/>
      <c r="L39" s="1350"/>
      <c r="M39" s="1350"/>
      <c r="N39" s="1350"/>
    </row>
    <row r="40" spans="1:14" s="575" customFormat="1" x14ac:dyDescent="0.25">
      <c r="A40" s="1350"/>
      <c r="B40" s="1350"/>
      <c r="C40" s="1350"/>
      <c r="D40" s="1350"/>
      <c r="E40" s="1350"/>
      <c r="F40" s="1350"/>
      <c r="G40" s="1350"/>
      <c r="H40" s="1350"/>
      <c r="I40" s="1350"/>
      <c r="J40" s="1350"/>
      <c r="K40" s="1350"/>
      <c r="L40" s="1350"/>
      <c r="M40" s="1350"/>
      <c r="N40" s="1350"/>
    </row>
    <row r="41" spans="1:14" s="575" customFormat="1" x14ac:dyDescent="0.25">
      <c r="A41" s="1350"/>
      <c r="B41" s="1350"/>
      <c r="C41" s="1350"/>
      <c r="D41" s="1350"/>
      <c r="E41" s="1350"/>
      <c r="F41" s="1350"/>
      <c r="G41" s="1350"/>
      <c r="H41" s="1350"/>
      <c r="I41" s="1350"/>
      <c r="J41" s="1350"/>
      <c r="K41" s="1350"/>
      <c r="L41" s="1350"/>
      <c r="M41" s="1350"/>
      <c r="N41" s="1350"/>
    </row>
    <row r="42" spans="1:14" s="575" customFormat="1" x14ac:dyDescent="0.25">
      <c r="A42" s="1350"/>
      <c r="B42" s="1350"/>
      <c r="C42" s="1350"/>
      <c r="D42" s="1350"/>
      <c r="E42" s="1350"/>
      <c r="F42" s="1350"/>
      <c r="G42" s="1350"/>
      <c r="H42" s="1350"/>
      <c r="I42" s="1350"/>
      <c r="J42" s="1350"/>
      <c r="K42" s="1350"/>
      <c r="L42" s="1350"/>
      <c r="M42" s="1350"/>
      <c r="N42" s="1350"/>
    </row>
    <row r="43" spans="1:14" s="575" customFormat="1" x14ac:dyDescent="0.25">
      <c r="A43" s="1350"/>
      <c r="B43" s="1350"/>
      <c r="C43" s="1350"/>
      <c r="D43" s="1350"/>
      <c r="E43" s="1350"/>
      <c r="F43" s="1350"/>
      <c r="G43" s="1350"/>
      <c r="H43" s="1350"/>
      <c r="I43" s="1350"/>
      <c r="J43" s="1350"/>
      <c r="K43" s="1350"/>
      <c r="L43" s="1350"/>
      <c r="M43" s="1350"/>
      <c r="N43" s="1350"/>
    </row>
    <row r="44" spans="1:14" s="575" customFormat="1" x14ac:dyDescent="0.25">
      <c r="A44" s="1350"/>
      <c r="B44" s="1350"/>
      <c r="C44" s="1350"/>
      <c r="D44" s="1350"/>
      <c r="E44" s="1350"/>
      <c r="F44" s="1350"/>
      <c r="G44" s="1350"/>
      <c r="H44" s="1350"/>
      <c r="I44" s="1350"/>
      <c r="J44" s="1350"/>
      <c r="K44" s="1350"/>
      <c r="L44" s="1350"/>
      <c r="M44" s="1350"/>
      <c r="N44" s="1350"/>
    </row>
    <row r="45" spans="1:14" s="575" customFormat="1" x14ac:dyDescent="0.25">
      <c r="A45" s="1350"/>
      <c r="B45" s="1350"/>
      <c r="C45" s="1350"/>
      <c r="D45" s="1350"/>
      <c r="E45" s="1350"/>
      <c r="F45" s="1350"/>
      <c r="G45" s="1350"/>
      <c r="H45" s="1350"/>
      <c r="I45" s="1350"/>
      <c r="J45" s="1350"/>
      <c r="K45" s="1350"/>
      <c r="L45" s="1350"/>
      <c r="M45" s="1350"/>
      <c r="N45" s="1350"/>
    </row>
    <row r="46" spans="1:14" s="575" customFormat="1" x14ac:dyDescent="0.25">
      <c r="A46" s="1350"/>
      <c r="B46" s="1350"/>
      <c r="C46" s="1350"/>
      <c r="D46" s="1350"/>
      <c r="E46" s="1350"/>
      <c r="F46" s="1350"/>
      <c r="G46" s="1350"/>
      <c r="H46" s="1350"/>
      <c r="I46" s="1350"/>
      <c r="J46" s="1350"/>
      <c r="K46" s="1350"/>
      <c r="L46" s="1350"/>
      <c r="M46" s="1350"/>
      <c r="N46" s="1350"/>
    </row>
    <row r="47" spans="1:14" s="575" customFormat="1" x14ac:dyDescent="0.25">
      <c r="A47" s="1350"/>
      <c r="B47" s="1350"/>
      <c r="C47" s="1350"/>
      <c r="D47" s="1350"/>
      <c r="E47" s="1350"/>
      <c r="F47" s="1350"/>
      <c r="G47" s="1350"/>
      <c r="H47" s="1350"/>
      <c r="I47" s="1350"/>
      <c r="J47" s="1350"/>
      <c r="K47" s="1350"/>
      <c r="L47" s="1350"/>
      <c r="M47" s="1350"/>
      <c r="N47" s="1350"/>
    </row>
    <row r="48" spans="1:14" hidden="1" x14ac:dyDescent="0.25">
      <c r="A48" s="1350"/>
      <c r="B48" s="1350"/>
      <c r="C48" s="1350"/>
      <c r="D48" s="1350"/>
      <c r="E48" s="1350"/>
      <c r="F48" s="1350"/>
      <c r="G48" s="1350"/>
      <c r="H48" s="1350"/>
      <c r="I48" s="1350"/>
      <c r="J48" s="1350"/>
      <c r="K48" s="1350"/>
      <c r="L48" s="1350"/>
      <c r="M48" s="1350"/>
      <c r="N48" s="1350"/>
    </row>
    <row r="49" spans="1:14" hidden="1" x14ac:dyDescent="0.25">
      <c r="A49" s="1350"/>
      <c r="B49" s="1350"/>
      <c r="C49" s="1350"/>
      <c r="D49" s="1350"/>
      <c r="E49" s="1350"/>
      <c r="F49" s="1350"/>
      <c r="G49" s="1350"/>
      <c r="H49" s="1350"/>
      <c r="I49" s="1350"/>
      <c r="J49" s="1350"/>
      <c r="K49" s="1350"/>
      <c r="L49" s="1350"/>
      <c r="M49" s="1350"/>
      <c r="N49" s="1350"/>
    </row>
    <row r="50" spans="1:14" hidden="1" x14ac:dyDescent="0.25">
      <c r="A50" s="1350"/>
      <c r="B50" s="1350"/>
      <c r="C50" s="1350"/>
      <c r="D50" s="1350"/>
      <c r="E50" s="1350"/>
      <c r="F50" s="1350"/>
      <c r="G50" s="1350"/>
      <c r="H50" s="1350"/>
      <c r="I50" s="1350"/>
      <c r="J50" s="1350"/>
      <c r="K50" s="1350"/>
      <c r="L50" s="1350"/>
      <c r="M50" s="1350"/>
      <c r="N50" s="1350"/>
    </row>
    <row r="51" spans="1:14" hidden="1" x14ac:dyDescent="0.25">
      <c r="A51" s="1350"/>
      <c r="B51" s="1350"/>
      <c r="C51" s="1350"/>
      <c r="D51" s="1350"/>
      <c r="E51" s="1350"/>
      <c r="F51" s="1350"/>
      <c r="G51" s="1350"/>
      <c r="H51" s="1350"/>
      <c r="I51" s="1350"/>
      <c r="J51" s="1350"/>
      <c r="K51" s="1350"/>
      <c r="L51" s="1350"/>
      <c r="M51" s="1350"/>
      <c r="N51" s="1350"/>
    </row>
    <row r="52" spans="1:14" hidden="1" x14ac:dyDescent="0.25">
      <c r="A52" s="1350"/>
      <c r="B52" s="1350"/>
      <c r="C52" s="1350"/>
      <c r="D52" s="1350"/>
      <c r="E52" s="1350"/>
      <c r="F52" s="1350"/>
      <c r="G52" s="1350"/>
      <c r="H52" s="1350"/>
      <c r="I52" s="1350"/>
      <c r="J52" s="1350"/>
      <c r="K52" s="1350"/>
      <c r="L52" s="1350"/>
      <c r="M52" s="1350"/>
      <c r="N52" s="1350"/>
    </row>
    <row r="53" spans="1:14" hidden="1" x14ac:dyDescent="0.25">
      <c r="A53" s="1350"/>
      <c r="B53" s="1350"/>
      <c r="C53" s="1350"/>
      <c r="D53" s="1350"/>
      <c r="E53" s="1350"/>
      <c r="F53" s="1350"/>
      <c r="G53" s="1350"/>
      <c r="H53" s="1350"/>
      <c r="I53" s="1350"/>
      <c r="J53" s="1350"/>
      <c r="K53" s="1350"/>
      <c r="L53" s="1350"/>
      <c r="M53" s="1350"/>
      <c r="N53" s="1350"/>
    </row>
    <row r="54" spans="1:14" hidden="1" x14ac:dyDescent="0.25">
      <c r="A54" s="1350"/>
      <c r="B54" s="1350"/>
      <c r="C54" s="1350"/>
      <c r="D54" s="1350"/>
      <c r="E54" s="1350"/>
      <c r="F54" s="1350"/>
      <c r="G54" s="1350"/>
      <c r="H54" s="1350"/>
      <c r="I54" s="1350"/>
      <c r="J54" s="1350"/>
      <c r="K54" s="1350"/>
      <c r="L54" s="1350"/>
      <c r="M54" s="1350"/>
      <c r="N54" s="1350"/>
    </row>
    <row r="55" spans="1:14" hidden="1" x14ac:dyDescent="0.25">
      <c r="A55" s="1350"/>
      <c r="B55" s="1350"/>
      <c r="C55" s="1350"/>
      <c r="D55" s="1350"/>
      <c r="E55" s="1350"/>
      <c r="F55" s="1350"/>
      <c r="G55" s="1350"/>
      <c r="H55" s="1350"/>
      <c r="I55" s="1350"/>
      <c r="J55" s="1350"/>
      <c r="K55" s="1350"/>
      <c r="L55" s="1350"/>
      <c r="M55" s="1350"/>
      <c r="N55" s="1350"/>
    </row>
    <row r="56" spans="1:14" hidden="1" x14ac:dyDescent="0.25">
      <c r="A56" s="1350"/>
      <c r="B56" s="1350"/>
      <c r="C56" s="1350"/>
      <c r="D56" s="1350"/>
      <c r="E56" s="1350"/>
      <c r="F56" s="1350"/>
      <c r="G56" s="1350"/>
      <c r="H56" s="1350"/>
      <c r="I56" s="1350"/>
      <c r="J56" s="1350"/>
      <c r="K56" s="1350"/>
      <c r="L56" s="1350"/>
      <c r="M56" s="1350"/>
      <c r="N56" s="1350"/>
    </row>
    <row r="57" spans="1:14" hidden="1" x14ac:dyDescent="0.25">
      <c r="A57" s="1350"/>
      <c r="B57" s="1350"/>
      <c r="C57" s="1350"/>
      <c r="D57" s="1350"/>
      <c r="E57" s="1350"/>
      <c r="F57" s="1350"/>
      <c r="G57" s="1350"/>
      <c r="H57" s="1350"/>
      <c r="I57" s="1350"/>
      <c r="J57" s="1350"/>
      <c r="K57" s="1350"/>
      <c r="L57" s="1350"/>
      <c r="M57" s="1350"/>
      <c r="N57" s="1350"/>
    </row>
    <row r="58" spans="1:14" hidden="1" x14ac:dyDescent="0.25">
      <c r="A58" s="1350"/>
      <c r="B58" s="1350"/>
      <c r="C58" s="1350"/>
      <c r="D58" s="1350"/>
      <c r="E58" s="1350"/>
      <c r="F58" s="1350"/>
      <c r="G58" s="1350"/>
      <c r="H58" s="1350"/>
      <c r="I58" s="1350"/>
      <c r="J58" s="1350"/>
      <c r="K58" s="1350"/>
      <c r="L58" s="1350"/>
      <c r="M58" s="1350"/>
      <c r="N58" s="1350"/>
    </row>
    <row r="59" spans="1:14" hidden="1" x14ac:dyDescent="0.25">
      <c r="A59" s="1350"/>
      <c r="B59" s="1350"/>
      <c r="C59" s="1350"/>
      <c r="D59" s="1350"/>
      <c r="E59" s="1350"/>
      <c r="F59" s="1350"/>
      <c r="G59" s="1350"/>
      <c r="H59" s="1350"/>
      <c r="I59" s="1350"/>
      <c r="J59" s="1350"/>
      <c r="K59" s="1350"/>
      <c r="L59" s="1350"/>
      <c r="M59" s="1350"/>
      <c r="N59" s="1350"/>
    </row>
    <row r="60" spans="1:14" hidden="1" x14ac:dyDescent="0.25">
      <c r="A60" s="1350"/>
      <c r="B60" s="1350"/>
      <c r="C60" s="1350"/>
      <c r="D60" s="1350"/>
      <c r="E60" s="1350"/>
      <c r="F60" s="1350"/>
      <c r="G60" s="1350"/>
      <c r="H60" s="1350"/>
      <c r="I60" s="1350"/>
      <c r="J60" s="1350"/>
      <c r="K60" s="1350"/>
      <c r="L60" s="1350"/>
      <c r="M60" s="1350"/>
      <c r="N60" s="1350"/>
    </row>
    <row r="61" spans="1:14" hidden="1" x14ac:dyDescent="0.25">
      <c r="A61" s="1350"/>
      <c r="B61" s="1350"/>
      <c r="C61" s="1350"/>
      <c r="D61" s="1350"/>
      <c r="E61" s="1350"/>
      <c r="F61" s="1350"/>
      <c r="G61" s="1350"/>
      <c r="H61" s="1350"/>
      <c r="I61" s="1350"/>
      <c r="J61" s="1350"/>
      <c r="K61" s="1350"/>
      <c r="L61" s="1350"/>
      <c r="M61" s="1350"/>
      <c r="N61" s="1350"/>
    </row>
    <row r="62" spans="1:14" hidden="1" x14ac:dyDescent="0.25">
      <c r="A62" s="1350"/>
      <c r="B62" s="1350"/>
      <c r="C62" s="1350"/>
      <c r="D62" s="1350"/>
      <c r="E62" s="1350"/>
      <c r="F62" s="1350"/>
      <c r="G62" s="1350"/>
      <c r="H62" s="1350"/>
      <c r="I62" s="1350"/>
      <c r="J62" s="1350"/>
      <c r="K62" s="1350"/>
      <c r="L62" s="1350"/>
      <c r="M62" s="1350"/>
      <c r="N62" s="1350"/>
    </row>
    <row r="63" spans="1:14" hidden="1" x14ac:dyDescent="0.25">
      <c r="A63" s="1350"/>
      <c r="B63" s="1350"/>
      <c r="C63" s="1350"/>
      <c r="D63" s="1350"/>
      <c r="E63" s="1350"/>
      <c r="F63" s="1350"/>
      <c r="G63" s="1350"/>
      <c r="H63" s="1350"/>
      <c r="I63" s="1350"/>
      <c r="J63" s="1350"/>
      <c r="K63" s="1350"/>
      <c r="L63" s="1350"/>
      <c r="M63" s="1350"/>
      <c r="N63" s="1350"/>
    </row>
    <row r="64" spans="1:14" hidden="1" x14ac:dyDescent="0.25">
      <c r="A64" s="1350"/>
      <c r="B64" s="1350"/>
      <c r="C64" s="1350"/>
      <c r="D64" s="1350"/>
      <c r="E64" s="1350"/>
      <c r="F64" s="1350"/>
      <c r="G64" s="1350"/>
      <c r="H64" s="1350"/>
      <c r="I64" s="1350"/>
      <c r="J64" s="1350"/>
      <c r="K64" s="1350"/>
      <c r="L64" s="1350"/>
      <c r="M64" s="1350"/>
      <c r="N64" s="1350"/>
    </row>
    <row r="65" spans="1:14" hidden="1" x14ac:dyDescent="0.25">
      <c r="A65" s="1350"/>
      <c r="B65" s="1350"/>
      <c r="C65" s="1350"/>
      <c r="D65" s="1350"/>
      <c r="E65" s="1350"/>
      <c r="F65" s="1350"/>
      <c r="G65" s="1350"/>
      <c r="H65" s="1350"/>
      <c r="I65" s="1350"/>
      <c r="J65" s="1350"/>
      <c r="K65" s="1350"/>
      <c r="L65" s="1350"/>
      <c r="M65" s="1350"/>
      <c r="N65" s="1350"/>
    </row>
    <row r="66" spans="1:14" hidden="1" x14ac:dyDescent="0.25">
      <c r="A66" s="1350"/>
      <c r="B66" s="1350"/>
      <c r="C66" s="1350"/>
      <c r="D66" s="1350"/>
      <c r="E66" s="1350"/>
      <c r="F66" s="1350"/>
      <c r="G66" s="1350"/>
      <c r="H66" s="1350"/>
      <c r="I66" s="1350"/>
      <c r="J66" s="1350"/>
      <c r="K66" s="1350"/>
      <c r="L66" s="1350"/>
      <c r="M66" s="1350"/>
      <c r="N66" s="1350"/>
    </row>
    <row r="67" spans="1:14" hidden="1" x14ac:dyDescent="0.25">
      <c r="A67" s="1350"/>
      <c r="B67" s="1350"/>
      <c r="C67" s="1350"/>
      <c r="D67" s="1350"/>
      <c r="E67" s="1350"/>
      <c r="F67" s="1350"/>
      <c r="G67" s="1350"/>
      <c r="H67" s="1350"/>
      <c r="I67" s="1350"/>
      <c r="J67" s="1350"/>
      <c r="K67" s="1350"/>
      <c r="L67" s="1350"/>
      <c r="M67" s="1350"/>
      <c r="N67" s="1350"/>
    </row>
    <row r="68" spans="1:14" hidden="1" x14ac:dyDescent="0.25">
      <c r="A68" s="1350"/>
      <c r="B68" s="1350"/>
      <c r="C68" s="1350"/>
      <c r="D68" s="1350"/>
      <c r="E68" s="1350"/>
      <c r="F68" s="1350"/>
      <c r="G68" s="1350"/>
      <c r="H68" s="1350"/>
      <c r="I68" s="1350"/>
      <c r="J68" s="1350"/>
      <c r="K68" s="1350"/>
      <c r="L68" s="1350"/>
      <c r="M68" s="1350"/>
      <c r="N68" s="1350"/>
    </row>
    <row r="69" spans="1:14" hidden="1" x14ac:dyDescent="0.25">
      <c r="A69" s="1350"/>
      <c r="B69" s="1350"/>
      <c r="C69" s="1350"/>
      <c r="D69" s="1350"/>
      <c r="E69" s="1350"/>
      <c r="F69" s="1350"/>
      <c r="G69" s="1350"/>
      <c r="H69" s="1350"/>
      <c r="I69" s="1350"/>
      <c r="J69" s="1350"/>
      <c r="K69" s="1350"/>
      <c r="L69" s="1350"/>
      <c r="M69" s="1350"/>
      <c r="N69" s="1350"/>
    </row>
    <row r="70" spans="1:14" hidden="1" x14ac:dyDescent="0.25">
      <c r="A70" s="1350"/>
      <c r="B70" s="1350"/>
      <c r="C70" s="1350"/>
      <c r="D70" s="1350"/>
      <c r="E70" s="1350"/>
      <c r="F70" s="1350"/>
      <c r="G70" s="1350"/>
      <c r="H70" s="1350"/>
      <c r="I70" s="1350"/>
      <c r="J70" s="1350"/>
      <c r="K70" s="1350"/>
      <c r="L70" s="1350"/>
      <c r="M70" s="1350"/>
      <c r="N70" s="1350"/>
    </row>
    <row r="71" spans="1:14" hidden="1" x14ac:dyDescent="0.25">
      <c r="A71" s="1350"/>
      <c r="B71" s="1350"/>
      <c r="C71" s="1350"/>
      <c r="D71" s="1350"/>
      <c r="E71" s="1350"/>
      <c r="F71" s="1350"/>
      <c r="G71" s="1350"/>
      <c r="H71" s="1350"/>
      <c r="I71" s="1350"/>
      <c r="J71" s="1350"/>
      <c r="K71" s="1350"/>
      <c r="L71" s="1350"/>
      <c r="M71" s="1350"/>
      <c r="N71" s="1350"/>
    </row>
    <row r="72" spans="1:14" hidden="1" x14ac:dyDescent="0.25">
      <c r="A72" s="1350"/>
      <c r="B72" s="1350"/>
      <c r="C72" s="1350"/>
      <c r="D72" s="1350"/>
      <c r="E72" s="1350"/>
      <c r="F72" s="1350"/>
      <c r="G72" s="1350"/>
      <c r="H72" s="1350"/>
      <c r="I72" s="1350"/>
      <c r="J72" s="1350"/>
      <c r="K72" s="1350"/>
      <c r="L72" s="1350"/>
      <c r="M72" s="1350"/>
      <c r="N72" s="1350"/>
    </row>
    <row r="73" spans="1:14" hidden="1" x14ac:dyDescent="0.25">
      <c r="A73" s="1350"/>
      <c r="B73" s="1350"/>
      <c r="C73" s="1350"/>
      <c r="D73" s="1350"/>
      <c r="E73" s="1350"/>
      <c r="F73" s="1350"/>
      <c r="G73" s="1350"/>
      <c r="H73" s="1350"/>
      <c r="I73" s="1350"/>
      <c r="J73" s="1350"/>
      <c r="K73" s="1350"/>
      <c r="L73" s="1350"/>
      <c r="M73" s="1350"/>
      <c r="N73" s="1350"/>
    </row>
    <row r="74" spans="1:14" hidden="1" x14ac:dyDescent="0.25">
      <c r="A74" s="1350"/>
      <c r="B74" s="1350"/>
      <c r="C74" s="1350"/>
      <c r="D74" s="1350"/>
      <c r="E74" s="1350"/>
      <c r="F74" s="1350"/>
      <c r="G74" s="1350"/>
      <c r="H74" s="1350"/>
      <c r="I74" s="1350"/>
      <c r="J74" s="1350"/>
      <c r="K74" s="1350"/>
      <c r="L74" s="1350"/>
      <c r="M74" s="1350"/>
      <c r="N74" s="1350"/>
    </row>
    <row r="75" spans="1:14" hidden="1" x14ac:dyDescent="0.25">
      <c r="A75" s="1350"/>
      <c r="B75" s="1350"/>
      <c r="C75" s="1350"/>
      <c r="D75" s="1350"/>
      <c r="E75" s="1350"/>
      <c r="F75" s="1350"/>
      <c r="G75" s="1350"/>
      <c r="H75" s="1350"/>
      <c r="I75" s="1350"/>
      <c r="J75" s="1350"/>
      <c r="K75" s="1350"/>
      <c r="L75" s="1350"/>
      <c r="M75" s="1350"/>
      <c r="N75" s="1350"/>
    </row>
    <row r="76" spans="1:14" hidden="1" x14ac:dyDescent="0.25">
      <c r="A76" s="1350"/>
      <c r="B76" s="1350"/>
      <c r="C76" s="1350"/>
      <c r="D76" s="1350"/>
      <c r="E76" s="1350"/>
      <c r="F76" s="1350"/>
      <c r="G76" s="1350"/>
      <c r="H76" s="1350"/>
      <c r="I76" s="1350"/>
      <c r="J76" s="1350"/>
      <c r="K76" s="1350"/>
      <c r="L76" s="1350"/>
      <c r="M76" s="1350"/>
      <c r="N76" s="1350"/>
    </row>
    <row r="77" spans="1:14" hidden="1" x14ac:dyDescent="0.25">
      <c r="A77" s="1350"/>
      <c r="B77" s="1350"/>
      <c r="C77" s="1350"/>
      <c r="D77" s="1350"/>
      <c r="E77" s="1350"/>
      <c r="F77" s="1350"/>
      <c r="G77" s="1350"/>
      <c r="H77" s="1350"/>
      <c r="I77" s="1350"/>
      <c r="J77" s="1350"/>
      <c r="K77" s="1350"/>
      <c r="L77" s="1350"/>
      <c r="M77" s="1350"/>
      <c r="N77" s="1350"/>
    </row>
    <row r="78" spans="1:14" hidden="1" x14ac:dyDescent="0.25">
      <c r="A78" s="1350"/>
      <c r="B78" s="1350"/>
      <c r="C78" s="1350"/>
      <c r="D78" s="1350"/>
      <c r="E78" s="1350"/>
      <c r="F78" s="1350"/>
      <c r="G78" s="1350"/>
      <c r="H78" s="1350"/>
      <c r="I78" s="1350"/>
      <c r="J78" s="1350"/>
      <c r="K78" s="1350"/>
      <c r="L78" s="1350"/>
      <c r="M78" s="1350"/>
      <c r="N78" s="1350"/>
    </row>
    <row r="79" spans="1:14" hidden="1" x14ac:dyDescent="0.25">
      <c r="A79" s="1350"/>
      <c r="B79" s="1350"/>
      <c r="C79" s="1350"/>
      <c r="D79" s="1350"/>
      <c r="E79" s="1350"/>
      <c r="F79" s="1350"/>
      <c r="G79" s="1350"/>
      <c r="H79" s="1350"/>
      <c r="I79" s="1350"/>
      <c r="J79" s="1350"/>
      <c r="K79" s="1350"/>
      <c r="L79" s="1350"/>
      <c r="M79" s="1350"/>
      <c r="N79" s="1350"/>
    </row>
    <row r="80" spans="1:14" hidden="1" x14ac:dyDescent="0.25">
      <c r="A80" s="1350"/>
      <c r="B80" s="1350"/>
      <c r="C80" s="1350"/>
      <c r="D80" s="1350"/>
      <c r="E80" s="1350"/>
      <c r="F80" s="1350"/>
      <c r="G80" s="1350"/>
      <c r="H80" s="1350"/>
      <c r="I80" s="1350"/>
      <c r="J80" s="1350"/>
      <c r="K80" s="1350"/>
      <c r="L80" s="1350"/>
      <c r="M80" s="1350"/>
      <c r="N80" s="1350"/>
    </row>
    <row r="81" spans="1:14" hidden="1" x14ac:dyDescent="0.25">
      <c r="A81" s="1350"/>
      <c r="B81" s="1350"/>
      <c r="C81" s="1350"/>
      <c r="D81" s="1350"/>
      <c r="E81" s="1350"/>
      <c r="F81" s="1350"/>
      <c r="G81" s="1350"/>
      <c r="H81" s="1350"/>
      <c r="I81" s="1350"/>
      <c r="J81" s="1350"/>
      <c r="K81" s="1350"/>
      <c r="L81" s="1350"/>
      <c r="M81" s="1350"/>
      <c r="N81" s="1350"/>
    </row>
    <row r="82" spans="1:14" hidden="1" x14ac:dyDescent="0.25">
      <c r="A82" s="1350"/>
      <c r="B82" s="1350"/>
      <c r="C82" s="1350"/>
      <c r="D82" s="1350"/>
      <c r="E82" s="1350"/>
      <c r="F82" s="1350"/>
      <c r="G82" s="1350"/>
      <c r="H82" s="1350"/>
      <c r="I82" s="1350"/>
      <c r="J82" s="1350"/>
      <c r="K82" s="1350"/>
      <c r="L82" s="1350"/>
      <c r="M82" s="1350"/>
      <c r="N82" s="1350"/>
    </row>
    <row r="83" spans="1:14" hidden="1" x14ac:dyDescent="0.25">
      <c r="A83" s="1350"/>
      <c r="B83" s="1350"/>
      <c r="C83" s="1350"/>
      <c r="D83" s="1350"/>
      <c r="E83" s="1350"/>
      <c r="F83" s="1350"/>
      <c r="G83" s="1350"/>
      <c r="H83" s="1350"/>
      <c r="I83" s="1350"/>
      <c r="J83" s="1350"/>
      <c r="K83" s="1350"/>
      <c r="L83" s="1350"/>
      <c r="M83" s="1350"/>
      <c r="N83" s="1350"/>
    </row>
    <row r="84" spans="1:14" hidden="1" x14ac:dyDescent="0.25">
      <c r="A84" s="1350"/>
      <c r="B84" s="1350"/>
      <c r="C84" s="1350"/>
      <c r="D84" s="1350"/>
      <c r="E84" s="1350"/>
      <c r="F84" s="1350"/>
      <c r="G84" s="1350"/>
      <c r="H84" s="1350"/>
      <c r="I84" s="1350"/>
      <c r="J84" s="1350"/>
      <c r="K84" s="1350"/>
      <c r="L84" s="1350"/>
      <c r="M84" s="1350"/>
      <c r="N84" s="1350"/>
    </row>
    <row r="85" spans="1:14" hidden="1" x14ac:dyDescent="0.25">
      <c r="A85" s="1350"/>
      <c r="B85" s="1350"/>
      <c r="C85" s="1350"/>
      <c r="D85" s="1350"/>
      <c r="E85" s="1350"/>
      <c r="F85" s="1350"/>
      <c r="G85" s="1350"/>
      <c r="H85" s="1350"/>
      <c r="I85" s="1350"/>
      <c r="J85" s="1350"/>
      <c r="K85" s="1350"/>
      <c r="L85" s="1350"/>
      <c r="M85" s="1350"/>
      <c r="N85" s="1350"/>
    </row>
    <row r="86" spans="1:14" hidden="1" x14ac:dyDescent="0.25">
      <c r="A86" s="1350"/>
      <c r="B86" s="1350"/>
      <c r="C86" s="1350"/>
      <c r="D86" s="1350"/>
      <c r="E86" s="1350"/>
      <c r="F86" s="1350"/>
      <c r="G86" s="1350"/>
      <c r="H86" s="1350"/>
      <c r="I86" s="1350"/>
      <c r="J86" s="1350"/>
      <c r="K86" s="1350"/>
      <c r="L86" s="1350"/>
      <c r="M86" s="1350"/>
      <c r="N86" s="1350"/>
    </row>
    <row r="87" spans="1:14" x14ac:dyDescent="0.25">
      <c r="A87" s="1350"/>
      <c r="B87" s="1350"/>
      <c r="C87" s="1350"/>
      <c r="D87" s="1350"/>
      <c r="E87" s="1350"/>
      <c r="F87" s="1350"/>
      <c r="G87" s="1350"/>
      <c r="H87" s="1350"/>
      <c r="I87" s="1350"/>
      <c r="J87" s="1350"/>
      <c r="K87" s="1350"/>
      <c r="L87" s="1350"/>
      <c r="M87" s="1350"/>
      <c r="N87" s="1350"/>
    </row>
    <row r="88" spans="1:14" hidden="1" x14ac:dyDescent="0.25">
      <c r="A88" s="1350"/>
      <c r="B88" s="1350"/>
      <c r="C88" s="1350"/>
      <c r="D88" s="1350"/>
      <c r="E88" s="1350"/>
      <c r="F88" s="1350"/>
      <c r="G88" s="1350"/>
      <c r="H88" s="1350"/>
      <c r="I88" s="1350"/>
      <c r="J88" s="1350"/>
      <c r="K88" s="1350"/>
      <c r="L88" s="1350"/>
      <c r="M88" s="1350"/>
      <c r="N88" s="1350"/>
    </row>
    <row r="89" spans="1:14" hidden="1" x14ac:dyDescent="0.25">
      <c r="A89" s="1350"/>
      <c r="B89" s="1350"/>
      <c r="C89" s="1350"/>
      <c r="D89" s="1350"/>
      <c r="E89" s="1350"/>
      <c r="F89" s="1350"/>
      <c r="G89" s="1350"/>
      <c r="H89" s="1350"/>
      <c r="I89" s="1350"/>
      <c r="J89" s="1350"/>
      <c r="K89" s="1350"/>
      <c r="L89" s="1350"/>
      <c r="M89" s="1350"/>
      <c r="N89" s="1350"/>
    </row>
    <row r="90" spans="1:14" hidden="1" x14ac:dyDescent="0.25">
      <c r="A90" s="1350"/>
      <c r="B90" s="1350"/>
      <c r="C90" s="1350"/>
      <c r="D90" s="1350"/>
      <c r="E90" s="1350"/>
      <c r="F90" s="1350"/>
      <c r="G90" s="1350"/>
      <c r="H90" s="1350"/>
      <c r="I90" s="1350"/>
      <c r="J90" s="1350"/>
      <c r="K90" s="1350"/>
      <c r="L90" s="1350"/>
      <c r="M90" s="1350"/>
      <c r="N90" s="1350"/>
    </row>
    <row r="91" spans="1:14" hidden="1" x14ac:dyDescent="0.25">
      <c r="A91" s="1350"/>
      <c r="B91" s="1350"/>
      <c r="C91" s="1350"/>
      <c r="D91" s="1350"/>
      <c r="E91" s="1350"/>
      <c r="F91" s="1350"/>
      <c r="G91" s="1350"/>
      <c r="H91" s="1350"/>
      <c r="I91" s="1350"/>
      <c r="J91" s="1350"/>
      <c r="K91" s="1350"/>
      <c r="L91" s="1350"/>
      <c r="M91" s="1350"/>
      <c r="N91" s="1350"/>
    </row>
    <row r="92" spans="1:14" hidden="1" x14ac:dyDescent="0.25">
      <c r="A92" s="1350"/>
      <c r="B92" s="1350"/>
      <c r="C92" s="1350"/>
      <c r="D92" s="1350"/>
      <c r="E92" s="1350"/>
      <c r="F92" s="1350"/>
      <c r="G92" s="1350"/>
      <c r="H92" s="1350"/>
      <c r="I92" s="1350"/>
      <c r="J92" s="1350"/>
      <c r="K92" s="1350"/>
      <c r="L92" s="1350"/>
      <c r="M92" s="1350"/>
      <c r="N92" s="1350"/>
    </row>
    <row r="93" spans="1:14" hidden="1" x14ac:dyDescent="0.25">
      <c r="A93" s="1350"/>
      <c r="B93" s="1350"/>
      <c r="C93" s="1350"/>
      <c r="D93" s="1350"/>
      <c r="E93" s="1350"/>
      <c r="F93" s="1350"/>
      <c r="G93" s="1350"/>
      <c r="H93" s="1350"/>
      <c r="I93" s="1350"/>
      <c r="J93" s="1350"/>
      <c r="K93" s="1350"/>
      <c r="L93" s="1350"/>
      <c r="M93" s="1350"/>
      <c r="N93" s="1350"/>
    </row>
    <row r="94" spans="1:14" hidden="1" x14ac:dyDescent="0.25">
      <c r="A94" s="1350"/>
      <c r="B94" s="1350"/>
      <c r="C94" s="1350"/>
      <c r="D94" s="1350"/>
      <c r="E94" s="1350"/>
      <c r="F94" s="1350"/>
      <c r="G94" s="1350"/>
      <c r="H94" s="1350"/>
      <c r="I94" s="1350"/>
      <c r="J94" s="1350"/>
      <c r="K94" s="1350"/>
      <c r="L94" s="1350"/>
      <c r="M94" s="1350"/>
      <c r="N94" s="1350"/>
    </row>
    <row r="95" spans="1:14" hidden="1" x14ac:dyDescent="0.25">
      <c r="A95" s="1350"/>
      <c r="B95" s="1350"/>
      <c r="C95" s="1350"/>
      <c r="D95" s="1350"/>
      <c r="E95" s="1350"/>
      <c r="F95" s="1350"/>
      <c r="G95" s="1350"/>
      <c r="H95" s="1350"/>
      <c r="I95" s="1350"/>
      <c r="J95" s="1350"/>
      <c r="K95" s="1350"/>
      <c r="L95" s="1350"/>
      <c r="M95" s="1350"/>
      <c r="N95" s="1350"/>
    </row>
    <row r="96" spans="1:14" x14ac:dyDescent="0.25">
      <c r="A96" s="1350"/>
      <c r="B96" s="1350"/>
      <c r="C96" s="1350"/>
      <c r="D96" s="1350"/>
      <c r="E96" s="1350"/>
      <c r="F96" s="1350"/>
      <c r="G96" s="1350"/>
      <c r="H96" s="1350"/>
      <c r="I96" s="1350"/>
      <c r="J96" s="1350"/>
      <c r="K96" s="1350"/>
      <c r="L96" s="1350"/>
      <c r="M96" s="1350"/>
      <c r="N96" s="1350"/>
    </row>
    <row r="97" spans="1:14" x14ac:dyDescent="0.25">
      <c r="A97" s="1350"/>
      <c r="B97" s="1350"/>
      <c r="C97" s="1350"/>
      <c r="D97" s="1350"/>
      <c r="E97" s="1350"/>
      <c r="F97" s="1350"/>
      <c r="G97" s="1350"/>
      <c r="H97" s="1350"/>
      <c r="I97" s="1350"/>
      <c r="J97" s="1350"/>
      <c r="K97" s="1350"/>
      <c r="L97" s="1350"/>
      <c r="M97" s="1350"/>
      <c r="N97" s="1350"/>
    </row>
    <row r="98" spans="1:14" x14ac:dyDescent="0.25">
      <c r="A98" s="1350"/>
      <c r="B98" s="1350"/>
      <c r="C98" s="1350"/>
      <c r="D98" s="1350"/>
      <c r="E98" s="1350"/>
      <c r="F98" s="1350"/>
      <c r="G98" s="1350"/>
      <c r="H98" s="1350"/>
      <c r="I98" s="1350"/>
      <c r="J98" s="1350"/>
      <c r="K98" s="1350"/>
      <c r="L98" s="1350"/>
      <c r="M98" s="1350"/>
      <c r="N98" s="1350"/>
    </row>
    <row r="99" spans="1:14" x14ac:dyDescent="0.25">
      <c r="A99" s="1350"/>
      <c r="B99" s="1350"/>
      <c r="C99" s="1350"/>
      <c r="D99" s="1350"/>
      <c r="E99" s="1350"/>
      <c r="F99" s="1350"/>
      <c r="G99" s="1350"/>
      <c r="H99" s="1350"/>
      <c r="I99" s="1350"/>
      <c r="J99" s="1350"/>
      <c r="K99" s="1350"/>
      <c r="L99" s="1350"/>
      <c r="M99" s="1350"/>
      <c r="N99" s="1350"/>
    </row>
    <row r="100" spans="1:14" x14ac:dyDescent="0.25">
      <c r="A100" s="1350"/>
      <c r="B100" s="1350"/>
      <c r="C100" s="1350"/>
      <c r="D100" s="1350"/>
      <c r="E100" s="1350"/>
      <c r="F100" s="1350"/>
      <c r="G100" s="1350"/>
      <c r="H100" s="1350"/>
      <c r="I100" s="1350"/>
      <c r="J100" s="1350"/>
      <c r="K100" s="1350"/>
      <c r="L100" s="1350"/>
      <c r="M100" s="1350"/>
      <c r="N100" s="1350"/>
    </row>
    <row r="101" spans="1:14" x14ac:dyDescent="0.25">
      <c r="A101" s="1350"/>
      <c r="B101" s="1350"/>
      <c r="C101" s="1350"/>
      <c r="D101" s="1350"/>
      <c r="E101" s="1350"/>
      <c r="F101" s="1350"/>
      <c r="G101" s="1350"/>
      <c r="H101" s="1350"/>
      <c r="I101" s="1350"/>
      <c r="J101" s="1350"/>
      <c r="K101" s="1350"/>
      <c r="L101" s="1350"/>
      <c r="M101" s="1350"/>
      <c r="N101" s="1350"/>
    </row>
    <row r="102" spans="1:14" x14ac:dyDescent="0.25">
      <c r="A102" s="1350"/>
      <c r="B102" s="1350"/>
      <c r="C102" s="1350"/>
      <c r="D102" s="1350"/>
      <c r="E102" s="1350"/>
      <c r="F102" s="1350"/>
      <c r="G102" s="1350"/>
      <c r="H102" s="1350"/>
      <c r="I102" s="1350"/>
      <c r="J102" s="1350"/>
      <c r="K102" s="1350"/>
      <c r="L102" s="1350"/>
      <c r="M102" s="1350"/>
      <c r="N102" s="1350"/>
    </row>
    <row r="103" spans="1:14" x14ac:dyDescent="0.25">
      <c r="A103" s="1350"/>
      <c r="B103" s="1350"/>
      <c r="C103" s="1350"/>
      <c r="D103" s="1350"/>
      <c r="E103" s="1350"/>
      <c r="F103" s="1350"/>
      <c r="G103" s="1350"/>
      <c r="H103" s="1350"/>
      <c r="I103" s="1350"/>
      <c r="J103" s="1350"/>
      <c r="K103" s="1350"/>
      <c r="L103" s="1350"/>
      <c r="M103" s="1350"/>
      <c r="N103" s="1350"/>
    </row>
    <row r="104" spans="1:14" hidden="1" x14ac:dyDescent="0.25">
      <c r="A104" s="1350"/>
      <c r="B104" s="1350"/>
      <c r="C104" s="1350"/>
      <c r="D104" s="1350"/>
      <c r="E104" s="1350"/>
      <c r="F104" s="1350"/>
      <c r="G104" s="1350"/>
      <c r="H104" s="1350"/>
      <c r="I104" s="1350"/>
      <c r="J104" s="1350"/>
      <c r="K104" s="1350"/>
      <c r="L104" s="1350"/>
      <c r="M104" s="1350"/>
      <c r="N104" s="1350"/>
    </row>
    <row r="105" spans="1:14" hidden="1" x14ac:dyDescent="0.25">
      <c r="A105" s="1350"/>
      <c r="B105" s="1350"/>
      <c r="C105" s="1350"/>
      <c r="D105" s="1350"/>
      <c r="E105" s="1350"/>
      <c r="F105" s="1350"/>
      <c r="G105" s="1350"/>
      <c r="H105" s="1350"/>
      <c r="I105" s="1350"/>
      <c r="J105" s="1350"/>
      <c r="K105" s="1350"/>
      <c r="L105" s="1350"/>
      <c r="M105" s="1350"/>
      <c r="N105" s="1350"/>
    </row>
    <row r="106" spans="1:14" hidden="1" x14ac:dyDescent="0.25">
      <c r="A106" s="1350"/>
      <c r="B106" s="1350"/>
      <c r="C106" s="1350"/>
      <c r="D106" s="1350"/>
      <c r="E106" s="1350"/>
      <c r="F106" s="1350"/>
      <c r="G106" s="1350"/>
      <c r="H106" s="1350"/>
      <c r="I106" s="1350"/>
      <c r="J106" s="1350"/>
      <c r="K106" s="1350"/>
      <c r="L106" s="1350"/>
      <c r="M106" s="1350"/>
      <c r="N106" s="1350"/>
    </row>
    <row r="107" spans="1:14" hidden="1" x14ac:dyDescent="0.25">
      <c r="A107" s="1350"/>
      <c r="B107" s="1350"/>
      <c r="C107" s="1350"/>
      <c r="D107" s="1350"/>
      <c r="E107" s="1350"/>
      <c r="F107" s="1350"/>
      <c r="G107" s="1350"/>
      <c r="H107" s="1350"/>
      <c r="I107" s="1350"/>
      <c r="J107" s="1350"/>
      <c r="K107" s="1350"/>
      <c r="L107" s="1350"/>
      <c r="M107" s="1350"/>
      <c r="N107" s="1350"/>
    </row>
    <row r="108" spans="1:14" hidden="1" x14ac:dyDescent="0.25">
      <c r="A108" s="1350"/>
      <c r="B108" s="1350"/>
      <c r="C108" s="1350"/>
      <c r="D108" s="1350"/>
      <c r="E108" s="1350"/>
      <c r="F108" s="1350"/>
      <c r="G108" s="1350"/>
      <c r="H108" s="1350"/>
      <c r="I108" s="1350"/>
      <c r="J108" s="1350"/>
      <c r="K108" s="1350"/>
      <c r="L108" s="1350"/>
      <c r="M108" s="1350"/>
      <c r="N108" s="1350"/>
    </row>
    <row r="109" spans="1:14" hidden="1" x14ac:dyDescent="0.25">
      <c r="A109" s="1350"/>
      <c r="B109" s="1350"/>
      <c r="C109" s="1350"/>
      <c r="D109" s="1350"/>
      <c r="E109" s="1350"/>
      <c r="F109" s="1350"/>
      <c r="G109" s="1350"/>
      <c r="H109" s="1350"/>
      <c r="I109" s="1350"/>
      <c r="J109" s="1350"/>
      <c r="K109" s="1350"/>
      <c r="L109" s="1350"/>
      <c r="M109" s="1350"/>
      <c r="N109" s="1350"/>
    </row>
    <row r="110" spans="1:14" hidden="1" x14ac:dyDescent="0.25">
      <c r="A110" s="1350"/>
      <c r="B110" s="1350"/>
      <c r="C110" s="1350"/>
      <c r="D110" s="1350"/>
      <c r="E110" s="1350"/>
      <c r="F110" s="1350"/>
      <c r="G110" s="1350"/>
      <c r="H110" s="1350"/>
      <c r="I110" s="1350"/>
      <c r="J110" s="1350"/>
      <c r="K110" s="1350"/>
      <c r="L110" s="1350"/>
      <c r="M110" s="1350"/>
      <c r="N110" s="1350"/>
    </row>
    <row r="111" spans="1:14" hidden="1" x14ac:dyDescent="0.25">
      <c r="A111" s="1350"/>
      <c r="B111" s="1350"/>
      <c r="C111" s="1350"/>
      <c r="D111" s="1350"/>
      <c r="E111" s="1350"/>
      <c r="F111" s="1350"/>
      <c r="G111" s="1350"/>
      <c r="H111" s="1350"/>
      <c r="I111" s="1350"/>
      <c r="J111" s="1350"/>
      <c r="K111" s="1350"/>
      <c r="L111" s="1350"/>
      <c r="M111" s="1350"/>
      <c r="N111" s="1350"/>
    </row>
    <row r="112" spans="1:14" hidden="1" x14ac:dyDescent="0.25">
      <c r="A112" s="1350"/>
      <c r="B112" s="1350"/>
      <c r="C112" s="1350"/>
      <c r="D112" s="1350"/>
      <c r="E112" s="1350"/>
      <c r="F112" s="1350"/>
      <c r="G112" s="1350"/>
      <c r="H112" s="1350"/>
      <c r="I112" s="1350"/>
      <c r="J112" s="1350"/>
      <c r="K112" s="1350"/>
      <c r="L112" s="1350"/>
      <c r="M112" s="1350"/>
      <c r="N112" s="1350"/>
    </row>
    <row r="113" spans="1:14" hidden="1" x14ac:dyDescent="0.25">
      <c r="A113" s="1350"/>
      <c r="B113" s="1350"/>
      <c r="C113" s="1350"/>
      <c r="D113" s="1350"/>
      <c r="E113" s="1350"/>
      <c r="F113" s="1350"/>
      <c r="G113" s="1350"/>
      <c r="H113" s="1350"/>
      <c r="I113" s="1350"/>
      <c r="J113" s="1350"/>
      <c r="K113" s="1350"/>
      <c r="L113" s="1350"/>
      <c r="M113" s="1350"/>
      <c r="N113" s="1350"/>
    </row>
    <row r="114" spans="1:14" x14ac:dyDescent="0.25">
      <c r="A114" s="1350"/>
      <c r="B114" s="1350"/>
      <c r="C114" s="1350"/>
      <c r="D114" s="1350"/>
      <c r="E114" s="1350"/>
      <c r="F114" s="1350"/>
      <c r="G114" s="1350"/>
      <c r="H114" s="1350"/>
      <c r="I114" s="1350"/>
      <c r="J114" s="1350"/>
      <c r="K114" s="1350"/>
      <c r="L114" s="1350"/>
      <c r="M114" s="1350"/>
      <c r="N114" s="1350"/>
    </row>
    <row r="115" spans="1:14" hidden="1" x14ac:dyDescent="0.25">
      <c r="A115" s="1350"/>
      <c r="B115" s="1350"/>
      <c r="C115" s="1350"/>
      <c r="D115" s="1350"/>
      <c r="E115" s="1350"/>
      <c r="F115" s="1350"/>
      <c r="G115" s="1350"/>
      <c r="H115" s="1350"/>
      <c r="I115" s="1350"/>
      <c r="J115" s="1350"/>
      <c r="K115" s="1350"/>
      <c r="L115" s="1350"/>
      <c r="M115" s="1350"/>
      <c r="N115" s="1350"/>
    </row>
    <row r="116" spans="1:14" hidden="1" x14ac:dyDescent="0.25">
      <c r="A116" s="1350"/>
      <c r="B116" s="1350"/>
      <c r="C116" s="1350"/>
      <c r="D116" s="1350"/>
      <c r="E116" s="1350"/>
      <c r="F116" s="1350"/>
      <c r="G116" s="1350"/>
      <c r="H116" s="1350"/>
      <c r="I116" s="1350"/>
      <c r="J116" s="1350"/>
      <c r="K116" s="1350"/>
      <c r="L116" s="1350"/>
      <c r="M116" s="1350"/>
      <c r="N116" s="1350"/>
    </row>
    <row r="117" spans="1:14" hidden="1" x14ac:dyDescent="0.25">
      <c r="A117" s="1350"/>
      <c r="B117" s="1350"/>
      <c r="C117" s="1350"/>
      <c r="D117" s="1350"/>
      <c r="E117" s="1350"/>
      <c r="F117" s="1350"/>
      <c r="G117" s="1350"/>
      <c r="H117" s="1350"/>
      <c r="I117" s="1350"/>
      <c r="J117" s="1350"/>
      <c r="K117" s="1350"/>
      <c r="L117" s="1350"/>
      <c r="M117" s="1350"/>
      <c r="N117" s="1350"/>
    </row>
    <row r="118" spans="1:14" hidden="1" x14ac:dyDescent="0.25">
      <c r="A118" s="1350"/>
      <c r="B118" s="1350"/>
      <c r="C118" s="1350"/>
      <c r="D118" s="1350"/>
      <c r="E118" s="1350"/>
      <c r="F118" s="1350"/>
      <c r="G118" s="1350"/>
      <c r="H118" s="1350"/>
      <c r="I118" s="1350"/>
      <c r="J118" s="1350"/>
      <c r="K118" s="1350"/>
      <c r="L118" s="1350"/>
      <c r="M118" s="1350"/>
      <c r="N118" s="1350"/>
    </row>
    <row r="119" spans="1:14" x14ac:dyDescent="0.25">
      <c r="A119" s="1350"/>
      <c r="B119" s="1350"/>
      <c r="C119" s="1350"/>
      <c r="D119" s="1350"/>
      <c r="E119" s="1350"/>
      <c r="F119" s="1350"/>
      <c r="G119" s="1350"/>
      <c r="H119" s="1350"/>
      <c r="I119" s="1350"/>
      <c r="J119" s="1350"/>
      <c r="K119" s="1350"/>
      <c r="L119" s="1350"/>
      <c r="M119" s="1350"/>
      <c r="N119" s="1350"/>
    </row>
    <row r="120" spans="1:14" x14ac:dyDescent="0.25">
      <c r="A120" s="1350"/>
      <c r="B120" s="1350"/>
      <c r="C120" s="1350"/>
      <c r="D120" s="1350"/>
      <c r="E120" s="1350"/>
      <c r="F120" s="1350"/>
      <c r="G120" s="1350"/>
      <c r="H120" s="1350"/>
      <c r="I120" s="1350"/>
      <c r="J120" s="1350"/>
      <c r="K120" s="1350"/>
      <c r="L120" s="1350"/>
      <c r="M120" s="1350"/>
      <c r="N120" s="1350"/>
    </row>
    <row r="121" spans="1:14" x14ac:dyDescent="0.25">
      <c r="A121" s="1350"/>
      <c r="B121" s="1350"/>
      <c r="C121" s="1350"/>
      <c r="D121" s="1350"/>
      <c r="E121" s="1350"/>
      <c r="F121" s="1350"/>
      <c r="G121" s="1350"/>
      <c r="H121" s="1350"/>
      <c r="I121" s="1350"/>
      <c r="J121" s="1350"/>
      <c r="K121" s="1350"/>
      <c r="L121" s="1350"/>
      <c r="M121" s="1350"/>
      <c r="N121" s="1350"/>
    </row>
    <row r="122" spans="1:14" hidden="1" x14ac:dyDescent="0.25">
      <c r="A122" s="1350"/>
      <c r="B122" s="1350"/>
      <c r="C122" s="1350"/>
      <c r="D122" s="1350"/>
      <c r="E122" s="1350"/>
      <c r="F122" s="1350"/>
      <c r="G122" s="1350"/>
      <c r="H122" s="1350"/>
      <c r="I122" s="1350"/>
      <c r="J122" s="1350"/>
      <c r="K122" s="1350"/>
      <c r="L122" s="1350"/>
      <c r="M122" s="1350"/>
      <c r="N122" s="1350"/>
    </row>
    <row r="123" spans="1:14" hidden="1" x14ac:dyDescent="0.25">
      <c r="A123" s="1350"/>
      <c r="B123" s="1350"/>
      <c r="C123" s="1350"/>
      <c r="D123" s="1350"/>
      <c r="E123" s="1350"/>
      <c r="F123" s="1350"/>
      <c r="G123" s="1350"/>
      <c r="H123" s="1350"/>
      <c r="I123" s="1350"/>
      <c r="J123" s="1350"/>
      <c r="K123" s="1350"/>
      <c r="L123" s="1350"/>
      <c r="M123" s="1350"/>
      <c r="N123" s="1350"/>
    </row>
    <row r="124" spans="1:14" hidden="1" x14ac:dyDescent="0.25">
      <c r="A124" s="1350"/>
      <c r="B124" s="1350"/>
      <c r="C124" s="1350"/>
      <c r="D124" s="1350"/>
      <c r="E124" s="1350"/>
      <c r="F124" s="1350"/>
      <c r="G124" s="1350"/>
      <c r="H124" s="1350"/>
      <c r="I124" s="1350"/>
      <c r="J124" s="1350"/>
      <c r="K124" s="1350"/>
      <c r="L124" s="1350"/>
      <c r="M124" s="1350"/>
      <c r="N124" s="1350"/>
    </row>
    <row r="125" spans="1:14" hidden="1" x14ac:dyDescent="0.25">
      <c r="A125" s="1350"/>
      <c r="B125" s="1350"/>
      <c r="C125" s="1350"/>
      <c r="D125" s="1350"/>
      <c r="E125" s="1350"/>
      <c r="F125" s="1350"/>
      <c r="G125" s="1350"/>
      <c r="H125" s="1350"/>
      <c r="I125" s="1350"/>
      <c r="J125" s="1350"/>
      <c r="K125" s="1350"/>
      <c r="L125" s="1350"/>
      <c r="M125" s="1350"/>
      <c r="N125" s="1350"/>
    </row>
    <row r="126" spans="1:14" hidden="1" x14ac:dyDescent="0.25">
      <c r="A126" s="1350"/>
      <c r="B126" s="1350"/>
      <c r="C126" s="1350"/>
      <c r="D126" s="1350"/>
      <c r="E126" s="1350"/>
      <c r="F126" s="1350"/>
      <c r="G126" s="1350"/>
      <c r="H126" s="1350"/>
      <c r="I126" s="1350"/>
      <c r="J126" s="1350"/>
      <c r="K126" s="1350"/>
      <c r="L126" s="1350"/>
      <c r="M126" s="1350"/>
      <c r="N126" s="1350"/>
    </row>
    <row r="127" spans="1:14" hidden="1" x14ac:dyDescent="0.25">
      <c r="A127" s="1350"/>
      <c r="B127" s="1350"/>
      <c r="C127" s="1350"/>
      <c r="D127" s="1350"/>
      <c r="E127" s="1350"/>
      <c r="F127" s="1350"/>
      <c r="G127" s="1350"/>
      <c r="H127" s="1350"/>
      <c r="I127" s="1350"/>
      <c r="J127" s="1350"/>
      <c r="K127" s="1350"/>
      <c r="L127" s="1350"/>
      <c r="M127" s="1350"/>
      <c r="N127" s="1350"/>
    </row>
    <row r="128" spans="1:14" hidden="1" x14ac:dyDescent="0.25">
      <c r="A128" s="1350"/>
      <c r="B128" s="1350"/>
      <c r="C128" s="1350"/>
      <c r="D128" s="1350"/>
      <c r="E128" s="1350"/>
      <c r="F128" s="1350"/>
      <c r="G128" s="1350"/>
      <c r="H128" s="1350"/>
      <c r="I128" s="1350"/>
      <c r="J128" s="1350"/>
      <c r="K128" s="1350"/>
      <c r="L128" s="1350"/>
      <c r="M128" s="1350"/>
      <c r="N128" s="1350"/>
    </row>
    <row r="129" spans="1:14" hidden="1" x14ac:dyDescent="0.25">
      <c r="A129" s="1350"/>
      <c r="B129" s="1350"/>
      <c r="C129" s="1350"/>
      <c r="D129" s="1350"/>
      <c r="E129" s="1350"/>
      <c r="F129" s="1350"/>
      <c r="G129" s="1350"/>
      <c r="H129" s="1350"/>
      <c r="I129" s="1350"/>
      <c r="J129" s="1350"/>
      <c r="K129" s="1350"/>
      <c r="L129" s="1350"/>
      <c r="M129" s="1350"/>
      <c r="N129" s="1350"/>
    </row>
    <row r="130" spans="1:14" x14ac:dyDescent="0.25">
      <c r="A130" s="1350"/>
      <c r="B130" s="1350"/>
      <c r="C130" s="1350"/>
      <c r="D130" s="1350"/>
      <c r="E130" s="1350"/>
      <c r="F130" s="1350"/>
      <c r="G130" s="1350"/>
      <c r="H130" s="1350"/>
      <c r="I130" s="1350"/>
      <c r="J130" s="1350"/>
      <c r="K130" s="1350"/>
      <c r="L130" s="1350"/>
      <c r="M130" s="1350"/>
      <c r="N130" s="1350"/>
    </row>
    <row r="131" spans="1:14" x14ac:dyDescent="0.25">
      <c r="A131" s="1350"/>
      <c r="B131" s="1350"/>
      <c r="C131" s="1350"/>
      <c r="D131" s="1350"/>
      <c r="E131" s="1350"/>
      <c r="F131" s="1350"/>
      <c r="G131" s="1350"/>
      <c r="H131" s="1350"/>
      <c r="I131" s="1350"/>
      <c r="J131" s="1350"/>
      <c r="K131" s="1350"/>
      <c r="L131" s="1350"/>
      <c r="M131" s="1350"/>
      <c r="N131" s="1350"/>
    </row>
    <row r="132" spans="1:14" x14ac:dyDescent="0.25">
      <c r="A132" s="1350"/>
      <c r="B132" s="1350"/>
      <c r="C132" s="1350"/>
      <c r="D132" s="1350"/>
      <c r="E132" s="1350"/>
      <c r="F132" s="1350"/>
      <c r="G132" s="1350"/>
      <c r="H132" s="1350"/>
      <c r="I132" s="1350"/>
      <c r="J132" s="1350"/>
      <c r="K132" s="1350"/>
      <c r="L132" s="1350"/>
      <c r="M132" s="1350"/>
      <c r="N132" s="1350"/>
    </row>
    <row r="133" spans="1:14" x14ac:dyDescent="0.25">
      <c r="A133" s="1350"/>
      <c r="B133" s="1350"/>
      <c r="C133" s="1350"/>
      <c r="D133" s="1350"/>
      <c r="E133" s="1350"/>
      <c r="F133" s="1350"/>
      <c r="G133" s="1350"/>
      <c r="H133" s="1350"/>
      <c r="I133" s="1350"/>
      <c r="J133" s="1350"/>
      <c r="K133" s="1350"/>
      <c r="L133" s="1350"/>
      <c r="M133" s="1350"/>
      <c r="N133" s="1350"/>
    </row>
    <row r="134" spans="1:14" x14ac:dyDescent="0.25">
      <c r="A134" s="1350"/>
      <c r="B134" s="1350"/>
      <c r="C134" s="1350"/>
      <c r="D134" s="1350"/>
      <c r="E134" s="1350"/>
      <c r="F134" s="1350"/>
      <c r="G134" s="1350"/>
      <c r="H134" s="1350"/>
      <c r="I134" s="1350"/>
      <c r="J134" s="1350"/>
      <c r="K134" s="1350"/>
      <c r="L134" s="1350"/>
      <c r="M134" s="1350"/>
      <c r="N134" s="1350"/>
    </row>
    <row r="135" spans="1:14" x14ac:dyDescent="0.25">
      <c r="A135" s="1350"/>
      <c r="B135" s="1350"/>
      <c r="C135" s="1350"/>
      <c r="D135" s="1350"/>
      <c r="E135" s="1350"/>
      <c r="F135" s="1350"/>
      <c r="G135" s="1350"/>
      <c r="H135" s="1350"/>
      <c r="I135" s="1350"/>
      <c r="J135" s="1350"/>
      <c r="K135" s="1350"/>
      <c r="L135" s="1350"/>
      <c r="M135" s="1350"/>
      <c r="N135" s="1350"/>
    </row>
    <row r="136" spans="1:14" x14ac:dyDescent="0.25">
      <c r="A136" s="1350"/>
      <c r="B136" s="1350"/>
      <c r="C136" s="1350"/>
      <c r="D136" s="1350"/>
      <c r="E136" s="1350"/>
      <c r="F136" s="1350"/>
      <c r="G136" s="1350"/>
      <c r="H136" s="1350"/>
      <c r="I136" s="1350"/>
      <c r="J136" s="1350"/>
      <c r="K136" s="1350"/>
      <c r="L136" s="1350"/>
      <c r="M136" s="1350"/>
      <c r="N136" s="1350"/>
    </row>
    <row r="137" spans="1:14" x14ac:dyDescent="0.25">
      <c r="A137" s="1350"/>
      <c r="B137" s="1350"/>
      <c r="C137" s="1350"/>
      <c r="D137" s="1350"/>
      <c r="E137" s="1350"/>
      <c r="F137" s="1350"/>
      <c r="G137" s="1350"/>
      <c r="H137" s="1350"/>
      <c r="I137" s="1350"/>
      <c r="J137" s="1350"/>
      <c r="K137" s="1350"/>
      <c r="L137" s="1350"/>
      <c r="M137" s="1350"/>
      <c r="N137" s="1350"/>
    </row>
    <row r="138" spans="1:14" hidden="1" x14ac:dyDescent="0.25">
      <c r="A138" s="1350"/>
      <c r="B138" s="1350"/>
      <c r="C138" s="1350"/>
      <c r="D138" s="1350"/>
      <c r="E138" s="1350"/>
      <c r="F138" s="1350"/>
      <c r="G138" s="1350"/>
      <c r="H138" s="1350"/>
      <c r="I138" s="1350"/>
      <c r="J138" s="1350"/>
      <c r="K138" s="1350"/>
      <c r="L138" s="1350"/>
      <c r="M138" s="1350"/>
      <c r="N138" s="1350"/>
    </row>
    <row r="139" spans="1:14" hidden="1" x14ac:dyDescent="0.25">
      <c r="A139" s="1350"/>
      <c r="B139" s="1350"/>
      <c r="C139" s="1350"/>
      <c r="D139" s="1350"/>
      <c r="E139" s="1350"/>
      <c r="F139" s="1350"/>
      <c r="G139" s="1350"/>
      <c r="H139" s="1350"/>
      <c r="I139" s="1350"/>
      <c r="J139" s="1350"/>
      <c r="K139" s="1350"/>
      <c r="L139" s="1350"/>
      <c r="M139" s="1350"/>
      <c r="N139" s="1350"/>
    </row>
    <row r="140" spans="1:14" hidden="1" x14ac:dyDescent="0.25">
      <c r="A140" s="1350"/>
      <c r="B140" s="1350"/>
      <c r="C140" s="1350"/>
      <c r="D140" s="1350"/>
      <c r="E140" s="1350"/>
      <c r="F140" s="1350"/>
      <c r="G140" s="1350"/>
      <c r="H140" s="1350"/>
      <c r="I140" s="1350"/>
      <c r="J140" s="1350"/>
      <c r="K140" s="1350"/>
      <c r="L140" s="1350"/>
      <c r="M140" s="1350"/>
      <c r="N140" s="1350"/>
    </row>
    <row r="141" spans="1:14" hidden="1" x14ac:dyDescent="0.25">
      <c r="A141" s="1350"/>
      <c r="B141" s="1350"/>
      <c r="C141" s="1350"/>
      <c r="D141" s="1350"/>
      <c r="E141" s="1350"/>
      <c r="F141" s="1350"/>
      <c r="G141" s="1350"/>
      <c r="H141" s="1350"/>
      <c r="I141" s="1350"/>
      <c r="J141" s="1350"/>
      <c r="K141" s="1350"/>
      <c r="L141" s="1350"/>
      <c r="M141" s="1350"/>
      <c r="N141" s="1350"/>
    </row>
    <row r="142" spans="1:14" x14ac:dyDescent="0.25">
      <c r="A142" s="1350"/>
      <c r="B142" s="1350"/>
      <c r="C142" s="1350"/>
      <c r="D142" s="1350"/>
      <c r="E142" s="1350"/>
      <c r="F142" s="1350"/>
      <c r="G142" s="1350"/>
      <c r="H142" s="1350"/>
      <c r="I142" s="1350"/>
      <c r="J142" s="1350"/>
      <c r="K142" s="1350"/>
      <c r="L142" s="1350"/>
      <c r="M142" s="1350"/>
      <c r="N142" s="1350"/>
    </row>
    <row r="143" spans="1:14" x14ac:dyDescent="0.25">
      <c r="A143" s="1350"/>
      <c r="B143" s="1350"/>
      <c r="C143" s="1350"/>
      <c r="D143" s="1350"/>
      <c r="E143" s="1350"/>
      <c r="F143" s="1350"/>
      <c r="G143" s="1350"/>
      <c r="H143" s="1350"/>
      <c r="I143" s="1350"/>
      <c r="J143" s="1350"/>
      <c r="K143" s="1350"/>
      <c r="L143" s="1350"/>
      <c r="M143" s="1350"/>
      <c r="N143" s="1350"/>
    </row>
    <row r="144" spans="1:14" x14ac:dyDescent="0.25">
      <c r="A144" s="1350"/>
      <c r="B144" s="1350"/>
      <c r="C144" s="1350"/>
      <c r="D144" s="1350"/>
      <c r="E144" s="1350"/>
      <c r="F144" s="1350"/>
      <c r="G144" s="1350"/>
      <c r="H144" s="1350"/>
      <c r="I144" s="1350"/>
      <c r="J144" s="1350"/>
      <c r="K144" s="1350"/>
      <c r="L144" s="1350"/>
      <c r="M144" s="1350"/>
      <c r="N144" s="1350"/>
    </row>
    <row r="145" spans="1:14" x14ac:dyDescent="0.25">
      <c r="A145" s="1350"/>
      <c r="B145" s="1350"/>
      <c r="C145" s="1350"/>
      <c r="D145" s="1350"/>
      <c r="E145" s="1350"/>
      <c r="F145" s="1350"/>
      <c r="G145" s="1350"/>
      <c r="H145" s="1350"/>
      <c r="I145" s="1350"/>
      <c r="J145" s="1350"/>
      <c r="K145" s="1350"/>
      <c r="L145" s="1350"/>
      <c r="M145" s="1350"/>
      <c r="N145" s="1350"/>
    </row>
    <row r="146" spans="1:14" hidden="1" x14ac:dyDescent="0.25">
      <c r="A146" s="1350"/>
      <c r="B146" s="1350"/>
      <c r="C146" s="1350"/>
      <c r="D146" s="1350"/>
      <c r="E146" s="1350"/>
      <c r="F146" s="1350"/>
      <c r="G146" s="1350"/>
      <c r="H146" s="1350"/>
      <c r="I146" s="1350"/>
      <c r="J146" s="1350"/>
      <c r="K146" s="1350"/>
      <c r="L146" s="1350"/>
      <c r="M146" s="1350"/>
      <c r="N146" s="1350"/>
    </row>
    <row r="147" spans="1:14" hidden="1" x14ac:dyDescent="0.25">
      <c r="A147" s="1350"/>
      <c r="B147" s="1350"/>
      <c r="C147" s="1350"/>
      <c r="D147" s="1350"/>
      <c r="E147" s="1350"/>
      <c r="F147" s="1350"/>
      <c r="G147" s="1350"/>
      <c r="H147" s="1350"/>
      <c r="I147" s="1350"/>
      <c r="J147" s="1350"/>
      <c r="K147" s="1350"/>
      <c r="L147" s="1350"/>
      <c r="M147" s="1350"/>
      <c r="N147" s="1350"/>
    </row>
    <row r="148" spans="1:14" hidden="1" x14ac:dyDescent="0.25">
      <c r="A148" s="1350"/>
      <c r="B148" s="1350"/>
      <c r="C148" s="1350"/>
      <c r="D148" s="1350"/>
      <c r="E148" s="1350"/>
      <c r="F148" s="1350"/>
      <c r="G148" s="1350"/>
      <c r="H148" s="1350"/>
      <c r="I148" s="1350"/>
      <c r="J148" s="1350"/>
      <c r="K148" s="1350"/>
      <c r="L148" s="1350"/>
      <c r="M148" s="1350"/>
      <c r="N148" s="1350"/>
    </row>
    <row r="149" spans="1:14" hidden="1" x14ac:dyDescent="0.25">
      <c r="A149" s="1350"/>
      <c r="B149" s="1350"/>
      <c r="C149" s="1350"/>
      <c r="D149" s="1350"/>
      <c r="E149" s="1350"/>
      <c r="F149" s="1350"/>
      <c r="G149" s="1350"/>
      <c r="H149" s="1350"/>
      <c r="I149" s="1350"/>
      <c r="J149" s="1350"/>
      <c r="K149" s="1350"/>
      <c r="L149" s="1350"/>
      <c r="M149" s="1350"/>
      <c r="N149" s="1350"/>
    </row>
    <row r="150" spans="1:14" hidden="1" x14ac:dyDescent="0.25">
      <c r="A150" s="1350"/>
      <c r="B150" s="1350"/>
      <c r="C150" s="1350"/>
      <c r="D150" s="1350"/>
      <c r="E150" s="1350"/>
      <c r="F150" s="1350"/>
      <c r="G150" s="1350"/>
      <c r="H150" s="1350"/>
      <c r="I150" s="1350"/>
      <c r="J150" s="1350"/>
      <c r="K150" s="1350"/>
      <c r="L150" s="1350"/>
      <c r="M150" s="1350"/>
      <c r="N150" s="1350"/>
    </row>
    <row r="151" spans="1:14" hidden="1" x14ac:dyDescent="0.25">
      <c r="A151" s="1350"/>
      <c r="B151" s="1350"/>
      <c r="C151" s="1350"/>
      <c r="D151" s="1350"/>
      <c r="E151" s="1350"/>
      <c r="F151" s="1350"/>
      <c r="G151" s="1350"/>
      <c r="H151" s="1350"/>
      <c r="I151" s="1350"/>
      <c r="J151" s="1350"/>
      <c r="K151" s="1350"/>
      <c r="L151" s="1350"/>
      <c r="M151" s="1350"/>
      <c r="N151" s="1350"/>
    </row>
    <row r="152" spans="1:14" hidden="1" x14ac:dyDescent="0.25">
      <c r="A152" s="1350"/>
      <c r="B152" s="1350"/>
      <c r="C152" s="1350"/>
      <c r="D152" s="1350"/>
      <c r="E152" s="1350"/>
      <c r="F152" s="1350"/>
      <c r="G152" s="1350"/>
      <c r="H152" s="1350"/>
      <c r="I152" s="1350"/>
      <c r="J152" s="1350"/>
      <c r="K152" s="1350"/>
      <c r="L152" s="1350"/>
      <c r="M152" s="1350"/>
      <c r="N152" s="1350"/>
    </row>
    <row r="153" spans="1:14" hidden="1" x14ac:dyDescent="0.25">
      <c r="A153" s="1350"/>
      <c r="B153" s="1350"/>
      <c r="C153" s="1350"/>
      <c r="D153" s="1350"/>
      <c r="E153" s="1350"/>
      <c r="F153" s="1350"/>
      <c r="G153" s="1350"/>
      <c r="H153" s="1350"/>
      <c r="I153" s="1350"/>
      <c r="J153" s="1350"/>
      <c r="K153" s="1350"/>
      <c r="L153" s="1350"/>
      <c r="M153" s="1350"/>
      <c r="N153" s="1350"/>
    </row>
    <row r="154" spans="1:14" x14ac:dyDescent="0.25">
      <c r="A154" s="1350"/>
      <c r="B154" s="1350"/>
      <c r="C154" s="1350"/>
      <c r="D154" s="1350"/>
      <c r="E154" s="1350"/>
      <c r="F154" s="1350"/>
      <c r="G154" s="1350"/>
      <c r="H154" s="1350"/>
      <c r="I154" s="1350"/>
      <c r="J154" s="1350"/>
      <c r="K154" s="1350"/>
      <c r="L154" s="1350"/>
      <c r="M154" s="1350"/>
      <c r="N154" s="1350"/>
    </row>
    <row r="155" spans="1:14" x14ac:dyDescent="0.25">
      <c r="A155" s="1350"/>
      <c r="B155" s="1350"/>
      <c r="C155" s="1350"/>
      <c r="D155" s="1350"/>
      <c r="E155" s="1350"/>
      <c r="F155" s="1350"/>
      <c r="G155" s="1350"/>
      <c r="H155" s="1350"/>
      <c r="I155" s="1350"/>
      <c r="J155" s="1350"/>
      <c r="K155" s="1350"/>
      <c r="L155" s="1350"/>
      <c r="M155" s="1350"/>
      <c r="N155" s="1350"/>
    </row>
    <row r="156" spans="1:14" x14ac:dyDescent="0.25">
      <c r="A156" s="1350"/>
      <c r="B156" s="1350"/>
      <c r="C156" s="1350"/>
      <c r="D156" s="1350"/>
      <c r="E156" s="1350"/>
      <c r="F156" s="1350"/>
      <c r="G156" s="1350"/>
      <c r="H156" s="1350"/>
      <c r="I156" s="1350"/>
      <c r="J156" s="1350"/>
      <c r="K156" s="1350"/>
      <c r="L156" s="1350"/>
      <c r="M156" s="1350"/>
      <c r="N156" s="1350"/>
    </row>
    <row r="157" spans="1:14" x14ac:dyDescent="0.25">
      <c r="A157" s="1350"/>
      <c r="B157" s="1350"/>
      <c r="C157" s="1350"/>
      <c r="D157" s="1350"/>
      <c r="E157" s="1350"/>
      <c r="F157" s="1350"/>
      <c r="G157" s="1350"/>
      <c r="H157" s="1350"/>
      <c r="I157" s="1350"/>
      <c r="J157" s="1350"/>
      <c r="K157" s="1350"/>
      <c r="L157" s="1350"/>
      <c r="M157" s="1350"/>
      <c r="N157" s="1350"/>
    </row>
    <row r="158" spans="1:14" x14ac:dyDescent="0.25">
      <c r="A158" s="1350"/>
      <c r="B158" s="1350"/>
      <c r="C158" s="1350"/>
      <c r="D158" s="1350"/>
      <c r="E158" s="1350"/>
      <c r="F158" s="1350"/>
      <c r="G158" s="1350"/>
      <c r="H158" s="1350"/>
      <c r="I158" s="1350"/>
      <c r="J158" s="1350"/>
      <c r="K158" s="1350"/>
      <c r="L158" s="1350"/>
      <c r="M158" s="1350"/>
      <c r="N158" s="1350"/>
    </row>
    <row r="159" spans="1:14" x14ac:dyDescent="0.25">
      <c r="A159" s="1350"/>
      <c r="B159" s="1350"/>
      <c r="C159" s="1350"/>
      <c r="D159" s="1350"/>
      <c r="E159" s="1350"/>
      <c r="F159" s="1350"/>
      <c r="G159" s="1350"/>
      <c r="H159" s="1350"/>
      <c r="I159" s="1350"/>
      <c r="J159" s="1350"/>
      <c r="K159" s="1350"/>
      <c r="L159" s="1350"/>
      <c r="M159" s="1350"/>
      <c r="N159" s="1350"/>
    </row>
    <row r="160" spans="1:14" x14ac:dyDescent="0.25">
      <c r="A160" s="1350"/>
      <c r="B160" s="1350"/>
      <c r="C160" s="1350"/>
      <c r="D160" s="1350"/>
      <c r="E160" s="1350"/>
      <c r="F160" s="1350"/>
      <c r="G160" s="1350"/>
      <c r="H160" s="1350"/>
      <c r="I160" s="1350"/>
      <c r="J160" s="1350"/>
      <c r="K160" s="1350"/>
      <c r="L160" s="1350"/>
      <c r="M160" s="1350"/>
      <c r="N160" s="1350"/>
    </row>
    <row r="161" spans="1:14" hidden="1" x14ac:dyDescent="0.25">
      <c r="A161" s="1350"/>
      <c r="B161" s="1350"/>
      <c r="C161" s="1350"/>
      <c r="D161" s="1350"/>
      <c r="E161" s="1350"/>
      <c r="F161" s="1350"/>
      <c r="G161" s="1350"/>
      <c r="H161" s="1350"/>
      <c r="I161" s="1350"/>
      <c r="J161" s="1350"/>
      <c r="K161" s="1350"/>
      <c r="L161" s="1350"/>
      <c r="M161" s="1350"/>
      <c r="N161" s="1350"/>
    </row>
    <row r="162" spans="1:14" hidden="1" x14ac:dyDescent="0.25">
      <c r="A162" s="1350"/>
      <c r="B162" s="1350"/>
      <c r="C162" s="1350"/>
      <c r="D162" s="1350"/>
      <c r="E162" s="1350"/>
      <c r="F162" s="1350"/>
      <c r="G162" s="1350"/>
      <c r="H162" s="1350"/>
      <c r="I162" s="1350"/>
      <c r="J162" s="1350"/>
      <c r="K162" s="1350"/>
      <c r="L162" s="1350"/>
      <c r="M162" s="1350"/>
      <c r="N162" s="1350"/>
    </row>
    <row r="163" spans="1:14" hidden="1" x14ac:dyDescent="0.25">
      <c r="A163" s="1350"/>
      <c r="B163" s="1350"/>
      <c r="C163" s="1350"/>
      <c r="D163" s="1350"/>
      <c r="E163" s="1350"/>
      <c r="F163" s="1350"/>
      <c r="G163" s="1350"/>
      <c r="H163" s="1350"/>
      <c r="I163" s="1350"/>
      <c r="J163" s="1350"/>
      <c r="K163" s="1350"/>
      <c r="L163" s="1350"/>
      <c r="M163" s="1350"/>
      <c r="N163" s="1350"/>
    </row>
    <row r="164" spans="1:14" hidden="1" x14ac:dyDescent="0.25">
      <c r="A164" s="1350"/>
      <c r="B164" s="1350"/>
      <c r="C164" s="1350"/>
      <c r="D164" s="1350"/>
      <c r="E164" s="1350"/>
      <c r="F164" s="1350"/>
      <c r="G164" s="1350"/>
      <c r="H164" s="1350"/>
      <c r="I164" s="1350"/>
      <c r="J164" s="1350"/>
      <c r="K164" s="1350"/>
      <c r="L164" s="1350"/>
      <c r="M164" s="1350"/>
      <c r="N164" s="1350"/>
    </row>
    <row r="165" spans="1:14" x14ac:dyDescent="0.25">
      <c r="A165" s="1350"/>
      <c r="B165" s="1350"/>
      <c r="C165" s="1350"/>
      <c r="D165" s="1350"/>
      <c r="E165" s="1350"/>
      <c r="F165" s="1350"/>
      <c r="G165" s="1350"/>
      <c r="H165" s="1350"/>
      <c r="I165" s="1350"/>
      <c r="J165" s="1350"/>
      <c r="K165" s="1350"/>
      <c r="L165" s="1350"/>
      <c r="M165" s="1350"/>
      <c r="N165" s="1350"/>
    </row>
    <row r="166" spans="1:14" x14ac:dyDescent="0.25">
      <c r="A166" s="1350"/>
      <c r="B166" s="1350"/>
      <c r="C166" s="1350"/>
      <c r="D166" s="1350"/>
      <c r="E166" s="1350"/>
      <c r="F166" s="1350"/>
      <c r="G166" s="1350"/>
      <c r="H166" s="1350"/>
      <c r="I166" s="1350"/>
      <c r="J166" s="1350"/>
      <c r="K166" s="1350"/>
      <c r="L166" s="1350"/>
      <c r="M166" s="1350"/>
      <c r="N166" s="1350"/>
    </row>
    <row r="167" spans="1:14" x14ac:dyDescent="0.25">
      <c r="A167" s="1350"/>
      <c r="B167" s="1350"/>
      <c r="C167" s="1350"/>
      <c r="D167" s="1350"/>
      <c r="E167" s="1350"/>
      <c r="F167" s="1350"/>
      <c r="G167" s="1350"/>
      <c r="H167" s="1350"/>
      <c r="I167" s="1350"/>
      <c r="J167" s="1350"/>
      <c r="K167" s="1350"/>
      <c r="L167" s="1350"/>
      <c r="M167" s="1350"/>
      <c r="N167" s="1350"/>
    </row>
    <row r="168" spans="1:14" hidden="1" x14ac:dyDescent="0.25">
      <c r="A168" s="1350"/>
      <c r="B168" s="1350"/>
      <c r="C168" s="1350"/>
      <c r="D168" s="1350"/>
      <c r="E168" s="1350"/>
      <c r="F168" s="1350"/>
      <c r="G168" s="1350"/>
      <c r="H168" s="1350"/>
      <c r="I168" s="1350"/>
      <c r="J168" s="1350"/>
      <c r="K168" s="1350"/>
      <c r="L168" s="1350"/>
      <c r="M168" s="1350"/>
      <c r="N168" s="1350"/>
    </row>
    <row r="169" spans="1:14" hidden="1" x14ac:dyDescent="0.25">
      <c r="A169" s="1350"/>
      <c r="B169" s="1350"/>
      <c r="C169" s="1350"/>
      <c r="D169" s="1350"/>
      <c r="E169" s="1350"/>
      <c r="F169" s="1350"/>
      <c r="G169" s="1350"/>
      <c r="H169" s="1350"/>
      <c r="I169" s="1350"/>
      <c r="J169" s="1350"/>
      <c r="K169" s="1350"/>
      <c r="L169" s="1350"/>
      <c r="M169" s="1350"/>
      <c r="N169" s="1350"/>
    </row>
    <row r="170" spans="1:14" hidden="1" x14ac:dyDescent="0.25">
      <c r="A170" s="1350"/>
      <c r="B170" s="1350"/>
      <c r="C170" s="1350"/>
      <c r="D170" s="1350"/>
      <c r="E170" s="1350"/>
      <c r="F170" s="1350"/>
      <c r="G170" s="1350"/>
      <c r="H170" s="1350"/>
      <c r="I170" s="1350"/>
      <c r="J170" s="1350"/>
      <c r="K170" s="1350"/>
      <c r="L170" s="1350"/>
      <c r="M170" s="1350"/>
      <c r="N170" s="1350"/>
    </row>
    <row r="171" spans="1:14" hidden="1" x14ac:dyDescent="0.25">
      <c r="A171" s="1350"/>
      <c r="B171" s="1350"/>
      <c r="C171" s="1350"/>
      <c r="D171" s="1350"/>
      <c r="E171" s="1350"/>
      <c r="F171" s="1350"/>
      <c r="G171" s="1350"/>
      <c r="H171" s="1350"/>
      <c r="I171" s="1350"/>
      <c r="J171" s="1350"/>
      <c r="K171" s="1350"/>
      <c r="L171" s="1350"/>
      <c r="M171" s="1350"/>
      <c r="N171" s="1350"/>
    </row>
    <row r="172" spans="1:14" x14ac:dyDescent="0.25">
      <c r="A172" s="1350"/>
      <c r="B172" s="1350"/>
      <c r="C172" s="1350"/>
      <c r="D172" s="1350"/>
      <c r="E172" s="1350"/>
      <c r="F172" s="1350"/>
      <c r="G172" s="1350"/>
      <c r="H172" s="1350"/>
      <c r="I172" s="1350"/>
      <c r="J172" s="1350"/>
      <c r="K172" s="1350"/>
      <c r="L172" s="1350"/>
      <c r="M172" s="1350"/>
      <c r="N172" s="1350"/>
    </row>
    <row r="173" spans="1:14" x14ac:dyDescent="0.25">
      <c r="A173" s="1350"/>
      <c r="B173" s="1350"/>
      <c r="C173" s="1350"/>
      <c r="D173" s="1350"/>
      <c r="E173" s="1350"/>
      <c r="F173" s="1350"/>
      <c r="G173" s="1350"/>
      <c r="H173" s="1350"/>
      <c r="I173" s="1350"/>
      <c r="J173" s="1350"/>
      <c r="K173" s="1350"/>
      <c r="L173" s="1350"/>
      <c r="M173" s="1350"/>
      <c r="N173" s="1350"/>
    </row>
    <row r="174" spans="1:14" x14ac:dyDescent="0.25">
      <c r="A174" s="1350"/>
      <c r="B174" s="1350"/>
      <c r="C174" s="1350"/>
      <c r="D174" s="1350"/>
      <c r="E174" s="1350"/>
      <c r="F174" s="1350"/>
      <c r="G174" s="1350"/>
      <c r="H174" s="1350"/>
      <c r="I174" s="1350"/>
      <c r="J174" s="1350"/>
      <c r="K174" s="1350"/>
      <c r="L174" s="1350"/>
      <c r="M174" s="1350"/>
      <c r="N174" s="1350"/>
    </row>
    <row r="175" spans="1:14" x14ac:dyDescent="0.25">
      <c r="A175" s="1350"/>
      <c r="B175" s="1350"/>
      <c r="C175" s="1350"/>
      <c r="D175" s="1350"/>
      <c r="E175" s="1350"/>
      <c r="F175" s="1350"/>
      <c r="G175" s="1350"/>
      <c r="H175" s="1350"/>
      <c r="I175" s="1350"/>
      <c r="J175" s="1350"/>
      <c r="K175" s="1350"/>
      <c r="L175" s="1350"/>
      <c r="M175" s="1350"/>
      <c r="N175" s="1350"/>
    </row>
    <row r="176" spans="1:14" hidden="1" x14ac:dyDescent="0.25">
      <c r="C176" s="1350"/>
      <c r="D176" s="1350"/>
      <c r="E176" s="1350"/>
      <c r="F176" s="1350"/>
      <c r="G176" s="1350"/>
      <c r="H176" s="1350"/>
      <c r="I176" s="1350"/>
      <c r="J176" s="1350"/>
      <c r="K176" s="1350"/>
      <c r="L176" s="1350"/>
    </row>
    <row r="177" spans="3:12" hidden="1" x14ac:dyDescent="0.25">
      <c r="C177" s="1350"/>
      <c r="D177" s="1350"/>
      <c r="E177" s="1350"/>
      <c r="F177" s="1350"/>
      <c r="G177" s="1350"/>
      <c r="H177" s="1350"/>
      <c r="I177" s="1350"/>
      <c r="J177" s="1350"/>
      <c r="K177" s="1350"/>
      <c r="L177" s="1350"/>
    </row>
    <row r="178" spans="3:12" hidden="1" x14ac:dyDescent="0.25">
      <c r="C178" s="1350"/>
      <c r="D178" s="1350"/>
      <c r="E178" s="1350"/>
      <c r="F178" s="1350"/>
      <c r="G178" s="1350"/>
      <c r="H178" s="1350"/>
      <c r="I178" s="1350"/>
      <c r="J178" s="1350"/>
      <c r="K178" s="1350"/>
      <c r="L178" s="1350"/>
    </row>
    <row r="179" spans="3:12" hidden="1" x14ac:dyDescent="0.25">
      <c r="C179" s="1350"/>
      <c r="D179" s="1350"/>
      <c r="E179" s="1350"/>
      <c r="F179" s="1350"/>
      <c r="G179" s="1350"/>
      <c r="H179" s="1350"/>
      <c r="I179" s="1350"/>
      <c r="J179" s="1350"/>
      <c r="K179" s="1350"/>
      <c r="L179" s="1350"/>
    </row>
    <row r="180" spans="3:12" hidden="1" x14ac:dyDescent="0.25">
      <c r="C180" s="1350"/>
      <c r="D180" s="1350"/>
      <c r="E180" s="1350"/>
      <c r="F180" s="1350"/>
      <c r="G180" s="1350"/>
      <c r="H180" s="1350"/>
      <c r="I180" s="1350"/>
      <c r="J180" s="1350"/>
      <c r="K180" s="1350"/>
      <c r="L180" s="1350"/>
    </row>
    <row r="181" spans="3:12" hidden="1" x14ac:dyDescent="0.25">
      <c r="C181" s="1350"/>
      <c r="D181" s="1350"/>
      <c r="E181" s="1350"/>
      <c r="F181" s="1350"/>
      <c r="G181" s="1350"/>
      <c r="H181" s="1350"/>
      <c r="I181" s="1350"/>
      <c r="J181" s="1350"/>
      <c r="K181" s="1350"/>
      <c r="L181" s="1350"/>
    </row>
    <row r="182" spans="3:12" hidden="1" x14ac:dyDescent="0.25"/>
    <row r="183" spans="3:12" hidden="1" x14ac:dyDescent="0.25"/>
    <row r="184" spans="3:12" hidden="1" x14ac:dyDescent="0.25"/>
    <row r="185" spans="3:12" hidden="1" x14ac:dyDescent="0.25"/>
    <row r="186" spans="3:12" hidden="1" x14ac:dyDescent="0.25"/>
    <row r="187" spans="3:12" hidden="1" x14ac:dyDescent="0.25"/>
    <row r="188" spans="3:12" hidden="1" x14ac:dyDescent="0.25"/>
    <row r="189" spans="3:12" hidden="1" x14ac:dyDescent="0.25"/>
    <row r="190" spans="3:12" hidden="1" x14ac:dyDescent="0.25"/>
    <row r="191" spans="3:12" hidden="1" x14ac:dyDescent="0.25"/>
    <row r="192" spans="3:1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</sheetData>
  <sheetProtection sheet="1" objects="1" scenarios="1" selectLockedCells="1"/>
  <dataConsolidate/>
  <mergeCells count="2">
    <mergeCell ref="C3:L3"/>
    <mergeCell ref="C15:L15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certoDescontos"/>
  <dimension ref="A1:N182"/>
  <sheetViews>
    <sheetView showGridLines="0" showRuler="0" zoomScaleNormal="100" workbookViewId="0">
      <selection activeCell="C6" sqref="C6"/>
    </sheetView>
  </sheetViews>
  <sheetFormatPr defaultColWidth="0" defaultRowHeight="15.75" x14ac:dyDescent="0.25"/>
  <cols>
    <col min="1" max="1" width="2.7109375" style="1354" customWidth="1"/>
    <col min="2" max="2" width="5.7109375" style="1354" customWidth="1"/>
    <col min="3" max="4" width="9.140625" style="1354" customWidth="1"/>
    <col min="5" max="5" width="10.5703125" style="1354" customWidth="1"/>
    <col min="6" max="6" width="11.7109375" style="1354" customWidth="1"/>
    <col min="7" max="7" width="13.5703125" style="1354" customWidth="1"/>
    <col min="8" max="8" width="9.140625" style="1354" customWidth="1"/>
    <col min="9" max="9" width="10.7109375" style="1354" customWidth="1"/>
    <col min="10" max="12" width="9.140625" style="1354" customWidth="1"/>
    <col min="13" max="13" width="5.7109375" style="1354" customWidth="1"/>
    <col min="14" max="14" width="2.7109375" style="1354" customWidth="1"/>
    <col min="15" max="16384" width="5.7109375" style="1354" hidden="1"/>
  </cols>
  <sheetData>
    <row r="1" spans="1:14" ht="16.5" thickBot="1" x14ac:dyDescent="0.3">
      <c r="A1" s="1353"/>
      <c r="B1" s="1353"/>
      <c r="C1" s="1353"/>
      <c r="D1" s="1353"/>
      <c r="E1" s="1353"/>
      <c r="F1" s="1353"/>
      <c r="G1" s="1353"/>
      <c r="H1" s="1353"/>
      <c r="I1" s="1353"/>
      <c r="J1" s="1353"/>
      <c r="K1" s="1353"/>
      <c r="L1" s="1353"/>
      <c r="M1" s="1353"/>
      <c r="N1" s="1353"/>
    </row>
    <row r="2" spans="1:14" ht="17.25" thickTop="1" thickBot="1" x14ac:dyDescent="0.3">
      <c r="A2" s="1353"/>
      <c r="B2" s="1383"/>
      <c r="C2" s="1382"/>
      <c r="D2" s="1382"/>
      <c r="E2" s="1382"/>
      <c r="F2" s="1382"/>
      <c r="G2" s="1382"/>
      <c r="H2" s="1382"/>
      <c r="I2" s="1382"/>
      <c r="J2" s="1382"/>
      <c r="K2" s="1382"/>
      <c r="L2" s="1382"/>
      <c r="M2" s="1400"/>
      <c r="N2" s="1353"/>
    </row>
    <row r="3" spans="1:14" ht="21" thickBot="1" x14ac:dyDescent="0.3">
      <c r="A3" s="1353"/>
      <c r="B3" s="1355"/>
      <c r="C3" s="2654" t="s">
        <v>9616</v>
      </c>
      <c r="D3" s="2655"/>
      <c r="E3" s="2655"/>
      <c r="F3" s="2655"/>
      <c r="G3" s="2655"/>
      <c r="H3" s="2655"/>
      <c r="I3" s="2655"/>
      <c r="J3" s="2655"/>
      <c r="K3" s="2655"/>
      <c r="L3" s="2656"/>
      <c r="M3" s="1356"/>
      <c r="N3" s="1353"/>
    </row>
    <row r="4" spans="1:14" ht="5.0999999999999996" customHeight="1" x14ac:dyDescent="0.25">
      <c r="A4" s="1353"/>
      <c r="B4" s="1355"/>
      <c r="C4" s="1357"/>
      <c r="D4" s="1357"/>
      <c r="E4" s="1357"/>
      <c r="F4" s="1357"/>
      <c r="G4" s="1357"/>
      <c r="H4" s="1357"/>
      <c r="I4" s="1357"/>
      <c r="J4" s="1357"/>
      <c r="K4" s="1357"/>
      <c r="L4" s="1357"/>
      <c r="M4" s="1356"/>
      <c r="N4" s="1353"/>
    </row>
    <row r="5" spans="1:14" s="1358" customFormat="1" x14ac:dyDescent="0.25">
      <c r="A5" s="1353"/>
      <c r="B5" s="1355"/>
      <c r="C5" s="1357" t="s">
        <v>9463</v>
      </c>
      <c r="D5" s="1357" t="s">
        <v>391</v>
      </c>
      <c r="E5" s="1357" t="s">
        <v>9464</v>
      </c>
      <c r="F5" s="1357" t="s">
        <v>9465</v>
      </c>
      <c r="G5" s="1357" t="s">
        <v>9466</v>
      </c>
      <c r="H5" s="1357" t="s">
        <v>8184</v>
      </c>
      <c r="I5" s="1357" t="s">
        <v>9470</v>
      </c>
      <c r="J5" s="1357" t="s">
        <v>9467</v>
      </c>
      <c r="K5" s="1357" t="s">
        <v>9468</v>
      </c>
      <c r="L5" s="1357" t="s">
        <v>9469</v>
      </c>
      <c r="M5" s="1356"/>
      <c r="N5" s="1353"/>
    </row>
    <row r="6" spans="1:14" x14ac:dyDescent="0.25">
      <c r="A6" s="1353"/>
      <c r="B6" s="1355"/>
      <c r="C6" s="1364"/>
      <c r="D6" s="1364">
        <v>6115</v>
      </c>
      <c r="E6" s="1365">
        <v>43221</v>
      </c>
      <c r="F6" s="1365">
        <v>43251</v>
      </c>
      <c r="G6" s="1364">
        <v>1</v>
      </c>
      <c r="H6" s="1364"/>
      <c r="I6" s="1364"/>
      <c r="J6" s="1364"/>
      <c r="K6" s="1364"/>
      <c r="L6" s="1364"/>
      <c r="M6" s="1356"/>
      <c r="N6" s="1353"/>
    </row>
    <row r="7" spans="1:14" x14ac:dyDescent="0.25">
      <c r="A7" s="1353"/>
      <c r="B7" s="1355"/>
      <c r="C7" s="1364"/>
      <c r="D7" s="1364">
        <v>7630</v>
      </c>
      <c r="E7" s="1365">
        <v>43221</v>
      </c>
      <c r="F7" s="1365">
        <v>43251</v>
      </c>
      <c r="G7" s="1364"/>
      <c r="H7" s="1364">
        <v>30</v>
      </c>
      <c r="I7" s="1364"/>
      <c r="J7" s="1364"/>
      <c r="K7" s="1364"/>
      <c r="L7" s="1364"/>
      <c r="M7" s="1356"/>
      <c r="N7" s="1353"/>
    </row>
    <row r="8" spans="1:14" x14ac:dyDescent="0.25">
      <c r="A8" s="1353"/>
      <c r="B8" s="1355"/>
      <c r="C8" s="1364"/>
      <c r="D8" s="1364">
        <v>8849</v>
      </c>
      <c r="E8" s="1365">
        <v>43221</v>
      </c>
      <c r="F8" s="1365"/>
      <c r="G8" s="1364">
        <v>1</v>
      </c>
      <c r="H8" s="1364">
        <v>18.899999999999999</v>
      </c>
      <c r="I8" s="1364"/>
      <c r="J8" s="1364"/>
      <c r="K8" s="1364"/>
      <c r="L8" s="1364"/>
      <c r="M8" s="1356"/>
      <c r="N8" s="1353"/>
    </row>
    <row r="9" spans="1:14" x14ac:dyDescent="0.25">
      <c r="A9" s="1353"/>
      <c r="B9" s="1355"/>
      <c r="C9" s="1364"/>
      <c r="D9" s="1364">
        <v>5502</v>
      </c>
      <c r="E9" s="1365">
        <v>43221</v>
      </c>
      <c r="F9" s="1365">
        <v>43465</v>
      </c>
      <c r="G9" s="1364"/>
      <c r="H9" s="1364"/>
      <c r="I9" s="1364"/>
      <c r="J9" s="1364"/>
      <c r="K9" s="1364"/>
      <c r="L9" s="1364"/>
      <c r="M9" s="1356"/>
      <c r="N9" s="1353"/>
    </row>
    <row r="10" spans="1:14" x14ac:dyDescent="0.25">
      <c r="A10" s="1353"/>
      <c r="B10" s="1355"/>
      <c r="C10" s="1364"/>
      <c r="D10" s="1364">
        <v>5630</v>
      </c>
      <c r="E10" s="1365">
        <v>43221</v>
      </c>
      <c r="F10" s="1365">
        <v>43465</v>
      </c>
      <c r="G10" s="1364"/>
      <c r="H10" s="1364"/>
      <c r="I10" s="1364"/>
      <c r="J10" s="1364"/>
      <c r="K10" s="1364"/>
      <c r="L10" s="1364"/>
      <c r="M10" s="1356"/>
      <c r="N10" s="1353"/>
    </row>
    <row r="11" spans="1:14" x14ac:dyDescent="0.25">
      <c r="A11" s="1353"/>
      <c r="B11" s="1355"/>
      <c r="C11" s="1364"/>
      <c r="D11" s="1364">
        <v>5635</v>
      </c>
      <c r="E11" s="1365">
        <v>43221</v>
      </c>
      <c r="F11" s="1365">
        <v>43465</v>
      </c>
      <c r="G11" s="1364"/>
      <c r="H11" s="1364"/>
      <c r="I11" s="1364"/>
      <c r="J11" s="1364"/>
      <c r="K11" s="1364"/>
      <c r="L11" s="1364"/>
      <c r="M11" s="1356"/>
      <c r="N11" s="1353"/>
    </row>
    <row r="12" spans="1:14" x14ac:dyDescent="0.25">
      <c r="A12" s="1353"/>
      <c r="B12" s="1355"/>
      <c r="C12" s="1364"/>
      <c r="D12" s="1364">
        <v>5647</v>
      </c>
      <c r="E12" s="1365">
        <v>43221</v>
      </c>
      <c r="F12" s="1365">
        <v>43465</v>
      </c>
      <c r="G12" s="1364">
        <v>1</v>
      </c>
      <c r="H12" s="1364"/>
      <c r="I12" s="1364"/>
      <c r="J12" s="1364"/>
      <c r="K12" s="1364"/>
      <c r="L12" s="1364"/>
      <c r="M12" s="1356"/>
      <c r="N12" s="1353"/>
    </row>
    <row r="13" spans="1:14" x14ac:dyDescent="0.25">
      <c r="A13" s="1353"/>
      <c r="B13" s="1355"/>
      <c r="C13" s="1364"/>
      <c r="D13" s="1364">
        <v>5837</v>
      </c>
      <c r="E13" s="1365">
        <v>43221</v>
      </c>
      <c r="F13" s="1365">
        <v>43465</v>
      </c>
      <c r="G13" s="1364"/>
      <c r="H13" s="1364"/>
      <c r="I13" s="1364"/>
      <c r="J13" s="1364"/>
      <c r="K13" s="1364"/>
      <c r="L13" s="1364"/>
      <c r="M13" s="1356"/>
      <c r="N13" s="1353"/>
    </row>
    <row r="14" spans="1:14" ht="16.5" thickBot="1" x14ac:dyDescent="0.3">
      <c r="A14" s="1353"/>
      <c r="B14" s="1359"/>
      <c r="C14" s="1360"/>
      <c r="D14" s="1360"/>
      <c r="E14" s="1360"/>
      <c r="F14" s="1360"/>
      <c r="G14" s="1360"/>
      <c r="H14" s="1360"/>
      <c r="I14" s="1360"/>
      <c r="J14" s="1360"/>
      <c r="K14" s="1360"/>
      <c r="L14" s="1360"/>
      <c r="M14" s="1361"/>
      <c r="N14" s="1353"/>
    </row>
    <row r="15" spans="1:14" ht="16.5" thickTop="1" x14ac:dyDescent="0.25">
      <c r="A15" s="1353"/>
      <c r="B15" s="1353"/>
      <c r="C15" s="1353"/>
      <c r="D15" s="1353"/>
      <c r="E15" s="1353"/>
      <c r="F15" s="1353"/>
      <c r="G15" s="1353"/>
      <c r="H15" s="1353"/>
      <c r="I15" s="1353"/>
      <c r="J15" s="1353"/>
      <c r="K15" s="1353"/>
      <c r="L15" s="1353"/>
      <c r="M15" s="1353"/>
      <c r="N15" s="1353"/>
    </row>
    <row r="16" spans="1:14" x14ac:dyDescent="0.25">
      <c r="A16" s="1353"/>
      <c r="B16" s="1353"/>
      <c r="C16" s="1353"/>
      <c r="D16" s="1353"/>
      <c r="E16" s="1353"/>
      <c r="F16" s="1353"/>
      <c r="G16" s="1353"/>
      <c r="H16" s="1353"/>
      <c r="I16" s="1353"/>
      <c r="J16" s="1353"/>
      <c r="K16" s="1353"/>
      <c r="L16" s="1353"/>
      <c r="M16" s="1353"/>
      <c r="N16" s="1353"/>
    </row>
    <row r="17" spans="1:14" x14ac:dyDescent="0.25">
      <c r="A17" s="1353"/>
      <c r="B17" s="1353"/>
      <c r="C17" s="1353"/>
      <c r="D17" s="1353"/>
      <c r="E17" s="1353"/>
      <c r="F17" s="1353"/>
      <c r="G17" s="1353"/>
      <c r="H17" s="1353"/>
      <c r="I17" s="1353"/>
      <c r="J17" s="1353"/>
      <c r="K17" s="1353"/>
      <c r="L17" s="1353"/>
      <c r="M17" s="1353"/>
      <c r="N17" s="1353"/>
    </row>
    <row r="18" spans="1:14" x14ac:dyDescent="0.25">
      <c r="A18" s="1353"/>
      <c r="B18" s="1353"/>
      <c r="C18" s="1353"/>
      <c r="D18" s="1353"/>
      <c r="E18" s="1353"/>
      <c r="F18" s="1353"/>
      <c r="G18" s="1353"/>
      <c r="H18" s="1353"/>
      <c r="I18" s="1353"/>
      <c r="J18" s="1353"/>
      <c r="K18" s="1353"/>
      <c r="L18" s="1353"/>
      <c r="M18" s="1353"/>
      <c r="N18" s="1353"/>
    </row>
    <row r="19" spans="1:14" x14ac:dyDescent="0.25">
      <c r="A19" s="1353"/>
      <c r="B19" s="1353"/>
      <c r="C19" s="1353"/>
      <c r="D19" s="1353"/>
      <c r="E19" s="1353"/>
      <c r="F19" s="1353"/>
      <c r="G19" s="1353"/>
      <c r="H19" s="1353"/>
      <c r="I19" s="1353"/>
      <c r="J19" s="1353"/>
      <c r="K19" s="1353"/>
      <c r="L19" s="1353"/>
      <c r="M19" s="1353"/>
      <c r="N19" s="1353"/>
    </row>
    <row r="20" spans="1:14" x14ac:dyDescent="0.25">
      <c r="A20" s="1353"/>
      <c r="B20" s="1353"/>
      <c r="C20" s="1353"/>
      <c r="D20" s="1353"/>
      <c r="E20" s="1353"/>
      <c r="F20" s="1353"/>
      <c r="G20" s="1353"/>
      <c r="H20" s="1353"/>
      <c r="I20" s="1353"/>
      <c r="J20" s="1353"/>
      <c r="K20" s="1353"/>
      <c r="L20" s="1353"/>
      <c r="M20" s="1353"/>
      <c r="N20" s="1353"/>
    </row>
    <row r="21" spans="1:14" x14ac:dyDescent="0.25">
      <c r="A21" s="1353"/>
      <c r="B21" s="1353"/>
      <c r="C21" s="1353"/>
      <c r="D21" s="1353"/>
      <c r="E21" s="1353"/>
      <c r="F21" s="1353"/>
      <c r="G21" s="1353"/>
      <c r="H21" s="1353"/>
      <c r="I21" s="1353"/>
      <c r="J21" s="1353"/>
      <c r="K21" s="1353"/>
      <c r="L21" s="1353"/>
      <c r="M21" s="1353"/>
      <c r="N21" s="1353"/>
    </row>
    <row r="22" spans="1:14" x14ac:dyDescent="0.25">
      <c r="A22" s="1353"/>
      <c r="B22" s="1353"/>
      <c r="C22" s="1353"/>
      <c r="D22" s="1353"/>
      <c r="E22" s="1353"/>
      <c r="F22" s="1353"/>
      <c r="G22" s="1353"/>
      <c r="H22" s="1353"/>
      <c r="I22" s="1353"/>
      <c r="J22" s="1353"/>
      <c r="K22" s="1353"/>
      <c r="L22" s="1353"/>
      <c r="M22" s="1353"/>
      <c r="N22" s="1353"/>
    </row>
    <row r="23" spans="1:14" x14ac:dyDescent="0.25">
      <c r="A23" s="1353"/>
      <c r="B23" s="1353"/>
      <c r="C23" s="1353"/>
      <c r="D23" s="1353"/>
      <c r="E23" s="1353"/>
      <c r="F23" s="1353"/>
      <c r="G23" s="1353"/>
      <c r="H23" s="1353"/>
      <c r="I23" s="1353"/>
      <c r="J23" s="1353"/>
      <c r="K23" s="1353"/>
      <c r="L23" s="1353"/>
      <c r="M23" s="1353"/>
      <c r="N23" s="1353"/>
    </row>
    <row r="24" spans="1:14" x14ac:dyDescent="0.25">
      <c r="A24" s="1353"/>
      <c r="B24" s="1353"/>
      <c r="C24" s="1353"/>
      <c r="D24" s="1353"/>
      <c r="E24" s="1353"/>
      <c r="F24" s="1353"/>
      <c r="G24" s="1353"/>
      <c r="H24" s="1353"/>
      <c r="I24" s="1353"/>
      <c r="J24" s="1353"/>
      <c r="K24" s="1353"/>
      <c r="L24" s="1353"/>
      <c r="M24" s="1353"/>
      <c r="N24" s="1353"/>
    </row>
    <row r="25" spans="1:14" x14ac:dyDescent="0.25">
      <c r="A25" s="1353"/>
      <c r="B25" s="1353"/>
      <c r="C25" s="1353"/>
      <c r="D25" s="1353"/>
      <c r="E25" s="1353"/>
      <c r="F25" s="1353"/>
      <c r="G25" s="1353"/>
      <c r="H25" s="1353"/>
      <c r="I25" s="1353"/>
      <c r="J25" s="1353"/>
      <c r="K25" s="1353"/>
      <c r="L25" s="1353"/>
      <c r="M25" s="1353"/>
      <c r="N25" s="1353"/>
    </row>
    <row r="26" spans="1:14" x14ac:dyDescent="0.25">
      <c r="A26" s="1353"/>
      <c r="B26" s="1353"/>
      <c r="C26" s="1353"/>
      <c r="D26" s="1353"/>
      <c r="E26" s="1353"/>
      <c r="F26" s="1353"/>
      <c r="G26" s="1353"/>
      <c r="H26" s="1353"/>
      <c r="I26" s="1353"/>
      <c r="J26" s="1353"/>
      <c r="K26" s="1353"/>
      <c r="L26" s="1353"/>
      <c r="M26" s="1353"/>
      <c r="N26" s="1353"/>
    </row>
    <row r="27" spans="1:14" x14ac:dyDescent="0.25">
      <c r="A27" s="1353"/>
      <c r="B27" s="1353"/>
      <c r="C27" s="1353"/>
      <c r="D27" s="1353"/>
      <c r="E27" s="1353"/>
      <c r="F27" s="1353"/>
      <c r="G27" s="1353"/>
      <c r="H27" s="1353"/>
      <c r="I27" s="1353"/>
      <c r="J27" s="1353"/>
      <c r="K27" s="1353"/>
      <c r="L27" s="1353"/>
      <c r="M27" s="1353"/>
      <c r="N27" s="1353"/>
    </row>
    <row r="28" spans="1:14" x14ac:dyDescent="0.25">
      <c r="A28" s="1353"/>
      <c r="B28" s="1353"/>
      <c r="C28" s="1353"/>
      <c r="D28" s="1353"/>
      <c r="E28" s="1353"/>
      <c r="F28" s="1353"/>
      <c r="G28" s="1353"/>
      <c r="H28" s="1353"/>
      <c r="I28" s="1353"/>
      <c r="J28" s="1353"/>
      <c r="K28" s="1353"/>
      <c r="L28" s="1353"/>
      <c r="M28" s="1353"/>
      <c r="N28" s="1353"/>
    </row>
    <row r="29" spans="1:14" x14ac:dyDescent="0.25">
      <c r="A29" s="1353"/>
      <c r="B29" s="1353"/>
      <c r="C29" s="1353"/>
      <c r="D29" s="1353"/>
      <c r="E29" s="1353"/>
      <c r="F29" s="1353"/>
      <c r="G29" s="1353"/>
      <c r="H29" s="1353"/>
      <c r="I29" s="1353"/>
      <c r="J29" s="1353"/>
      <c r="K29" s="1353"/>
      <c r="L29" s="1353"/>
      <c r="M29" s="1353"/>
      <c r="N29" s="1353"/>
    </row>
    <row r="30" spans="1:14" x14ac:dyDescent="0.25">
      <c r="A30" s="1353"/>
      <c r="B30" s="1353"/>
      <c r="C30" s="1353"/>
      <c r="D30" s="1353"/>
      <c r="E30" s="1353"/>
      <c r="F30" s="1353"/>
      <c r="G30" s="1353"/>
      <c r="H30" s="1353"/>
      <c r="I30" s="1353"/>
      <c r="J30" s="1353"/>
      <c r="K30" s="1353"/>
      <c r="L30" s="1353"/>
      <c r="M30" s="1353"/>
      <c r="N30" s="1353"/>
    </row>
    <row r="31" spans="1:14" x14ac:dyDescent="0.25">
      <c r="A31" s="1353"/>
      <c r="B31" s="1353"/>
      <c r="C31" s="1353"/>
      <c r="D31" s="1353"/>
      <c r="E31" s="1353"/>
      <c r="F31" s="1353"/>
      <c r="G31" s="1353"/>
      <c r="H31" s="1353"/>
      <c r="I31" s="1353"/>
      <c r="J31" s="1353"/>
      <c r="K31" s="1353"/>
      <c r="L31" s="1353"/>
      <c r="M31" s="1353"/>
      <c r="N31" s="1353"/>
    </row>
    <row r="32" spans="1:14" x14ac:dyDescent="0.25">
      <c r="A32" s="1353"/>
      <c r="B32" s="1353"/>
      <c r="C32" s="1353"/>
      <c r="D32" s="1353"/>
      <c r="E32" s="1353"/>
      <c r="F32" s="1353"/>
      <c r="G32" s="1353"/>
      <c r="H32" s="1353"/>
      <c r="I32" s="1353"/>
      <c r="J32" s="1353"/>
      <c r="K32" s="1353"/>
      <c r="L32" s="1353"/>
      <c r="M32" s="1353"/>
      <c r="N32" s="1353"/>
    </row>
    <row r="33" spans="1:14" x14ac:dyDescent="0.25">
      <c r="A33" s="1353"/>
      <c r="B33" s="1353"/>
      <c r="C33" s="1353"/>
      <c r="D33" s="1353"/>
      <c r="E33" s="1353"/>
      <c r="F33" s="1353"/>
      <c r="G33" s="1353"/>
      <c r="H33" s="1353"/>
      <c r="I33" s="1353"/>
      <c r="J33" s="1353"/>
      <c r="K33" s="1353"/>
      <c r="L33" s="1353"/>
      <c r="M33" s="1353"/>
      <c r="N33" s="1353"/>
    </row>
    <row r="34" spans="1:14" x14ac:dyDescent="0.25">
      <c r="A34" s="1353"/>
      <c r="B34" s="1353"/>
      <c r="C34" s="1353"/>
      <c r="D34" s="1353"/>
      <c r="E34" s="1353"/>
      <c r="F34" s="1353"/>
      <c r="G34" s="1353"/>
      <c r="H34" s="1353"/>
      <c r="I34" s="1353"/>
      <c r="J34" s="1353"/>
      <c r="K34" s="1353"/>
      <c r="L34" s="1353"/>
      <c r="M34" s="1353"/>
      <c r="N34" s="1353"/>
    </row>
    <row r="35" spans="1:14" x14ac:dyDescent="0.25">
      <c r="A35" s="1353"/>
      <c r="B35" s="1353"/>
      <c r="C35" s="1353"/>
      <c r="D35" s="1353"/>
      <c r="E35" s="1353"/>
      <c r="F35" s="1353"/>
      <c r="G35" s="1353"/>
      <c r="H35" s="1353"/>
      <c r="I35" s="1353"/>
      <c r="J35" s="1353"/>
      <c r="K35" s="1353"/>
      <c r="L35" s="1353"/>
      <c r="M35" s="1353"/>
      <c r="N35" s="1353"/>
    </row>
    <row r="36" spans="1:14" x14ac:dyDescent="0.25">
      <c r="A36" s="1353"/>
      <c r="B36" s="1353"/>
      <c r="C36" s="1353"/>
      <c r="D36" s="1353"/>
      <c r="E36" s="1353"/>
      <c r="F36" s="1353"/>
      <c r="G36" s="1353"/>
      <c r="H36" s="1353"/>
      <c r="I36" s="1353"/>
      <c r="J36" s="1353"/>
      <c r="K36" s="1353"/>
      <c r="L36" s="1353"/>
      <c r="M36" s="1353"/>
      <c r="N36" s="1353"/>
    </row>
    <row r="37" spans="1:14" x14ac:dyDescent="0.25">
      <c r="A37" s="1353"/>
      <c r="B37" s="1353"/>
      <c r="C37" s="1353"/>
      <c r="D37" s="1353"/>
      <c r="E37" s="1353"/>
      <c r="F37" s="1353"/>
      <c r="G37" s="1353"/>
      <c r="H37" s="1353"/>
      <c r="I37" s="1353"/>
      <c r="J37" s="1353"/>
      <c r="K37" s="1353"/>
      <c r="L37" s="1353"/>
      <c r="M37" s="1353"/>
      <c r="N37" s="1353"/>
    </row>
    <row r="38" spans="1:14" x14ac:dyDescent="0.25">
      <c r="A38" s="1353"/>
      <c r="B38" s="1353"/>
      <c r="C38" s="1353"/>
      <c r="D38" s="1353"/>
      <c r="E38" s="1353"/>
      <c r="F38" s="1353"/>
      <c r="G38" s="1353"/>
      <c r="H38" s="1353"/>
      <c r="I38" s="1353"/>
      <c r="J38" s="1353"/>
      <c r="K38" s="1353"/>
      <c r="L38" s="1353"/>
      <c r="M38" s="1353"/>
      <c r="N38" s="1353"/>
    </row>
    <row r="39" spans="1:14" x14ac:dyDescent="0.25">
      <c r="A39" s="1353"/>
      <c r="B39" s="1353"/>
      <c r="C39" s="1353"/>
      <c r="D39" s="1353"/>
      <c r="E39" s="1353"/>
      <c r="F39" s="1353"/>
      <c r="G39" s="1353"/>
      <c r="H39" s="1353"/>
      <c r="I39" s="1353"/>
      <c r="J39" s="1353"/>
      <c r="K39" s="1353"/>
      <c r="L39" s="1353"/>
      <c r="M39" s="1353"/>
      <c r="N39" s="1353"/>
    </row>
    <row r="40" spans="1:14" x14ac:dyDescent="0.25">
      <c r="A40" s="1353"/>
      <c r="B40" s="1353"/>
      <c r="C40" s="1353"/>
      <c r="D40" s="1353"/>
      <c r="E40" s="1353"/>
      <c r="F40" s="1353"/>
      <c r="G40" s="1353"/>
      <c r="H40" s="1353"/>
      <c r="I40" s="1353"/>
      <c r="J40" s="1353"/>
      <c r="K40" s="1353"/>
      <c r="L40" s="1353"/>
      <c r="M40" s="1353"/>
      <c r="N40" s="1353"/>
    </row>
    <row r="41" spans="1:14" x14ac:dyDescent="0.25">
      <c r="A41" s="1353"/>
      <c r="B41" s="1353"/>
      <c r="C41" s="1353"/>
      <c r="D41" s="1353"/>
      <c r="E41" s="1353"/>
      <c r="F41" s="1353"/>
      <c r="G41" s="1353"/>
      <c r="H41" s="1353"/>
      <c r="I41" s="1353"/>
      <c r="J41" s="1353"/>
      <c r="K41" s="1353"/>
      <c r="L41" s="1353"/>
      <c r="M41" s="1353"/>
      <c r="N41" s="1353"/>
    </row>
    <row r="42" spans="1:14" x14ac:dyDescent="0.25">
      <c r="A42" s="1353"/>
      <c r="B42" s="1353"/>
      <c r="C42" s="1353"/>
      <c r="D42" s="1353"/>
      <c r="E42" s="1353"/>
      <c r="F42" s="1353"/>
      <c r="G42" s="1353"/>
      <c r="H42" s="1353"/>
      <c r="I42" s="1353"/>
      <c r="J42" s="1353"/>
      <c r="K42" s="1353"/>
      <c r="L42" s="1353"/>
      <c r="M42" s="1353"/>
      <c r="N42" s="1353"/>
    </row>
    <row r="43" spans="1:14" x14ac:dyDescent="0.25">
      <c r="A43" s="1353"/>
      <c r="B43" s="1353"/>
      <c r="C43" s="1353"/>
      <c r="D43" s="1353"/>
      <c r="E43" s="1353"/>
      <c r="F43" s="1353"/>
      <c r="G43" s="1353"/>
      <c r="H43" s="1353"/>
      <c r="I43" s="1353"/>
      <c r="J43" s="1353"/>
      <c r="K43" s="1353"/>
      <c r="L43" s="1353"/>
      <c r="M43" s="1353"/>
      <c r="N43" s="1353"/>
    </row>
    <row r="44" spans="1:14" x14ac:dyDescent="0.25">
      <c r="A44" s="1353"/>
      <c r="B44" s="1353"/>
      <c r="C44" s="1353"/>
      <c r="D44" s="1353"/>
      <c r="E44" s="1353"/>
      <c r="F44" s="1353"/>
      <c r="G44" s="1353"/>
      <c r="H44" s="1353"/>
      <c r="I44" s="1353"/>
      <c r="J44" s="1353"/>
      <c r="K44" s="1353"/>
      <c r="L44" s="1353"/>
      <c r="M44" s="1353"/>
      <c r="N44" s="1353"/>
    </row>
    <row r="45" spans="1:14" x14ac:dyDescent="0.25">
      <c r="A45" s="1353"/>
      <c r="B45" s="1353"/>
      <c r="C45" s="1353"/>
      <c r="D45" s="1353"/>
      <c r="E45" s="1353"/>
      <c r="F45" s="1353"/>
      <c r="G45" s="1353"/>
      <c r="H45" s="1353"/>
      <c r="I45" s="1353"/>
      <c r="J45" s="1353"/>
      <c r="K45" s="1353"/>
      <c r="L45" s="1353"/>
      <c r="M45" s="1353"/>
      <c r="N45" s="1353"/>
    </row>
    <row r="46" spans="1:14" x14ac:dyDescent="0.25">
      <c r="A46" s="1353"/>
      <c r="B46" s="1353"/>
      <c r="C46" s="1353"/>
      <c r="D46" s="1353"/>
      <c r="E46" s="1353"/>
      <c r="F46" s="1353"/>
      <c r="G46" s="1353"/>
      <c r="H46" s="1353"/>
      <c r="I46" s="1353"/>
      <c r="J46" s="1353"/>
      <c r="K46" s="1353"/>
      <c r="L46" s="1353"/>
      <c r="M46" s="1353"/>
      <c r="N46" s="1353"/>
    </row>
    <row r="47" spans="1:14" x14ac:dyDescent="0.25">
      <c r="A47" s="1353"/>
      <c r="B47" s="1353"/>
      <c r="C47" s="1353"/>
      <c r="D47" s="1353"/>
      <c r="E47" s="1353"/>
      <c r="F47" s="1353"/>
      <c r="G47" s="1353"/>
      <c r="H47" s="1353"/>
      <c r="I47" s="1353"/>
      <c r="J47" s="1353"/>
      <c r="K47" s="1353"/>
      <c r="L47" s="1353"/>
      <c r="M47" s="1353"/>
      <c r="N47" s="1353"/>
    </row>
    <row r="48" spans="1:14" x14ac:dyDescent="0.25">
      <c r="A48" s="1353"/>
      <c r="B48" s="1353"/>
      <c r="C48" s="1353"/>
      <c r="D48" s="1353"/>
      <c r="E48" s="1353"/>
      <c r="F48" s="1353"/>
      <c r="G48" s="1353"/>
      <c r="H48" s="1353"/>
      <c r="I48" s="1353"/>
      <c r="J48" s="1353"/>
      <c r="K48" s="1353"/>
      <c r="L48" s="1353"/>
      <c r="M48" s="1353"/>
      <c r="N48" s="1353"/>
    </row>
    <row r="49" spans="1:14" x14ac:dyDescent="0.25">
      <c r="A49" s="1353"/>
      <c r="B49" s="1353"/>
      <c r="C49" s="1353"/>
      <c r="D49" s="1353"/>
      <c r="E49" s="1353"/>
      <c r="F49" s="1353"/>
      <c r="G49" s="1353"/>
      <c r="H49" s="1353"/>
      <c r="I49" s="1353"/>
      <c r="J49" s="1353"/>
      <c r="K49" s="1353"/>
      <c r="L49" s="1353"/>
      <c r="M49" s="1353"/>
      <c r="N49" s="1353"/>
    </row>
    <row r="50" spans="1:14" x14ac:dyDescent="0.25">
      <c r="A50" s="1353"/>
      <c r="B50" s="1353"/>
      <c r="C50" s="1353"/>
      <c r="D50" s="1353"/>
      <c r="E50" s="1353"/>
      <c r="F50" s="1353"/>
      <c r="G50" s="1353"/>
      <c r="H50" s="1353"/>
      <c r="I50" s="1353"/>
      <c r="J50" s="1353"/>
      <c r="K50" s="1353"/>
      <c r="L50" s="1353"/>
      <c r="M50" s="1353"/>
      <c r="N50" s="1353"/>
    </row>
    <row r="51" spans="1:14" x14ac:dyDescent="0.25">
      <c r="A51" s="1353"/>
      <c r="B51" s="1353"/>
      <c r="C51" s="1353"/>
      <c r="D51" s="1353"/>
      <c r="E51" s="1353"/>
      <c r="F51" s="1353"/>
      <c r="G51" s="1353"/>
      <c r="H51" s="1353"/>
      <c r="I51" s="1353"/>
      <c r="J51" s="1353"/>
      <c r="K51" s="1353"/>
      <c r="L51" s="1353"/>
      <c r="M51" s="1353"/>
      <c r="N51" s="1353"/>
    </row>
    <row r="52" spans="1:14" x14ac:dyDescent="0.25">
      <c r="A52" s="1353"/>
      <c r="B52" s="1353"/>
      <c r="C52" s="1353"/>
      <c r="D52" s="1353"/>
      <c r="E52" s="1353"/>
      <c r="F52" s="1353"/>
      <c r="G52" s="1353"/>
      <c r="H52" s="1353"/>
      <c r="I52" s="1353"/>
      <c r="J52" s="1353"/>
      <c r="K52" s="1353"/>
      <c r="L52" s="1353"/>
      <c r="M52" s="1353"/>
      <c r="N52" s="1353"/>
    </row>
    <row r="53" spans="1:14" x14ac:dyDescent="0.25">
      <c r="A53" s="1353"/>
      <c r="B53" s="1353"/>
      <c r="C53" s="1353"/>
      <c r="D53" s="1353"/>
      <c r="E53" s="1353"/>
      <c r="F53" s="1353"/>
      <c r="G53" s="1353"/>
      <c r="H53" s="1353"/>
      <c r="I53" s="1353"/>
      <c r="J53" s="1353"/>
      <c r="K53" s="1353"/>
      <c r="L53" s="1353"/>
      <c r="M53" s="1353"/>
      <c r="N53" s="1353"/>
    </row>
    <row r="54" spans="1:14" x14ac:dyDescent="0.25">
      <c r="A54" s="1353"/>
      <c r="B54" s="1353"/>
      <c r="C54" s="1353"/>
      <c r="D54" s="1353"/>
      <c r="E54" s="1353"/>
      <c r="F54" s="1353"/>
      <c r="G54" s="1353"/>
      <c r="H54" s="1353"/>
      <c r="I54" s="1353"/>
      <c r="J54" s="1353"/>
      <c r="K54" s="1353"/>
      <c r="L54" s="1353"/>
      <c r="M54" s="1353"/>
      <c r="N54" s="1353"/>
    </row>
    <row r="55" spans="1:14" x14ac:dyDescent="0.25">
      <c r="A55" s="1353"/>
      <c r="B55" s="1353"/>
      <c r="C55" s="1353"/>
      <c r="D55" s="1353"/>
      <c r="E55" s="1353"/>
      <c r="F55" s="1353"/>
      <c r="G55" s="1353"/>
      <c r="H55" s="1353"/>
      <c r="I55" s="1353"/>
      <c r="J55" s="1353"/>
      <c r="K55" s="1353"/>
      <c r="L55" s="1353"/>
      <c r="M55" s="1353"/>
      <c r="N55" s="1353"/>
    </row>
    <row r="56" spans="1:14" x14ac:dyDescent="0.25">
      <c r="A56" s="1353"/>
      <c r="B56" s="1353"/>
      <c r="C56" s="1353"/>
      <c r="D56" s="1353"/>
      <c r="E56" s="1353"/>
      <c r="F56" s="1353"/>
      <c r="G56" s="1353"/>
      <c r="H56" s="1353"/>
      <c r="I56" s="1353"/>
      <c r="J56" s="1353"/>
      <c r="K56" s="1353"/>
      <c r="L56" s="1353"/>
      <c r="M56" s="1353"/>
      <c r="N56" s="1353"/>
    </row>
    <row r="57" spans="1:14" x14ac:dyDescent="0.25">
      <c r="A57" s="1353"/>
      <c r="B57" s="1353"/>
      <c r="C57" s="1353"/>
      <c r="D57" s="1353"/>
      <c r="E57" s="1353"/>
      <c r="F57" s="1353"/>
      <c r="G57" s="1353"/>
      <c r="H57" s="1353"/>
      <c r="I57" s="1353"/>
      <c r="J57" s="1353"/>
      <c r="K57" s="1353"/>
      <c r="L57" s="1353"/>
      <c r="M57" s="1353"/>
      <c r="N57" s="1353"/>
    </row>
    <row r="58" spans="1:14" x14ac:dyDescent="0.25">
      <c r="A58" s="1353"/>
      <c r="B58" s="1353"/>
      <c r="C58" s="1353"/>
      <c r="D58" s="1353"/>
      <c r="E58" s="1353"/>
      <c r="F58" s="1353"/>
      <c r="G58" s="1353"/>
      <c r="H58" s="1353"/>
      <c r="I58" s="1353"/>
      <c r="J58" s="1353"/>
      <c r="K58" s="1353"/>
      <c r="L58" s="1353"/>
      <c r="M58" s="1353"/>
      <c r="N58" s="1353"/>
    </row>
    <row r="59" spans="1:14" x14ac:dyDescent="0.25">
      <c r="A59" s="1353"/>
      <c r="B59" s="1353"/>
      <c r="C59" s="1353"/>
      <c r="D59" s="1353"/>
      <c r="E59" s="1353"/>
      <c r="F59" s="1353"/>
      <c r="G59" s="1353"/>
      <c r="H59" s="1353"/>
      <c r="I59" s="1353"/>
      <c r="J59" s="1353"/>
      <c r="K59" s="1353"/>
      <c r="L59" s="1353"/>
      <c r="M59" s="1353"/>
      <c r="N59" s="1353"/>
    </row>
    <row r="60" spans="1:14" x14ac:dyDescent="0.25">
      <c r="A60" s="1353"/>
      <c r="B60" s="1353"/>
      <c r="C60" s="1353"/>
      <c r="D60" s="1353"/>
      <c r="E60" s="1353"/>
      <c r="F60" s="1353"/>
      <c r="G60" s="1353"/>
      <c r="H60" s="1353"/>
      <c r="I60" s="1353"/>
      <c r="J60" s="1353"/>
      <c r="K60" s="1353"/>
      <c r="L60" s="1353"/>
      <c r="M60" s="1353"/>
      <c r="N60" s="1353"/>
    </row>
    <row r="61" spans="1:14" x14ac:dyDescent="0.25">
      <c r="A61" s="1353"/>
      <c r="B61" s="1353"/>
      <c r="C61" s="1353"/>
      <c r="D61" s="1353"/>
      <c r="E61" s="1353"/>
      <c r="F61" s="1353"/>
      <c r="G61" s="1353"/>
      <c r="H61" s="1353"/>
      <c r="I61" s="1353"/>
      <c r="J61" s="1353"/>
      <c r="K61" s="1353"/>
      <c r="L61" s="1353"/>
      <c r="M61" s="1353"/>
      <c r="N61" s="1353"/>
    </row>
    <row r="62" spans="1:14" x14ac:dyDescent="0.25">
      <c r="A62" s="1353"/>
      <c r="B62" s="1353"/>
      <c r="C62" s="1353"/>
      <c r="D62" s="1353"/>
      <c r="E62" s="1353"/>
      <c r="F62" s="1353"/>
      <c r="G62" s="1353"/>
      <c r="H62" s="1353"/>
      <c r="I62" s="1353"/>
      <c r="J62" s="1353"/>
      <c r="K62" s="1353"/>
      <c r="L62" s="1353"/>
      <c r="M62" s="1353"/>
      <c r="N62" s="1353"/>
    </row>
    <row r="63" spans="1:14" x14ac:dyDescent="0.25">
      <c r="A63" s="1353"/>
      <c r="B63" s="1353"/>
      <c r="C63" s="1353"/>
      <c r="D63" s="1353"/>
      <c r="E63" s="1353"/>
      <c r="F63" s="1353"/>
      <c r="G63" s="1353"/>
      <c r="H63" s="1353"/>
      <c r="I63" s="1353"/>
      <c r="J63" s="1353"/>
      <c r="K63" s="1353"/>
      <c r="L63" s="1353"/>
      <c r="M63" s="1353"/>
      <c r="N63" s="1353"/>
    </row>
    <row r="64" spans="1:14" x14ac:dyDescent="0.25">
      <c r="A64" s="1353"/>
      <c r="B64" s="1353"/>
      <c r="C64" s="1353"/>
      <c r="D64" s="1353"/>
      <c r="E64" s="1353"/>
      <c r="F64" s="1353"/>
      <c r="G64" s="1353"/>
      <c r="H64" s="1353"/>
      <c r="I64" s="1353"/>
      <c r="J64" s="1353"/>
      <c r="K64" s="1353"/>
      <c r="L64" s="1353"/>
      <c r="M64" s="1353"/>
      <c r="N64" s="1353"/>
    </row>
    <row r="65" spans="1:14" x14ac:dyDescent="0.25">
      <c r="A65" s="1353"/>
      <c r="B65" s="1353"/>
      <c r="C65" s="1353"/>
      <c r="D65" s="1353"/>
      <c r="E65" s="1353"/>
      <c r="F65" s="1353"/>
      <c r="G65" s="1353"/>
      <c r="H65" s="1353"/>
      <c r="I65" s="1353"/>
      <c r="J65" s="1353"/>
      <c r="K65" s="1353"/>
      <c r="L65" s="1353"/>
      <c r="M65" s="1353"/>
      <c r="N65" s="1353"/>
    </row>
    <row r="66" spans="1:14" x14ac:dyDescent="0.25">
      <c r="A66" s="1353"/>
      <c r="B66" s="1353"/>
      <c r="C66" s="1353"/>
      <c r="D66" s="1353"/>
      <c r="E66" s="1353"/>
      <c r="F66" s="1353"/>
      <c r="G66" s="1353"/>
      <c r="H66" s="1353"/>
      <c r="I66" s="1353"/>
      <c r="J66" s="1353"/>
      <c r="K66" s="1353"/>
      <c r="L66" s="1353"/>
      <c r="M66" s="1353"/>
      <c r="N66" s="1353"/>
    </row>
    <row r="67" spans="1:14" x14ac:dyDescent="0.25">
      <c r="A67" s="1353"/>
      <c r="B67" s="1353"/>
      <c r="C67" s="1353"/>
      <c r="D67" s="1353"/>
      <c r="E67" s="1353"/>
      <c r="F67" s="1353"/>
      <c r="G67" s="1353"/>
      <c r="H67" s="1353"/>
      <c r="I67" s="1353"/>
      <c r="J67" s="1353"/>
      <c r="K67" s="1353"/>
      <c r="L67" s="1353"/>
      <c r="M67" s="1353"/>
      <c r="N67" s="1353"/>
    </row>
    <row r="68" spans="1:14" x14ac:dyDescent="0.25">
      <c r="A68" s="1353"/>
      <c r="B68" s="1353"/>
      <c r="C68" s="1353"/>
      <c r="D68" s="1353"/>
      <c r="E68" s="1353"/>
      <c r="F68" s="1353"/>
      <c r="G68" s="1353"/>
      <c r="H68" s="1353"/>
      <c r="I68" s="1353"/>
      <c r="J68" s="1353"/>
      <c r="K68" s="1353"/>
      <c r="L68" s="1353"/>
      <c r="M68" s="1353"/>
      <c r="N68" s="1353"/>
    </row>
    <row r="69" spans="1:14" x14ac:dyDescent="0.25">
      <c r="A69" s="1353"/>
      <c r="B69" s="1353"/>
      <c r="C69" s="1353"/>
      <c r="D69" s="1353"/>
      <c r="E69" s="1353"/>
      <c r="F69" s="1353"/>
      <c r="G69" s="1353"/>
      <c r="H69" s="1353"/>
      <c r="I69" s="1353"/>
      <c r="J69" s="1353"/>
      <c r="K69" s="1353"/>
      <c r="L69" s="1353"/>
      <c r="M69" s="1353"/>
      <c r="N69" s="1353"/>
    </row>
    <row r="70" spans="1:14" x14ac:dyDescent="0.25">
      <c r="A70" s="1353"/>
      <c r="B70" s="1353"/>
      <c r="C70" s="1353"/>
      <c r="D70" s="1353"/>
      <c r="E70" s="1353"/>
      <c r="F70" s="1353"/>
      <c r="G70" s="1353"/>
      <c r="H70" s="1353"/>
      <c r="I70" s="1353"/>
      <c r="J70" s="1353"/>
      <c r="K70" s="1353"/>
      <c r="L70" s="1353"/>
      <c r="M70" s="1353"/>
      <c r="N70" s="1353"/>
    </row>
    <row r="71" spans="1:14" x14ac:dyDescent="0.25">
      <c r="A71" s="1353"/>
      <c r="B71" s="1353"/>
      <c r="C71" s="1353"/>
      <c r="D71" s="1353"/>
      <c r="E71" s="1353"/>
      <c r="F71" s="1353"/>
      <c r="G71" s="1353"/>
      <c r="H71" s="1353"/>
      <c r="I71" s="1353"/>
      <c r="J71" s="1353"/>
      <c r="K71" s="1353"/>
      <c r="L71" s="1353"/>
      <c r="M71" s="1353"/>
      <c r="N71" s="1353"/>
    </row>
    <row r="72" spans="1:14" x14ac:dyDescent="0.25">
      <c r="A72" s="1353"/>
      <c r="B72" s="1353"/>
      <c r="C72" s="1353"/>
      <c r="D72" s="1353"/>
      <c r="E72" s="1353"/>
      <c r="F72" s="1353"/>
      <c r="G72" s="1353"/>
      <c r="H72" s="1353"/>
      <c r="I72" s="1353"/>
      <c r="J72" s="1353"/>
      <c r="K72" s="1353"/>
      <c r="L72" s="1353"/>
      <c r="M72" s="1353"/>
      <c r="N72" s="1353"/>
    </row>
    <row r="73" spans="1:14" x14ac:dyDescent="0.25">
      <c r="A73" s="1353"/>
      <c r="B73" s="1353"/>
      <c r="C73" s="1353"/>
      <c r="D73" s="1353"/>
      <c r="E73" s="1353"/>
      <c r="F73" s="1353"/>
      <c r="G73" s="1353"/>
      <c r="H73" s="1353"/>
      <c r="I73" s="1353"/>
      <c r="J73" s="1353"/>
      <c r="K73" s="1353"/>
      <c r="L73" s="1353"/>
      <c r="M73" s="1353"/>
      <c r="N73" s="1353"/>
    </row>
    <row r="74" spans="1:14" x14ac:dyDescent="0.25">
      <c r="A74" s="1353"/>
      <c r="B74" s="1353"/>
      <c r="C74" s="1353"/>
      <c r="D74" s="1353"/>
      <c r="E74" s="1353"/>
      <c r="F74" s="1353"/>
      <c r="G74" s="1353"/>
      <c r="H74" s="1353"/>
      <c r="I74" s="1353"/>
      <c r="J74" s="1353"/>
      <c r="K74" s="1353"/>
      <c r="L74" s="1353"/>
      <c r="M74" s="1353"/>
      <c r="N74" s="1353"/>
    </row>
    <row r="75" spans="1:14" x14ac:dyDescent="0.25">
      <c r="A75" s="1353"/>
      <c r="B75" s="1353"/>
      <c r="C75" s="1353"/>
      <c r="D75" s="1353"/>
      <c r="E75" s="1353"/>
      <c r="F75" s="1353"/>
      <c r="G75" s="1353"/>
      <c r="H75" s="1353"/>
      <c r="I75" s="1353"/>
      <c r="J75" s="1353"/>
      <c r="K75" s="1353"/>
      <c r="L75" s="1353"/>
      <c r="M75" s="1353"/>
      <c r="N75" s="1353"/>
    </row>
    <row r="76" spans="1:14" x14ac:dyDescent="0.25">
      <c r="A76" s="1353"/>
      <c r="B76" s="1353"/>
      <c r="C76" s="1353"/>
      <c r="D76" s="1353"/>
      <c r="E76" s="1353"/>
      <c r="F76" s="1353"/>
      <c r="G76" s="1353"/>
      <c r="H76" s="1353"/>
      <c r="I76" s="1353"/>
      <c r="J76" s="1353"/>
      <c r="K76" s="1353"/>
      <c r="L76" s="1353"/>
      <c r="M76" s="1353"/>
      <c r="N76" s="1353"/>
    </row>
    <row r="77" spans="1:14" x14ac:dyDescent="0.25">
      <c r="A77" s="1353"/>
      <c r="B77" s="1353"/>
      <c r="C77" s="1353"/>
      <c r="D77" s="1353"/>
      <c r="E77" s="1353"/>
      <c r="F77" s="1353"/>
      <c r="G77" s="1353"/>
      <c r="H77" s="1353"/>
      <c r="I77" s="1353"/>
      <c r="J77" s="1353"/>
      <c r="K77" s="1353"/>
      <c r="L77" s="1353"/>
      <c r="M77" s="1353"/>
      <c r="N77" s="1353"/>
    </row>
    <row r="78" spans="1:14" x14ac:dyDescent="0.25">
      <c r="A78" s="1353"/>
      <c r="B78" s="1353"/>
      <c r="C78" s="1353"/>
      <c r="D78" s="1353"/>
      <c r="E78" s="1353"/>
      <c r="F78" s="1353"/>
      <c r="G78" s="1353"/>
      <c r="H78" s="1353"/>
      <c r="I78" s="1353"/>
      <c r="J78" s="1353"/>
      <c r="K78" s="1353"/>
      <c r="L78" s="1353"/>
      <c r="M78" s="1353"/>
      <c r="N78" s="1353"/>
    </row>
    <row r="79" spans="1:14" x14ac:dyDescent="0.25">
      <c r="A79" s="1353"/>
      <c r="B79" s="1353"/>
      <c r="C79" s="1353"/>
      <c r="D79" s="1353"/>
      <c r="E79" s="1353"/>
      <c r="F79" s="1353"/>
      <c r="G79" s="1353"/>
      <c r="H79" s="1353"/>
      <c r="I79" s="1353"/>
      <c r="J79" s="1353"/>
      <c r="K79" s="1353"/>
      <c r="L79" s="1353"/>
      <c r="M79" s="1353"/>
      <c r="N79" s="1353"/>
    </row>
    <row r="80" spans="1:14" x14ac:dyDescent="0.25">
      <c r="A80" s="1353"/>
      <c r="B80" s="1353"/>
      <c r="C80" s="1353"/>
      <c r="D80" s="1353"/>
      <c r="E80" s="1353"/>
      <c r="F80" s="1353"/>
      <c r="G80" s="1353"/>
      <c r="H80" s="1353"/>
      <c r="I80" s="1353"/>
      <c r="J80" s="1353"/>
      <c r="K80" s="1353"/>
      <c r="L80" s="1353"/>
      <c r="M80" s="1353"/>
      <c r="N80" s="1353"/>
    </row>
    <row r="81" spans="1:14" x14ac:dyDescent="0.25">
      <c r="A81" s="1353"/>
      <c r="B81" s="1353"/>
      <c r="C81" s="1353"/>
      <c r="D81" s="1353"/>
      <c r="E81" s="1353"/>
      <c r="F81" s="1353"/>
      <c r="G81" s="1353"/>
      <c r="H81" s="1353"/>
      <c r="I81" s="1353"/>
      <c r="J81" s="1353"/>
      <c r="K81" s="1353"/>
      <c r="L81" s="1353"/>
      <c r="M81" s="1353"/>
      <c r="N81" s="1353"/>
    </row>
    <row r="82" spans="1:14" x14ac:dyDescent="0.25">
      <c r="A82" s="1353"/>
      <c r="B82" s="1353"/>
      <c r="C82" s="1353"/>
      <c r="D82" s="1353"/>
      <c r="E82" s="1353"/>
      <c r="F82" s="1353"/>
      <c r="G82" s="1353"/>
      <c r="H82" s="1353"/>
      <c r="I82" s="1353"/>
      <c r="J82" s="1353"/>
      <c r="K82" s="1353"/>
      <c r="L82" s="1353"/>
      <c r="M82" s="1353"/>
      <c r="N82" s="1353"/>
    </row>
    <row r="83" spans="1:14" x14ac:dyDescent="0.25">
      <c r="A83" s="1353"/>
      <c r="B83" s="1353"/>
      <c r="C83" s="1353"/>
      <c r="D83" s="1353"/>
      <c r="E83" s="1353"/>
      <c r="F83" s="1353"/>
      <c r="G83" s="1353"/>
      <c r="H83" s="1353"/>
      <c r="I83" s="1353"/>
      <c r="J83" s="1353"/>
      <c r="K83" s="1353"/>
      <c r="L83" s="1353"/>
      <c r="M83" s="1353"/>
      <c r="N83" s="1353"/>
    </row>
    <row r="84" spans="1:14" x14ac:dyDescent="0.25">
      <c r="A84" s="1353"/>
      <c r="B84" s="1353"/>
      <c r="C84" s="1353"/>
      <c r="D84" s="1353"/>
      <c r="E84" s="1353"/>
      <c r="F84" s="1353"/>
      <c r="G84" s="1353"/>
      <c r="H84" s="1353"/>
      <c r="I84" s="1353"/>
      <c r="J84" s="1353"/>
      <c r="K84" s="1353"/>
      <c r="L84" s="1353"/>
      <c r="M84" s="1353"/>
      <c r="N84" s="1353"/>
    </row>
    <row r="85" spans="1:14" x14ac:dyDescent="0.25">
      <c r="A85" s="1353"/>
      <c r="B85" s="1353"/>
      <c r="C85" s="1353"/>
      <c r="D85" s="1353"/>
      <c r="E85" s="1353"/>
      <c r="F85" s="1353"/>
      <c r="G85" s="1353"/>
      <c r="H85" s="1353"/>
      <c r="I85" s="1353"/>
      <c r="J85" s="1353"/>
      <c r="K85" s="1353"/>
      <c r="L85" s="1353"/>
      <c r="M85" s="1353"/>
      <c r="N85" s="1353"/>
    </row>
    <row r="86" spans="1:14" x14ac:dyDescent="0.25">
      <c r="A86" s="1353"/>
      <c r="B86" s="1353"/>
      <c r="C86" s="1353"/>
      <c r="D86" s="1353"/>
      <c r="E86" s="1353"/>
      <c r="F86" s="1353"/>
      <c r="G86" s="1353"/>
      <c r="H86" s="1353"/>
      <c r="I86" s="1353"/>
      <c r="J86" s="1353"/>
      <c r="K86" s="1353"/>
      <c r="L86" s="1353"/>
      <c r="M86" s="1353"/>
      <c r="N86" s="1353"/>
    </row>
    <row r="87" spans="1:14" x14ac:dyDescent="0.25">
      <c r="A87" s="1353"/>
      <c r="B87" s="1353"/>
      <c r="C87" s="1353"/>
      <c r="D87" s="1353"/>
      <c r="E87" s="1353"/>
      <c r="F87" s="1353"/>
      <c r="G87" s="1353"/>
      <c r="H87" s="1353"/>
      <c r="I87" s="1353"/>
      <c r="J87" s="1353"/>
      <c r="K87" s="1353"/>
      <c r="L87" s="1353"/>
      <c r="M87" s="1353"/>
      <c r="N87" s="1353"/>
    </row>
    <row r="88" spans="1:14" x14ac:dyDescent="0.25">
      <c r="A88" s="1353"/>
      <c r="B88" s="1353"/>
      <c r="C88" s="1353"/>
      <c r="D88" s="1353"/>
      <c r="E88" s="1353"/>
      <c r="F88" s="1353"/>
      <c r="G88" s="1353"/>
      <c r="H88" s="1353"/>
      <c r="I88" s="1353"/>
      <c r="J88" s="1353"/>
      <c r="K88" s="1353"/>
      <c r="L88" s="1353"/>
      <c r="M88" s="1353"/>
      <c r="N88" s="1353"/>
    </row>
    <row r="89" spans="1:14" x14ac:dyDescent="0.25">
      <c r="A89" s="1353"/>
      <c r="B89" s="1353"/>
      <c r="C89" s="1353"/>
      <c r="D89" s="1353"/>
      <c r="E89" s="1353"/>
      <c r="F89" s="1353"/>
      <c r="G89" s="1353"/>
      <c r="H89" s="1353"/>
      <c r="I89" s="1353"/>
      <c r="J89" s="1353"/>
      <c r="K89" s="1353"/>
      <c r="L89" s="1353"/>
      <c r="M89" s="1353"/>
      <c r="N89" s="1353"/>
    </row>
    <row r="90" spans="1:14" x14ac:dyDescent="0.25">
      <c r="A90" s="1353"/>
      <c r="B90" s="1353"/>
      <c r="C90" s="1353"/>
      <c r="D90" s="1353"/>
      <c r="E90" s="1353"/>
      <c r="F90" s="1353"/>
      <c r="G90" s="1353"/>
      <c r="H90" s="1353"/>
      <c r="I90" s="1353"/>
      <c r="J90" s="1353"/>
      <c r="K90" s="1353"/>
      <c r="L90" s="1353"/>
      <c r="M90" s="1353"/>
      <c r="N90" s="1353"/>
    </row>
    <row r="91" spans="1:14" x14ac:dyDescent="0.25">
      <c r="A91" s="1353"/>
      <c r="B91" s="1353"/>
      <c r="C91" s="1353"/>
      <c r="D91" s="1353"/>
      <c r="E91" s="1353"/>
      <c r="F91" s="1353"/>
      <c r="G91" s="1353"/>
      <c r="H91" s="1353"/>
      <c r="I91" s="1353"/>
      <c r="J91" s="1353"/>
      <c r="K91" s="1353"/>
      <c r="L91" s="1353"/>
      <c r="M91" s="1353"/>
      <c r="N91" s="1353"/>
    </row>
    <row r="92" spans="1:14" x14ac:dyDescent="0.25">
      <c r="A92" s="1353"/>
      <c r="B92" s="1353"/>
      <c r="C92" s="1353"/>
      <c r="D92" s="1353"/>
      <c r="E92" s="1353"/>
      <c r="F92" s="1353"/>
      <c r="G92" s="1353"/>
      <c r="H92" s="1353"/>
      <c r="I92" s="1353"/>
      <c r="J92" s="1353"/>
      <c r="K92" s="1353"/>
      <c r="L92" s="1353"/>
      <c r="M92" s="1353"/>
      <c r="N92" s="1353"/>
    </row>
    <row r="93" spans="1:14" x14ac:dyDescent="0.25">
      <c r="A93" s="1353"/>
      <c r="B93" s="1353"/>
      <c r="C93" s="1353"/>
      <c r="D93" s="1353"/>
      <c r="E93" s="1353"/>
      <c r="F93" s="1353"/>
      <c r="G93" s="1353"/>
      <c r="H93" s="1353"/>
      <c r="I93" s="1353"/>
      <c r="J93" s="1353"/>
      <c r="K93" s="1353"/>
      <c r="L93" s="1353"/>
      <c r="M93" s="1353"/>
      <c r="N93" s="1353"/>
    </row>
    <row r="94" spans="1:14" x14ac:dyDescent="0.25">
      <c r="A94" s="1353"/>
      <c r="B94" s="1353"/>
      <c r="C94" s="1353"/>
      <c r="D94" s="1353"/>
      <c r="E94" s="1353"/>
      <c r="F94" s="1353"/>
      <c r="G94" s="1353"/>
      <c r="H94" s="1353"/>
      <c r="I94" s="1353"/>
      <c r="J94" s="1353"/>
      <c r="K94" s="1353"/>
      <c r="L94" s="1353"/>
      <c r="M94" s="1353"/>
      <c r="N94" s="1353"/>
    </row>
    <row r="95" spans="1:14" x14ac:dyDescent="0.25">
      <c r="A95" s="1353"/>
      <c r="B95" s="1353"/>
      <c r="C95" s="1353"/>
      <c r="D95" s="1353"/>
      <c r="E95" s="1353"/>
      <c r="F95" s="1353"/>
      <c r="G95" s="1353"/>
      <c r="H95" s="1353"/>
      <c r="I95" s="1353"/>
      <c r="J95" s="1353"/>
      <c r="K95" s="1353"/>
      <c r="L95" s="1353"/>
      <c r="M95" s="1353"/>
      <c r="N95" s="1353"/>
    </row>
    <row r="96" spans="1:14" x14ac:dyDescent="0.25">
      <c r="A96" s="1353"/>
      <c r="B96" s="1353"/>
      <c r="C96" s="1353"/>
      <c r="D96" s="1353"/>
      <c r="E96" s="1353"/>
      <c r="F96" s="1353"/>
      <c r="G96" s="1353"/>
      <c r="H96" s="1353"/>
      <c r="I96" s="1353"/>
      <c r="J96" s="1353"/>
      <c r="K96" s="1353"/>
      <c r="L96" s="1353"/>
      <c r="M96" s="1353"/>
      <c r="N96" s="1353"/>
    </row>
    <row r="97" spans="1:14" x14ac:dyDescent="0.25">
      <c r="A97" s="1353"/>
      <c r="B97" s="1353"/>
      <c r="C97" s="1353"/>
      <c r="D97" s="1353"/>
      <c r="E97" s="1353"/>
      <c r="F97" s="1353"/>
      <c r="G97" s="1353"/>
      <c r="H97" s="1353"/>
      <c r="I97" s="1353"/>
      <c r="J97" s="1353"/>
      <c r="K97" s="1353"/>
      <c r="L97" s="1353"/>
      <c r="M97" s="1353"/>
      <c r="N97" s="1353"/>
    </row>
    <row r="98" spans="1:14" x14ac:dyDescent="0.25">
      <c r="A98" s="1353"/>
      <c r="B98" s="1353"/>
      <c r="C98" s="1353"/>
      <c r="D98" s="1353"/>
      <c r="E98" s="1353"/>
      <c r="F98" s="1353"/>
      <c r="G98" s="1353"/>
      <c r="H98" s="1353"/>
      <c r="I98" s="1353"/>
      <c r="J98" s="1353"/>
      <c r="K98" s="1353"/>
      <c r="L98" s="1353"/>
      <c r="M98" s="1353"/>
      <c r="N98" s="1353"/>
    </row>
    <row r="99" spans="1:14" x14ac:dyDescent="0.25">
      <c r="A99" s="1353"/>
      <c r="B99" s="1353"/>
      <c r="C99" s="1353"/>
      <c r="D99" s="1353"/>
      <c r="E99" s="1353"/>
      <c r="F99" s="1353"/>
      <c r="G99" s="1353"/>
      <c r="H99" s="1353"/>
      <c r="I99" s="1353"/>
      <c r="J99" s="1353"/>
      <c r="K99" s="1353"/>
      <c r="L99" s="1353"/>
      <c r="M99" s="1353"/>
      <c r="N99" s="1353"/>
    </row>
    <row r="100" spans="1:14" x14ac:dyDescent="0.25">
      <c r="A100" s="1353"/>
      <c r="B100" s="1353"/>
      <c r="C100" s="1353"/>
      <c r="D100" s="1353"/>
      <c r="E100" s="1353"/>
      <c r="F100" s="1353"/>
      <c r="G100" s="1353"/>
      <c r="H100" s="1353"/>
      <c r="I100" s="1353"/>
      <c r="J100" s="1353"/>
      <c r="K100" s="1353"/>
      <c r="L100" s="1353"/>
      <c r="M100" s="1353"/>
      <c r="N100" s="1353"/>
    </row>
    <row r="101" spans="1:14" x14ac:dyDescent="0.25">
      <c r="A101" s="1353"/>
      <c r="B101" s="1353"/>
      <c r="C101" s="1353"/>
      <c r="D101" s="1353"/>
      <c r="E101" s="1353"/>
      <c r="F101" s="1353"/>
      <c r="G101" s="1353"/>
      <c r="H101" s="1353"/>
      <c r="I101" s="1353"/>
      <c r="J101" s="1353"/>
      <c r="K101" s="1353"/>
      <c r="L101" s="1353"/>
      <c r="M101" s="1353"/>
      <c r="N101" s="1353"/>
    </row>
    <row r="102" spans="1:14" x14ac:dyDescent="0.25">
      <c r="A102" s="1353"/>
      <c r="B102" s="1353"/>
      <c r="C102" s="1353"/>
      <c r="D102" s="1353"/>
      <c r="E102" s="1353"/>
      <c r="F102" s="1353"/>
      <c r="G102" s="1353"/>
      <c r="H102" s="1353"/>
      <c r="I102" s="1353"/>
      <c r="J102" s="1353"/>
      <c r="K102" s="1353"/>
      <c r="L102" s="1353"/>
      <c r="M102" s="1353"/>
      <c r="N102" s="1353"/>
    </row>
    <row r="103" spans="1:14" x14ac:dyDescent="0.25">
      <c r="A103" s="1353"/>
      <c r="B103" s="1353"/>
      <c r="C103" s="1353"/>
      <c r="D103" s="1353"/>
      <c r="E103" s="1353"/>
      <c r="F103" s="1353"/>
      <c r="G103" s="1353"/>
      <c r="H103" s="1353"/>
      <c r="I103" s="1353"/>
      <c r="J103" s="1353"/>
      <c r="K103" s="1353"/>
      <c r="L103" s="1353"/>
      <c r="M103" s="1353"/>
      <c r="N103" s="1353"/>
    </row>
    <row r="104" spans="1:14" x14ac:dyDescent="0.25">
      <c r="A104" s="1353"/>
      <c r="B104" s="1353"/>
      <c r="C104" s="1353"/>
      <c r="D104" s="1353"/>
      <c r="E104" s="1353"/>
      <c r="F104" s="1353"/>
      <c r="G104" s="1353"/>
      <c r="H104" s="1353"/>
      <c r="I104" s="1353"/>
      <c r="J104" s="1353"/>
      <c r="K104" s="1353"/>
      <c r="L104" s="1353"/>
      <c r="M104" s="1353"/>
      <c r="N104" s="1353"/>
    </row>
    <row r="105" spans="1:14" x14ac:dyDescent="0.25">
      <c r="A105" s="1353"/>
      <c r="B105" s="1353"/>
      <c r="C105" s="1353"/>
      <c r="D105" s="1353"/>
      <c r="E105" s="1353"/>
      <c r="F105" s="1353"/>
      <c r="G105" s="1353"/>
      <c r="H105" s="1353"/>
      <c r="I105" s="1353"/>
      <c r="J105" s="1353"/>
      <c r="K105" s="1353"/>
      <c r="L105" s="1353"/>
      <c r="M105" s="1353"/>
      <c r="N105" s="1353"/>
    </row>
    <row r="106" spans="1:14" x14ac:dyDescent="0.25">
      <c r="A106" s="1353"/>
      <c r="B106" s="1353"/>
      <c r="C106" s="1353"/>
      <c r="D106" s="1353"/>
      <c r="E106" s="1353"/>
      <c r="F106" s="1353"/>
      <c r="G106" s="1353"/>
      <c r="H106" s="1353"/>
      <c r="I106" s="1353"/>
      <c r="J106" s="1353"/>
      <c r="K106" s="1353"/>
      <c r="L106" s="1353"/>
      <c r="M106" s="1353"/>
      <c r="N106" s="1353"/>
    </row>
    <row r="107" spans="1:14" x14ac:dyDescent="0.25">
      <c r="A107" s="1353"/>
      <c r="B107" s="1353"/>
      <c r="C107" s="1353"/>
      <c r="D107" s="1353"/>
      <c r="E107" s="1353"/>
      <c r="F107" s="1353"/>
      <c r="G107" s="1353"/>
      <c r="H107" s="1353"/>
      <c r="I107" s="1353"/>
      <c r="J107" s="1353"/>
      <c r="K107" s="1353"/>
      <c r="L107" s="1353"/>
      <c r="M107" s="1353"/>
      <c r="N107" s="1353"/>
    </row>
    <row r="108" spans="1:14" x14ac:dyDescent="0.25">
      <c r="A108" s="1353"/>
      <c r="B108" s="1353"/>
      <c r="C108" s="1353"/>
      <c r="D108" s="1353"/>
      <c r="E108" s="1353"/>
      <c r="F108" s="1353"/>
      <c r="G108" s="1353"/>
      <c r="H108" s="1353"/>
      <c r="I108" s="1353"/>
      <c r="J108" s="1353"/>
      <c r="K108" s="1353"/>
      <c r="L108" s="1353"/>
      <c r="M108" s="1353"/>
      <c r="N108" s="1353"/>
    </row>
    <row r="109" spans="1:14" x14ac:dyDescent="0.25">
      <c r="A109" s="1353"/>
      <c r="B109" s="1353"/>
      <c r="C109" s="1353"/>
      <c r="D109" s="1353"/>
      <c r="E109" s="1353"/>
      <c r="F109" s="1353"/>
      <c r="G109" s="1353"/>
      <c r="H109" s="1353"/>
      <c r="I109" s="1353"/>
      <c r="J109" s="1353"/>
      <c r="K109" s="1353"/>
      <c r="L109" s="1353"/>
      <c r="M109" s="1353"/>
      <c r="N109" s="1353"/>
    </row>
    <row r="110" spans="1:14" x14ac:dyDescent="0.25">
      <c r="A110" s="1353"/>
      <c r="B110" s="1353"/>
      <c r="C110" s="1353"/>
      <c r="D110" s="1353"/>
      <c r="E110" s="1353"/>
      <c r="F110" s="1353"/>
      <c r="G110" s="1353"/>
      <c r="H110" s="1353"/>
      <c r="I110" s="1353"/>
      <c r="J110" s="1353"/>
      <c r="K110" s="1353"/>
      <c r="L110" s="1353"/>
      <c r="M110" s="1353"/>
      <c r="N110" s="1353"/>
    </row>
    <row r="111" spans="1:14" x14ac:dyDescent="0.25">
      <c r="A111" s="1353"/>
      <c r="B111" s="1353"/>
      <c r="C111" s="1353"/>
      <c r="D111" s="1353"/>
      <c r="E111" s="1353"/>
      <c r="F111" s="1353"/>
      <c r="G111" s="1353"/>
      <c r="H111" s="1353"/>
      <c r="I111" s="1353"/>
      <c r="J111" s="1353"/>
      <c r="K111" s="1353"/>
      <c r="L111" s="1353"/>
      <c r="M111" s="1353"/>
      <c r="N111" s="1353"/>
    </row>
    <row r="112" spans="1:14" x14ac:dyDescent="0.25">
      <c r="A112" s="1353"/>
      <c r="B112" s="1353"/>
      <c r="C112" s="1353"/>
      <c r="D112" s="1353"/>
      <c r="E112" s="1353"/>
      <c r="F112" s="1353"/>
      <c r="G112" s="1353"/>
      <c r="H112" s="1353"/>
      <c r="I112" s="1353"/>
      <c r="J112" s="1353"/>
      <c r="K112" s="1353"/>
      <c r="L112" s="1353"/>
      <c r="M112" s="1353"/>
      <c r="N112" s="1353"/>
    </row>
    <row r="113" spans="1:14" x14ac:dyDescent="0.25">
      <c r="A113" s="1353"/>
      <c r="B113" s="1353"/>
      <c r="C113" s="1353"/>
      <c r="D113" s="1353"/>
      <c r="E113" s="1353"/>
      <c r="F113" s="1353"/>
      <c r="G113" s="1353"/>
      <c r="H113" s="1353"/>
      <c r="I113" s="1353"/>
      <c r="J113" s="1353"/>
      <c r="K113" s="1353"/>
      <c r="L113" s="1353"/>
      <c r="M113" s="1353"/>
      <c r="N113" s="1353"/>
    </row>
    <row r="114" spans="1:14" x14ac:dyDescent="0.25">
      <c r="A114" s="1353"/>
      <c r="B114" s="1353"/>
      <c r="C114" s="1353"/>
      <c r="D114" s="1353"/>
      <c r="E114" s="1353"/>
      <c r="F114" s="1353"/>
      <c r="G114" s="1353"/>
      <c r="H114" s="1353"/>
      <c r="I114" s="1353"/>
      <c r="J114" s="1353"/>
      <c r="K114" s="1353"/>
      <c r="L114" s="1353"/>
      <c r="M114" s="1353"/>
      <c r="N114" s="1353"/>
    </row>
    <row r="115" spans="1:14" x14ac:dyDescent="0.25">
      <c r="A115" s="1353"/>
      <c r="B115" s="1353"/>
      <c r="C115" s="1353"/>
      <c r="D115" s="1353"/>
      <c r="E115" s="1353"/>
      <c r="F115" s="1353"/>
      <c r="G115" s="1353"/>
      <c r="H115" s="1353"/>
      <c r="I115" s="1353"/>
      <c r="J115" s="1353"/>
      <c r="K115" s="1353"/>
      <c r="L115" s="1353"/>
      <c r="M115" s="1353"/>
      <c r="N115" s="1353"/>
    </row>
    <row r="116" spans="1:14" x14ac:dyDescent="0.25">
      <c r="A116" s="1353"/>
      <c r="B116" s="1353"/>
      <c r="C116" s="1353"/>
      <c r="D116" s="1353"/>
      <c r="E116" s="1353"/>
      <c r="F116" s="1353"/>
      <c r="G116" s="1353"/>
      <c r="H116" s="1353"/>
      <c r="I116" s="1353"/>
      <c r="J116" s="1353"/>
      <c r="K116" s="1353"/>
      <c r="L116" s="1353"/>
      <c r="M116" s="1353"/>
      <c r="N116" s="1353"/>
    </row>
    <row r="117" spans="1:14" x14ac:dyDescent="0.25">
      <c r="A117" s="1353"/>
      <c r="B117" s="1353"/>
      <c r="C117" s="1353"/>
      <c r="D117" s="1353"/>
      <c r="E117" s="1353"/>
      <c r="F117" s="1353"/>
      <c r="G117" s="1353"/>
      <c r="H117" s="1353"/>
      <c r="I117" s="1353"/>
      <c r="J117" s="1353"/>
      <c r="K117" s="1353"/>
      <c r="L117" s="1353"/>
      <c r="M117" s="1353"/>
      <c r="N117" s="1353"/>
    </row>
    <row r="118" spans="1:14" x14ac:dyDescent="0.25">
      <c r="A118" s="1353"/>
      <c r="B118" s="1353"/>
      <c r="C118" s="1353"/>
      <c r="D118" s="1353"/>
      <c r="E118" s="1353"/>
      <c r="F118" s="1353"/>
      <c r="G118" s="1353"/>
      <c r="H118" s="1353"/>
      <c r="I118" s="1353"/>
      <c r="J118" s="1353"/>
      <c r="K118" s="1353"/>
      <c r="L118" s="1353"/>
      <c r="M118" s="1353"/>
      <c r="N118" s="1353"/>
    </row>
    <row r="119" spans="1:14" x14ac:dyDescent="0.25">
      <c r="A119" s="1353"/>
      <c r="B119" s="1353"/>
      <c r="C119" s="1353"/>
      <c r="D119" s="1353"/>
      <c r="E119" s="1353"/>
      <c r="F119" s="1353"/>
      <c r="G119" s="1353"/>
      <c r="H119" s="1353"/>
      <c r="I119" s="1353"/>
      <c r="J119" s="1353"/>
      <c r="K119" s="1353"/>
      <c r="L119" s="1353"/>
      <c r="M119" s="1353"/>
      <c r="N119" s="1353"/>
    </row>
    <row r="120" spans="1:14" x14ac:dyDescent="0.25">
      <c r="A120" s="1353"/>
      <c r="B120" s="1353"/>
      <c r="C120" s="1353"/>
      <c r="D120" s="1353"/>
      <c r="E120" s="1353"/>
      <c r="F120" s="1353"/>
      <c r="G120" s="1353"/>
      <c r="H120" s="1353"/>
      <c r="I120" s="1353"/>
      <c r="J120" s="1353"/>
      <c r="K120" s="1353"/>
      <c r="L120" s="1353"/>
      <c r="M120" s="1353"/>
      <c r="N120" s="1353"/>
    </row>
    <row r="121" spans="1:14" x14ac:dyDescent="0.25">
      <c r="A121" s="1353"/>
      <c r="B121" s="1353"/>
      <c r="C121" s="1353"/>
      <c r="D121" s="1353"/>
      <c r="E121" s="1353"/>
      <c r="F121" s="1353"/>
      <c r="G121" s="1353"/>
      <c r="H121" s="1353"/>
      <c r="I121" s="1353"/>
      <c r="J121" s="1353"/>
      <c r="K121" s="1353"/>
      <c r="L121" s="1353"/>
      <c r="M121" s="1353"/>
      <c r="N121" s="1353"/>
    </row>
    <row r="122" spans="1:14" x14ac:dyDescent="0.25">
      <c r="A122" s="1353"/>
      <c r="B122" s="1353"/>
      <c r="C122" s="1353"/>
      <c r="D122" s="1353"/>
      <c r="E122" s="1353"/>
      <c r="F122" s="1353"/>
      <c r="G122" s="1353"/>
      <c r="H122" s="1353"/>
      <c r="I122" s="1353"/>
      <c r="J122" s="1353"/>
      <c r="K122" s="1353"/>
      <c r="L122" s="1353"/>
      <c r="M122" s="1353"/>
      <c r="N122" s="1353"/>
    </row>
    <row r="123" spans="1:14" x14ac:dyDescent="0.25">
      <c r="A123" s="1353"/>
      <c r="B123" s="1353"/>
      <c r="C123" s="1353"/>
      <c r="D123" s="1353"/>
      <c r="E123" s="1353"/>
      <c r="F123" s="1353"/>
      <c r="G123" s="1353"/>
      <c r="H123" s="1353"/>
      <c r="I123" s="1353"/>
      <c r="J123" s="1353"/>
      <c r="K123" s="1353"/>
      <c r="L123" s="1353"/>
      <c r="M123" s="1353"/>
      <c r="N123" s="1353"/>
    </row>
    <row r="124" spans="1:14" x14ac:dyDescent="0.25">
      <c r="A124" s="1353"/>
      <c r="B124" s="1353"/>
      <c r="C124" s="1353"/>
      <c r="D124" s="1353"/>
      <c r="E124" s="1353"/>
      <c r="F124" s="1353"/>
      <c r="G124" s="1353"/>
      <c r="H124" s="1353"/>
      <c r="I124" s="1353"/>
      <c r="J124" s="1353"/>
      <c r="K124" s="1353"/>
      <c r="L124" s="1353"/>
      <c r="M124" s="1353"/>
      <c r="N124" s="1353"/>
    </row>
    <row r="125" spans="1:14" x14ac:dyDescent="0.25">
      <c r="A125" s="1353"/>
      <c r="B125" s="1353"/>
      <c r="C125" s="1353"/>
      <c r="D125" s="1353"/>
      <c r="E125" s="1353"/>
      <c r="F125" s="1353"/>
      <c r="G125" s="1353"/>
      <c r="H125" s="1353"/>
      <c r="I125" s="1353"/>
      <c r="J125" s="1353"/>
      <c r="K125" s="1353"/>
      <c r="L125" s="1353"/>
      <c r="M125" s="1353"/>
      <c r="N125" s="1353"/>
    </row>
    <row r="126" spans="1:14" x14ac:dyDescent="0.25">
      <c r="A126" s="1353"/>
      <c r="B126" s="1353"/>
      <c r="C126" s="1353"/>
      <c r="D126" s="1353"/>
      <c r="E126" s="1353"/>
      <c r="F126" s="1353"/>
      <c r="G126" s="1353"/>
      <c r="H126" s="1353"/>
      <c r="I126" s="1353"/>
      <c r="J126" s="1353"/>
      <c r="K126" s="1353"/>
      <c r="L126" s="1353"/>
      <c r="M126" s="1353"/>
      <c r="N126" s="1353"/>
    </row>
    <row r="127" spans="1:14" x14ac:dyDescent="0.25">
      <c r="A127" s="1353"/>
      <c r="B127" s="1353"/>
      <c r="C127" s="1353"/>
      <c r="D127" s="1353"/>
      <c r="E127" s="1353"/>
      <c r="F127" s="1353"/>
      <c r="G127" s="1353"/>
      <c r="H127" s="1353"/>
      <c r="I127" s="1353"/>
      <c r="J127" s="1353"/>
      <c r="K127" s="1353"/>
      <c r="L127" s="1353"/>
      <c r="M127" s="1353"/>
      <c r="N127" s="1353"/>
    </row>
    <row r="128" spans="1:14" x14ac:dyDescent="0.25">
      <c r="A128" s="1353"/>
      <c r="B128" s="1353"/>
      <c r="C128" s="1353"/>
      <c r="D128" s="1353"/>
      <c r="E128" s="1353"/>
      <c r="F128" s="1353"/>
      <c r="G128" s="1353"/>
      <c r="H128" s="1353"/>
      <c r="I128" s="1353"/>
      <c r="J128" s="1353"/>
      <c r="K128" s="1353"/>
      <c r="L128" s="1353"/>
      <c r="M128" s="1353"/>
      <c r="N128" s="1353"/>
    </row>
    <row r="129" spans="1:14" x14ac:dyDescent="0.25">
      <c r="A129" s="1353"/>
      <c r="B129" s="1353"/>
      <c r="C129" s="1353"/>
      <c r="D129" s="1353"/>
      <c r="E129" s="1353"/>
      <c r="F129" s="1353"/>
      <c r="G129" s="1353"/>
      <c r="H129" s="1353"/>
      <c r="I129" s="1353"/>
      <c r="J129" s="1353"/>
      <c r="K129" s="1353"/>
      <c r="L129" s="1353"/>
      <c r="M129" s="1353"/>
      <c r="N129" s="1353"/>
    </row>
    <row r="130" spans="1:14" x14ac:dyDescent="0.25">
      <c r="A130" s="1353"/>
      <c r="B130" s="1353"/>
      <c r="C130" s="1353"/>
      <c r="D130" s="1353"/>
      <c r="E130" s="1353"/>
      <c r="F130" s="1353"/>
      <c r="G130" s="1353"/>
      <c r="H130" s="1353"/>
      <c r="I130" s="1353"/>
      <c r="J130" s="1353"/>
      <c r="K130" s="1353"/>
      <c r="L130" s="1353"/>
      <c r="M130" s="1353"/>
      <c r="N130" s="1353"/>
    </row>
    <row r="131" spans="1:14" x14ac:dyDescent="0.25">
      <c r="A131" s="1353"/>
      <c r="B131" s="1353"/>
      <c r="C131" s="1353"/>
      <c r="D131" s="1353"/>
      <c r="E131" s="1353"/>
      <c r="F131" s="1353"/>
      <c r="G131" s="1353"/>
      <c r="H131" s="1353"/>
      <c r="I131" s="1353"/>
      <c r="J131" s="1353"/>
      <c r="K131" s="1353"/>
      <c r="L131" s="1353"/>
      <c r="M131" s="1353"/>
      <c r="N131" s="1353"/>
    </row>
    <row r="132" spans="1:14" x14ac:dyDescent="0.25">
      <c r="A132" s="1353"/>
      <c r="B132" s="1353"/>
      <c r="C132" s="1353"/>
      <c r="D132" s="1353"/>
      <c r="E132" s="1353"/>
      <c r="F132" s="1353"/>
      <c r="G132" s="1353"/>
      <c r="H132" s="1353"/>
      <c r="I132" s="1353"/>
      <c r="J132" s="1353"/>
      <c r="K132" s="1353"/>
      <c r="L132" s="1353"/>
      <c r="M132" s="1353"/>
      <c r="N132" s="1353"/>
    </row>
    <row r="133" spans="1:14" x14ac:dyDescent="0.25">
      <c r="A133" s="1353"/>
      <c r="B133" s="1353"/>
      <c r="C133" s="1353"/>
      <c r="D133" s="1353"/>
      <c r="E133" s="1353"/>
      <c r="F133" s="1353"/>
      <c r="G133" s="1353"/>
      <c r="H133" s="1353"/>
      <c r="I133" s="1353"/>
      <c r="J133" s="1353"/>
      <c r="K133" s="1353"/>
      <c r="L133" s="1353"/>
      <c r="M133" s="1353"/>
      <c r="N133" s="1353"/>
    </row>
    <row r="134" spans="1:14" x14ac:dyDescent="0.25">
      <c r="A134" s="1353"/>
      <c r="B134" s="1353"/>
      <c r="C134" s="1353"/>
      <c r="D134" s="1353"/>
      <c r="E134" s="1353"/>
      <c r="F134" s="1353"/>
      <c r="G134" s="1353"/>
      <c r="H134" s="1353"/>
      <c r="I134" s="1353"/>
      <c r="J134" s="1353"/>
      <c r="K134" s="1353"/>
      <c r="L134" s="1353"/>
      <c r="M134" s="1353"/>
      <c r="N134" s="1353"/>
    </row>
    <row r="135" spans="1:14" x14ac:dyDescent="0.25">
      <c r="A135" s="1353"/>
      <c r="B135" s="1353"/>
      <c r="C135" s="1353"/>
      <c r="D135" s="1353"/>
      <c r="E135" s="1353"/>
      <c r="F135" s="1353"/>
      <c r="G135" s="1353"/>
      <c r="H135" s="1353"/>
      <c r="I135" s="1353"/>
      <c r="J135" s="1353"/>
      <c r="K135" s="1353"/>
      <c r="L135" s="1353"/>
      <c r="M135" s="1353"/>
      <c r="N135" s="1353"/>
    </row>
    <row r="136" spans="1:14" x14ac:dyDescent="0.25">
      <c r="A136" s="1353"/>
      <c r="B136" s="1353"/>
      <c r="C136" s="1353"/>
      <c r="D136" s="1353"/>
      <c r="E136" s="1353"/>
      <c r="F136" s="1353"/>
      <c r="G136" s="1353"/>
      <c r="H136" s="1353"/>
      <c r="I136" s="1353"/>
      <c r="J136" s="1353"/>
      <c r="K136" s="1353"/>
      <c r="L136" s="1353"/>
      <c r="M136" s="1353"/>
      <c r="N136" s="1353"/>
    </row>
    <row r="137" spans="1:14" x14ac:dyDescent="0.25">
      <c r="A137" s="1353"/>
      <c r="B137" s="1353"/>
      <c r="C137" s="1353"/>
      <c r="D137" s="1353"/>
      <c r="E137" s="1353"/>
      <c r="F137" s="1353"/>
      <c r="G137" s="1353"/>
      <c r="H137" s="1353"/>
      <c r="I137" s="1353"/>
      <c r="J137" s="1353"/>
      <c r="K137" s="1353"/>
      <c r="L137" s="1353"/>
      <c r="M137" s="1353"/>
      <c r="N137" s="1353"/>
    </row>
    <row r="138" spans="1:14" x14ac:dyDescent="0.25">
      <c r="A138" s="1353"/>
      <c r="B138" s="1353"/>
      <c r="C138" s="1353"/>
      <c r="D138" s="1353"/>
      <c r="E138" s="1353"/>
      <c r="F138" s="1353"/>
      <c r="G138" s="1353"/>
      <c r="H138" s="1353"/>
      <c r="I138" s="1353"/>
      <c r="J138" s="1353"/>
      <c r="K138" s="1353"/>
      <c r="L138" s="1353"/>
      <c r="M138" s="1353"/>
      <c r="N138" s="1353"/>
    </row>
    <row r="139" spans="1:14" x14ac:dyDescent="0.25">
      <c r="A139" s="1353"/>
      <c r="B139" s="1353"/>
      <c r="C139" s="1353"/>
      <c r="D139" s="1353"/>
      <c r="E139" s="1353"/>
      <c r="F139" s="1353"/>
      <c r="G139" s="1353"/>
      <c r="H139" s="1353"/>
      <c r="I139" s="1353"/>
      <c r="J139" s="1353"/>
      <c r="K139" s="1353"/>
      <c r="L139" s="1353"/>
      <c r="M139" s="1353"/>
      <c r="N139" s="1353"/>
    </row>
    <row r="140" spans="1:14" x14ac:dyDescent="0.25">
      <c r="A140" s="1353"/>
      <c r="B140" s="1353"/>
      <c r="C140" s="1353"/>
      <c r="D140" s="1353"/>
      <c r="E140" s="1353"/>
      <c r="F140" s="1353"/>
      <c r="G140" s="1353"/>
      <c r="H140" s="1353"/>
      <c r="I140" s="1353"/>
      <c r="J140" s="1353"/>
      <c r="K140" s="1353"/>
      <c r="L140" s="1353"/>
      <c r="M140" s="1353"/>
      <c r="N140" s="1353"/>
    </row>
    <row r="141" spans="1:14" x14ac:dyDescent="0.25">
      <c r="A141" s="1353"/>
      <c r="B141" s="1353"/>
      <c r="C141" s="1353"/>
      <c r="D141" s="1353"/>
      <c r="E141" s="1353"/>
      <c r="F141" s="1353"/>
      <c r="G141" s="1353"/>
      <c r="H141" s="1353"/>
      <c r="I141" s="1353"/>
      <c r="J141" s="1353"/>
      <c r="K141" s="1353"/>
      <c r="L141" s="1353"/>
      <c r="M141" s="1353"/>
      <c r="N141" s="1353"/>
    </row>
    <row r="142" spans="1:14" x14ac:dyDescent="0.25">
      <c r="A142" s="1353"/>
      <c r="B142" s="1353"/>
      <c r="C142" s="1353"/>
      <c r="D142" s="1353"/>
      <c r="E142" s="1353"/>
      <c r="F142" s="1353"/>
      <c r="G142" s="1353"/>
      <c r="H142" s="1353"/>
      <c r="I142" s="1353"/>
      <c r="J142" s="1353"/>
      <c r="K142" s="1353"/>
      <c r="L142" s="1353"/>
      <c r="M142" s="1353"/>
      <c r="N142" s="1353"/>
    </row>
    <row r="143" spans="1:14" x14ac:dyDescent="0.25">
      <c r="A143" s="1353"/>
      <c r="B143" s="1353"/>
      <c r="C143" s="1353"/>
      <c r="D143" s="1353"/>
      <c r="E143" s="1353"/>
      <c r="F143" s="1353"/>
      <c r="G143" s="1353"/>
      <c r="H143" s="1353"/>
      <c r="I143" s="1353"/>
      <c r="J143" s="1353"/>
      <c r="K143" s="1353"/>
      <c r="L143" s="1353"/>
      <c r="M143" s="1353"/>
      <c r="N143" s="1353"/>
    </row>
    <row r="144" spans="1:14" x14ac:dyDescent="0.25">
      <c r="A144" s="1353"/>
      <c r="B144" s="1353"/>
      <c r="C144" s="1353"/>
      <c r="D144" s="1353"/>
      <c r="E144" s="1353"/>
      <c r="F144" s="1353"/>
      <c r="G144" s="1353"/>
      <c r="H144" s="1353"/>
      <c r="I144" s="1353"/>
      <c r="J144" s="1353"/>
      <c r="K144" s="1353"/>
      <c r="L144" s="1353"/>
      <c r="M144" s="1353"/>
      <c r="N144" s="1353"/>
    </row>
    <row r="145" spans="1:14" x14ac:dyDescent="0.25">
      <c r="A145" s="1353"/>
      <c r="B145" s="1353"/>
      <c r="C145" s="1353"/>
      <c r="D145" s="1353"/>
      <c r="E145" s="1353"/>
      <c r="F145" s="1353"/>
      <c r="G145" s="1353"/>
      <c r="H145" s="1353"/>
      <c r="I145" s="1353"/>
      <c r="J145" s="1353"/>
      <c r="K145" s="1353"/>
      <c r="L145" s="1353"/>
      <c r="M145" s="1353"/>
      <c r="N145" s="1353"/>
    </row>
    <row r="146" spans="1:14" x14ac:dyDescent="0.25">
      <c r="A146" s="1353"/>
      <c r="B146" s="1353"/>
      <c r="C146" s="1353"/>
      <c r="D146" s="1353"/>
      <c r="E146" s="1353"/>
      <c r="F146" s="1353"/>
      <c r="G146" s="1353"/>
      <c r="H146" s="1353"/>
      <c r="I146" s="1353"/>
      <c r="J146" s="1353"/>
      <c r="K146" s="1353"/>
      <c r="L146" s="1353"/>
      <c r="M146" s="1353"/>
      <c r="N146" s="1353"/>
    </row>
    <row r="147" spans="1:14" x14ac:dyDescent="0.25">
      <c r="A147" s="1353"/>
      <c r="B147" s="1353"/>
      <c r="C147" s="1353"/>
      <c r="D147" s="1353"/>
      <c r="E147" s="1353"/>
      <c r="F147" s="1353"/>
      <c r="G147" s="1353"/>
      <c r="H147" s="1353"/>
      <c r="I147" s="1353"/>
      <c r="J147" s="1353"/>
      <c r="K147" s="1353"/>
      <c r="L147" s="1353"/>
      <c r="M147" s="1353"/>
      <c r="N147" s="1353"/>
    </row>
    <row r="148" spans="1:14" x14ac:dyDescent="0.25">
      <c r="A148" s="1353"/>
      <c r="B148" s="1353"/>
      <c r="C148" s="1353"/>
      <c r="D148" s="1353"/>
      <c r="E148" s="1353"/>
      <c r="F148" s="1353"/>
      <c r="G148" s="1353"/>
      <c r="H148" s="1353"/>
      <c r="I148" s="1353"/>
      <c r="J148" s="1353"/>
      <c r="K148" s="1353"/>
      <c r="L148" s="1353"/>
      <c r="M148" s="1353"/>
      <c r="N148" s="1353"/>
    </row>
    <row r="149" spans="1:14" x14ac:dyDescent="0.25">
      <c r="A149" s="1353"/>
      <c r="B149" s="1353"/>
      <c r="C149" s="1353"/>
      <c r="D149" s="1353"/>
      <c r="E149" s="1353"/>
      <c r="F149" s="1353"/>
      <c r="G149" s="1353"/>
      <c r="H149" s="1353"/>
      <c r="I149" s="1353"/>
      <c r="J149" s="1353"/>
      <c r="K149" s="1353"/>
      <c r="L149" s="1353"/>
      <c r="M149" s="1353"/>
      <c r="N149" s="1353"/>
    </row>
    <row r="150" spans="1:14" x14ac:dyDescent="0.25">
      <c r="A150" s="1353"/>
      <c r="B150" s="1353"/>
      <c r="C150" s="1353"/>
      <c r="D150" s="1353"/>
      <c r="E150" s="1353"/>
      <c r="F150" s="1353"/>
      <c r="G150" s="1353"/>
      <c r="H150" s="1353"/>
      <c r="I150" s="1353"/>
      <c r="J150" s="1353"/>
      <c r="K150" s="1353"/>
      <c r="L150" s="1353"/>
      <c r="M150" s="1353"/>
      <c r="N150" s="1353"/>
    </row>
    <row r="151" spans="1:14" x14ac:dyDescent="0.25">
      <c r="A151" s="1353"/>
      <c r="B151" s="1353"/>
      <c r="C151" s="1353"/>
      <c r="D151" s="1353"/>
      <c r="E151" s="1353"/>
      <c r="F151" s="1353"/>
      <c r="G151" s="1353"/>
      <c r="H151" s="1353"/>
      <c r="I151" s="1353"/>
      <c r="J151" s="1353"/>
      <c r="K151" s="1353"/>
      <c r="L151" s="1353"/>
      <c r="M151" s="1353"/>
      <c r="N151" s="1353"/>
    </row>
    <row r="152" spans="1:14" x14ac:dyDescent="0.25">
      <c r="A152" s="1353"/>
      <c r="B152" s="1353"/>
      <c r="C152" s="1353"/>
      <c r="D152" s="1353"/>
      <c r="E152" s="1353"/>
      <c r="F152" s="1353"/>
      <c r="G152" s="1353"/>
      <c r="H152" s="1353"/>
      <c r="I152" s="1353"/>
      <c r="J152" s="1353"/>
      <c r="K152" s="1353"/>
      <c r="L152" s="1353"/>
      <c r="M152" s="1353"/>
      <c r="N152" s="1353"/>
    </row>
    <row r="153" spans="1:14" x14ac:dyDescent="0.25">
      <c r="A153" s="1353"/>
      <c r="B153" s="1353"/>
      <c r="C153" s="1353"/>
      <c r="D153" s="1353"/>
      <c r="E153" s="1353"/>
      <c r="F153" s="1353"/>
      <c r="G153" s="1353"/>
      <c r="H153" s="1353"/>
      <c r="I153" s="1353"/>
      <c r="J153" s="1353"/>
      <c r="K153" s="1353"/>
      <c r="L153" s="1353"/>
      <c r="M153" s="1353"/>
      <c r="N153" s="1353"/>
    </row>
    <row r="154" spans="1:14" x14ac:dyDescent="0.25">
      <c r="A154" s="1353"/>
      <c r="B154" s="1353"/>
      <c r="C154" s="1353"/>
      <c r="D154" s="1353"/>
      <c r="E154" s="1353"/>
      <c r="F154" s="1353"/>
      <c r="G154" s="1353"/>
      <c r="H154" s="1353"/>
      <c r="I154" s="1353"/>
      <c r="J154" s="1353"/>
      <c r="K154" s="1353"/>
      <c r="L154" s="1353"/>
      <c r="M154" s="1353"/>
      <c r="N154" s="1353"/>
    </row>
    <row r="155" spans="1:14" x14ac:dyDescent="0.25">
      <c r="A155" s="1353"/>
      <c r="B155" s="1353"/>
      <c r="C155" s="1353"/>
      <c r="D155" s="1353"/>
      <c r="E155" s="1353"/>
      <c r="F155" s="1353"/>
      <c r="G155" s="1353"/>
      <c r="H155" s="1353"/>
      <c r="I155" s="1353"/>
      <c r="J155" s="1353"/>
      <c r="K155" s="1353"/>
      <c r="L155" s="1353"/>
      <c r="M155" s="1353"/>
      <c r="N155" s="1353"/>
    </row>
    <row r="156" spans="1:14" x14ac:dyDescent="0.25">
      <c r="A156" s="1353"/>
      <c r="B156" s="1353"/>
      <c r="C156" s="1353"/>
      <c r="D156" s="1353"/>
      <c r="E156" s="1353"/>
      <c r="F156" s="1353"/>
      <c r="G156" s="1353"/>
      <c r="H156" s="1353"/>
      <c r="I156" s="1353"/>
      <c r="J156" s="1353"/>
      <c r="K156" s="1353"/>
      <c r="L156" s="1353"/>
      <c r="M156" s="1353"/>
      <c r="N156" s="1353"/>
    </row>
    <row r="157" spans="1:14" x14ac:dyDescent="0.25">
      <c r="A157" s="1353"/>
      <c r="B157" s="1353"/>
      <c r="C157" s="1353"/>
      <c r="D157" s="1353"/>
      <c r="E157" s="1353"/>
      <c r="F157" s="1353"/>
      <c r="G157" s="1353"/>
      <c r="H157" s="1353"/>
      <c r="I157" s="1353"/>
      <c r="J157" s="1353"/>
      <c r="K157" s="1353"/>
      <c r="L157" s="1353"/>
      <c r="M157" s="1353"/>
      <c r="N157" s="1353"/>
    </row>
    <row r="158" spans="1:14" x14ac:dyDescent="0.25">
      <c r="A158" s="1353"/>
      <c r="B158" s="1353"/>
      <c r="C158" s="1353"/>
      <c r="D158" s="1353"/>
      <c r="E158" s="1353"/>
      <c r="F158" s="1353"/>
      <c r="G158" s="1353"/>
      <c r="H158" s="1353"/>
      <c r="I158" s="1353"/>
      <c r="J158" s="1353"/>
      <c r="K158" s="1353"/>
      <c r="L158" s="1353"/>
      <c r="M158" s="1353"/>
      <c r="N158" s="1353"/>
    </row>
    <row r="159" spans="1:14" x14ac:dyDescent="0.25">
      <c r="A159" s="1353"/>
      <c r="B159" s="1353"/>
      <c r="C159" s="1353"/>
      <c r="D159" s="1353"/>
      <c r="E159" s="1353"/>
      <c r="F159" s="1353"/>
      <c r="G159" s="1353"/>
      <c r="H159" s="1353"/>
      <c r="I159" s="1353"/>
      <c r="J159" s="1353"/>
      <c r="K159" s="1353"/>
      <c r="L159" s="1353"/>
      <c r="M159" s="1353"/>
      <c r="N159" s="1353"/>
    </row>
    <row r="160" spans="1:14" x14ac:dyDescent="0.25">
      <c r="A160" s="1353"/>
      <c r="B160" s="1353"/>
      <c r="C160" s="1353"/>
      <c r="D160" s="1353"/>
      <c r="E160" s="1353"/>
      <c r="F160" s="1353"/>
      <c r="G160" s="1353"/>
      <c r="H160" s="1353"/>
      <c r="I160" s="1353"/>
      <c r="J160" s="1353"/>
      <c r="K160" s="1353"/>
      <c r="L160" s="1353"/>
      <c r="M160" s="1353"/>
      <c r="N160" s="1353"/>
    </row>
    <row r="161" spans="1:14" x14ac:dyDescent="0.25">
      <c r="A161" s="1353"/>
      <c r="B161" s="1353"/>
      <c r="C161" s="1353"/>
      <c r="D161" s="1353"/>
      <c r="E161" s="1353"/>
      <c r="F161" s="1353"/>
      <c r="G161" s="1353"/>
      <c r="H161" s="1353"/>
      <c r="I161" s="1353"/>
      <c r="J161" s="1353"/>
      <c r="K161" s="1353"/>
      <c r="L161" s="1353"/>
      <c r="M161" s="1353"/>
      <c r="N161" s="1353"/>
    </row>
    <row r="162" spans="1:14" x14ac:dyDescent="0.25">
      <c r="A162" s="1353"/>
      <c r="B162" s="1353"/>
      <c r="C162" s="1353"/>
      <c r="D162" s="1353"/>
      <c r="E162" s="1353"/>
      <c r="F162" s="1353"/>
      <c r="G162" s="1353"/>
      <c r="H162" s="1353"/>
      <c r="I162" s="1353"/>
      <c r="J162" s="1353"/>
      <c r="K162" s="1353"/>
      <c r="L162" s="1353"/>
      <c r="M162" s="1353"/>
      <c r="N162" s="1353"/>
    </row>
    <row r="163" spans="1:14" x14ac:dyDescent="0.25">
      <c r="A163" s="1353"/>
      <c r="B163" s="1353"/>
      <c r="C163" s="1353"/>
      <c r="D163" s="1353"/>
      <c r="E163" s="1353"/>
      <c r="F163" s="1353"/>
      <c r="G163" s="1353"/>
      <c r="H163" s="1353"/>
      <c r="I163" s="1353"/>
      <c r="J163" s="1353"/>
      <c r="K163" s="1353"/>
      <c r="L163" s="1353"/>
      <c r="M163" s="1353"/>
      <c r="N163" s="1353"/>
    </row>
    <row r="164" spans="1:14" x14ac:dyDescent="0.25">
      <c r="A164" s="1353"/>
      <c r="B164" s="1353"/>
      <c r="C164" s="1353"/>
      <c r="D164" s="1353"/>
      <c r="E164" s="1353"/>
      <c r="F164" s="1353"/>
      <c r="G164" s="1353"/>
      <c r="H164" s="1353"/>
      <c r="I164" s="1353"/>
      <c r="J164" s="1353"/>
      <c r="K164" s="1353"/>
      <c r="L164" s="1353"/>
      <c r="M164" s="1353"/>
      <c r="N164" s="1353"/>
    </row>
    <row r="165" spans="1:14" x14ac:dyDescent="0.25">
      <c r="A165" s="1353"/>
      <c r="B165" s="1353"/>
      <c r="C165" s="1353"/>
      <c r="D165" s="1353"/>
      <c r="E165" s="1353"/>
      <c r="F165" s="1353"/>
      <c r="G165" s="1353"/>
      <c r="H165" s="1353"/>
      <c r="I165" s="1353"/>
      <c r="J165" s="1353"/>
      <c r="K165" s="1353"/>
      <c r="L165" s="1353"/>
      <c r="M165" s="1353"/>
      <c r="N165" s="1353"/>
    </row>
    <row r="166" spans="1:14" x14ac:dyDescent="0.25">
      <c r="A166" s="1353"/>
      <c r="B166" s="1353"/>
      <c r="C166" s="1353"/>
      <c r="D166" s="1353"/>
      <c r="E166" s="1353"/>
      <c r="F166" s="1353"/>
      <c r="G166" s="1353"/>
      <c r="H166" s="1353"/>
      <c r="I166" s="1353"/>
      <c r="J166" s="1353"/>
      <c r="K166" s="1353"/>
      <c r="L166" s="1353"/>
      <c r="M166" s="1353"/>
      <c r="N166" s="1353"/>
    </row>
    <row r="167" spans="1:14" x14ac:dyDescent="0.25">
      <c r="A167" s="1353"/>
      <c r="B167" s="1353"/>
      <c r="C167" s="1353"/>
      <c r="D167" s="1353"/>
      <c r="E167" s="1353"/>
      <c r="F167" s="1353"/>
      <c r="G167" s="1353"/>
      <c r="H167" s="1353"/>
      <c r="I167" s="1353"/>
      <c r="J167" s="1353"/>
      <c r="K167" s="1353"/>
      <c r="L167" s="1353"/>
      <c r="M167" s="1353"/>
      <c r="N167" s="1353"/>
    </row>
    <row r="168" spans="1:14" x14ac:dyDescent="0.25">
      <c r="A168" s="1353"/>
      <c r="B168" s="1353"/>
      <c r="C168" s="1353"/>
      <c r="D168" s="1353"/>
      <c r="E168" s="1353"/>
      <c r="F168" s="1353"/>
      <c r="G168" s="1353"/>
      <c r="H168" s="1353"/>
      <c r="I168" s="1353"/>
      <c r="J168" s="1353"/>
      <c r="K168" s="1353"/>
      <c r="L168" s="1353"/>
      <c r="M168" s="1353"/>
      <c r="N168" s="1353"/>
    </row>
    <row r="169" spans="1:14" x14ac:dyDescent="0.25">
      <c r="A169" s="1353"/>
      <c r="B169" s="1353"/>
      <c r="C169" s="1353"/>
      <c r="D169" s="1353"/>
      <c r="E169" s="1353"/>
      <c r="F169" s="1353"/>
      <c r="G169" s="1353"/>
      <c r="H169" s="1353"/>
      <c r="I169" s="1353"/>
      <c r="J169" s="1353"/>
      <c r="K169" s="1353"/>
      <c r="L169" s="1353"/>
      <c r="M169" s="1353"/>
      <c r="N169" s="1353"/>
    </row>
    <row r="170" spans="1:14" x14ac:dyDescent="0.25">
      <c r="A170" s="1353"/>
      <c r="B170" s="1353"/>
      <c r="C170" s="1353"/>
      <c r="D170" s="1353"/>
      <c r="E170" s="1353"/>
      <c r="F170" s="1353"/>
      <c r="G170" s="1353"/>
      <c r="H170" s="1353"/>
      <c r="I170" s="1353"/>
      <c r="J170" s="1353"/>
      <c r="K170" s="1353"/>
      <c r="L170" s="1353"/>
      <c r="M170" s="1353"/>
      <c r="N170" s="1353"/>
    </row>
    <row r="171" spans="1:14" x14ac:dyDescent="0.25">
      <c r="A171" s="1353"/>
      <c r="B171" s="1353"/>
      <c r="C171" s="1353"/>
      <c r="D171" s="1353"/>
      <c r="E171" s="1353"/>
      <c r="F171" s="1353"/>
      <c r="G171" s="1353"/>
      <c r="H171" s="1353"/>
      <c r="I171" s="1353"/>
      <c r="J171" s="1353"/>
      <c r="K171" s="1353"/>
      <c r="L171" s="1353"/>
      <c r="M171" s="1353"/>
      <c r="N171" s="1353"/>
    </row>
    <row r="172" spans="1:14" x14ac:dyDescent="0.25">
      <c r="A172" s="1353"/>
      <c r="B172" s="1353"/>
      <c r="C172" s="1353"/>
      <c r="D172" s="1353"/>
      <c r="E172" s="1353"/>
      <c r="F172" s="1353"/>
      <c r="G172" s="1353"/>
      <c r="H172" s="1353"/>
      <c r="I172" s="1353"/>
      <c r="J172" s="1353"/>
      <c r="K172" s="1353"/>
      <c r="L172" s="1353"/>
      <c r="M172" s="1353"/>
      <c r="N172" s="1353"/>
    </row>
    <row r="173" spans="1:14" x14ac:dyDescent="0.25">
      <c r="A173" s="1353"/>
      <c r="B173" s="1353"/>
      <c r="C173" s="1353"/>
      <c r="D173" s="1353"/>
      <c r="E173" s="1353"/>
      <c r="F173" s="1353"/>
      <c r="G173" s="1353"/>
      <c r="H173" s="1353"/>
      <c r="I173" s="1353"/>
      <c r="J173" s="1353"/>
      <c r="K173" s="1353"/>
      <c r="L173" s="1353"/>
      <c r="M173" s="1353"/>
      <c r="N173" s="1353"/>
    </row>
    <row r="174" spans="1:14" x14ac:dyDescent="0.25">
      <c r="A174" s="1353"/>
      <c r="B174" s="1353"/>
      <c r="C174" s="1353"/>
      <c r="D174" s="1353"/>
      <c r="E174" s="1353"/>
      <c r="F174" s="1353"/>
      <c r="G174" s="1353"/>
      <c r="H174" s="1353"/>
      <c r="I174" s="1353"/>
      <c r="J174" s="1353"/>
      <c r="K174" s="1353"/>
      <c r="L174" s="1353"/>
      <c r="M174" s="1353"/>
      <c r="N174" s="1353"/>
    </row>
    <row r="175" spans="1:14" x14ac:dyDescent="0.25">
      <c r="A175" s="1353"/>
      <c r="B175" s="1353"/>
      <c r="C175" s="1353"/>
      <c r="D175" s="1353"/>
      <c r="E175" s="1353"/>
      <c r="F175" s="1353"/>
      <c r="G175" s="1353"/>
      <c r="H175" s="1353"/>
      <c r="I175" s="1353"/>
      <c r="J175" s="1353"/>
      <c r="K175" s="1353"/>
      <c r="L175" s="1353"/>
      <c r="M175" s="1353"/>
      <c r="N175" s="1353"/>
    </row>
    <row r="176" spans="1:14" x14ac:dyDescent="0.25">
      <c r="C176" s="1353"/>
      <c r="D176" s="1353"/>
      <c r="E176" s="1353"/>
      <c r="F176" s="1353"/>
      <c r="G176" s="1353"/>
      <c r="H176" s="1353"/>
      <c r="I176" s="1353"/>
      <c r="J176" s="1353"/>
      <c r="K176" s="1353"/>
      <c r="L176" s="1353"/>
    </row>
    <row r="177" spans="3:12" x14ac:dyDescent="0.25">
      <c r="C177" s="1353"/>
      <c r="D177" s="1353"/>
      <c r="E177" s="1353"/>
      <c r="F177" s="1353"/>
      <c r="G177" s="1353"/>
      <c r="H177" s="1353"/>
      <c r="I177" s="1353"/>
      <c r="J177" s="1353"/>
      <c r="K177" s="1353"/>
      <c r="L177" s="1353"/>
    </row>
    <row r="178" spans="3:12" x14ac:dyDescent="0.25">
      <c r="C178" s="1353"/>
      <c r="D178" s="1353"/>
      <c r="E178" s="1353"/>
      <c r="F178" s="1353"/>
      <c r="G178" s="1353"/>
      <c r="H178" s="1353"/>
      <c r="I178" s="1353"/>
      <c r="J178" s="1353"/>
      <c r="K178" s="1353"/>
      <c r="L178" s="1353"/>
    </row>
    <row r="179" spans="3:12" x14ac:dyDescent="0.25">
      <c r="C179" s="1353"/>
      <c r="D179" s="1353"/>
      <c r="E179" s="1353"/>
      <c r="F179" s="1353"/>
      <c r="G179" s="1353"/>
      <c r="H179" s="1353"/>
      <c r="I179" s="1353"/>
      <c r="J179" s="1353"/>
      <c r="K179" s="1353"/>
      <c r="L179" s="1353"/>
    </row>
    <row r="180" spans="3:12" x14ac:dyDescent="0.25">
      <c r="C180" s="1353"/>
      <c r="D180" s="1353"/>
      <c r="E180" s="1353"/>
      <c r="F180" s="1353"/>
      <c r="G180" s="1353"/>
      <c r="H180" s="1353"/>
      <c r="I180" s="1353"/>
      <c r="J180" s="1353"/>
      <c r="K180" s="1353"/>
      <c r="L180" s="1353"/>
    </row>
    <row r="181" spans="3:12" x14ac:dyDescent="0.25">
      <c r="C181" s="1353"/>
      <c r="D181" s="1353"/>
      <c r="E181" s="1353"/>
      <c r="F181" s="1353"/>
      <c r="G181" s="1353"/>
      <c r="H181" s="1353"/>
      <c r="I181" s="1353"/>
      <c r="J181" s="1353"/>
      <c r="K181" s="1353"/>
      <c r="L181" s="1353"/>
    </row>
    <row r="182" spans="3:12" x14ac:dyDescent="0.25">
      <c r="C182" s="1353"/>
      <c r="D182" s="1353"/>
      <c r="E182" s="1353"/>
      <c r="F182" s="1353"/>
      <c r="G182" s="1353"/>
      <c r="H182" s="1353"/>
      <c r="I182" s="1353"/>
      <c r="J182" s="1353"/>
      <c r="K182" s="1353"/>
      <c r="L182" s="1353"/>
    </row>
  </sheetData>
  <sheetProtection sheet="1" objects="1" scenarios="1" selectLockedCells="1"/>
  <dataConsolidate/>
  <mergeCells count="1">
    <mergeCell ref="C3:L3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FaltasConsolidadasHistorico"/>
  <dimension ref="A1:BR1175"/>
  <sheetViews>
    <sheetView showGridLines="0" zoomScaleNormal="100" workbookViewId="0">
      <selection activeCell="C7" sqref="C7"/>
    </sheetView>
  </sheetViews>
  <sheetFormatPr defaultColWidth="9.140625" defaultRowHeight="15.75" x14ac:dyDescent="0.25"/>
  <cols>
    <col min="1" max="1" width="2.7109375" style="1358" customWidth="1"/>
    <col min="2" max="2" width="5.7109375" style="1358" customWidth="1"/>
    <col min="3" max="3" width="10.5703125" style="1358" customWidth="1"/>
    <col min="4" max="4" width="9.140625" style="1358" customWidth="1"/>
    <col min="5" max="5" width="17.42578125" style="1358" customWidth="1"/>
    <col min="6" max="6" width="9.140625" style="1358" customWidth="1"/>
    <col min="7" max="7" width="11" style="1358" customWidth="1"/>
    <col min="8" max="9" width="11.140625" style="1358" customWidth="1"/>
    <col min="10" max="10" width="11.5703125" style="1358" customWidth="1"/>
    <col min="11" max="11" width="16.28515625" style="1393" customWidth="1"/>
    <col min="12" max="12" width="5.7109375" style="1358" customWidth="1"/>
    <col min="13" max="13" width="9.140625" style="1358" customWidth="1"/>
    <col min="14" max="14" width="3.28515625" style="1358" customWidth="1"/>
    <col min="15" max="15" width="9.28515625" style="1358" customWidth="1"/>
    <col min="16" max="16" width="7.7109375" style="1358" customWidth="1"/>
    <col min="17" max="17" width="35.5703125" style="1358" customWidth="1"/>
    <col min="18" max="18" width="4.42578125" style="1358" customWidth="1"/>
    <col min="19" max="19" width="7" style="1358" customWidth="1"/>
    <col min="20" max="20" width="63" style="1358" customWidth="1"/>
    <col min="21" max="21" width="9.140625" style="1358" customWidth="1"/>
    <col min="22" max="25" width="9.140625" style="1358"/>
    <col min="26" max="26" width="5.85546875" style="1358" customWidth="1"/>
    <col min="27" max="27" width="5" style="1358" customWidth="1"/>
    <col min="28" max="28" width="49.85546875" style="1358" customWidth="1"/>
    <col min="29" max="29" width="9.140625" style="1358"/>
    <col min="30" max="30" width="12.7109375" style="1358" customWidth="1"/>
    <col min="31" max="31" width="9.85546875" style="1358" customWidth="1"/>
    <col min="32" max="32" width="9.28515625" style="1358" customWidth="1"/>
    <col min="33" max="33" width="10.7109375" style="1358" customWidth="1"/>
    <col min="34" max="34" width="8.5703125" style="1358" customWidth="1"/>
    <col min="35" max="35" width="8.42578125" style="1358" customWidth="1"/>
    <col min="36" max="36" width="8.85546875" style="1358" customWidth="1"/>
    <col min="37" max="37" width="10.5703125" style="1358" customWidth="1"/>
    <col min="38" max="16384" width="9.140625" style="1358"/>
  </cols>
  <sheetData>
    <row r="1" spans="1:37" s="1374" customFormat="1" ht="16.5" thickBot="1" x14ac:dyDescent="0.3">
      <c r="A1" s="1353"/>
      <c r="B1" s="1353"/>
      <c r="C1" s="1353"/>
      <c r="D1" s="1353"/>
      <c r="E1" s="1353"/>
      <c r="F1" s="1353"/>
      <c r="G1" s="1353"/>
      <c r="H1" s="1353"/>
      <c r="I1" s="1353"/>
      <c r="J1" s="1353"/>
      <c r="K1" s="1387"/>
      <c r="L1" s="1353"/>
      <c r="M1" s="1353"/>
      <c r="N1" s="1353"/>
      <c r="O1" s="1354"/>
      <c r="P1" s="1354"/>
      <c r="Q1" s="1354"/>
      <c r="R1" s="1354"/>
      <c r="S1" s="1354"/>
      <c r="T1" s="1354"/>
      <c r="U1" s="1354"/>
      <c r="V1" s="1354"/>
    </row>
    <row r="2" spans="1:37" s="1374" customFormat="1" ht="17.25" thickTop="1" thickBot="1" x14ac:dyDescent="0.3">
      <c r="A2" s="1353"/>
      <c r="B2" s="1383"/>
      <c r="C2" s="1382"/>
      <c r="D2" s="1382"/>
      <c r="E2" s="1382"/>
      <c r="F2" s="1382"/>
      <c r="G2" s="1382"/>
      <c r="H2" s="1382"/>
      <c r="I2" s="1382"/>
      <c r="J2" s="1382"/>
      <c r="K2" s="1403"/>
      <c r="L2" s="1400"/>
      <c r="M2" s="1353"/>
      <c r="N2" s="1353"/>
      <c r="O2" s="1354"/>
      <c r="P2" s="1354"/>
      <c r="Q2" s="1354"/>
      <c r="R2" s="1354"/>
      <c r="S2" s="1354"/>
      <c r="T2" s="1354"/>
      <c r="U2" s="1354"/>
      <c r="V2" s="1354"/>
    </row>
    <row r="3" spans="1:37" s="1374" customFormat="1" ht="18.75" thickBot="1" x14ac:dyDescent="0.3">
      <c r="A3" s="1353"/>
      <c r="B3" s="1355"/>
      <c r="C3" s="2657" t="s">
        <v>9769</v>
      </c>
      <c r="D3" s="2658"/>
      <c r="E3" s="2658"/>
      <c r="F3" s="2658"/>
      <c r="G3" s="2658"/>
      <c r="H3" s="2658"/>
      <c r="I3" s="2658"/>
      <c r="J3" s="2658"/>
      <c r="K3" s="2659"/>
      <c r="L3" s="1356"/>
      <c r="M3" s="1353"/>
      <c r="N3" s="1353"/>
      <c r="O3" s="1354"/>
      <c r="P3" s="1377"/>
      <c r="Q3" s="1377"/>
      <c r="R3" s="1377"/>
      <c r="S3" s="1377"/>
      <c r="T3" s="1377"/>
      <c r="U3" s="1378"/>
      <c r="V3" s="1354"/>
    </row>
    <row r="4" spans="1:37" s="1374" customFormat="1" ht="8.25" customHeight="1" thickBot="1" x14ac:dyDescent="0.3">
      <c r="A4" s="1353"/>
      <c r="B4" s="1355"/>
      <c r="C4" s="1357"/>
      <c r="D4" s="1357"/>
      <c r="E4" s="1357"/>
      <c r="F4" s="1357"/>
      <c r="G4" s="1357"/>
      <c r="H4" s="1357"/>
      <c r="I4" s="1357"/>
      <c r="J4" s="1357"/>
      <c r="K4" s="1401"/>
      <c r="L4" s="1356"/>
      <c r="M4" s="1353"/>
      <c r="N4" s="1353"/>
      <c r="O4" s="1354"/>
      <c r="P4" s="1375"/>
      <c r="Q4" s="1375"/>
      <c r="R4" s="1375"/>
      <c r="S4" s="1375"/>
      <c r="T4" s="1375"/>
      <c r="U4" s="1379"/>
      <c r="V4" s="1354"/>
    </row>
    <row r="5" spans="1:37" s="1374" customFormat="1" ht="16.5" thickBot="1" x14ac:dyDescent="0.3">
      <c r="A5" s="1353"/>
      <c r="B5" s="1355"/>
      <c r="C5" s="2663" t="s">
        <v>9724</v>
      </c>
      <c r="D5" s="2664"/>
      <c r="E5" s="2664"/>
      <c r="F5" s="2664"/>
      <c r="G5" s="2664" t="s">
        <v>9721</v>
      </c>
      <c r="H5" s="2664"/>
      <c r="I5" s="2664" t="s">
        <v>9723</v>
      </c>
      <c r="J5" s="2664"/>
      <c r="K5" s="1404"/>
      <c r="L5" s="1356"/>
      <c r="M5" s="1353"/>
      <c r="N5" s="1353"/>
      <c r="O5" s="1354"/>
      <c r="P5" s="2665" t="s">
        <v>9760</v>
      </c>
      <c r="Q5" s="2666"/>
      <c r="R5" s="1375"/>
      <c r="S5" s="2660" t="s">
        <v>9761</v>
      </c>
      <c r="T5" s="2661"/>
      <c r="U5" s="2662"/>
      <c r="V5" s="1354"/>
    </row>
    <row r="6" spans="1:37" s="1374" customFormat="1" ht="34.5" customHeight="1" x14ac:dyDescent="0.25">
      <c r="A6" s="1353"/>
      <c r="B6" s="1355"/>
      <c r="C6" s="1373" t="s">
        <v>9704</v>
      </c>
      <c r="D6" s="1373" t="s">
        <v>9705</v>
      </c>
      <c r="E6" s="1373" t="s">
        <v>9708</v>
      </c>
      <c r="F6" s="1373" t="s">
        <v>9706</v>
      </c>
      <c r="G6" s="1373" t="s">
        <v>9720</v>
      </c>
      <c r="H6" s="1373" t="s">
        <v>9707</v>
      </c>
      <c r="I6" s="1373" t="s">
        <v>9709</v>
      </c>
      <c r="J6" s="1373" t="s">
        <v>9722</v>
      </c>
      <c r="K6" s="1373" t="s">
        <v>9770</v>
      </c>
      <c r="L6" s="1390"/>
      <c r="M6" s="1353"/>
      <c r="N6" s="1353"/>
      <c r="O6" s="1353"/>
      <c r="P6" s="1376" t="s">
        <v>9725</v>
      </c>
      <c r="Q6" s="1376" t="s">
        <v>9726</v>
      </c>
      <c r="R6" s="1375"/>
      <c r="S6" s="1376" t="s">
        <v>9474</v>
      </c>
      <c r="T6" s="1376" t="s">
        <v>9726</v>
      </c>
      <c r="U6" s="1386" t="s">
        <v>9448</v>
      </c>
      <c r="V6" s="1354"/>
      <c r="AB6" s="1394" t="s">
        <v>411</v>
      </c>
      <c r="AC6" s="1394" t="s">
        <v>9704</v>
      </c>
      <c r="AD6" s="1394" t="s">
        <v>9705</v>
      </c>
      <c r="AE6" s="1394" t="s">
        <v>9708</v>
      </c>
      <c r="AF6" s="1394" t="s">
        <v>9706</v>
      </c>
      <c r="AG6" s="1394" t="s">
        <v>9720</v>
      </c>
      <c r="AH6" s="1394" t="s">
        <v>9707</v>
      </c>
      <c r="AI6" s="1394" t="s">
        <v>9709</v>
      </c>
      <c r="AJ6" s="1394" t="s">
        <v>9722</v>
      </c>
      <c r="AK6" s="1394" t="s">
        <v>9771</v>
      </c>
    </row>
    <row r="7" spans="1:37" s="1374" customFormat="1" ht="16.5" customHeight="1" x14ac:dyDescent="0.25">
      <c r="A7" s="1353"/>
      <c r="B7" s="1355"/>
      <c r="C7" s="1384"/>
      <c r="D7" s="1362"/>
      <c r="E7" s="1385"/>
      <c r="F7" s="1362"/>
      <c r="G7" s="1362"/>
      <c r="H7" s="1362"/>
      <c r="I7" s="1362"/>
      <c r="J7" s="1362"/>
      <c r="K7" s="1405"/>
      <c r="L7" s="1391"/>
      <c r="M7" s="1353"/>
      <c r="N7" s="1353"/>
      <c r="O7" s="1353"/>
      <c r="P7" s="1376">
        <v>1</v>
      </c>
      <c r="Q7" s="1376" t="s">
        <v>9727</v>
      </c>
      <c r="R7" s="1375"/>
      <c r="S7" s="1376">
        <v>5001</v>
      </c>
      <c r="T7" s="1376" t="s">
        <v>9744</v>
      </c>
      <c r="U7" s="1386" t="s">
        <v>9763</v>
      </c>
      <c r="V7" s="1354"/>
      <c r="AB7" s="1394"/>
      <c r="AC7" s="1394"/>
      <c r="AD7" s="1394"/>
      <c r="AE7" s="1395"/>
      <c r="AF7" s="1394"/>
      <c r="AG7" s="1394"/>
      <c r="AH7" s="1394"/>
      <c r="AI7" s="1394"/>
      <c r="AJ7" s="1394"/>
      <c r="AK7" s="1406"/>
    </row>
    <row r="8" spans="1:37" s="1374" customFormat="1" x14ac:dyDescent="0.25">
      <c r="A8" s="1353"/>
      <c r="B8" s="1355"/>
      <c r="C8" s="1384"/>
      <c r="D8" s="1362"/>
      <c r="E8" s="1385"/>
      <c r="F8" s="1362"/>
      <c r="G8" s="1362"/>
      <c r="H8" s="1362"/>
      <c r="I8" s="1362"/>
      <c r="J8" s="1362"/>
      <c r="K8" s="1405"/>
      <c r="L8" s="1391"/>
      <c r="M8" s="1353"/>
      <c r="N8" s="1353"/>
      <c r="O8" s="1353"/>
      <c r="P8" s="1376">
        <v>2</v>
      </c>
      <c r="Q8" s="1376" t="s">
        <v>9728</v>
      </c>
      <c r="R8" s="1375"/>
      <c r="S8" s="1376">
        <v>5002</v>
      </c>
      <c r="T8" s="1376" t="s">
        <v>9745</v>
      </c>
      <c r="U8" s="1386" t="s">
        <v>9762</v>
      </c>
      <c r="V8" s="1354"/>
    </row>
    <row r="9" spans="1:37" s="1374" customFormat="1" x14ac:dyDescent="0.25">
      <c r="A9" s="1353"/>
      <c r="B9" s="1355"/>
      <c r="C9" s="1384"/>
      <c r="D9" s="1362"/>
      <c r="E9" s="1385"/>
      <c r="F9" s="1362"/>
      <c r="G9" s="1362"/>
      <c r="H9" s="1362"/>
      <c r="I9" s="1362"/>
      <c r="J9" s="1362"/>
      <c r="K9" s="1405"/>
      <c r="L9" s="1391"/>
      <c r="M9" s="1353"/>
      <c r="N9" s="1353"/>
      <c r="O9" s="1353"/>
      <c r="P9" s="1376">
        <v>3</v>
      </c>
      <c r="Q9" s="1376" t="s">
        <v>9729</v>
      </c>
      <c r="R9" s="1375"/>
      <c r="S9" s="1376">
        <v>5003</v>
      </c>
      <c r="T9" s="1376" t="s">
        <v>9746</v>
      </c>
      <c r="U9" s="1386" t="s">
        <v>9762</v>
      </c>
      <c r="V9" s="1354"/>
    </row>
    <row r="10" spans="1:37" s="1374" customFormat="1" x14ac:dyDescent="0.25">
      <c r="A10" s="1353"/>
      <c r="B10" s="1355"/>
      <c r="C10" s="1384"/>
      <c r="D10" s="1362"/>
      <c r="E10" s="1385"/>
      <c r="F10" s="1362"/>
      <c r="G10" s="1362"/>
      <c r="H10" s="1362"/>
      <c r="I10" s="1362"/>
      <c r="J10" s="1362"/>
      <c r="K10" s="1405"/>
      <c r="L10" s="1391"/>
      <c r="M10" s="1353"/>
      <c r="N10" s="1353"/>
      <c r="O10" s="1353"/>
      <c r="P10" s="1376">
        <v>4</v>
      </c>
      <c r="Q10" s="1376" t="s">
        <v>9730</v>
      </c>
      <c r="R10" s="1375"/>
      <c r="S10" s="1376">
        <v>5004</v>
      </c>
      <c r="T10" s="1376" t="s">
        <v>9747</v>
      </c>
      <c r="U10" s="1386" t="s">
        <v>9762</v>
      </c>
      <c r="V10" s="1354"/>
    </row>
    <row r="11" spans="1:37" s="1374" customFormat="1" x14ac:dyDescent="0.25">
      <c r="A11" s="1353"/>
      <c r="B11" s="1355"/>
      <c r="C11" s="1384"/>
      <c r="D11" s="1362"/>
      <c r="E11" s="1385"/>
      <c r="F11" s="1362"/>
      <c r="G11" s="1362"/>
      <c r="H11" s="1362"/>
      <c r="I11" s="1362"/>
      <c r="J11" s="1362"/>
      <c r="K11" s="1405"/>
      <c r="L11" s="1391"/>
      <c r="M11" s="1353"/>
      <c r="N11" s="1353"/>
      <c r="O11" s="1353"/>
      <c r="P11" s="1376">
        <v>5</v>
      </c>
      <c r="Q11" s="1376" t="s">
        <v>9731</v>
      </c>
      <c r="R11" s="1375"/>
      <c r="S11" s="1376">
        <v>5005</v>
      </c>
      <c r="T11" s="1376" t="s">
        <v>9748</v>
      </c>
      <c r="U11" s="1386" t="s">
        <v>9762</v>
      </c>
      <c r="V11" s="1354"/>
    </row>
    <row r="12" spans="1:37" s="1374" customFormat="1" x14ac:dyDescent="0.25">
      <c r="A12" s="1353"/>
      <c r="B12" s="1355"/>
      <c r="C12" s="1384"/>
      <c r="D12" s="1362"/>
      <c r="E12" s="1385"/>
      <c r="F12" s="1362"/>
      <c r="G12" s="1362"/>
      <c r="H12" s="1362"/>
      <c r="I12" s="1362"/>
      <c r="J12" s="1362"/>
      <c r="K12" s="1405"/>
      <c r="L12" s="1391"/>
      <c r="M12" s="1353"/>
      <c r="N12" s="1353"/>
      <c r="O12" s="1353"/>
      <c r="P12" s="1376">
        <v>6</v>
      </c>
      <c r="Q12" s="1376" t="s">
        <v>9732</v>
      </c>
      <c r="R12" s="1375"/>
      <c r="S12" s="1376">
        <v>5006</v>
      </c>
      <c r="T12" s="1376" t="s">
        <v>9749</v>
      </c>
      <c r="U12" s="1386" t="s">
        <v>9763</v>
      </c>
      <c r="V12" s="1354"/>
    </row>
    <row r="13" spans="1:37" s="1374" customFormat="1" x14ac:dyDescent="0.25">
      <c r="A13" s="1353"/>
      <c r="B13" s="1355"/>
      <c r="C13" s="1384"/>
      <c r="D13" s="1362"/>
      <c r="E13" s="1385"/>
      <c r="F13" s="1362"/>
      <c r="G13" s="1362"/>
      <c r="H13" s="1362"/>
      <c r="I13" s="1362"/>
      <c r="J13" s="1362"/>
      <c r="K13" s="1405"/>
      <c r="L13" s="1391"/>
      <c r="M13" s="1353"/>
      <c r="N13" s="1353"/>
      <c r="O13" s="1353"/>
      <c r="P13" s="1376">
        <v>8</v>
      </c>
      <c r="Q13" s="1376" t="s">
        <v>9733</v>
      </c>
      <c r="R13" s="1375"/>
      <c r="S13" s="1376">
        <v>5007</v>
      </c>
      <c r="T13" s="1376" t="s">
        <v>9750</v>
      </c>
      <c r="U13" s="1386" t="s">
        <v>9762</v>
      </c>
      <c r="V13" s="1354"/>
    </row>
    <row r="14" spans="1:37" s="1374" customFormat="1" x14ac:dyDescent="0.25">
      <c r="A14" s="1353"/>
      <c r="B14" s="1355"/>
      <c r="C14" s="1384"/>
      <c r="D14" s="1362"/>
      <c r="E14" s="1385"/>
      <c r="F14" s="1362"/>
      <c r="G14" s="1362"/>
      <c r="H14" s="1362"/>
      <c r="I14" s="1362"/>
      <c r="J14" s="1362"/>
      <c r="K14" s="1405"/>
      <c r="L14" s="1391"/>
      <c r="M14" s="1353"/>
      <c r="N14" s="1353"/>
      <c r="O14" s="1353"/>
      <c r="P14" s="1376">
        <v>9</v>
      </c>
      <c r="Q14" s="1376" t="s">
        <v>9734</v>
      </c>
      <c r="R14" s="1375"/>
      <c r="S14" s="1376">
        <v>5008</v>
      </c>
      <c r="T14" s="1376" t="s">
        <v>9751</v>
      </c>
      <c r="U14" s="1386" t="s">
        <v>9762</v>
      </c>
      <c r="V14" s="1354"/>
    </row>
    <row r="15" spans="1:37" s="1374" customFormat="1" x14ac:dyDescent="0.25">
      <c r="A15" s="1353"/>
      <c r="B15" s="1355"/>
      <c r="C15" s="1384"/>
      <c r="D15" s="1362"/>
      <c r="E15" s="1385"/>
      <c r="F15" s="1362"/>
      <c r="G15" s="1362"/>
      <c r="H15" s="1362"/>
      <c r="I15" s="1362"/>
      <c r="J15" s="1362"/>
      <c r="K15" s="1405"/>
      <c r="L15" s="1391"/>
      <c r="M15" s="1353"/>
      <c r="N15" s="1353"/>
      <c r="O15" s="1353"/>
      <c r="P15" s="1376">
        <v>11</v>
      </c>
      <c r="Q15" s="1376" t="s">
        <v>9735</v>
      </c>
      <c r="R15" s="1375"/>
      <c r="S15" s="1376">
        <v>5009</v>
      </c>
      <c r="T15" s="1376" t="s">
        <v>9752</v>
      </c>
      <c r="U15" s="1386" t="s">
        <v>9762</v>
      </c>
      <c r="V15" s="1354"/>
    </row>
    <row r="16" spans="1:37" s="1374" customFormat="1" x14ac:dyDescent="0.25">
      <c r="A16" s="1353"/>
      <c r="B16" s="1355"/>
      <c r="C16" s="1384"/>
      <c r="D16" s="1362"/>
      <c r="E16" s="1385"/>
      <c r="F16" s="1362"/>
      <c r="G16" s="1362"/>
      <c r="H16" s="1362"/>
      <c r="I16" s="1362"/>
      <c r="J16" s="1362"/>
      <c r="K16" s="1405"/>
      <c r="L16" s="1391"/>
      <c r="M16" s="1353"/>
      <c r="N16" s="1353"/>
      <c r="O16" s="1353"/>
      <c r="P16" s="1376">
        <v>12</v>
      </c>
      <c r="Q16" s="1376" t="s">
        <v>9736</v>
      </c>
      <c r="R16" s="1375"/>
      <c r="S16" s="1376">
        <v>5010</v>
      </c>
      <c r="T16" s="1376" t="s">
        <v>9753</v>
      </c>
      <c r="U16" s="1386" t="s">
        <v>9762</v>
      </c>
      <c r="V16" s="1354"/>
    </row>
    <row r="17" spans="1:70" s="1374" customFormat="1" x14ac:dyDescent="0.25">
      <c r="A17" s="1353"/>
      <c r="B17" s="1355"/>
      <c r="C17" s="1384"/>
      <c r="D17" s="1362"/>
      <c r="E17" s="1385"/>
      <c r="F17" s="1362"/>
      <c r="G17" s="1362"/>
      <c r="H17" s="1362"/>
      <c r="I17" s="1362"/>
      <c r="J17" s="1362"/>
      <c r="K17" s="1405"/>
      <c r="L17" s="1391"/>
      <c r="M17" s="1353"/>
      <c r="N17" s="1353"/>
      <c r="O17" s="1353"/>
      <c r="P17" s="1376">
        <v>13</v>
      </c>
      <c r="Q17" s="1376" t="s">
        <v>9737</v>
      </c>
      <c r="R17" s="1375"/>
      <c r="S17" s="1376">
        <v>5011</v>
      </c>
      <c r="T17" s="1376" t="s">
        <v>9754</v>
      </c>
      <c r="U17" s="1386" t="s">
        <v>9762</v>
      </c>
      <c r="V17" s="1354"/>
    </row>
    <row r="18" spans="1:70" s="1374" customFormat="1" x14ac:dyDescent="0.25">
      <c r="A18" s="1353"/>
      <c r="B18" s="1355"/>
      <c r="C18" s="1384"/>
      <c r="D18" s="1362"/>
      <c r="E18" s="1385"/>
      <c r="F18" s="1362"/>
      <c r="G18" s="1362"/>
      <c r="H18" s="1362"/>
      <c r="I18" s="1362"/>
      <c r="J18" s="1362"/>
      <c r="K18" s="1405"/>
      <c r="L18" s="1391"/>
      <c r="M18" s="1353"/>
      <c r="N18" s="1353"/>
      <c r="O18" s="1353"/>
      <c r="P18" s="1376">
        <v>20</v>
      </c>
      <c r="Q18" s="1376" t="s">
        <v>9738</v>
      </c>
      <c r="R18" s="1375"/>
      <c r="S18" s="1376">
        <v>5012</v>
      </c>
      <c r="T18" s="1376" t="s">
        <v>9755</v>
      </c>
      <c r="U18" s="1386" t="s">
        <v>9762</v>
      </c>
      <c r="V18" s="1354"/>
    </row>
    <row r="19" spans="1:70" s="1374" customFormat="1" x14ac:dyDescent="0.25">
      <c r="A19" s="1353"/>
      <c r="B19" s="1355"/>
      <c r="C19" s="1384"/>
      <c r="D19" s="1362"/>
      <c r="E19" s="1385"/>
      <c r="F19" s="1362"/>
      <c r="G19" s="1362"/>
      <c r="H19" s="1362"/>
      <c r="I19" s="1362"/>
      <c r="J19" s="1362"/>
      <c r="K19" s="1405"/>
      <c r="L19" s="1391"/>
      <c r="M19" s="1353"/>
      <c r="N19" s="1353"/>
      <c r="O19" s="1353"/>
      <c r="P19" s="1376">
        <v>21</v>
      </c>
      <c r="Q19" s="1376" t="s">
        <v>9739</v>
      </c>
      <c r="R19" s="1375"/>
      <c r="S19" s="1376">
        <v>5013</v>
      </c>
      <c r="T19" s="1376" t="s">
        <v>9756</v>
      </c>
      <c r="U19" s="1386" t="s">
        <v>9762</v>
      </c>
      <c r="V19" s="1354"/>
    </row>
    <row r="20" spans="1:70" s="1374" customFormat="1" x14ac:dyDescent="0.25">
      <c r="A20" s="1353"/>
      <c r="B20" s="1355"/>
      <c r="C20" s="1384"/>
      <c r="D20" s="1362"/>
      <c r="E20" s="1385"/>
      <c r="F20" s="1362"/>
      <c r="G20" s="1362"/>
      <c r="H20" s="1362"/>
      <c r="I20" s="1362"/>
      <c r="J20" s="1362"/>
      <c r="K20" s="1405"/>
      <c r="L20" s="1391"/>
      <c r="M20" s="1353"/>
      <c r="N20" s="1353"/>
      <c r="O20" s="1353"/>
      <c r="P20" s="1376">
        <v>22</v>
      </c>
      <c r="Q20" s="1376" t="s">
        <v>9740</v>
      </c>
      <c r="R20" s="1375"/>
      <c r="S20" s="1376">
        <v>5014</v>
      </c>
      <c r="T20" s="1376" t="s">
        <v>9757</v>
      </c>
      <c r="U20" s="1386" t="s">
        <v>9762</v>
      </c>
      <c r="V20" s="1354"/>
    </row>
    <row r="21" spans="1:70" s="1374" customFormat="1" x14ac:dyDescent="0.25">
      <c r="A21" s="1353"/>
      <c r="B21" s="1355"/>
      <c r="C21" s="1384"/>
      <c r="D21" s="1362"/>
      <c r="E21" s="1385"/>
      <c r="F21" s="1362"/>
      <c r="G21" s="1362"/>
      <c r="H21" s="1362"/>
      <c r="I21" s="1362"/>
      <c r="J21" s="1362"/>
      <c r="K21" s="1405"/>
      <c r="L21" s="1391"/>
      <c r="M21" s="1353"/>
      <c r="N21" s="1353"/>
      <c r="O21" s="1353"/>
      <c r="P21" s="1376">
        <v>23</v>
      </c>
      <c r="Q21" s="1376" t="s">
        <v>9741</v>
      </c>
      <c r="R21" s="1375"/>
      <c r="S21" s="1376">
        <v>5101</v>
      </c>
      <c r="T21" s="1376" t="s">
        <v>9758</v>
      </c>
      <c r="U21" s="1386" t="s">
        <v>9763</v>
      </c>
      <c r="V21" s="1354"/>
    </row>
    <row r="22" spans="1:70" s="1374" customFormat="1" x14ac:dyDescent="0.25">
      <c r="A22" s="1353"/>
      <c r="B22" s="1355"/>
      <c r="C22" s="1384"/>
      <c r="D22" s="1362"/>
      <c r="E22" s="1385"/>
      <c r="F22" s="1362"/>
      <c r="G22" s="1362"/>
      <c r="H22" s="1362"/>
      <c r="I22" s="1362"/>
      <c r="J22" s="1362"/>
      <c r="K22" s="1405"/>
      <c r="L22" s="1391"/>
      <c r="M22" s="1353"/>
      <c r="N22" s="1353"/>
      <c r="O22" s="1353"/>
      <c r="P22" s="1376">
        <v>24</v>
      </c>
      <c r="Q22" s="1376" t="s">
        <v>9742</v>
      </c>
      <c r="R22" s="1375"/>
      <c r="S22" s="1376">
        <v>5102</v>
      </c>
      <c r="T22" s="1376" t="s">
        <v>9759</v>
      </c>
      <c r="U22" s="1386" t="s">
        <v>9763</v>
      </c>
      <c r="V22" s="1354"/>
    </row>
    <row r="23" spans="1:70" s="1374" customFormat="1" x14ac:dyDescent="0.25">
      <c r="A23" s="1353"/>
      <c r="B23" s="1355"/>
      <c r="C23" s="1384"/>
      <c r="D23" s="1362"/>
      <c r="E23" s="1385"/>
      <c r="F23" s="1362"/>
      <c r="G23" s="1362"/>
      <c r="H23" s="1362"/>
      <c r="I23" s="1362"/>
      <c r="J23" s="1362"/>
      <c r="K23" s="1405"/>
      <c r="L23" s="1391"/>
      <c r="M23" s="1353"/>
      <c r="N23" s="1353"/>
      <c r="O23" s="1353"/>
      <c r="P23" s="1376">
        <v>25</v>
      </c>
      <c r="Q23" s="1376" t="s">
        <v>9743</v>
      </c>
      <c r="R23" s="1375"/>
      <c r="S23" s="1375"/>
      <c r="T23" s="1375"/>
      <c r="U23" s="1379"/>
      <c r="V23" s="1354"/>
    </row>
    <row r="24" spans="1:70" s="1374" customFormat="1" ht="16.5" thickBot="1" x14ac:dyDescent="0.3">
      <c r="A24" s="1353"/>
      <c r="B24" s="1355"/>
      <c r="C24" s="1384"/>
      <c r="D24" s="1362"/>
      <c r="E24" s="1385"/>
      <c r="F24" s="1362"/>
      <c r="G24" s="1362"/>
      <c r="H24" s="1362"/>
      <c r="I24" s="1362"/>
      <c r="J24" s="1362"/>
      <c r="K24" s="1405"/>
      <c r="L24" s="1391"/>
      <c r="M24" s="1353"/>
      <c r="N24" s="1353"/>
      <c r="O24" s="1353"/>
      <c r="P24" s="1380"/>
      <c r="Q24" s="1380"/>
      <c r="R24" s="1380"/>
      <c r="S24" s="1380"/>
      <c r="T24" s="1380"/>
      <c r="U24" s="1381"/>
      <c r="V24" s="1354"/>
    </row>
    <row r="25" spans="1:70" s="1374" customFormat="1" x14ac:dyDescent="0.25">
      <c r="A25" s="1353"/>
      <c r="B25" s="1355"/>
      <c r="C25" s="1384"/>
      <c r="D25" s="1362"/>
      <c r="E25" s="1385"/>
      <c r="F25" s="1362"/>
      <c r="G25" s="1362"/>
      <c r="H25" s="1362"/>
      <c r="I25" s="1362"/>
      <c r="J25" s="1362"/>
      <c r="K25" s="1405"/>
      <c r="L25" s="1391"/>
      <c r="M25" s="1353"/>
      <c r="N25" s="1353"/>
      <c r="O25" s="1353"/>
      <c r="P25" s="1354"/>
      <c r="Q25" s="1354"/>
      <c r="R25" s="1354"/>
      <c r="S25" s="1354"/>
      <c r="T25" s="1354"/>
      <c r="U25" s="1354"/>
      <c r="V25" s="1354"/>
    </row>
    <row r="26" spans="1:70" s="1374" customFormat="1" x14ac:dyDescent="0.25">
      <c r="A26" s="1353"/>
      <c r="B26" s="1355"/>
      <c r="C26" s="1384"/>
      <c r="D26" s="1362"/>
      <c r="E26" s="1385"/>
      <c r="F26" s="1362"/>
      <c r="G26" s="1362"/>
      <c r="H26" s="1362"/>
      <c r="I26" s="1362"/>
      <c r="J26" s="1362"/>
      <c r="K26" s="1405"/>
      <c r="L26" s="1391"/>
      <c r="M26" s="1353"/>
      <c r="N26" s="1353"/>
      <c r="O26" s="1353"/>
      <c r="P26" s="1354"/>
      <c r="Q26" s="1354"/>
      <c r="R26" s="1354"/>
      <c r="S26" s="1354"/>
      <c r="T26" s="1354"/>
      <c r="U26" s="1354"/>
      <c r="V26" s="1354"/>
    </row>
    <row r="27" spans="1:70" s="1374" customFormat="1" x14ac:dyDescent="0.25">
      <c r="A27" s="1353"/>
      <c r="B27" s="1355"/>
      <c r="C27" s="1384"/>
      <c r="D27" s="1362"/>
      <c r="E27" s="1385"/>
      <c r="F27" s="1362"/>
      <c r="G27" s="1362"/>
      <c r="H27" s="1362"/>
      <c r="I27" s="1362"/>
      <c r="J27" s="1362"/>
      <c r="K27" s="1405"/>
      <c r="L27" s="1391"/>
      <c r="M27" s="1353"/>
      <c r="N27" s="1353"/>
      <c r="O27" s="1353"/>
      <c r="P27" s="1354"/>
      <c r="Q27" s="1354"/>
      <c r="R27" s="1354"/>
      <c r="S27" s="1354"/>
      <c r="T27" s="1354"/>
      <c r="U27" s="1354"/>
      <c r="V27" s="1354"/>
      <c r="AB27" s="1358"/>
      <c r="AC27" s="1358"/>
      <c r="AD27" s="1358"/>
      <c r="AE27" s="1358"/>
      <c r="AF27" s="1358"/>
      <c r="AG27" s="1358"/>
      <c r="AH27" s="1358"/>
      <c r="AI27" s="1358"/>
      <c r="AJ27" s="1358"/>
    </row>
    <row r="28" spans="1:70" s="1374" customFormat="1" x14ac:dyDescent="0.25">
      <c r="A28" s="1353"/>
      <c r="B28" s="1355"/>
      <c r="C28" s="1384"/>
      <c r="D28" s="1362"/>
      <c r="E28" s="1385"/>
      <c r="F28" s="1362"/>
      <c r="G28" s="1362"/>
      <c r="H28" s="1362"/>
      <c r="I28" s="1362"/>
      <c r="J28" s="1362"/>
      <c r="K28" s="1405"/>
      <c r="L28" s="1391"/>
      <c r="M28" s="1353"/>
      <c r="N28" s="1353"/>
      <c r="O28" s="1353"/>
      <c r="P28" s="1354"/>
      <c r="Q28" s="1354"/>
      <c r="R28" s="1354"/>
      <c r="S28" s="1354"/>
      <c r="T28" s="1354"/>
      <c r="U28" s="1354"/>
      <c r="V28" s="1354"/>
      <c r="AB28" s="1358"/>
      <c r="AC28" s="1358"/>
      <c r="AD28" s="1358"/>
      <c r="AE28" s="1358"/>
      <c r="AF28" s="1358"/>
      <c r="AG28" s="1358"/>
      <c r="AH28" s="1358"/>
      <c r="AI28" s="1358"/>
      <c r="AJ28" s="1358"/>
    </row>
    <row r="29" spans="1:70" s="1374" customFormat="1" x14ac:dyDescent="0.25">
      <c r="A29" s="1353"/>
      <c r="B29" s="1355"/>
      <c r="C29" s="1384"/>
      <c r="D29" s="1362"/>
      <c r="E29" s="1385"/>
      <c r="F29" s="1362"/>
      <c r="G29" s="1362"/>
      <c r="H29" s="1362"/>
      <c r="I29" s="1362"/>
      <c r="J29" s="1362"/>
      <c r="K29" s="1405"/>
      <c r="L29" s="1391"/>
      <c r="M29" s="1353"/>
      <c r="N29" s="1353"/>
      <c r="O29" s="1353"/>
      <c r="P29" s="1354"/>
      <c r="Q29" s="1354"/>
      <c r="R29" s="1354"/>
      <c r="S29" s="1354"/>
      <c r="T29" s="1354"/>
      <c r="U29" s="1354"/>
      <c r="V29" s="1354"/>
      <c r="AB29" s="1358"/>
      <c r="AC29" s="1358"/>
      <c r="AD29" s="1358"/>
      <c r="AE29" s="1358"/>
      <c r="AF29" s="1358"/>
      <c r="AG29" s="1358"/>
      <c r="AH29" s="1358"/>
      <c r="AI29" s="1358"/>
      <c r="AJ29" s="1358"/>
    </row>
    <row r="30" spans="1:70" s="1374" customFormat="1" x14ac:dyDescent="0.25">
      <c r="A30" s="1353"/>
      <c r="B30" s="1355"/>
      <c r="C30" s="1384"/>
      <c r="D30" s="1362"/>
      <c r="E30" s="1385"/>
      <c r="F30" s="1362"/>
      <c r="G30" s="1362"/>
      <c r="H30" s="1362"/>
      <c r="I30" s="1362"/>
      <c r="J30" s="1362"/>
      <c r="K30" s="1405"/>
      <c r="L30" s="1391"/>
      <c r="M30" s="1353"/>
      <c r="N30" s="1353"/>
      <c r="O30" s="1353"/>
      <c r="P30" s="1354"/>
      <c r="Q30" s="1354"/>
      <c r="R30" s="1354"/>
      <c r="S30" s="1354"/>
      <c r="T30" s="1354"/>
      <c r="U30" s="1354"/>
      <c r="V30" s="1354"/>
      <c r="AB30" s="1358"/>
      <c r="AC30" s="1358"/>
      <c r="AD30" s="1358"/>
      <c r="AE30" s="1358"/>
      <c r="AF30" s="1358"/>
      <c r="AG30" s="1358"/>
      <c r="AH30" s="1358"/>
      <c r="AI30" s="1358"/>
      <c r="AJ30" s="1358"/>
    </row>
    <row r="31" spans="1:70" s="1374" customFormat="1" x14ac:dyDescent="0.25">
      <c r="A31" s="1353"/>
      <c r="B31" s="1355"/>
      <c r="C31" s="1384"/>
      <c r="D31" s="1362"/>
      <c r="E31" s="1385"/>
      <c r="F31" s="1362"/>
      <c r="G31" s="1362"/>
      <c r="H31" s="1362"/>
      <c r="I31" s="1362"/>
      <c r="J31" s="1362"/>
      <c r="K31" s="1405"/>
      <c r="L31" s="1391"/>
      <c r="M31" s="1353"/>
      <c r="N31" s="1353"/>
      <c r="O31" s="1353"/>
      <c r="P31" s="1354"/>
      <c r="Q31" s="1354"/>
      <c r="R31" s="1354"/>
      <c r="S31" s="1354"/>
      <c r="T31" s="1354"/>
      <c r="U31" s="1354"/>
      <c r="V31" s="1354"/>
      <c r="AB31" s="1358"/>
      <c r="AC31" s="1358"/>
      <c r="AD31" s="1358"/>
      <c r="AE31" s="1358"/>
      <c r="AF31" s="1358"/>
      <c r="AG31" s="1358"/>
      <c r="AH31" s="1358"/>
      <c r="AI31" s="1358"/>
      <c r="AJ31" s="1358"/>
    </row>
    <row r="32" spans="1:70" s="1374" customFormat="1" x14ac:dyDescent="0.25">
      <c r="A32" s="1353"/>
      <c r="B32" s="1355"/>
      <c r="C32" s="1384"/>
      <c r="D32" s="1362"/>
      <c r="E32" s="1385"/>
      <c r="F32" s="1362"/>
      <c r="G32" s="1362"/>
      <c r="H32" s="1362"/>
      <c r="I32" s="1362"/>
      <c r="J32" s="1362"/>
      <c r="K32" s="1405"/>
      <c r="L32" s="1391"/>
      <c r="M32" s="1353"/>
      <c r="N32" s="1353"/>
      <c r="O32" s="1353"/>
      <c r="P32" s="1354"/>
      <c r="Q32" s="1354"/>
      <c r="R32" s="1354"/>
      <c r="S32" s="1354"/>
      <c r="T32" s="1354"/>
      <c r="U32" s="1354"/>
      <c r="V32" s="1354"/>
      <c r="AB32" s="1358"/>
      <c r="AC32" s="1358"/>
      <c r="AD32" s="1358"/>
      <c r="AE32" s="1358"/>
      <c r="AF32" s="1358"/>
      <c r="AG32" s="1358"/>
      <c r="AH32" s="1358"/>
      <c r="AI32" s="1358"/>
      <c r="AJ32" s="1358"/>
      <c r="AK32" s="1358"/>
      <c r="AL32" s="1358"/>
      <c r="AM32" s="1358"/>
      <c r="AN32" s="1358"/>
      <c r="AO32" s="1358"/>
      <c r="AP32" s="1358"/>
      <c r="AQ32" s="1358"/>
      <c r="AR32" s="1358"/>
      <c r="AS32" s="1358"/>
      <c r="AT32" s="1358"/>
      <c r="AU32" s="1358"/>
      <c r="AV32" s="1358"/>
      <c r="AW32" s="1358"/>
      <c r="AX32" s="1358"/>
      <c r="AY32" s="1358"/>
      <c r="AZ32" s="1358"/>
      <c r="BA32" s="1358"/>
      <c r="BB32" s="1358"/>
      <c r="BC32" s="1358"/>
      <c r="BD32" s="1358"/>
      <c r="BE32" s="1358"/>
      <c r="BF32" s="1358"/>
      <c r="BG32" s="1358"/>
      <c r="BH32" s="1358"/>
      <c r="BI32" s="1358"/>
      <c r="BJ32" s="1358"/>
      <c r="BK32" s="1358"/>
      <c r="BL32" s="1358"/>
      <c r="BM32" s="1358"/>
      <c r="BN32" s="1358"/>
      <c r="BO32" s="1358"/>
      <c r="BP32" s="1358"/>
      <c r="BQ32" s="1358"/>
      <c r="BR32" s="1358"/>
    </row>
    <row r="33" spans="1:70" s="1374" customFormat="1" x14ac:dyDescent="0.25">
      <c r="A33" s="1353"/>
      <c r="B33" s="1355"/>
      <c r="C33" s="1384"/>
      <c r="D33" s="1362"/>
      <c r="E33" s="1385"/>
      <c r="F33" s="1362"/>
      <c r="G33" s="1362"/>
      <c r="H33" s="1362"/>
      <c r="I33" s="1362"/>
      <c r="J33" s="1362"/>
      <c r="K33" s="1405"/>
      <c r="L33" s="1389"/>
      <c r="M33" s="1353"/>
      <c r="N33" s="1353"/>
      <c r="O33" s="1353"/>
      <c r="P33" s="1354"/>
      <c r="Q33" s="1354"/>
      <c r="R33" s="1354"/>
      <c r="S33" s="1354"/>
      <c r="T33" s="1354"/>
      <c r="U33" s="1354"/>
      <c r="V33" s="1354"/>
      <c r="AB33" s="1358"/>
      <c r="AC33" s="1358"/>
      <c r="AD33" s="1358"/>
      <c r="AE33" s="1358"/>
      <c r="AF33" s="1358"/>
      <c r="AG33" s="1358"/>
      <c r="AH33" s="1358"/>
      <c r="AI33" s="1358"/>
      <c r="AJ33" s="1358"/>
      <c r="AK33" s="1358"/>
      <c r="AL33" s="1358"/>
      <c r="AM33" s="1358"/>
      <c r="AN33" s="1358"/>
      <c r="AO33" s="1358"/>
      <c r="AP33" s="1358"/>
      <c r="AQ33" s="1358"/>
      <c r="AR33" s="1358"/>
      <c r="AS33" s="1358"/>
      <c r="AT33" s="1358"/>
      <c r="AU33" s="1358"/>
      <c r="AV33" s="1358"/>
      <c r="AW33" s="1358"/>
      <c r="AX33" s="1358"/>
      <c r="AY33" s="1358"/>
      <c r="AZ33" s="1358"/>
      <c r="BA33" s="1358"/>
      <c r="BB33" s="1358"/>
      <c r="BC33" s="1358"/>
      <c r="BD33" s="1358"/>
      <c r="BE33" s="1358"/>
      <c r="BF33" s="1358"/>
      <c r="BG33" s="1358"/>
      <c r="BH33" s="1358"/>
      <c r="BI33" s="1358"/>
      <c r="BJ33" s="1358"/>
      <c r="BK33" s="1358"/>
      <c r="BL33" s="1358"/>
      <c r="BM33" s="1358"/>
      <c r="BN33" s="1358"/>
      <c r="BO33" s="1358"/>
      <c r="BP33" s="1358"/>
      <c r="BQ33" s="1358"/>
      <c r="BR33" s="1358"/>
    </row>
    <row r="34" spans="1:70" s="1374" customFormat="1" ht="16.5" thickBot="1" x14ac:dyDescent="0.3">
      <c r="A34" s="1353"/>
      <c r="B34" s="1359"/>
      <c r="C34" s="1360"/>
      <c r="D34" s="1360"/>
      <c r="E34" s="1360"/>
      <c r="F34" s="1360"/>
      <c r="G34" s="1360"/>
      <c r="H34" s="1360"/>
      <c r="I34" s="1360"/>
      <c r="J34" s="1360"/>
      <c r="K34" s="1402"/>
      <c r="L34" s="1361"/>
      <c r="M34" s="1353"/>
      <c r="N34" s="1353"/>
      <c r="O34" s="1354"/>
      <c r="P34" s="1354"/>
      <c r="Q34" s="1354"/>
      <c r="R34" s="1354"/>
      <c r="S34" s="1354"/>
      <c r="T34" s="1354"/>
      <c r="U34" s="1354"/>
      <c r="V34" s="1354"/>
      <c r="AA34" s="1358"/>
      <c r="AB34" s="1358"/>
      <c r="AC34" s="1358"/>
      <c r="AD34" s="1358"/>
      <c r="AE34" s="1358"/>
      <c r="AF34" s="1358"/>
      <c r="AG34" s="1358"/>
      <c r="AH34" s="1358"/>
      <c r="AI34" s="1358"/>
      <c r="AJ34" s="1358"/>
      <c r="AK34" s="1358"/>
      <c r="AL34" s="1358"/>
      <c r="AM34" s="1358"/>
      <c r="AN34" s="1358"/>
      <c r="AO34" s="1358"/>
      <c r="AP34" s="1358"/>
      <c r="AQ34" s="1358"/>
      <c r="AR34" s="1358"/>
      <c r="AS34" s="1358"/>
      <c r="AT34" s="1358"/>
      <c r="AU34" s="1358"/>
      <c r="AV34" s="1358"/>
      <c r="AW34" s="1358"/>
      <c r="AX34" s="1358"/>
      <c r="AY34" s="1358"/>
      <c r="AZ34" s="1358"/>
      <c r="BA34" s="1358"/>
      <c r="BB34" s="1358"/>
      <c r="BC34" s="1358"/>
      <c r="BD34" s="1358"/>
      <c r="BE34" s="1358"/>
      <c r="BF34" s="1358"/>
      <c r="BG34" s="1358"/>
      <c r="BH34" s="1358"/>
      <c r="BI34" s="1358"/>
      <c r="BJ34" s="1358"/>
      <c r="BK34" s="1358"/>
      <c r="BL34" s="1358"/>
      <c r="BM34" s="1358"/>
      <c r="BN34" s="1358"/>
      <c r="BO34" s="1358"/>
      <c r="BP34" s="1358"/>
      <c r="BQ34" s="1358"/>
    </row>
    <row r="35" spans="1:70" s="1374" customFormat="1" ht="16.5" thickTop="1" x14ac:dyDescent="0.25">
      <c r="A35" s="1353"/>
      <c r="B35" s="1353"/>
      <c r="C35" s="1353"/>
      <c r="D35" s="1353"/>
      <c r="E35" s="1353"/>
      <c r="F35" s="1353"/>
      <c r="G35" s="1353"/>
      <c r="H35" s="1353"/>
      <c r="I35" s="1353"/>
      <c r="J35" s="1353"/>
      <c r="K35" s="1387"/>
      <c r="L35" s="1353"/>
      <c r="M35" s="1353"/>
      <c r="N35" s="1353"/>
      <c r="O35" s="1354"/>
      <c r="P35" s="1354"/>
      <c r="Q35" s="1354"/>
      <c r="R35" s="1354"/>
      <c r="S35" s="1354"/>
      <c r="T35" s="1354"/>
      <c r="U35" s="1354"/>
      <c r="V35" s="1354"/>
      <c r="AA35" s="1358"/>
      <c r="AB35" s="1358"/>
      <c r="AC35" s="1358"/>
      <c r="AD35" s="1358"/>
      <c r="AE35" s="1358"/>
      <c r="AF35" s="1358"/>
      <c r="AG35" s="1358"/>
      <c r="AH35" s="1358"/>
      <c r="AI35" s="1358"/>
      <c r="AJ35" s="1358"/>
      <c r="AK35" s="1358"/>
      <c r="AL35" s="1358"/>
      <c r="AM35" s="1358"/>
      <c r="AN35" s="1358"/>
      <c r="AO35" s="1358"/>
      <c r="AP35" s="1358"/>
      <c r="AQ35" s="1358"/>
      <c r="AR35" s="1358"/>
      <c r="AS35" s="1358"/>
      <c r="AT35" s="1358"/>
      <c r="AU35" s="1358"/>
      <c r="AV35" s="1358"/>
      <c r="AW35" s="1358"/>
      <c r="AX35" s="1358"/>
      <c r="AY35" s="1358"/>
      <c r="AZ35" s="1358"/>
      <c r="BA35" s="1358"/>
      <c r="BB35" s="1358"/>
      <c r="BC35" s="1358"/>
      <c r="BD35" s="1358"/>
      <c r="BE35" s="1358"/>
      <c r="BF35" s="1358"/>
      <c r="BG35" s="1358"/>
      <c r="BH35" s="1358"/>
      <c r="BI35" s="1358"/>
      <c r="BJ35" s="1358"/>
      <c r="BK35" s="1358"/>
      <c r="BL35" s="1358"/>
      <c r="BM35" s="1358"/>
      <c r="BN35" s="1358"/>
      <c r="BO35" s="1358"/>
      <c r="BP35" s="1358"/>
      <c r="BQ35" s="1358"/>
    </row>
    <row r="36" spans="1:70" s="1374" customFormat="1" x14ac:dyDescent="0.25">
      <c r="A36" s="1353"/>
      <c r="B36" s="1353"/>
      <c r="C36" s="1353"/>
      <c r="D36" s="1353"/>
      <c r="E36" s="1353"/>
      <c r="F36" s="1353"/>
      <c r="G36" s="1353"/>
      <c r="H36" s="1353"/>
      <c r="I36" s="1353"/>
      <c r="J36" s="1353"/>
      <c r="K36" s="1387"/>
      <c r="L36" s="1353"/>
      <c r="M36" s="1353"/>
      <c r="N36" s="1353"/>
      <c r="O36" s="1354"/>
      <c r="P36" s="1354"/>
      <c r="Q36" s="1354"/>
      <c r="R36" s="1354"/>
      <c r="S36" s="1354"/>
      <c r="T36" s="1354"/>
      <c r="U36" s="1354"/>
      <c r="V36" s="1354"/>
      <c r="AA36" s="1358"/>
      <c r="AB36" s="1358"/>
      <c r="AC36" s="1358"/>
      <c r="AD36" s="1358"/>
      <c r="AE36" s="1358"/>
      <c r="AF36" s="1358"/>
      <c r="AG36" s="1358"/>
      <c r="AH36" s="1358"/>
      <c r="AI36" s="1358"/>
      <c r="AJ36" s="1358"/>
      <c r="AK36" s="1358"/>
      <c r="AL36" s="1358"/>
      <c r="AM36" s="1358"/>
      <c r="AN36" s="1358"/>
      <c r="AO36" s="1358"/>
      <c r="AP36" s="1358"/>
      <c r="AQ36" s="1358"/>
      <c r="AR36" s="1358"/>
      <c r="AS36" s="1358"/>
      <c r="AT36" s="1358"/>
      <c r="AU36" s="1358"/>
      <c r="AV36" s="1358"/>
      <c r="AW36" s="1358"/>
      <c r="AX36" s="1358"/>
      <c r="AY36" s="1358"/>
      <c r="AZ36" s="1358"/>
      <c r="BA36" s="1358"/>
      <c r="BB36" s="1358"/>
      <c r="BC36" s="1358"/>
      <c r="BD36" s="1358"/>
      <c r="BE36" s="1358"/>
      <c r="BF36" s="1358"/>
      <c r="BG36" s="1358"/>
      <c r="BH36" s="1358"/>
      <c r="BI36" s="1358"/>
      <c r="BJ36" s="1358"/>
      <c r="BK36" s="1358"/>
      <c r="BL36" s="1358"/>
      <c r="BM36" s="1358"/>
      <c r="BN36" s="1358"/>
      <c r="BO36" s="1358"/>
      <c r="BP36" s="1358"/>
      <c r="BQ36" s="1358"/>
    </row>
    <row r="37" spans="1:70" s="1374" customFormat="1" x14ac:dyDescent="0.25">
      <c r="A37" s="1353"/>
      <c r="B37" s="1353"/>
      <c r="C37" s="1353"/>
      <c r="D37" s="1353"/>
      <c r="E37" s="1353"/>
      <c r="F37" s="1353"/>
      <c r="G37" s="1353"/>
      <c r="H37" s="1353"/>
      <c r="I37" s="1353"/>
      <c r="J37" s="1353"/>
      <c r="K37" s="1387"/>
      <c r="L37" s="1353"/>
      <c r="M37" s="1353"/>
      <c r="N37" s="1353"/>
      <c r="O37" s="1354"/>
      <c r="P37" s="1354"/>
      <c r="Q37" s="1354"/>
      <c r="R37" s="1354"/>
      <c r="S37" s="1354"/>
      <c r="T37" s="1354"/>
      <c r="U37" s="1354"/>
      <c r="V37" s="1354"/>
      <c r="W37" s="1358"/>
      <c r="X37" s="1358"/>
      <c r="Y37" s="1358"/>
      <c r="Z37" s="1358"/>
      <c r="AA37" s="1358"/>
      <c r="AB37" s="1358"/>
      <c r="AC37" s="1358"/>
      <c r="AD37" s="1358"/>
      <c r="AE37" s="1358"/>
      <c r="AF37" s="1358"/>
      <c r="AG37" s="1358"/>
      <c r="AH37" s="1358"/>
      <c r="AI37" s="1358"/>
      <c r="AJ37" s="1358"/>
      <c r="AK37" s="1358"/>
      <c r="AL37" s="1358"/>
      <c r="AM37" s="1358"/>
      <c r="AN37" s="1358"/>
      <c r="AO37" s="1358"/>
      <c r="AP37" s="1358"/>
      <c r="AQ37" s="1358"/>
      <c r="AR37" s="1358"/>
      <c r="AS37" s="1358"/>
      <c r="AT37" s="1358"/>
      <c r="AU37" s="1358"/>
      <c r="AV37" s="1358"/>
      <c r="AW37" s="1358"/>
      <c r="AX37" s="1358"/>
      <c r="AY37" s="1358"/>
      <c r="AZ37" s="1358"/>
      <c r="BA37" s="1358"/>
      <c r="BB37" s="1358"/>
      <c r="BC37" s="1358"/>
      <c r="BD37" s="1358"/>
      <c r="BE37" s="1358"/>
      <c r="BF37" s="1358"/>
      <c r="BG37" s="1358"/>
      <c r="BH37" s="1358"/>
      <c r="BI37" s="1358"/>
      <c r="BJ37" s="1358"/>
      <c r="BK37" s="1358"/>
      <c r="BL37" s="1358"/>
      <c r="BM37" s="1358"/>
      <c r="BN37" s="1358"/>
      <c r="BO37" s="1358"/>
      <c r="BP37" s="1358"/>
      <c r="BQ37" s="1358"/>
    </row>
    <row r="38" spans="1:70" s="1354" customFormat="1" x14ac:dyDescent="0.25">
      <c r="A38" s="1353"/>
      <c r="B38" s="1353"/>
      <c r="C38" s="1353"/>
      <c r="D38" s="1353"/>
      <c r="E38" s="1353"/>
      <c r="F38" s="1353"/>
      <c r="G38" s="1353"/>
      <c r="H38" s="1353"/>
      <c r="I38" s="1353"/>
      <c r="J38" s="1353"/>
      <c r="K38" s="1387"/>
      <c r="L38" s="1353"/>
      <c r="M38" s="1353"/>
      <c r="N38" s="1353"/>
      <c r="W38" s="1358"/>
      <c r="X38" s="1358"/>
      <c r="Y38" s="1358"/>
      <c r="Z38" s="1358"/>
      <c r="AA38" s="1358"/>
      <c r="AB38" s="1358"/>
      <c r="AC38" s="1358"/>
      <c r="AD38" s="1358"/>
      <c r="AE38" s="1358"/>
      <c r="AF38" s="1358"/>
      <c r="AG38" s="1358"/>
      <c r="AH38" s="1358"/>
      <c r="AI38" s="1358"/>
      <c r="AJ38" s="1358"/>
      <c r="AK38" s="1358"/>
      <c r="AL38" s="1358"/>
      <c r="AM38" s="1358"/>
      <c r="AN38" s="1358"/>
      <c r="AO38" s="1358"/>
      <c r="AP38" s="1358"/>
      <c r="AQ38" s="1358"/>
      <c r="AR38" s="1358"/>
      <c r="AS38" s="1358"/>
      <c r="AT38" s="1358"/>
      <c r="AU38" s="1358"/>
      <c r="AV38" s="1358"/>
      <c r="AW38" s="1358"/>
      <c r="AX38" s="1358"/>
      <c r="AY38" s="1358"/>
      <c r="AZ38" s="1358"/>
      <c r="BA38" s="1358"/>
      <c r="BB38" s="1358"/>
      <c r="BC38" s="1358"/>
      <c r="BD38" s="1358"/>
      <c r="BE38" s="1358"/>
      <c r="BF38" s="1358"/>
      <c r="BG38" s="1358"/>
      <c r="BH38" s="1358"/>
      <c r="BI38" s="1358"/>
      <c r="BJ38" s="1358"/>
      <c r="BK38" s="1358"/>
      <c r="BL38" s="1358"/>
      <c r="BM38" s="1358"/>
      <c r="BN38" s="1358"/>
      <c r="BO38" s="1358"/>
      <c r="BP38" s="1358"/>
      <c r="BQ38" s="1358"/>
    </row>
    <row r="39" spans="1:70" s="1354" customFormat="1" x14ac:dyDescent="0.25">
      <c r="A39" s="1353"/>
      <c r="B39" s="1353"/>
      <c r="C39" s="1353"/>
      <c r="D39" s="1353"/>
      <c r="E39" s="1353"/>
      <c r="F39" s="1353"/>
      <c r="G39" s="1353"/>
      <c r="H39" s="1353"/>
      <c r="I39" s="1353"/>
      <c r="J39" s="1353"/>
      <c r="K39" s="1387"/>
      <c r="L39" s="1353"/>
      <c r="M39" s="1353"/>
      <c r="N39" s="1353"/>
      <c r="W39" s="1358"/>
      <c r="X39" s="1358"/>
      <c r="Y39" s="1358"/>
      <c r="Z39" s="1358"/>
      <c r="AA39" s="1358"/>
      <c r="AB39" s="1358"/>
      <c r="AC39" s="1358"/>
      <c r="AD39" s="1358"/>
      <c r="AE39" s="1358"/>
      <c r="AF39" s="1358"/>
      <c r="AG39" s="1358"/>
      <c r="AH39" s="1358"/>
      <c r="AI39" s="1358"/>
      <c r="AJ39" s="1358"/>
      <c r="AK39" s="1358"/>
      <c r="AL39" s="1358"/>
      <c r="AM39" s="1358"/>
      <c r="AN39" s="1358"/>
      <c r="AO39" s="1358"/>
      <c r="AP39" s="1358"/>
      <c r="AQ39" s="1358"/>
      <c r="AR39" s="1358"/>
      <c r="AS39" s="1358"/>
      <c r="AT39" s="1358"/>
      <c r="AU39" s="1358"/>
      <c r="AV39" s="1358"/>
      <c r="AW39" s="1358"/>
      <c r="AX39" s="1358"/>
      <c r="AY39" s="1358"/>
      <c r="AZ39" s="1358"/>
      <c r="BA39" s="1358"/>
      <c r="BB39" s="1358"/>
      <c r="BC39" s="1358"/>
      <c r="BD39" s="1358"/>
      <c r="BE39" s="1358"/>
      <c r="BF39" s="1358"/>
      <c r="BG39" s="1358"/>
      <c r="BH39" s="1358"/>
      <c r="BI39" s="1358"/>
      <c r="BJ39" s="1358"/>
      <c r="BK39" s="1358"/>
      <c r="BL39" s="1358"/>
      <c r="BM39" s="1358"/>
      <c r="BN39" s="1358"/>
      <c r="BO39" s="1358"/>
      <c r="BP39" s="1358"/>
      <c r="BQ39" s="1358"/>
    </row>
    <row r="40" spans="1:70" s="1354" customFormat="1" x14ac:dyDescent="0.25">
      <c r="A40" s="1353"/>
      <c r="B40" s="1353"/>
      <c r="C40" s="1353"/>
      <c r="D40" s="1353"/>
      <c r="E40" s="1353"/>
      <c r="F40" s="1353"/>
      <c r="G40" s="1353"/>
      <c r="H40" s="1353"/>
      <c r="I40" s="1353"/>
      <c r="J40" s="1353"/>
      <c r="K40" s="1387"/>
      <c r="L40" s="1353"/>
      <c r="M40" s="1353"/>
      <c r="N40" s="1353"/>
      <c r="W40" s="1358"/>
      <c r="X40" s="1358"/>
      <c r="Y40" s="1358"/>
      <c r="Z40" s="1358"/>
      <c r="AA40" s="1358"/>
      <c r="AB40" s="1358"/>
      <c r="AC40" s="1358"/>
      <c r="AD40" s="1358"/>
      <c r="AE40" s="1358"/>
      <c r="AF40" s="1358"/>
      <c r="AG40" s="1358"/>
      <c r="AH40" s="1358"/>
      <c r="AI40" s="1358"/>
      <c r="AJ40" s="1358"/>
      <c r="AK40" s="1358"/>
      <c r="AL40" s="1358"/>
      <c r="AM40" s="1358"/>
      <c r="AN40" s="1358"/>
      <c r="AO40" s="1358"/>
      <c r="AP40" s="1358"/>
      <c r="AQ40" s="1358"/>
      <c r="AR40" s="1358"/>
      <c r="AS40" s="1358"/>
      <c r="AT40" s="1358"/>
      <c r="AU40" s="1358"/>
      <c r="AV40" s="1358"/>
      <c r="AW40" s="1358"/>
      <c r="AX40" s="1358"/>
      <c r="AY40" s="1358"/>
      <c r="AZ40" s="1358"/>
      <c r="BA40" s="1358"/>
      <c r="BB40" s="1358"/>
      <c r="BC40" s="1358"/>
      <c r="BD40" s="1358"/>
      <c r="BE40" s="1358"/>
      <c r="BF40" s="1358"/>
      <c r="BG40" s="1358"/>
      <c r="BH40" s="1358"/>
      <c r="BI40" s="1358"/>
      <c r="BJ40" s="1358"/>
      <c r="BK40" s="1358"/>
      <c r="BL40" s="1358"/>
      <c r="BM40" s="1358"/>
      <c r="BN40" s="1358"/>
      <c r="BO40" s="1358"/>
      <c r="BP40" s="1358"/>
      <c r="BQ40" s="1358"/>
    </row>
    <row r="41" spans="1:70" s="1354" customFormat="1" x14ac:dyDescent="0.25">
      <c r="A41" s="1353"/>
      <c r="B41" s="1353"/>
      <c r="C41" s="1353"/>
      <c r="D41" s="1353"/>
      <c r="E41" s="1353"/>
      <c r="F41" s="1353"/>
      <c r="G41" s="1353"/>
      <c r="H41" s="1353"/>
      <c r="I41" s="1353"/>
      <c r="J41" s="1353"/>
      <c r="K41" s="1387"/>
      <c r="L41" s="1353"/>
      <c r="M41" s="1353"/>
      <c r="N41" s="1353"/>
      <c r="W41" s="1358"/>
      <c r="X41" s="1358"/>
      <c r="Y41" s="1358"/>
      <c r="Z41" s="1358"/>
      <c r="AA41" s="1358"/>
      <c r="AB41" s="1358"/>
      <c r="AC41" s="1358"/>
      <c r="AD41" s="1358"/>
      <c r="AE41" s="1358"/>
      <c r="AF41" s="1358"/>
      <c r="AG41" s="1358"/>
      <c r="AH41" s="1358"/>
      <c r="AI41" s="1358"/>
      <c r="AJ41" s="1358"/>
      <c r="AK41" s="1358"/>
      <c r="AL41" s="1358"/>
      <c r="AM41" s="1358"/>
      <c r="AN41" s="1358"/>
      <c r="AO41" s="1358"/>
      <c r="AP41" s="1358"/>
      <c r="AQ41" s="1358"/>
      <c r="AR41" s="1358"/>
      <c r="AS41" s="1358"/>
      <c r="AT41" s="1358"/>
      <c r="AU41" s="1358"/>
      <c r="AV41" s="1358"/>
      <c r="AW41" s="1358"/>
      <c r="AX41" s="1358"/>
      <c r="AY41" s="1358"/>
      <c r="AZ41" s="1358"/>
      <c r="BA41" s="1358"/>
      <c r="BB41" s="1358"/>
      <c r="BC41" s="1358"/>
      <c r="BD41" s="1358"/>
      <c r="BE41" s="1358"/>
      <c r="BF41" s="1358"/>
      <c r="BG41" s="1358"/>
      <c r="BH41" s="1358"/>
      <c r="BI41" s="1358"/>
      <c r="BJ41" s="1358"/>
      <c r="BK41" s="1358"/>
      <c r="BL41" s="1358"/>
      <c r="BM41" s="1358"/>
      <c r="BN41" s="1358"/>
      <c r="BO41" s="1358"/>
      <c r="BP41" s="1358"/>
      <c r="BQ41" s="1358"/>
    </row>
    <row r="42" spans="1:70" s="1354" customFormat="1" x14ac:dyDescent="0.25">
      <c r="A42" s="1353"/>
      <c r="B42" s="1353"/>
      <c r="C42" s="1353"/>
      <c r="D42" s="1353"/>
      <c r="E42" s="1353"/>
      <c r="F42" s="1353"/>
      <c r="G42" s="1353"/>
      <c r="H42" s="1353"/>
      <c r="I42" s="1353"/>
      <c r="J42" s="1353"/>
      <c r="K42" s="1387"/>
      <c r="L42" s="1353"/>
      <c r="M42" s="1353"/>
      <c r="N42" s="1353"/>
      <c r="V42" s="1358"/>
      <c r="W42" s="1358"/>
      <c r="X42" s="1358"/>
      <c r="Y42" s="1358"/>
      <c r="Z42" s="1358"/>
      <c r="AA42" s="1358"/>
      <c r="AB42" s="1358"/>
      <c r="AC42" s="1358"/>
      <c r="AD42" s="1358"/>
      <c r="AE42" s="1358"/>
      <c r="AF42" s="1358"/>
      <c r="AG42" s="1358"/>
      <c r="AH42" s="1358"/>
      <c r="AI42" s="1358"/>
      <c r="AJ42" s="1358"/>
      <c r="AK42" s="1358"/>
      <c r="AL42" s="1358"/>
      <c r="AM42" s="1358"/>
      <c r="AN42" s="1358"/>
      <c r="AO42" s="1358"/>
      <c r="AP42" s="1358"/>
      <c r="AQ42" s="1358"/>
      <c r="AR42" s="1358"/>
      <c r="AS42" s="1358"/>
      <c r="AT42" s="1358"/>
      <c r="AU42" s="1358"/>
      <c r="AV42" s="1358"/>
      <c r="AW42" s="1358"/>
      <c r="AX42" s="1358"/>
      <c r="AY42" s="1358"/>
      <c r="AZ42" s="1358"/>
      <c r="BA42" s="1358"/>
      <c r="BB42" s="1358"/>
      <c r="BC42" s="1358"/>
      <c r="BD42" s="1358"/>
      <c r="BE42" s="1358"/>
      <c r="BF42" s="1358"/>
      <c r="BG42" s="1358"/>
      <c r="BH42" s="1358"/>
      <c r="BI42" s="1358"/>
      <c r="BJ42" s="1358"/>
      <c r="BK42" s="1358"/>
      <c r="BL42" s="1358"/>
      <c r="BM42" s="1358"/>
      <c r="BN42" s="1358"/>
      <c r="BO42" s="1358"/>
      <c r="BP42" s="1358"/>
      <c r="BQ42" s="1358"/>
    </row>
    <row r="43" spans="1:70" s="1354" customFormat="1" x14ac:dyDescent="0.25">
      <c r="A43" s="1353"/>
      <c r="B43" s="1353"/>
      <c r="C43" s="1353"/>
      <c r="D43" s="1353"/>
      <c r="E43" s="1353"/>
      <c r="F43" s="1353"/>
      <c r="G43" s="1353"/>
      <c r="H43" s="1353"/>
      <c r="I43" s="1353"/>
      <c r="J43" s="1353"/>
      <c r="K43" s="1387"/>
      <c r="L43" s="1353"/>
      <c r="M43" s="1353"/>
      <c r="N43" s="1353"/>
      <c r="V43" s="1358"/>
      <c r="W43" s="1358"/>
      <c r="X43" s="1358"/>
      <c r="Y43" s="1358"/>
      <c r="Z43" s="1358"/>
      <c r="AA43" s="1358"/>
      <c r="AB43" s="1358"/>
      <c r="AC43" s="1358"/>
      <c r="AD43" s="1358"/>
      <c r="AE43" s="1358"/>
      <c r="AF43" s="1358"/>
      <c r="AG43" s="1358"/>
      <c r="AH43" s="1358"/>
      <c r="AI43" s="1358"/>
      <c r="AJ43" s="1358"/>
      <c r="AK43" s="1358"/>
      <c r="AL43" s="1358"/>
      <c r="AM43" s="1358"/>
      <c r="AN43" s="1358"/>
      <c r="AO43" s="1358"/>
      <c r="AP43" s="1358"/>
      <c r="AQ43" s="1358"/>
      <c r="AR43" s="1358"/>
      <c r="AS43" s="1358"/>
      <c r="AT43" s="1358"/>
      <c r="AU43" s="1358"/>
      <c r="AV43" s="1358"/>
      <c r="AW43" s="1358"/>
      <c r="AX43" s="1358"/>
      <c r="AY43" s="1358"/>
      <c r="AZ43" s="1358"/>
      <c r="BA43" s="1358"/>
      <c r="BB43" s="1358"/>
      <c r="BC43" s="1358"/>
      <c r="BD43" s="1358"/>
      <c r="BE43" s="1358"/>
      <c r="BF43" s="1358"/>
      <c r="BG43" s="1358"/>
      <c r="BH43" s="1358"/>
      <c r="BI43" s="1358"/>
      <c r="BJ43" s="1358"/>
      <c r="BK43" s="1358"/>
      <c r="BL43" s="1358"/>
      <c r="BM43" s="1358"/>
      <c r="BN43" s="1358"/>
      <c r="BO43" s="1358"/>
      <c r="BP43" s="1358"/>
      <c r="BQ43" s="1358"/>
    </row>
    <row r="44" spans="1:70" s="1354" customFormat="1" x14ac:dyDescent="0.25">
      <c r="A44" s="1353"/>
      <c r="B44" s="1353"/>
      <c r="C44" s="1353"/>
      <c r="D44" s="1353"/>
      <c r="E44" s="1353"/>
      <c r="F44" s="1353"/>
      <c r="G44" s="1353"/>
      <c r="H44" s="1353"/>
      <c r="I44" s="1353"/>
      <c r="J44" s="1353"/>
      <c r="K44" s="1387"/>
      <c r="L44" s="1353"/>
      <c r="M44" s="1353"/>
      <c r="N44" s="1353"/>
      <c r="V44" s="1358"/>
      <c r="W44" s="1358"/>
      <c r="X44" s="1358"/>
      <c r="Y44" s="1358"/>
      <c r="Z44" s="1358"/>
      <c r="AA44" s="1358"/>
      <c r="AB44" s="1358"/>
      <c r="AC44" s="1358"/>
      <c r="AD44" s="1358"/>
      <c r="AE44" s="1358"/>
      <c r="AF44" s="1358"/>
      <c r="AG44" s="1358"/>
      <c r="AH44" s="1358"/>
      <c r="AI44" s="1358"/>
      <c r="AJ44" s="1358"/>
      <c r="AK44" s="1358"/>
      <c r="AL44" s="1358"/>
      <c r="AM44" s="1358"/>
      <c r="AN44" s="1358"/>
      <c r="AO44" s="1358"/>
      <c r="AP44" s="1358"/>
      <c r="AQ44" s="1358"/>
      <c r="AR44" s="1358"/>
      <c r="AS44" s="1358"/>
      <c r="AT44" s="1358"/>
      <c r="AU44" s="1358"/>
      <c r="AV44" s="1358"/>
      <c r="AW44" s="1358"/>
      <c r="AX44" s="1358"/>
      <c r="AY44" s="1358"/>
      <c r="AZ44" s="1358"/>
      <c r="BA44" s="1358"/>
      <c r="BB44" s="1358"/>
      <c r="BC44" s="1358"/>
      <c r="BD44" s="1358"/>
      <c r="BE44" s="1358"/>
      <c r="BF44" s="1358"/>
      <c r="BG44" s="1358"/>
      <c r="BH44" s="1358"/>
      <c r="BI44" s="1358"/>
      <c r="BJ44" s="1358"/>
      <c r="BK44" s="1358"/>
      <c r="BL44" s="1358"/>
      <c r="BM44" s="1358"/>
      <c r="BN44" s="1358"/>
      <c r="BO44" s="1358"/>
      <c r="BP44" s="1358"/>
      <c r="BQ44" s="1358"/>
    </row>
    <row r="45" spans="1:70" s="1354" customFormat="1" x14ac:dyDescent="0.25">
      <c r="A45" s="1353"/>
      <c r="B45" s="1353"/>
      <c r="C45" s="1353"/>
      <c r="D45" s="1353"/>
      <c r="E45" s="1353"/>
      <c r="F45" s="1353"/>
      <c r="G45" s="1353"/>
      <c r="H45" s="1353"/>
      <c r="I45" s="1353"/>
      <c r="J45" s="1353"/>
      <c r="K45" s="1387"/>
      <c r="L45" s="1353"/>
      <c r="M45" s="1353"/>
      <c r="N45" s="1353"/>
      <c r="V45" s="1358"/>
      <c r="W45" s="1358"/>
      <c r="X45" s="1358"/>
      <c r="Y45" s="1358"/>
      <c r="Z45" s="1358"/>
      <c r="AA45" s="1358"/>
      <c r="AB45" s="1358"/>
      <c r="AC45" s="1358"/>
      <c r="AD45" s="1358"/>
      <c r="AE45" s="1358"/>
      <c r="AF45" s="1358"/>
      <c r="AG45" s="1358"/>
      <c r="AH45" s="1358"/>
      <c r="AI45" s="1358"/>
      <c r="AJ45" s="1358"/>
      <c r="AK45" s="1358"/>
      <c r="AL45" s="1358"/>
      <c r="AM45" s="1358"/>
      <c r="AN45" s="1358"/>
      <c r="AO45" s="1358"/>
      <c r="AP45" s="1358"/>
      <c r="AQ45" s="1358"/>
      <c r="AR45" s="1358"/>
      <c r="AS45" s="1358"/>
      <c r="AT45" s="1358"/>
      <c r="AU45" s="1358"/>
      <c r="AV45" s="1358"/>
      <c r="AW45" s="1358"/>
      <c r="AX45" s="1358"/>
      <c r="AY45" s="1358"/>
      <c r="AZ45" s="1358"/>
      <c r="BA45" s="1358"/>
      <c r="BB45" s="1358"/>
      <c r="BC45" s="1358"/>
      <c r="BD45" s="1358"/>
      <c r="BE45" s="1358"/>
      <c r="BF45" s="1358"/>
      <c r="BG45" s="1358"/>
      <c r="BH45" s="1358"/>
      <c r="BI45" s="1358"/>
      <c r="BJ45" s="1358"/>
      <c r="BK45" s="1358"/>
      <c r="BL45" s="1358"/>
      <c r="BM45" s="1358"/>
      <c r="BN45" s="1358"/>
      <c r="BO45" s="1358"/>
      <c r="BP45" s="1358"/>
      <c r="BQ45" s="1358"/>
    </row>
    <row r="46" spans="1:70" s="1354" customFormat="1" x14ac:dyDescent="0.25">
      <c r="A46" s="1353"/>
      <c r="B46" s="1353"/>
      <c r="C46" s="1353"/>
      <c r="D46" s="1353"/>
      <c r="E46" s="1353"/>
      <c r="F46" s="1353"/>
      <c r="G46" s="1353"/>
      <c r="H46" s="1353"/>
      <c r="I46" s="1353"/>
      <c r="J46" s="1353"/>
      <c r="K46" s="1387"/>
      <c r="L46" s="1353"/>
      <c r="M46" s="1353"/>
      <c r="N46" s="1353"/>
      <c r="V46" s="1358"/>
      <c r="W46" s="1358"/>
      <c r="X46" s="1358"/>
      <c r="Y46" s="1358"/>
      <c r="Z46" s="1358"/>
      <c r="AA46" s="1358"/>
      <c r="AB46" s="1358"/>
      <c r="AC46" s="1358"/>
      <c r="AD46" s="1358"/>
      <c r="AE46" s="1358"/>
      <c r="AF46" s="1358"/>
      <c r="AG46" s="1358"/>
      <c r="AH46" s="1358"/>
      <c r="AI46" s="1358"/>
      <c r="AJ46" s="1358"/>
      <c r="AK46" s="1358"/>
      <c r="AL46" s="1358"/>
      <c r="AM46" s="1358"/>
      <c r="AN46" s="1358"/>
      <c r="AO46" s="1358"/>
      <c r="AP46" s="1358"/>
      <c r="AQ46" s="1358"/>
      <c r="AR46" s="1358"/>
      <c r="AS46" s="1358"/>
      <c r="AT46" s="1358"/>
      <c r="AU46" s="1358"/>
      <c r="AV46" s="1358"/>
      <c r="AW46" s="1358"/>
      <c r="AX46" s="1358"/>
      <c r="AY46" s="1358"/>
      <c r="AZ46" s="1358"/>
      <c r="BA46" s="1358"/>
      <c r="BB46" s="1358"/>
      <c r="BC46" s="1358"/>
      <c r="BD46" s="1358"/>
      <c r="BE46" s="1358"/>
      <c r="BF46" s="1358"/>
      <c r="BG46" s="1358"/>
      <c r="BH46" s="1358"/>
      <c r="BI46" s="1358"/>
      <c r="BJ46" s="1358"/>
      <c r="BK46" s="1358"/>
      <c r="BL46" s="1358"/>
      <c r="BM46" s="1358"/>
      <c r="BN46" s="1358"/>
      <c r="BO46" s="1358"/>
      <c r="BP46" s="1358"/>
      <c r="BQ46" s="1358"/>
    </row>
    <row r="47" spans="1:70" s="1354" customFormat="1" x14ac:dyDescent="0.25">
      <c r="A47" s="1353"/>
      <c r="B47" s="1353"/>
      <c r="C47" s="1353"/>
      <c r="D47" s="1353"/>
      <c r="E47" s="1353"/>
      <c r="F47" s="1353"/>
      <c r="G47" s="1353"/>
      <c r="H47" s="1353"/>
      <c r="I47" s="1353"/>
      <c r="J47" s="1353"/>
      <c r="K47" s="1387"/>
      <c r="L47" s="1353"/>
      <c r="M47" s="1353"/>
      <c r="N47" s="1353"/>
      <c r="V47" s="1358"/>
      <c r="W47" s="1358"/>
      <c r="X47" s="1358"/>
      <c r="Y47" s="1358"/>
      <c r="Z47" s="1358"/>
      <c r="AA47" s="1358"/>
      <c r="AB47" s="1358"/>
      <c r="AC47" s="1358"/>
      <c r="AD47" s="1358"/>
      <c r="AE47" s="1358"/>
      <c r="AF47" s="1358"/>
      <c r="AG47" s="1358"/>
      <c r="AH47" s="1358"/>
      <c r="AI47" s="1358"/>
      <c r="AJ47" s="1358"/>
      <c r="AK47" s="1358"/>
      <c r="AL47" s="1358"/>
      <c r="AM47" s="1358"/>
      <c r="AN47" s="1358"/>
      <c r="AO47" s="1358"/>
      <c r="AP47" s="1358"/>
      <c r="AQ47" s="1358"/>
      <c r="AR47" s="1358"/>
      <c r="AS47" s="1358"/>
      <c r="AT47" s="1358"/>
      <c r="AU47" s="1358"/>
      <c r="AV47" s="1358"/>
      <c r="AW47" s="1358"/>
      <c r="AX47" s="1358"/>
      <c r="AY47" s="1358"/>
      <c r="AZ47" s="1358"/>
      <c r="BA47" s="1358"/>
      <c r="BB47" s="1358"/>
      <c r="BC47" s="1358"/>
      <c r="BD47" s="1358"/>
      <c r="BE47" s="1358"/>
      <c r="BF47" s="1358"/>
      <c r="BG47" s="1358"/>
      <c r="BH47" s="1358"/>
      <c r="BI47" s="1358"/>
      <c r="BJ47" s="1358"/>
      <c r="BK47" s="1358"/>
      <c r="BL47" s="1358"/>
      <c r="BM47" s="1358"/>
      <c r="BN47" s="1358"/>
      <c r="BO47" s="1358"/>
      <c r="BP47" s="1358"/>
      <c r="BQ47" s="1358"/>
    </row>
    <row r="48" spans="1:70" s="1354" customFormat="1" x14ac:dyDescent="0.25">
      <c r="A48" s="1353"/>
      <c r="B48" s="1353"/>
      <c r="C48" s="1353"/>
      <c r="D48" s="1353"/>
      <c r="E48" s="1353"/>
      <c r="F48" s="1353"/>
      <c r="G48" s="1353"/>
      <c r="H48" s="1353"/>
      <c r="I48" s="1353"/>
      <c r="J48" s="1353"/>
      <c r="K48" s="1387"/>
      <c r="L48" s="1353"/>
      <c r="M48" s="1353"/>
      <c r="N48" s="1353"/>
      <c r="V48" s="1358"/>
      <c r="W48" s="1358"/>
      <c r="X48" s="1358"/>
      <c r="Y48" s="1358"/>
      <c r="Z48" s="1358"/>
      <c r="AA48" s="1358"/>
      <c r="AB48" s="1358"/>
      <c r="AC48" s="1358"/>
      <c r="AD48" s="1358"/>
      <c r="AE48" s="1358"/>
      <c r="AF48" s="1358"/>
      <c r="AG48" s="1358"/>
      <c r="AH48" s="1358"/>
      <c r="AI48" s="1358"/>
      <c r="AJ48" s="1358"/>
      <c r="AK48" s="1358"/>
      <c r="AL48" s="1358"/>
      <c r="AM48" s="1358"/>
      <c r="AN48" s="1358"/>
      <c r="AO48" s="1358"/>
      <c r="AP48" s="1358"/>
      <c r="AQ48" s="1358"/>
      <c r="AR48" s="1358"/>
      <c r="AS48" s="1358"/>
      <c r="AT48" s="1358"/>
      <c r="AU48" s="1358"/>
      <c r="AV48" s="1358"/>
      <c r="AW48" s="1358"/>
      <c r="AX48" s="1358"/>
      <c r="AY48" s="1358"/>
      <c r="AZ48" s="1358"/>
      <c r="BA48" s="1358"/>
      <c r="BB48" s="1358"/>
      <c r="BC48" s="1358"/>
      <c r="BD48" s="1358"/>
      <c r="BE48" s="1358"/>
      <c r="BF48" s="1358"/>
      <c r="BG48" s="1358"/>
      <c r="BH48" s="1358"/>
      <c r="BI48" s="1358"/>
      <c r="BJ48" s="1358"/>
      <c r="BK48" s="1358"/>
      <c r="BL48" s="1358"/>
      <c r="BM48" s="1358"/>
      <c r="BN48" s="1358"/>
      <c r="BO48" s="1358"/>
      <c r="BP48" s="1358"/>
      <c r="BQ48" s="1358"/>
    </row>
    <row r="49" spans="1:69" s="1354" customFormat="1" x14ac:dyDescent="0.25">
      <c r="A49" s="1353"/>
      <c r="B49" s="1353"/>
      <c r="C49" s="1353"/>
      <c r="D49" s="1353"/>
      <c r="E49" s="1353"/>
      <c r="F49" s="1353"/>
      <c r="G49" s="1353"/>
      <c r="H49" s="1353"/>
      <c r="I49" s="1353"/>
      <c r="J49" s="1353"/>
      <c r="K49" s="1387"/>
      <c r="L49" s="1353"/>
      <c r="M49" s="1353"/>
      <c r="N49" s="1353"/>
      <c r="V49" s="1358"/>
      <c r="W49" s="1358"/>
      <c r="X49" s="1358"/>
      <c r="Y49" s="1358"/>
      <c r="Z49" s="1358"/>
      <c r="AA49" s="1358"/>
      <c r="AB49" s="1358"/>
      <c r="AC49" s="1358"/>
      <c r="AD49" s="1358"/>
      <c r="AE49" s="1358"/>
      <c r="AF49" s="1358"/>
      <c r="AG49" s="1358"/>
      <c r="AH49" s="1358"/>
      <c r="AI49" s="1358"/>
      <c r="AJ49" s="1358"/>
      <c r="AK49" s="1358"/>
      <c r="AL49" s="1358"/>
      <c r="AM49" s="1358"/>
      <c r="AN49" s="1358"/>
      <c r="AO49" s="1358"/>
      <c r="AP49" s="1358"/>
      <c r="AQ49" s="1358"/>
      <c r="AR49" s="1358"/>
      <c r="AS49" s="1358"/>
      <c r="AT49" s="1358"/>
      <c r="AU49" s="1358"/>
      <c r="AV49" s="1358"/>
      <c r="AW49" s="1358"/>
      <c r="AX49" s="1358"/>
      <c r="AY49" s="1358"/>
      <c r="AZ49" s="1358"/>
      <c r="BA49" s="1358"/>
      <c r="BB49" s="1358"/>
      <c r="BC49" s="1358"/>
      <c r="BD49" s="1358"/>
      <c r="BE49" s="1358"/>
      <c r="BF49" s="1358"/>
      <c r="BG49" s="1358"/>
      <c r="BH49" s="1358"/>
      <c r="BI49" s="1358"/>
      <c r="BJ49" s="1358"/>
      <c r="BK49" s="1358"/>
      <c r="BL49" s="1358"/>
      <c r="BM49" s="1358"/>
      <c r="BN49" s="1358"/>
      <c r="BO49" s="1358"/>
      <c r="BP49" s="1358"/>
      <c r="BQ49" s="1358"/>
    </row>
    <row r="50" spans="1:69" s="1354" customFormat="1" x14ac:dyDescent="0.25">
      <c r="A50" s="1353"/>
      <c r="B50" s="1353"/>
      <c r="C50" s="1353"/>
      <c r="D50" s="1353"/>
      <c r="E50" s="1353"/>
      <c r="F50" s="1353"/>
      <c r="G50" s="1353"/>
      <c r="H50" s="1353"/>
      <c r="I50" s="1353"/>
      <c r="J50" s="1353"/>
      <c r="K50" s="1387"/>
      <c r="L50" s="1353"/>
      <c r="M50" s="1353"/>
      <c r="N50" s="1353"/>
      <c r="V50" s="1358"/>
      <c r="W50" s="1358"/>
      <c r="X50" s="1358"/>
      <c r="Y50" s="1358"/>
      <c r="Z50" s="1358"/>
      <c r="AA50" s="1358"/>
      <c r="AB50" s="1358"/>
      <c r="AC50" s="1358"/>
      <c r="AD50" s="1358"/>
      <c r="AE50" s="1358"/>
      <c r="AF50" s="1358"/>
      <c r="AG50" s="1358"/>
      <c r="AH50" s="1358"/>
      <c r="AI50" s="1358"/>
      <c r="AJ50" s="1358"/>
      <c r="AK50" s="1358"/>
      <c r="AL50" s="1358"/>
      <c r="AM50" s="1358"/>
      <c r="AN50" s="1358"/>
      <c r="AO50" s="1358"/>
      <c r="AP50" s="1358"/>
      <c r="AQ50" s="1358"/>
      <c r="AR50" s="1358"/>
      <c r="AS50" s="1358"/>
      <c r="AT50" s="1358"/>
      <c r="AU50" s="1358"/>
      <c r="AV50" s="1358"/>
      <c r="AW50" s="1358"/>
      <c r="AX50" s="1358"/>
      <c r="AY50" s="1358"/>
      <c r="AZ50" s="1358"/>
      <c r="BA50" s="1358"/>
      <c r="BB50" s="1358"/>
      <c r="BC50" s="1358"/>
      <c r="BD50" s="1358"/>
      <c r="BE50" s="1358"/>
      <c r="BF50" s="1358"/>
      <c r="BG50" s="1358"/>
      <c r="BH50" s="1358"/>
      <c r="BI50" s="1358"/>
      <c r="BJ50" s="1358"/>
      <c r="BK50" s="1358"/>
      <c r="BL50" s="1358"/>
      <c r="BM50" s="1358"/>
      <c r="BN50" s="1358"/>
      <c r="BO50" s="1358"/>
      <c r="BP50" s="1358"/>
      <c r="BQ50" s="1358"/>
    </row>
    <row r="51" spans="1:69" s="1354" customFormat="1" x14ac:dyDescent="0.25">
      <c r="A51" s="1353"/>
      <c r="B51" s="1353"/>
      <c r="C51" s="1353"/>
      <c r="D51" s="1353"/>
      <c r="E51" s="1353"/>
      <c r="F51" s="1353"/>
      <c r="G51" s="1353"/>
      <c r="H51" s="1353"/>
      <c r="I51" s="1353"/>
      <c r="J51" s="1353"/>
      <c r="K51" s="1387"/>
      <c r="L51" s="1353"/>
      <c r="M51" s="1353"/>
      <c r="N51" s="1353"/>
      <c r="V51" s="1358"/>
      <c r="W51" s="1358"/>
      <c r="X51" s="1358"/>
      <c r="Y51" s="1358"/>
      <c r="Z51" s="1358"/>
      <c r="AA51" s="1358"/>
      <c r="AB51" s="1358"/>
      <c r="AC51" s="1358"/>
      <c r="AD51" s="1358"/>
      <c r="AE51" s="1358"/>
      <c r="AF51" s="1358"/>
      <c r="AG51" s="1358"/>
      <c r="AH51" s="1358"/>
      <c r="AI51" s="1358"/>
      <c r="AJ51" s="1358"/>
      <c r="AK51" s="1358"/>
      <c r="AL51" s="1358"/>
      <c r="AM51" s="1358"/>
      <c r="AN51" s="1358"/>
      <c r="AO51" s="1358"/>
      <c r="AP51" s="1358"/>
      <c r="AQ51" s="1358"/>
      <c r="AR51" s="1358"/>
      <c r="AS51" s="1358"/>
      <c r="AT51" s="1358"/>
      <c r="AU51" s="1358"/>
      <c r="AV51" s="1358"/>
      <c r="AW51" s="1358"/>
      <c r="AX51" s="1358"/>
      <c r="AY51" s="1358"/>
      <c r="AZ51" s="1358"/>
      <c r="BA51" s="1358"/>
      <c r="BB51" s="1358"/>
      <c r="BC51" s="1358"/>
      <c r="BD51" s="1358"/>
      <c r="BE51" s="1358"/>
      <c r="BF51" s="1358"/>
      <c r="BG51" s="1358"/>
      <c r="BH51" s="1358"/>
      <c r="BI51" s="1358"/>
      <c r="BJ51" s="1358"/>
      <c r="BK51" s="1358"/>
      <c r="BL51" s="1358"/>
      <c r="BM51" s="1358"/>
      <c r="BN51" s="1358"/>
      <c r="BO51" s="1358"/>
      <c r="BP51" s="1358"/>
      <c r="BQ51" s="1358"/>
    </row>
    <row r="52" spans="1:69" s="1354" customFormat="1" x14ac:dyDescent="0.25">
      <c r="A52" s="1353"/>
      <c r="B52" s="1353"/>
      <c r="C52" s="1353"/>
      <c r="D52" s="1353"/>
      <c r="E52" s="1353"/>
      <c r="F52" s="1353"/>
      <c r="G52" s="1353"/>
      <c r="H52" s="1353"/>
      <c r="I52" s="1353"/>
      <c r="J52" s="1353"/>
      <c r="K52" s="1387"/>
      <c r="L52" s="1353"/>
      <c r="M52" s="1353"/>
      <c r="N52" s="1353"/>
      <c r="V52" s="1358"/>
      <c r="W52" s="1358"/>
      <c r="X52" s="1358"/>
      <c r="Y52" s="1358"/>
      <c r="Z52" s="1358"/>
      <c r="AA52" s="1358"/>
      <c r="AB52" s="1358"/>
      <c r="AC52" s="1358"/>
      <c r="AD52" s="1358"/>
      <c r="AE52" s="1358"/>
      <c r="AF52" s="1358"/>
      <c r="AG52" s="1358"/>
      <c r="AH52" s="1358"/>
      <c r="AI52" s="1358"/>
      <c r="AJ52" s="1358"/>
      <c r="AK52" s="1358"/>
      <c r="AL52" s="1358"/>
      <c r="AM52" s="1358"/>
      <c r="AN52" s="1358"/>
      <c r="AO52" s="1358"/>
      <c r="AP52" s="1358"/>
      <c r="AQ52" s="1358"/>
      <c r="AR52" s="1358"/>
      <c r="AS52" s="1358"/>
      <c r="AT52" s="1358"/>
      <c r="AU52" s="1358"/>
      <c r="AV52" s="1358"/>
      <c r="AW52" s="1358"/>
      <c r="AX52" s="1358"/>
      <c r="AY52" s="1358"/>
      <c r="AZ52" s="1358"/>
      <c r="BA52" s="1358"/>
      <c r="BB52" s="1358"/>
      <c r="BC52" s="1358"/>
      <c r="BD52" s="1358"/>
      <c r="BE52" s="1358"/>
      <c r="BF52" s="1358"/>
      <c r="BG52" s="1358"/>
      <c r="BH52" s="1358"/>
      <c r="BI52" s="1358"/>
      <c r="BJ52" s="1358"/>
      <c r="BK52" s="1358"/>
      <c r="BL52" s="1358"/>
      <c r="BM52" s="1358"/>
      <c r="BN52" s="1358"/>
      <c r="BO52" s="1358"/>
      <c r="BP52" s="1358"/>
      <c r="BQ52" s="1358"/>
    </row>
    <row r="53" spans="1:69" s="1354" customFormat="1" x14ac:dyDescent="0.25">
      <c r="A53" s="1353"/>
      <c r="B53" s="1353"/>
      <c r="C53" s="1353"/>
      <c r="D53" s="1353"/>
      <c r="E53" s="1353"/>
      <c r="F53" s="1353"/>
      <c r="G53" s="1353"/>
      <c r="H53" s="1353"/>
      <c r="I53" s="1353"/>
      <c r="J53" s="1353"/>
      <c r="K53" s="1387"/>
      <c r="L53" s="1353"/>
      <c r="M53" s="1353"/>
      <c r="N53" s="1353"/>
      <c r="V53" s="1358"/>
      <c r="W53" s="1358"/>
      <c r="X53" s="1358"/>
      <c r="Y53" s="1358"/>
      <c r="Z53" s="1358"/>
      <c r="AA53" s="1358"/>
      <c r="AB53" s="1358"/>
      <c r="AC53" s="1358"/>
      <c r="AD53" s="1358"/>
      <c r="AE53" s="1358"/>
      <c r="AF53" s="1358"/>
      <c r="AG53" s="1358"/>
      <c r="AH53" s="1358"/>
      <c r="AI53" s="1358"/>
      <c r="AJ53" s="1358"/>
      <c r="AK53" s="1358"/>
      <c r="AL53" s="1358"/>
      <c r="AM53" s="1358"/>
      <c r="AN53" s="1358"/>
      <c r="AO53" s="1358"/>
      <c r="AP53" s="1358"/>
      <c r="AQ53" s="1358"/>
      <c r="AR53" s="1358"/>
      <c r="AS53" s="1358"/>
      <c r="AT53" s="1358"/>
      <c r="AU53" s="1358"/>
      <c r="AV53" s="1358"/>
      <c r="AW53" s="1358"/>
      <c r="AX53" s="1358"/>
      <c r="AY53" s="1358"/>
      <c r="AZ53" s="1358"/>
      <c r="BA53" s="1358"/>
      <c r="BB53" s="1358"/>
      <c r="BC53" s="1358"/>
      <c r="BD53" s="1358"/>
      <c r="BE53" s="1358"/>
      <c r="BF53" s="1358"/>
      <c r="BG53" s="1358"/>
      <c r="BH53" s="1358"/>
      <c r="BI53" s="1358"/>
      <c r="BJ53" s="1358"/>
      <c r="BK53" s="1358"/>
      <c r="BL53" s="1358"/>
      <c r="BM53" s="1358"/>
      <c r="BN53" s="1358"/>
      <c r="BO53" s="1358"/>
      <c r="BP53" s="1358"/>
      <c r="BQ53" s="1358"/>
    </row>
    <row r="54" spans="1:69" s="1354" customFormat="1" x14ac:dyDescent="0.25">
      <c r="A54" s="1353"/>
      <c r="B54" s="1353"/>
      <c r="C54" s="1353"/>
      <c r="D54" s="1353"/>
      <c r="E54" s="1353"/>
      <c r="F54" s="1353"/>
      <c r="G54" s="1353"/>
      <c r="H54" s="1353"/>
      <c r="I54" s="1353"/>
      <c r="J54" s="1353"/>
      <c r="K54" s="1387"/>
      <c r="L54" s="1353"/>
      <c r="M54" s="1353"/>
      <c r="N54" s="1353"/>
      <c r="V54" s="1358"/>
      <c r="W54" s="1358"/>
      <c r="X54" s="1358"/>
      <c r="Y54" s="1358"/>
      <c r="Z54" s="1358"/>
      <c r="AA54" s="1358"/>
      <c r="AB54" s="1358"/>
      <c r="AC54" s="1358"/>
      <c r="AD54" s="1358"/>
      <c r="AE54" s="1358"/>
      <c r="AF54" s="1358"/>
      <c r="AG54" s="1358"/>
      <c r="AH54" s="1358"/>
      <c r="AI54" s="1358"/>
      <c r="AJ54" s="1358"/>
      <c r="AK54" s="1358"/>
      <c r="AL54" s="1358"/>
      <c r="AM54" s="1358"/>
      <c r="AN54" s="1358"/>
      <c r="AO54" s="1358"/>
      <c r="AP54" s="1358"/>
      <c r="AQ54" s="1358"/>
      <c r="AR54" s="1358"/>
      <c r="AS54" s="1358"/>
      <c r="AT54" s="1358"/>
      <c r="AU54" s="1358"/>
      <c r="AV54" s="1358"/>
      <c r="AW54" s="1358"/>
      <c r="AX54" s="1358"/>
      <c r="AY54" s="1358"/>
      <c r="AZ54" s="1358"/>
      <c r="BA54" s="1358"/>
      <c r="BB54" s="1358"/>
      <c r="BC54" s="1358"/>
      <c r="BD54" s="1358"/>
      <c r="BE54" s="1358"/>
      <c r="BF54" s="1358"/>
      <c r="BG54" s="1358"/>
      <c r="BH54" s="1358"/>
      <c r="BI54" s="1358"/>
      <c r="BJ54" s="1358"/>
      <c r="BK54" s="1358"/>
      <c r="BL54" s="1358"/>
      <c r="BM54" s="1358"/>
      <c r="BN54" s="1358"/>
      <c r="BO54" s="1358"/>
      <c r="BP54" s="1358"/>
      <c r="BQ54" s="1358"/>
    </row>
    <row r="55" spans="1:69" s="1354" customFormat="1" x14ac:dyDescent="0.25">
      <c r="A55" s="1353"/>
      <c r="B55" s="1353"/>
      <c r="C55" s="1353"/>
      <c r="D55" s="1353"/>
      <c r="E55" s="1353"/>
      <c r="F55" s="1353"/>
      <c r="G55" s="1353"/>
      <c r="H55" s="1353"/>
      <c r="I55" s="1353"/>
      <c r="J55" s="1353"/>
      <c r="K55" s="1387"/>
      <c r="L55" s="1353"/>
      <c r="M55" s="1353"/>
      <c r="N55" s="1353"/>
      <c r="V55" s="1358"/>
      <c r="W55" s="1358"/>
      <c r="X55" s="1358"/>
      <c r="Y55" s="1358"/>
      <c r="Z55" s="1358"/>
      <c r="AA55" s="1358"/>
      <c r="AB55" s="1358"/>
      <c r="AC55" s="1358"/>
      <c r="AD55" s="1358"/>
      <c r="AE55" s="1358"/>
      <c r="AF55" s="1358"/>
      <c r="AG55" s="1358"/>
      <c r="AH55" s="1358"/>
      <c r="AI55" s="1358"/>
      <c r="AJ55" s="1358"/>
      <c r="AK55" s="1358"/>
      <c r="AL55" s="1358"/>
      <c r="AM55" s="1358"/>
      <c r="AN55" s="1358"/>
      <c r="AO55" s="1358"/>
      <c r="AP55" s="1358"/>
      <c r="AQ55" s="1358"/>
      <c r="AR55" s="1358"/>
      <c r="AS55" s="1358"/>
      <c r="AT55" s="1358"/>
      <c r="AU55" s="1358"/>
      <c r="AV55" s="1358"/>
      <c r="AW55" s="1358"/>
      <c r="AX55" s="1358"/>
      <c r="AY55" s="1358"/>
      <c r="AZ55" s="1358"/>
      <c r="BA55" s="1358"/>
      <c r="BB55" s="1358"/>
      <c r="BC55" s="1358"/>
      <c r="BD55" s="1358"/>
      <c r="BE55" s="1358"/>
      <c r="BF55" s="1358"/>
      <c r="BG55" s="1358"/>
      <c r="BH55" s="1358"/>
      <c r="BI55" s="1358"/>
      <c r="BJ55" s="1358"/>
      <c r="BK55" s="1358"/>
      <c r="BL55" s="1358"/>
      <c r="BM55" s="1358"/>
      <c r="BN55" s="1358"/>
      <c r="BO55" s="1358"/>
      <c r="BP55" s="1358"/>
      <c r="BQ55" s="1358"/>
    </row>
    <row r="56" spans="1:69" s="1354" customFormat="1" x14ac:dyDescent="0.25">
      <c r="A56" s="1353"/>
      <c r="B56" s="1353"/>
      <c r="C56" s="1353"/>
      <c r="D56" s="1353"/>
      <c r="E56" s="1353"/>
      <c r="F56" s="1353"/>
      <c r="G56" s="1353"/>
      <c r="H56" s="1353"/>
      <c r="I56" s="1353"/>
      <c r="J56" s="1353"/>
      <c r="K56" s="1387"/>
      <c r="L56" s="1353"/>
      <c r="M56" s="1353"/>
      <c r="N56" s="1353"/>
      <c r="V56" s="1358"/>
      <c r="W56" s="1358"/>
      <c r="X56" s="1358"/>
      <c r="Y56" s="1358"/>
      <c r="Z56" s="1358"/>
      <c r="AA56" s="1358"/>
      <c r="AB56" s="1358"/>
      <c r="AC56" s="1358"/>
      <c r="AD56" s="1358"/>
      <c r="AE56" s="1358"/>
      <c r="AF56" s="1358"/>
      <c r="AG56" s="1358"/>
      <c r="AH56" s="1358"/>
      <c r="AI56" s="1358"/>
      <c r="AJ56" s="1358"/>
      <c r="AK56" s="1358"/>
      <c r="AL56" s="1358"/>
      <c r="AM56" s="1358"/>
      <c r="AN56" s="1358"/>
      <c r="AO56" s="1358"/>
      <c r="AP56" s="1358"/>
      <c r="AQ56" s="1358"/>
      <c r="AR56" s="1358"/>
      <c r="AS56" s="1358"/>
      <c r="AT56" s="1358"/>
      <c r="AU56" s="1358"/>
      <c r="AV56" s="1358"/>
      <c r="AW56" s="1358"/>
      <c r="AX56" s="1358"/>
      <c r="AY56" s="1358"/>
      <c r="AZ56" s="1358"/>
      <c r="BA56" s="1358"/>
      <c r="BB56" s="1358"/>
      <c r="BC56" s="1358"/>
      <c r="BD56" s="1358"/>
      <c r="BE56" s="1358"/>
      <c r="BF56" s="1358"/>
      <c r="BG56" s="1358"/>
      <c r="BH56" s="1358"/>
      <c r="BI56" s="1358"/>
      <c r="BJ56" s="1358"/>
      <c r="BK56" s="1358"/>
      <c r="BL56" s="1358"/>
      <c r="BM56" s="1358"/>
      <c r="BN56" s="1358"/>
      <c r="BO56" s="1358"/>
      <c r="BP56" s="1358"/>
      <c r="BQ56" s="1358"/>
    </row>
    <row r="57" spans="1:69" s="1354" customFormat="1" x14ac:dyDescent="0.25">
      <c r="A57" s="1353"/>
      <c r="B57" s="1353"/>
      <c r="C57" s="1353"/>
      <c r="D57" s="1353"/>
      <c r="E57" s="1353"/>
      <c r="F57" s="1353"/>
      <c r="G57" s="1353"/>
      <c r="H57" s="1353"/>
      <c r="I57" s="1353"/>
      <c r="J57" s="1353"/>
      <c r="K57" s="1387"/>
      <c r="L57" s="1353"/>
      <c r="M57" s="1353"/>
      <c r="N57" s="1353"/>
      <c r="V57" s="1358"/>
      <c r="W57" s="1358"/>
      <c r="X57" s="1358"/>
      <c r="Y57" s="1358"/>
      <c r="Z57" s="1358"/>
      <c r="AA57" s="1358"/>
      <c r="AB57" s="1358"/>
      <c r="AC57" s="1358"/>
      <c r="AD57" s="1358"/>
      <c r="AE57" s="1358"/>
      <c r="AF57" s="1358"/>
      <c r="AG57" s="1358"/>
      <c r="AH57" s="1358"/>
      <c r="AI57" s="1358"/>
      <c r="AJ57" s="1358"/>
      <c r="AK57" s="1358"/>
      <c r="AL57" s="1358"/>
      <c r="AM57" s="1358"/>
      <c r="AN57" s="1358"/>
      <c r="AO57" s="1358"/>
      <c r="AP57" s="1358"/>
      <c r="AQ57" s="1358"/>
      <c r="AR57" s="1358"/>
      <c r="AS57" s="1358"/>
      <c r="AT57" s="1358"/>
      <c r="AU57" s="1358"/>
      <c r="AV57" s="1358"/>
      <c r="AW57" s="1358"/>
      <c r="AX57" s="1358"/>
      <c r="AY57" s="1358"/>
      <c r="AZ57" s="1358"/>
      <c r="BA57" s="1358"/>
      <c r="BB57" s="1358"/>
      <c r="BC57" s="1358"/>
      <c r="BD57" s="1358"/>
      <c r="BE57" s="1358"/>
      <c r="BF57" s="1358"/>
      <c r="BG57" s="1358"/>
      <c r="BH57" s="1358"/>
      <c r="BI57" s="1358"/>
      <c r="BJ57" s="1358"/>
      <c r="BK57" s="1358"/>
      <c r="BL57" s="1358"/>
      <c r="BM57" s="1358"/>
      <c r="BN57" s="1358"/>
      <c r="BO57" s="1358"/>
      <c r="BP57" s="1358"/>
      <c r="BQ57" s="1358"/>
    </row>
    <row r="58" spans="1:69" s="1354" customFormat="1" x14ac:dyDescent="0.25">
      <c r="A58" s="1353"/>
      <c r="B58" s="1353"/>
      <c r="C58" s="1353"/>
      <c r="D58" s="1353"/>
      <c r="E58" s="1353"/>
      <c r="F58" s="1353"/>
      <c r="G58" s="1353"/>
      <c r="H58" s="1353"/>
      <c r="I58" s="1353"/>
      <c r="J58" s="1353"/>
      <c r="K58" s="1387"/>
      <c r="L58" s="1353"/>
      <c r="M58" s="1353"/>
      <c r="N58" s="1353"/>
      <c r="V58" s="1358"/>
      <c r="W58" s="1358"/>
      <c r="X58" s="1358"/>
      <c r="Y58" s="1358"/>
      <c r="Z58" s="1358"/>
      <c r="AA58" s="1358"/>
      <c r="AB58" s="1358"/>
      <c r="AC58" s="1358"/>
      <c r="AD58" s="1358"/>
      <c r="AE58" s="1358"/>
      <c r="AF58" s="1358"/>
      <c r="AG58" s="1358"/>
      <c r="AH58" s="1358"/>
      <c r="AI58" s="1358"/>
      <c r="AJ58" s="1358"/>
      <c r="AK58" s="1358"/>
      <c r="AL58" s="1358"/>
      <c r="AM58" s="1358"/>
      <c r="AN58" s="1358"/>
      <c r="AO58" s="1358"/>
      <c r="AP58" s="1358"/>
      <c r="AQ58" s="1358"/>
      <c r="AR58" s="1358"/>
      <c r="AS58" s="1358"/>
      <c r="AT58" s="1358"/>
      <c r="AU58" s="1358"/>
      <c r="AV58" s="1358"/>
      <c r="AW58" s="1358"/>
      <c r="AX58" s="1358"/>
      <c r="AY58" s="1358"/>
      <c r="AZ58" s="1358"/>
      <c r="BA58" s="1358"/>
      <c r="BB58" s="1358"/>
      <c r="BC58" s="1358"/>
      <c r="BD58" s="1358"/>
      <c r="BE58" s="1358"/>
      <c r="BF58" s="1358"/>
      <c r="BG58" s="1358"/>
      <c r="BH58" s="1358"/>
      <c r="BI58" s="1358"/>
      <c r="BJ58" s="1358"/>
      <c r="BK58" s="1358"/>
      <c r="BL58" s="1358"/>
      <c r="BM58" s="1358"/>
      <c r="BN58" s="1358"/>
      <c r="BO58" s="1358"/>
      <c r="BP58" s="1358"/>
      <c r="BQ58" s="1358"/>
    </row>
    <row r="59" spans="1:69" s="1354" customFormat="1" x14ac:dyDescent="0.25">
      <c r="A59" s="1353"/>
      <c r="B59" s="1353"/>
      <c r="C59" s="1353"/>
      <c r="D59" s="1353"/>
      <c r="E59" s="1353"/>
      <c r="F59" s="1353"/>
      <c r="G59" s="1353"/>
      <c r="H59" s="1353"/>
      <c r="I59" s="1353"/>
      <c r="J59" s="1353"/>
      <c r="K59" s="1387"/>
      <c r="L59" s="1353"/>
      <c r="M59" s="1353"/>
      <c r="N59" s="1353"/>
      <c r="V59" s="1358"/>
      <c r="W59" s="1358"/>
      <c r="X59" s="1358"/>
      <c r="Y59" s="1358"/>
      <c r="Z59" s="1358"/>
      <c r="AA59" s="1358"/>
      <c r="AB59" s="1358"/>
      <c r="AC59" s="1358"/>
      <c r="AD59" s="1358"/>
      <c r="AE59" s="1358"/>
      <c r="AF59" s="1358"/>
      <c r="AG59" s="1358"/>
      <c r="AH59" s="1358"/>
      <c r="AI59" s="1358"/>
      <c r="AJ59" s="1358"/>
      <c r="AK59" s="1358"/>
      <c r="AL59" s="1358"/>
      <c r="AM59" s="1358"/>
      <c r="AN59" s="1358"/>
      <c r="AO59" s="1358"/>
      <c r="AP59" s="1358"/>
      <c r="AQ59" s="1358"/>
      <c r="AR59" s="1358"/>
      <c r="AS59" s="1358"/>
      <c r="AT59" s="1358"/>
      <c r="AU59" s="1358"/>
      <c r="AV59" s="1358"/>
      <c r="AW59" s="1358"/>
      <c r="AX59" s="1358"/>
      <c r="AY59" s="1358"/>
      <c r="AZ59" s="1358"/>
      <c r="BA59" s="1358"/>
      <c r="BB59" s="1358"/>
      <c r="BC59" s="1358"/>
      <c r="BD59" s="1358"/>
      <c r="BE59" s="1358"/>
      <c r="BF59" s="1358"/>
      <c r="BG59" s="1358"/>
      <c r="BH59" s="1358"/>
      <c r="BI59" s="1358"/>
      <c r="BJ59" s="1358"/>
      <c r="BK59" s="1358"/>
      <c r="BL59" s="1358"/>
      <c r="BM59" s="1358"/>
      <c r="BN59" s="1358"/>
      <c r="BO59" s="1358"/>
      <c r="BP59" s="1358"/>
      <c r="BQ59" s="1358"/>
    </row>
    <row r="60" spans="1:69" s="1354" customFormat="1" x14ac:dyDescent="0.25">
      <c r="A60" s="1353"/>
      <c r="B60" s="1353"/>
      <c r="C60" s="1353"/>
      <c r="D60" s="1353"/>
      <c r="E60" s="1353"/>
      <c r="F60" s="1353"/>
      <c r="G60" s="1353"/>
      <c r="H60" s="1353"/>
      <c r="I60" s="1353"/>
      <c r="J60" s="1353"/>
      <c r="K60" s="1387"/>
      <c r="L60" s="1353"/>
      <c r="M60" s="1353"/>
      <c r="N60" s="1353"/>
      <c r="V60" s="1358"/>
      <c r="W60" s="1358"/>
      <c r="X60" s="1358"/>
      <c r="Y60" s="1358"/>
      <c r="Z60" s="1358"/>
      <c r="AA60" s="1358"/>
      <c r="AB60" s="1358"/>
      <c r="AC60" s="1358"/>
      <c r="AD60" s="1358"/>
      <c r="AE60" s="1358"/>
      <c r="AF60" s="1358"/>
      <c r="AG60" s="1358"/>
      <c r="AH60" s="1358"/>
      <c r="AI60" s="1358"/>
      <c r="AJ60" s="1358"/>
      <c r="AK60" s="1358"/>
      <c r="AL60" s="1358"/>
      <c r="AM60" s="1358"/>
      <c r="AN60" s="1358"/>
      <c r="AO60" s="1358"/>
      <c r="AP60" s="1358"/>
      <c r="AQ60" s="1358"/>
      <c r="AR60" s="1358"/>
      <c r="AS60" s="1358"/>
      <c r="AT60" s="1358"/>
      <c r="AU60" s="1358"/>
      <c r="AV60" s="1358"/>
      <c r="AW60" s="1358"/>
      <c r="AX60" s="1358"/>
      <c r="AY60" s="1358"/>
      <c r="AZ60" s="1358"/>
      <c r="BA60" s="1358"/>
      <c r="BB60" s="1358"/>
      <c r="BC60" s="1358"/>
      <c r="BD60" s="1358"/>
      <c r="BE60" s="1358"/>
      <c r="BF60" s="1358"/>
      <c r="BG60" s="1358"/>
      <c r="BH60" s="1358"/>
      <c r="BI60" s="1358"/>
      <c r="BJ60" s="1358"/>
      <c r="BK60" s="1358"/>
      <c r="BL60" s="1358"/>
      <c r="BM60" s="1358"/>
      <c r="BN60" s="1358"/>
      <c r="BO60" s="1358"/>
      <c r="BP60" s="1358"/>
      <c r="BQ60" s="1358"/>
    </row>
    <row r="61" spans="1:69" s="1354" customFormat="1" x14ac:dyDescent="0.25">
      <c r="A61" s="1353"/>
      <c r="B61" s="1353"/>
      <c r="C61" s="1353"/>
      <c r="D61" s="1353"/>
      <c r="E61" s="1353"/>
      <c r="F61" s="1353"/>
      <c r="G61" s="1353"/>
      <c r="H61" s="1353"/>
      <c r="I61" s="1353"/>
      <c r="J61" s="1353"/>
      <c r="K61" s="1387"/>
      <c r="L61" s="1353"/>
      <c r="M61" s="1353"/>
      <c r="N61" s="1353"/>
      <c r="V61" s="1358"/>
      <c r="W61" s="1358"/>
      <c r="X61" s="1358"/>
      <c r="Y61" s="1358"/>
      <c r="Z61" s="1358"/>
      <c r="AA61" s="1358"/>
      <c r="AB61" s="1358"/>
      <c r="AC61" s="1358"/>
      <c r="AD61" s="1358"/>
      <c r="AE61" s="1358"/>
      <c r="AF61" s="1358"/>
      <c r="AG61" s="1358"/>
      <c r="AH61" s="1358"/>
      <c r="AI61" s="1358"/>
      <c r="AJ61" s="1358"/>
      <c r="AK61" s="1358"/>
      <c r="AL61" s="1358"/>
      <c r="AM61" s="1358"/>
      <c r="AN61" s="1358"/>
      <c r="AO61" s="1358"/>
      <c r="AP61" s="1358"/>
      <c r="AQ61" s="1358"/>
      <c r="AR61" s="1358"/>
      <c r="AS61" s="1358"/>
      <c r="AT61" s="1358"/>
      <c r="AU61" s="1358"/>
      <c r="AV61" s="1358"/>
      <c r="AW61" s="1358"/>
      <c r="AX61" s="1358"/>
      <c r="AY61" s="1358"/>
      <c r="AZ61" s="1358"/>
      <c r="BA61" s="1358"/>
      <c r="BB61" s="1358"/>
      <c r="BC61" s="1358"/>
      <c r="BD61" s="1358"/>
      <c r="BE61" s="1358"/>
      <c r="BF61" s="1358"/>
      <c r="BG61" s="1358"/>
      <c r="BH61" s="1358"/>
      <c r="BI61" s="1358"/>
      <c r="BJ61" s="1358"/>
      <c r="BK61" s="1358"/>
      <c r="BL61" s="1358"/>
      <c r="BM61" s="1358"/>
      <c r="BN61" s="1358"/>
      <c r="BO61" s="1358"/>
      <c r="BP61" s="1358"/>
      <c r="BQ61" s="1358"/>
    </row>
    <row r="62" spans="1:69" s="1354" customFormat="1" x14ac:dyDescent="0.25">
      <c r="A62" s="1353"/>
      <c r="B62" s="1353"/>
      <c r="C62" s="1353"/>
      <c r="D62" s="1353"/>
      <c r="E62" s="1353"/>
      <c r="F62" s="1353"/>
      <c r="G62" s="1353"/>
      <c r="H62" s="1353"/>
      <c r="I62" s="1353"/>
      <c r="J62" s="1353"/>
      <c r="K62" s="1387"/>
      <c r="L62" s="1353"/>
      <c r="M62" s="1353"/>
      <c r="N62" s="1353"/>
      <c r="V62" s="1358"/>
      <c r="W62" s="1358"/>
      <c r="X62" s="1358"/>
      <c r="Y62" s="1358"/>
      <c r="Z62" s="1358"/>
      <c r="AA62" s="1358"/>
      <c r="AB62" s="1358"/>
      <c r="AC62" s="1358"/>
      <c r="AD62" s="1358"/>
      <c r="AE62" s="1358"/>
      <c r="AF62" s="1358"/>
      <c r="AG62" s="1358"/>
      <c r="AH62" s="1358"/>
      <c r="AI62" s="1358"/>
      <c r="AJ62" s="1358"/>
      <c r="AK62" s="1358"/>
      <c r="AL62" s="1358"/>
      <c r="AM62" s="1358"/>
      <c r="AN62" s="1358"/>
      <c r="AO62" s="1358"/>
      <c r="AP62" s="1358"/>
      <c r="AQ62" s="1358"/>
      <c r="AR62" s="1358"/>
      <c r="AS62" s="1358"/>
      <c r="AT62" s="1358"/>
      <c r="AU62" s="1358"/>
      <c r="AV62" s="1358"/>
      <c r="AW62" s="1358"/>
      <c r="AX62" s="1358"/>
      <c r="AY62" s="1358"/>
      <c r="AZ62" s="1358"/>
      <c r="BA62" s="1358"/>
      <c r="BB62" s="1358"/>
      <c r="BC62" s="1358"/>
      <c r="BD62" s="1358"/>
      <c r="BE62" s="1358"/>
      <c r="BF62" s="1358"/>
      <c r="BG62" s="1358"/>
      <c r="BH62" s="1358"/>
      <c r="BI62" s="1358"/>
      <c r="BJ62" s="1358"/>
      <c r="BK62" s="1358"/>
      <c r="BL62" s="1358"/>
      <c r="BM62" s="1358"/>
      <c r="BN62" s="1358"/>
      <c r="BO62" s="1358"/>
      <c r="BP62" s="1358"/>
      <c r="BQ62" s="1358"/>
    </row>
    <row r="63" spans="1:69" s="1354" customFormat="1" x14ac:dyDescent="0.25">
      <c r="A63" s="1353"/>
      <c r="B63" s="1353"/>
      <c r="C63" s="1353"/>
      <c r="D63" s="1353"/>
      <c r="E63" s="1353"/>
      <c r="F63" s="1353"/>
      <c r="G63" s="1353"/>
      <c r="H63" s="1353"/>
      <c r="I63" s="1353"/>
      <c r="J63" s="1353"/>
      <c r="K63" s="1387"/>
      <c r="L63" s="1353"/>
      <c r="M63" s="1353"/>
      <c r="N63" s="1353"/>
      <c r="V63" s="1358"/>
      <c r="W63" s="1358"/>
      <c r="X63" s="1358"/>
      <c r="Y63" s="1358"/>
      <c r="Z63" s="1358"/>
      <c r="AA63" s="1358"/>
      <c r="AB63" s="1358"/>
      <c r="AC63" s="1358"/>
      <c r="AD63" s="1358"/>
      <c r="AE63" s="1358"/>
      <c r="AF63" s="1358"/>
      <c r="AG63" s="1358"/>
      <c r="AH63" s="1358"/>
      <c r="AI63" s="1358"/>
      <c r="AJ63" s="1358"/>
      <c r="AK63" s="1358"/>
      <c r="AL63" s="1358"/>
      <c r="AM63" s="1358"/>
      <c r="AN63" s="1358"/>
      <c r="AO63" s="1358"/>
      <c r="AP63" s="1358"/>
      <c r="AQ63" s="1358"/>
      <c r="AR63" s="1358"/>
      <c r="AS63" s="1358"/>
      <c r="AT63" s="1358"/>
      <c r="AU63" s="1358"/>
      <c r="AV63" s="1358"/>
      <c r="AW63" s="1358"/>
      <c r="AX63" s="1358"/>
      <c r="AY63" s="1358"/>
      <c r="AZ63" s="1358"/>
      <c r="BA63" s="1358"/>
      <c r="BB63" s="1358"/>
      <c r="BC63" s="1358"/>
      <c r="BD63" s="1358"/>
      <c r="BE63" s="1358"/>
      <c r="BF63" s="1358"/>
      <c r="BG63" s="1358"/>
      <c r="BH63" s="1358"/>
      <c r="BI63" s="1358"/>
      <c r="BJ63" s="1358"/>
      <c r="BK63" s="1358"/>
      <c r="BL63" s="1358"/>
      <c r="BM63" s="1358"/>
      <c r="BN63" s="1358"/>
      <c r="BO63" s="1358"/>
      <c r="BP63" s="1358"/>
      <c r="BQ63" s="1358"/>
    </row>
    <row r="64" spans="1:69" s="1354" customFormat="1" x14ac:dyDescent="0.25">
      <c r="A64" s="1353"/>
      <c r="B64" s="1353"/>
      <c r="C64" s="1353"/>
      <c r="D64" s="1353"/>
      <c r="E64" s="1353"/>
      <c r="F64" s="1353"/>
      <c r="G64" s="1353"/>
      <c r="H64" s="1353"/>
      <c r="I64" s="1353"/>
      <c r="J64" s="1353"/>
      <c r="K64" s="1387"/>
      <c r="L64" s="1353"/>
      <c r="M64" s="1353"/>
      <c r="N64" s="1353"/>
      <c r="V64" s="1358"/>
      <c r="W64" s="1358"/>
      <c r="X64" s="1358"/>
      <c r="Y64" s="1358"/>
      <c r="Z64" s="1358"/>
      <c r="AA64" s="1358"/>
      <c r="AB64" s="1358"/>
      <c r="AC64" s="1358"/>
      <c r="AD64" s="1358"/>
      <c r="AE64" s="1358"/>
      <c r="AF64" s="1358"/>
      <c r="AG64" s="1358"/>
      <c r="AH64" s="1358"/>
      <c r="AI64" s="1358"/>
      <c r="AJ64" s="1358"/>
      <c r="AK64" s="1358"/>
      <c r="AL64" s="1358"/>
      <c r="AM64" s="1358"/>
      <c r="AN64" s="1358"/>
      <c r="AO64" s="1358"/>
      <c r="AP64" s="1358"/>
      <c r="AQ64" s="1358"/>
      <c r="AR64" s="1358"/>
      <c r="AS64" s="1358"/>
      <c r="AT64" s="1358"/>
      <c r="AU64" s="1358"/>
      <c r="AV64" s="1358"/>
      <c r="AW64" s="1358"/>
      <c r="AX64" s="1358"/>
      <c r="AY64" s="1358"/>
      <c r="AZ64" s="1358"/>
      <c r="BA64" s="1358"/>
      <c r="BB64" s="1358"/>
      <c r="BC64" s="1358"/>
      <c r="BD64" s="1358"/>
      <c r="BE64" s="1358"/>
      <c r="BF64" s="1358"/>
      <c r="BG64" s="1358"/>
      <c r="BH64" s="1358"/>
      <c r="BI64" s="1358"/>
      <c r="BJ64" s="1358"/>
      <c r="BK64" s="1358"/>
      <c r="BL64" s="1358"/>
      <c r="BM64" s="1358"/>
      <c r="BN64" s="1358"/>
      <c r="BO64" s="1358"/>
      <c r="BP64" s="1358"/>
      <c r="BQ64" s="1358"/>
    </row>
    <row r="65" spans="1:69" s="1354" customFormat="1" x14ac:dyDescent="0.25">
      <c r="A65" s="1353"/>
      <c r="B65" s="1353"/>
      <c r="C65" s="1353"/>
      <c r="D65" s="1353"/>
      <c r="E65" s="1353"/>
      <c r="F65" s="1353"/>
      <c r="G65" s="1353"/>
      <c r="H65" s="1353"/>
      <c r="I65" s="1353"/>
      <c r="J65" s="1353"/>
      <c r="K65" s="1387"/>
      <c r="L65" s="1353"/>
      <c r="M65" s="1353"/>
      <c r="N65" s="1353"/>
      <c r="V65" s="1358"/>
      <c r="W65" s="1358"/>
      <c r="X65" s="1358"/>
      <c r="Y65" s="1358"/>
      <c r="Z65" s="1358"/>
      <c r="AA65" s="1358"/>
      <c r="AB65" s="1358"/>
      <c r="AC65" s="1358"/>
      <c r="AD65" s="1358"/>
      <c r="AE65" s="1358"/>
      <c r="AF65" s="1358"/>
      <c r="AG65" s="1358"/>
      <c r="AH65" s="1358"/>
      <c r="AI65" s="1358"/>
      <c r="AJ65" s="1358"/>
      <c r="AK65" s="1358"/>
      <c r="AL65" s="1358"/>
      <c r="AM65" s="1358"/>
      <c r="AN65" s="1358"/>
      <c r="AO65" s="1358"/>
      <c r="AP65" s="1358"/>
      <c r="AQ65" s="1358"/>
      <c r="AR65" s="1358"/>
      <c r="AS65" s="1358"/>
      <c r="AT65" s="1358"/>
      <c r="AU65" s="1358"/>
      <c r="AV65" s="1358"/>
      <c r="AW65" s="1358"/>
      <c r="AX65" s="1358"/>
      <c r="AY65" s="1358"/>
      <c r="AZ65" s="1358"/>
      <c r="BA65" s="1358"/>
      <c r="BB65" s="1358"/>
      <c r="BC65" s="1358"/>
      <c r="BD65" s="1358"/>
      <c r="BE65" s="1358"/>
      <c r="BF65" s="1358"/>
      <c r="BG65" s="1358"/>
      <c r="BH65" s="1358"/>
      <c r="BI65" s="1358"/>
      <c r="BJ65" s="1358"/>
      <c r="BK65" s="1358"/>
      <c r="BL65" s="1358"/>
      <c r="BM65" s="1358"/>
      <c r="BN65" s="1358"/>
      <c r="BO65" s="1358"/>
      <c r="BP65" s="1358"/>
      <c r="BQ65" s="1358"/>
    </row>
    <row r="66" spans="1:69" s="1354" customFormat="1" x14ac:dyDescent="0.25">
      <c r="A66" s="1353"/>
      <c r="B66" s="1353"/>
      <c r="C66" s="1353"/>
      <c r="D66" s="1353"/>
      <c r="E66" s="1353"/>
      <c r="F66" s="1353"/>
      <c r="G66" s="1353"/>
      <c r="H66" s="1353"/>
      <c r="I66" s="1353"/>
      <c r="J66" s="1353"/>
      <c r="K66" s="1387"/>
      <c r="L66" s="1353"/>
      <c r="M66" s="1353"/>
      <c r="N66" s="1353"/>
      <c r="V66" s="1358"/>
      <c r="W66" s="1358"/>
      <c r="X66" s="1358"/>
      <c r="Y66" s="1358"/>
      <c r="Z66" s="1358"/>
      <c r="AA66" s="1358"/>
      <c r="AB66" s="1358"/>
      <c r="AC66" s="1358"/>
      <c r="AD66" s="1358"/>
      <c r="AE66" s="1358"/>
      <c r="AF66" s="1358"/>
      <c r="AG66" s="1358"/>
      <c r="AH66" s="1358"/>
      <c r="AI66" s="1358"/>
      <c r="AJ66" s="1358"/>
      <c r="AK66" s="1358"/>
      <c r="AL66" s="1358"/>
      <c r="AM66" s="1358"/>
      <c r="AN66" s="1358"/>
      <c r="AO66" s="1358"/>
      <c r="AP66" s="1358"/>
      <c r="AQ66" s="1358"/>
      <c r="AR66" s="1358"/>
      <c r="AS66" s="1358"/>
      <c r="AT66" s="1358"/>
      <c r="AU66" s="1358"/>
      <c r="AV66" s="1358"/>
      <c r="AW66" s="1358"/>
      <c r="AX66" s="1358"/>
      <c r="AY66" s="1358"/>
      <c r="AZ66" s="1358"/>
      <c r="BA66" s="1358"/>
      <c r="BB66" s="1358"/>
      <c r="BC66" s="1358"/>
      <c r="BD66" s="1358"/>
      <c r="BE66" s="1358"/>
      <c r="BF66" s="1358"/>
      <c r="BG66" s="1358"/>
      <c r="BH66" s="1358"/>
      <c r="BI66" s="1358"/>
      <c r="BJ66" s="1358"/>
      <c r="BK66" s="1358"/>
      <c r="BL66" s="1358"/>
      <c r="BM66" s="1358"/>
      <c r="BN66" s="1358"/>
      <c r="BO66" s="1358"/>
      <c r="BP66" s="1358"/>
      <c r="BQ66" s="1358"/>
    </row>
    <row r="67" spans="1:69" s="1354" customFormat="1" x14ac:dyDescent="0.25">
      <c r="A67" s="1353"/>
      <c r="B67" s="1353"/>
      <c r="C67" s="1353"/>
      <c r="D67" s="1353"/>
      <c r="E67" s="1353"/>
      <c r="F67" s="1353"/>
      <c r="G67" s="1353"/>
      <c r="H67" s="1353"/>
      <c r="I67" s="1353"/>
      <c r="J67" s="1353"/>
      <c r="K67" s="1387"/>
      <c r="L67" s="1353"/>
      <c r="M67" s="1353"/>
      <c r="N67" s="1353"/>
      <c r="V67" s="1358"/>
      <c r="W67" s="1358"/>
      <c r="X67" s="1358"/>
      <c r="Y67" s="1358"/>
      <c r="Z67" s="1358"/>
      <c r="AA67" s="1358"/>
      <c r="AB67" s="1358"/>
      <c r="AC67" s="1358"/>
      <c r="AD67" s="1358"/>
      <c r="AE67" s="1358"/>
      <c r="AF67" s="1358"/>
      <c r="AG67" s="1358"/>
      <c r="AH67" s="1358"/>
      <c r="AI67" s="1358"/>
      <c r="AJ67" s="1358"/>
      <c r="AK67" s="1358"/>
      <c r="AL67" s="1358"/>
      <c r="AM67" s="1358"/>
      <c r="AN67" s="1358"/>
      <c r="AO67" s="1358"/>
      <c r="AP67" s="1358"/>
      <c r="AQ67" s="1358"/>
      <c r="AR67" s="1358"/>
      <c r="AS67" s="1358"/>
      <c r="AT67" s="1358"/>
      <c r="AU67" s="1358"/>
      <c r="AV67" s="1358"/>
      <c r="AW67" s="1358"/>
      <c r="AX67" s="1358"/>
      <c r="AY67" s="1358"/>
      <c r="AZ67" s="1358"/>
      <c r="BA67" s="1358"/>
      <c r="BB67" s="1358"/>
      <c r="BC67" s="1358"/>
      <c r="BD67" s="1358"/>
      <c r="BE67" s="1358"/>
      <c r="BF67" s="1358"/>
      <c r="BG67" s="1358"/>
      <c r="BH67" s="1358"/>
      <c r="BI67" s="1358"/>
      <c r="BJ67" s="1358"/>
      <c r="BK67" s="1358"/>
      <c r="BL67" s="1358"/>
      <c r="BM67" s="1358"/>
      <c r="BN67" s="1358"/>
      <c r="BO67" s="1358"/>
      <c r="BP67" s="1358"/>
      <c r="BQ67" s="1358"/>
    </row>
    <row r="68" spans="1:69" s="1354" customFormat="1" x14ac:dyDescent="0.25">
      <c r="A68" s="1353"/>
      <c r="B68" s="1353"/>
      <c r="C68" s="1353"/>
      <c r="D68" s="1353"/>
      <c r="E68" s="1353"/>
      <c r="F68" s="1353"/>
      <c r="G68" s="1353"/>
      <c r="H68" s="1353"/>
      <c r="I68" s="1353"/>
      <c r="J68" s="1353"/>
      <c r="K68" s="1387"/>
      <c r="L68" s="1353"/>
      <c r="M68" s="1353"/>
      <c r="N68" s="1353"/>
      <c r="V68" s="1358"/>
      <c r="W68" s="1358"/>
      <c r="X68" s="1358"/>
      <c r="Y68" s="1358"/>
      <c r="Z68" s="1358"/>
      <c r="AA68" s="1358"/>
      <c r="AB68" s="1358"/>
      <c r="AC68" s="1358"/>
      <c r="AD68" s="1358"/>
      <c r="AE68" s="1358"/>
      <c r="AF68" s="1358"/>
      <c r="AG68" s="1358"/>
      <c r="AH68" s="1358"/>
      <c r="AI68" s="1358"/>
      <c r="AJ68" s="1358"/>
      <c r="AK68" s="1358"/>
      <c r="AL68" s="1358"/>
      <c r="AM68" s="1358"/>
      <c r="AN68" s="1358"/>
      <c r="AO68" s="1358"/>
      <c r="AP68" s="1358"/>
      <c r="AQ68" s="1358"/>
      <c r="AR68" s="1358"/>
      <c r="AS68" s="1358"/>
      <c r="AT68" s="1358"/>
      <c r="AU68" s="1358"/>
      <c r="AV68" s="1358"/>
      <c r="AW68" s="1358"/>
      <c r="AX68" s="1358"/>
      <c r="AY68" s="1358"/>
      <c r="AZ68" s="1358"/>
      <c r="BA68" s="1358"/>
      <c r="BB68" s="1358"/>
      <c r="BC68" s="1358"/>
      <c r="BD68" s="1358"/>
      <c r="BE68" s="1358"/>
      <c r="BF68" s="1358"/>
      <c r="BG68" s="1358"/>
      <c r="BH68" s="1358"/>
      <c r="BI68" s="1358"/>
      <c r="BJ68" s="1358"/>
      <c r="BK68" s="1358"/>
      <c r="BL68" s="1358"/>
      <c r="BM68" s="1358"/>
      <c r="BN68" s="1358"/>
      <c r="BO68" s="1358"/>
      <c r="BP68" s="1358"/>
      <c r="BQ68" s="1358"/>
    </row>
    <row r="69" spans="1:69" s="1354" customFormat="1" x14ac:dyDescent="0.25">
      <c r="A69" s="1353"/>
      <c r="B69" s="1353"/>
      <c r="C69" s="1353"/>
      <c r="D69" s="1353"/>
      <c r="E69" s="1353"/>
      <c r="F69" s="1353"/>
      <c r="G69" s="1353"/>
      <c r="H69" s="1353"/>
      <c r="I69" s="1353"/>
      <c r="J69" s="1353"/>
      <c r="K69" s="1387"/>
      <c r="L69" s="1353"/>
      <c r="M69" s="1353"/>
      <c r="N69" s="1353"/>
      <c r="V69" s="1358"/>
      <c r="W69" s="1358"/>
      <c r="X69" s="1358"/>
      <c r="Y69" s="1358"/>
      <c r="Z69" s="1358"/>
      <c r="AA69" s="1358"/>
      <c r="AB69" s="1358"/>
      <c r="AC69" s="1358"/>
      <c r="AD69" s="1358"/>
      <c r="AE69" s="1358"/>
      <c r="AF69" s="1358"/>
      <c r="AG69" s="1358"/>
      <c r="AH69" s="1358"/>
      <c r="AI69" s="1358"/>
      <c r="AJ69" s="1358"/>
      <c r="AK69" s="1358"/>
      <c r="AL69" s="1358"/>
      <c r="AM69" s="1358"/>
      <c r="AN69" s="1358"/>
      <c r="AO69" s="1358"/>
      <c r="AP69" s="1358"/>
      <c r="AQ69" s="1358"/>
      <c r="AR69" s="1358"/>
      <c r="AS69" s="1358"/>
      <c r="AT69" s="1358"/>
      <c r="AU69" s="1358"/>
      <c r="AV69" s="1358"/>
      <c r="AW69" s="1358"/>
      <c r="AX69" s="1358"/>
      <c r="AY69" s="1358"/>
      <c r="AZ69" s="1358"/>
      <c r="BA69" s="1358"/>
      <c r="BB69" s="1358"/>
      <c r="BC69" s="1358"/>
      <c r="BD69" s="1358"/>
      <c r="BE69" s="1358"/>
      <c r="BF69" s="1358"/>
      <c r="BG69" s="1358"/>
      <c r="BH69" s="1358"/>
      <c r="BI69" s="1358"/>
      <c r="BJ69" s="1358"/>
      <c r="BK69" s="1358"/>
      <c r="BL69" s="1358"/>
      <c r="BM69" s="1358"/>
      <c r="BN69" s="1358"/>
      <c r="BO69" s="1358"/>
      <c r="BP69" s="1358"/>
      <c r="BQ69" s="1358"/>
    </row>
    <row r="70" spans="1:69" s="1354" customFormat="1" x14ac:dyDescent="0.25">
      <c r="A70" s="1353"/>
      <c r="B70" s="1353"/>
      <c r="C70" s="1353"/>
      <c r="D70" s="1353"/>
      <c r="E70" s="1353"/>
      <c r="F70" s="1353"/>
      <c r="G70" s="1353"/>
      <c r="H70" s="1353"/>
      <c r="I70" s="1353"/>
      <c r="J70" s="1353"/>
      <c r="K70" s="1387"/>
      <c r="L70" s="1353"/>
      <c r="M70" s="1353"/>
      <c r="N70" s="1353"/>
      <c r="V70" s="1358"/>
      <c r="W70" s="1358"/>
      <c r="X70" s="1358"/>
      <c r="Y70" s="1358"/>
      <c r="Z70" s="1358"/>
      <c r="AA70" s="1358"/>
      <c r="AB70" s="1358"/>
      <c r="AC70" s="1358"/>
      <c r="AD70" s="1358"/>
      <c r="AE70" s="1358"/>
      <c r="AF70" s="1358"/>
      <c r="AG70" s="1358"/>
      <c r="AH70" s="1358"/>
      <c r="AI70" s="1358"/>
      <c r="AJ70" s="1358"/>
      <c r="AK70" s="1358"/>
      <c r="AL70" s="1358"/>
      <c r="AM70" s="1358"/>
      <c r="AN70" s="1358"/>
      <c r="AO70" s="1358"/>
      <c r="AP70" s="1358"/>
      <c r="AQ70" s="1358"/>
      <c r="AR70" s="1358"/>
      <c r="AS70" s="1358"/>
      <c r="AT70" s="1358"/>
      <c r="AU70" s="1358"/>
      <c r="AV70" s="1358"/>
      <c r="AW70" s="1358"/>
      <c r="AX70" s="1358"/>
      <c r="AY70" s="1358"/>
      <c r="AZ70" s="1358"/>
      <c r="BA70" s="1358"/>
      <c r="BB70" s="1358"/>
      <c r="BC70" s="1358"/>
      <c r="BD70" s="1358"/>
      <c r="BE70" s="1358"/>
      <c r="BF70" s="1358"/>
      <c r="BG70" s="1358"/>
      <c r="BH70" s="1358"/>
      <c r="BI70" s="1358"/>
      <c r="BJ70" s="1358"/>
      <c r="BK70" s="1358"/>
      <c r="BL70" s="1358"/>
      <c r="BM70" s="1358"/>
      <c r="BN70" s="1358"/>
      <c r="BO70" s="1358"/>
      <c r="BP70" s="1358"/>
      <c r="BQ70" s="1358"/>
    </row>
    <row r="71" spans="1:69" s="1354" customFormat="1" x14ac:dyDescent="0.25">
      <c r="A71" s="1353"/>
      <c r="B71" s="1353"/>
      <c r="C71" s="1353"/>
      <c r="D71" s="1353"/>
      <c r="E71" s="1353"/>
      <c r="F71" s="1353"/>
      <c r="G71" s="1353"/>
      <c r="H71" s="1353"/>
      <c r="I71" s="1353"/>
      <c r="J71" s="1353"/>
      <c r="K71" s="1387"/>
      <c r="L71" s="1353"/>
      <c r="M71" s="1353"/>
      <c r="N71" s="1353"/>
      <c r="V71" s="1358"/>
      <c r="W71" s="1358"/>
      <c r="X71" s="1358"/>
      <c r="Y71" s="1358"/>
      <c r="Z71" s="1358"/>
      <c r="AA71" s="1358"/>
      <c r="AB71" s="1358"/>
      <c r="AC71" s="1358"/>
      <c r="AD71" s="1358"/>
      <c r="AE71" s="1358"/>
      <c r="AF71" s="1358"/>
      <c r="AG71" s="1358"/>
      <c r="AH71" s="1358"/>
      <c r="AI71" s="1358"/>
      <c r="AJ71" s="1358"/>
      <c r="AK71" s="1358"/>
      <c r="AL71" s="1358"/>
      <c r="AM71" s="1358"/>
      <c r="AN71" s="1358"/>
      <c r="AO71" s="1358"/>
      <c r="AP71" s="1358"/>
      <c r="AQ71" s="1358"/>
      <c r="AR71" s="1358"/>
      <c r="AS71" s="1358"/>
      <c r="AT71" s="1358"/>
      <c r="AU71" s="1358"/>
      <c r="AV71" s="1358"/>
      <c r="AW71" s="1358"/>
      <c r="AX71" s="1358"/>
      <c r="AY71" s="1358"/>
      <c r="AZ71" s="1358"/>
      <c r="BA71" s="1358"/>
      <c r="BB71" s="1358"/>
      <c r="BC71" s="1358"/>
      <c r="BD71" s="1358"/>
      <c r="BE71" s="1358"/>
      <c r="BF71" s="1358"/>
      <c r="BG71" s="1358"/>
      <c r="BH71" s="1358"/>
      <c r="BI71" s="1358"/>
      <c r="BJ71" s="1358"/>
      <c r="BK71" s="1358"/>
      <c r="BL71" s="1358"/>
      <c r="BM71" s="1358"/>
      <c r="BN71" s="1358"/>
      <c r="BO71" s="1358"/>
      <c r="BP71" s="1358"/>
      <c r="BQ71" s="1358"/>
    </row>
    <row r="72" spans="1:69" s="1354" customFormat="1" x14ac:dyDescent="0.25">
      <c r="A72" s="1353"/>
      <c r="B72" s="1353"/>
      <c r="C72" s="1353"/>
      <c r="D72" s="1353"/>
      <c r="E72" s="1353"/>
      <c r="F72" s="1353"/>
      <c r="G72" s="1353"/>
      <c r="H72" s="1353"/>
      <c r="I72" s="1353"/>
      <c r="J72" s="1353"/>
      <c r="K72" s="1387"/>
      <c r="L72" s="1353"/>
      <c r="M72" s="1353"/>
      <c r="N72" s="1353"/>
      <c r="V72" s="1358"/>
      <c r="W72" s="1358"/>
      <c r="X72" s="1358"/>
      <c r="Y72" s="1358"/>
      <c r="Z72" s="1358"/>
      <c r="AA72" s="1358"/>
      <c r="AB72" s="1358"/>
      <c r="AC72" s="1358"/>
      <c r="AD72" s="1358"/>
      <c r="AE72" s="1358"/>
      <c r="AF72" s="1358"/>
      <c r="AG72" s="1358"/>
      <c r="AH72" s="1358"/>
      <c r="AI72" s="1358"/>
      <c r="AJ72" s="1358"/>
      <c r="AK72" s="1358"/>
      <c r="AL72" s="1358"/>
      <c r="AM72" s="1358"/>
      <c r="AN72" s="1358"/>
      <c r="AO72" s="1358"/>
      <c r="AP72" s="1358"/>
      <c r="AQ72" s="1358"/>
      <c r="AR72" s="1358"/>
      <c r="AS72" s="1358"/>
      <c r="AT72" s="1358"/>
      <c r="AU72" s="1358"/>
      <c r="AV72" s="1358"/>
      <c r="AW72" s="1358"/>
      <c r="AX72" s="1358"/>
      <c r="AY72" s="1358"/>
      <c r="AZ72" s="1358"/>
      <c r="BA72" s="1358"/>
      <c r="BB72" s="1358"/>
      <c r="BC72" s="1358"/>
      <c r="BD72" s="1358"/>
      <c r="BE72" s="1358"/>
      <c r="BF72" s="1358"/>
      <c r="BG72" s="1358"/>
      <c r="BH72" s="1358"/>
      <c r="BI72" s="1358"/>
      <c r="BJ72" s="1358"/>
      <c r="BK72" s="1358"/>
      <c r="BL72" s="1358"/>
      <c r="BM72" s="1358"/>
      <c r="BN72" s="1358"/>
      <c r="BO72" s="1358"/>
      <c r="BP72" s="1358"/>
      <c r="BQ72" s="1358"/>
    </row>
    <row r="73" spans="1:69" s="1354" customFormat="1" x14ac:dyDescent="0.25">
      <c r="A73" s="1353"/>
      <c r="B73" s="1353"/>
      <c r="C73" s="1353"/>
      <c r="D73" s="1353"/>
      <c r="E73" s="1353"/>
      <c r="F73" s="1353"/>
      <c r="G73" s="1353"/>
      <c r="H73" s="1353"/>
      <c r="I73" s="1353"/>
      <c r="J73" s="1353"/>
      <c r="K73" s="1387"/>
      <c r="L73" s="1353"/>
      <c r="M73" s="1353"/>
      <c r="N73" s="1353"/>
      <c r="V73" s="1358"/>
      <c r="W73" s="1358"/>
      <c r="X73" s="1358"/>
      <c r="Y73" s="1358"/>
      <c r="Z73" s="1358"/>
      <c r="AA73" s="1358"/>
      <c r="AB73" s="1358"/>
      <c r="AC73" s="1358"/>
      <c r="AD73" s="1358"/>
      <c r="AE73" s="1358"/>
      <c r="AF73" s="1358"/>
      <c r="AG73" s="1358"/>
      <c r="AH73" s="1358"/>
      <c r="AI73" s="1358"/>
      <c r="AJ73" s="1358"/>
      <c r="AK73" s="1358"/>
      <c r="AL73" s="1358"/>
      <c r="AM73" s="1358"/>
      <c r="AN73" s="1358"/>
      <c r="AO73" s="1358"/>
      <c r="AP73" s="1358"/>
      <c r="AQ73" s="1358"/>
      <c r="AR73" s="1358"/>
      <c r="AS73" s="1358"/>
      <c r="AT73" s="1358"/>
      <c r="AU73" s="1358"/>
      <c r="AV73" s="1358"/>
      <c r="AW73" s="1358"/>
      <c r="AX73" s="1358"/>
      <c r="AY73" s="1358"/>
      <c r="AZ73" s="1358"/>
      <c r="BA73" s="1358"/>
      <c r="BB73" s="1358"/>
      <c r="BC73" s="1358"/>
      <c r="BD73" s="1358"/>
      <c r="BE73" s="1358"/>
      <c r="BF73" s="1358"/>
      <c r="BG73" s="1358"/>
      <c r="BH73" s="1358"/>
      <c r="BI73" s="1358"/>
      <c r="BJ73" s="1358"/>
      <c r="BK73" s="1358"/>
      <c r="BL73" s="1358"/>
      <c r="BM73" s="1358"/>
      <c r="BN73" s="1358"/>
      <c r="BO73" s="1358"/>
      <c r="BP73" s="1358"/>
      <c r="BQ73" s="1358"/>
    </row>
    <row r="74" spans="1:69" s="1354" customFormat="1" x14ac:dyDescent="0.25">
      <c r="A74" s="1353"/>
      <c r="B74" s="1353"/>
      <c r="C74" s="1353"/>
      <c r="D74" s="1353"/>
      <c r="E74" s="1353"/>
      <c r="F74" s="1353"/>
      <c r="G74" s="1353"/>
      <c r="H74" s="1353"/>
      <c r="I74" s="1353"/>
      <c r="J74" s="1353"/>
      <c r="K74" s="1387"/>
      <c r="L74" s="1353"/>
      <c r="M74" s="1353"/>
      <c r="N74" s="1353"/>
      <c r="V74" s="1358"/>
      <c r="W74" s="1358"/>
      <c r="X74" s="1358"/>
      <c r="Y74" s="1358"/>
      <c r="Z74" s="1358"/>
      <c r="AA74" s="1358"/>
      <c r="AB74" s="1358"/>
      <c r="AC74" s="1358"/>
      <c r="AD74" s="1358"/>
      <c r="AE74" s="1358"/>
      <c r="AF74" s="1358"/>
      <c r="AG74" s="1358"/>
      <c r="AH74" s="1358"/>
      <c r="AI74" s="1358"/>
      <c r="AJ74" s="1358"/>
      <c r="AK74" s="1358"/>
      <c r="AL74" s="1358"/>
      <c r="AM74" s="1358"/>
      <c r="AN74" s="1358"/>
      <c r="AO74" s="1358"/>
      <c r="AP74" s="1358"/>
      <c r="AQ74" s="1358"/>
      <c r="AR74" s="1358"/>
      <c r="AS74" s="1358"/>
      <c r="AT74" s="1358"/>
      <c r="AU74" s="1358"/>
      <c r="AV74" s="1358"/>
      <c r="AW74" s="1358"/>
      <c r="AX74" s="1358"/>
      <c r="AY74" s="1358"/>
      <c r="AZ74" s="1358"/>
      <c r="BA74" s="1358"/>
      <c r="BB74" s="1358"/>
      <c r="BC74" s="1358"/>
      <c r="BD74" s="1358"/>
      <c r="BE74" s="1358"/>
      <c r="BF74" s="1358"/>
      <c r="BG74" s="1358"/>
      <c r="BH74" s="1358"/>
      <c r="BI74" s="1358"/>
      <c r="BJ74" s="1358"/>
      <c r="BK74" s="1358"/>
      <c r="BL74" s="1358"/>
      <c r="BM74" s="1358"/>
      <c r="BN74" s="1358"/>
      <c r="BO74" s="1358"/>
      <c r="BP74" s="1358"/>
      <c r="BQ74" s="1358"/>
    </row>
    <row r="75" spans="1:69" s="1354" customFormat="1" x14ac:dyDescent="0.25">
      <c r="A75" s="1353"/>
      <c r="B75" s="1353"/>
      <c r="C75" s="1353"/>
      <c r="D75" s="1353"/>
      <c r="E75" s="1353"/>
      <c r="F75" s="1353"/>
      <c r="G75" s="1353"/>
      <c r="H75" s="1353"/>
      <c r="I75" s="1353"/>
      <c r="J75" s="1353"/>
      <c r="K75" s="1387"/>
      <c r="L75" s="1353"/>
      <c r="M75" s="1353"/>
      <c r="N75" s="1353"/>
      <c r="V75" s="1358"/>
      <c r="W75" s="1358"/>
      <c r="X75" s="1358"/>
      <c r="Y75" s="1358"/>
      <c r="Z75" s="1358"/>
      <c r="AA75" s="1358"/>
      <c r="AB75" s="1358"/>
      <c r="AC75" s="1358"/>
      <c r="AD75" s="1358"/>
      <c r="AE75" s="1358"/>
      <c r="AF75" s="1358"/>
      <c r="AG75" s="1358"/>
      <c r="AH75" s="1358"/>
      <c r="AI75" s="1358"/>
      <c r="AJ75" s="1358"/>
      <c r="AK75" s="1358"/>
      <c r="AL75" s="1358"/>
      <c r="AM75" s="1358"/>
      <c r="AN75" s="1358"/>
      <c r="AO75" s="1358"/>
      <c r="AP75" s="1358"/>
      <c r="AQ75" s="1358"/>
      <c r="AR75" s="1358"/>
      <c r="AS75" s="1358"/>
      <c r="AT75" s="1358"/>
      <c r="AU75" s="1358"/>
      <c r="AV75" s="1358"/>
      <c r="AW75" s="1358"/>
      <c r="AX75" s="1358"/>
      <c r="AY75" s="1358"/>
      <c r="AZ75" s="1358"/>
      <c r="BA75" s="1358"/>
      <c r="BB75" s="1358"/>
      <c r="BC75" s="1358"/>
      <c r="BD75" s="1358"/>
      <c r="BE75" s="1358"/>
      <c r="BF75" s="1358"/>
      <c r="BG75" s="1358"/>
      <c r="BH75" s="1358"/>
      <c r="BI75" s="1358"/>
      <c r="BJ75" s="1358"/>
      <c r="BK75" s="1358"/>
      <c r="BL75" s="1358"/>
      <c r="BM75" s="1358"/>
      <c r="BN75" s="1358"/>
      <c r="BO75" s="1358"/>
      <c r="BP75" s="1358"/>
      <c r="BQ75" s="1358"/>
    </row>
    <row r="76" spans="1:69" s="1354" customFormat="1" x14ac:dyDescent="0.25">
      <c r="A76" s="1353"/>
      <c r="B76" s="1353"/>
      <c r="C76" s="1353"/>
      <c r="D76" s="1353"/>
      <c r="E76" s="1353"/>
      <c r="F76" s="1353"/>
      <c r="G76" s="1353"/>
      <c r="H76" s="1353"/>
      <c r="I76" s="1353"/>
      <c r="J76" s="1353"/>
      <c r="K76" s="1387"/>
      <c r="L76" s="1353"/>
      <c r="M76" s="1353"/>
      <c r="N76" s="1353"/>
      <c r="V76" s="1358"/>
      <c r="W76" s="1358"/>
      <c r="X76" s="1358"/>
      <c r="Y76" s="1358"/>
      <c r="Z76" s="1358"/>
      <c r="AA76" s="1358"/>
      <c r="AB76" s="1358"/>
      <c r="AC76" s="1358"/>
      <c r="AD76" s="1358"/>
      <c r="AE76" s="1358"/>
      <c r="AF76" s="1358"/>
      <c r="AG76" s="1358"/>
      <c r="AH76" s="1358"/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8"/>
      <c r="AX76" s="1358"/>
      <c r="AY76" s="1358"/>
      <c r="AZ76" s="1358"/>
      <c r="BA76" s="1358"/>
      <c r="BB76" s="1358"/>
      <c r="BC76" s="1358"/>
      <c r="BD76" s="1358"/>
      <c r="BE76" s="1358"/>
      <c r="BF76" s="1358"/>
      <c r="BG76" s="1358"/>
      <c r="BH76" s="1358"/>
      <c r="BI76" s="1358"/>
      <c r="BJ76" s="1358"/>
      <c r="BK76" s="1358"/>
      <c r="BL76" s="1358"/>
      <c r="BM76" s="1358"/>
      <c r="BN76" s="1358"/>
      <c r="BO76" s="1358"/>
      <c r="BP76" s="1358"/>
      <c r="BQ76" s="1358"/>
    </row>
    <row r="77" spans="1:69" s="1354" customFormat="1" x14ac:dyDescent="0.25">
      <c r="A77" s="1353"/>
      <c r="B77" s="1353"/>
      <c r="C77" s="1353"/>
      <c r="D77" s="1353"/>
      <c r="E77" s="1353"/>
      <c r="F77" s="1353"/>
      <c r="G77" s="1353"/>
      <c r="H77" s="1353"/>
      <c r="I77" s="1353"/>
      <c r="J77" s="1353"/>
      <c r="K77" s="1387"/>
      <c r="L77" s="1353"/>
      <c r="M77" s="1353"/>
      <c r="N77" s="1353"/>
      <c r="V77" s="1358"/>
      <c r="W77" s="1358"/>
      <c r="X77" s="1358"/>
      <c r="Y77" s="1358"/>
      <c r="Z77" s="1358"/>
      <c r="AA77" s="1358"/>
      <c r="AB77" s="1358"/>
      <c r="AC77" s="1358"/>
      <c r="AD77" s="1358"/>
      <c r="AE77" s="1358"/>
      <c r="AF77" s="1358"/>
      <c r="AG77" s="1358"/>
      <c r="AH77" s="1358"/>
      <c r="AI77" s="1358"/>
      <c r="AJ77" s="1358"/>
      <c r="AK77" s="1358"/>
      <c r="AL77" s="1358"/>
      <c r="AM77" s="1358"/>
      <c r="AN77" s="1358"/>
      <c r="AO77" s="1358"/>
      <c r="AP77" s="1358"/>
      <c r="AQ77" s="1358"/>
      <c r="AR77" s="1358"/>
      <c r="AS77" s="1358"/>
      <c r="AT77" s="1358"/>
      <c r="AU77" s="1358"/>
      <c r="AV77" s="1358"/>
      <c r="AW77" s="1358"/>
      <c r="AX77" s="1358"/>
      <c r="AY77" s="1358"/>
      <c r="AZ77" s="1358"/>
      <c r="BA77" s="1358"/>
      <c r="BB77" s="1358"/>
      <c r="BC77" s="1358"/>
      <c r="BD77" s="1358"/>
      <c r="BE77" s="1358"/>
      <c r="BF77" s="1358"/>
      <c r="BG77" s="1358"/>
      <c r="BH77" s="1358"/>
      <c r="BI77" s="1358"/>
      <c r="BJ77" s="1358"/>
      <c r="BK77" s="1358"/>
      <c r="BL77" s="1358"/>
      <c r="BM77" s="1358"/>
      <c r="BN77" s="1358"/>
      <c r="BO77" s="1358"/>
      <c r="BP77" s="1358"/>
      <c r="BQ77" s="1358"/>
    </row>
    <row r="78" spans="1:69" s="1354" customFormat="1" x14ac:dyDescent="0.25">
      <c r="A78" s="1353"/>
      <c r="B78" s="1353"/>
      <c r="C78" s="1353"/>
      <c r="D78" s="1353"/>
      <c r="E78" s="1353"/>
      <c r="F78" s="1353"/>
      <c r="G78" s="1353"/>
      <c r="H78" s="1353"/>
      <c r="I78" s="1353"/>
      <c r="J78" s="1353"/>
      <c r="K78" s="1387"/>
      <c r="L78" s="1353"/>
      <c r="M78" s="1353"/>
      <c r="N78" s="1353"/>
      <c r="V78" s="1358"/>
      <c r="W78" s="1358"/>
      <c r="X78" s="1358"/>
      <c r="Y78" s="1358"/>
      <c r="Z78" s="1358"/>
      <c r="AA78" s="1358"/>
      <c r="AB78" s="1358"/>
      <c r="AC78" s="1358"/>
      <c r="AD78" s="1358"/>
      <c r="AE78" s="1358"/>
      <c r="AF78" s="1358"/>
      <c r="AG78" s="1358"/>
      <c r="AH78" s="1358"/>
      <c r="AI78" s="1358"/>
      <c r="AJ78" s="1358"/>
      <c r="AK78" s="1358"/>
      <c r="AL78" s="1358"/>
      <c r="AM78" s="1358"/>
      <c r="AN78" s="1358"/>
      <c r="AO78" s="1358"/>
      <c r="AP78" s="1358"/>
      <c r="AQ78" s="1358"/>
      <c r="AR78" s="1358"/>
      <c r="AS78" s="1358"/>
      <c r="AT78" s="1358"/>
      <c r="AU78" s="1358"/>
      <c r="AV78" s="1358"/>
      <c r="AW78" s="1358"/>
      <c r="AX78" s="1358"/>
      <c r="AY78" s="1358"/>
      <c r="AZ78" s="1358"/>
      <c r="BA78" s="1358"/>
      <c r="BB78" s="1358"/>
      <c r="BC78" s="1358"/>
      <c r="BD78" s="1358"/>
      <c r="BE78" s="1358"/>
      <c r="BF78" s="1358"/>
      <c r="BG78" s="1358"/>
      <c r="BH78" s="1358"/>
      <c r="BI78" s="1358"/>
      <c r="BJ78" s="1358"/>
      <c r="BK78" s="1358"/>
      <c r="BL78" s="1358"/>
      <c r="BM78" s="1358"/>
      <c r="BN78" s="1358"/>
      <c r="BO78" s="1358"/>
      <c r="BP78" s="1358"/>
      <c r="BQ78" s="1358"/>
    </row>
    <row r="79" spans="1:69" s="1354" customFormat="1" x14ac:dyDescent="0.25">
      <c r="A79" s="1353"/>
      <c r="B79" s="1353"/>
      <c r="C79" s="1353"/>
      <c r="D79" s="1353"/>
      <c r="E79" s="1353"/>
      <c r="F79" s="1353"/>
      <c r="G79" s="1353"/>
      <c r="H79" s="1353"/>
      <c r="I79" s="1353"/>
      <c r="J79" s="1353"/>
      <c r="K79" s="1387"/>
      <c r="L79" s="1353"/>
      <c r="M79" s="1353"/>
      <c r="N79" s="1353"/>
      <c r="V79" s="1358"/>
      <c r="W79" s="1358"/>
      <c r="X79" s="1358"/>
      <c r="Y79" s="1358"/>
      <c r="Z79" s="1358"/>
      <c r="AA79" s="1358"/>
      <c r="AB79" s="1358"/>
      <c r="AC79" s="1358"/>
      <c r="AD79" s="1358"/>
      <c r="AE79" s="1358"/>
      <c r="AF79" s="1358"/>
      <c r="AG79" s="1358"/>
      <c r="AH79" s="1358"/>
      <c r="AI79" s="1358"/>
      <c r="AJ79" s="1358"/>
      <c r="AK79" s="1358"/>
      <c r="AL79" s="1358"/>
      <c r="AM79" s="1358"/>
      <c r="AN79" s="1358"/>
      <c r="AO79" s="1358"/>
      <c r="AP79" s="1358"/>
      <c r="AQ79" s="1358"/>
      <c r="AR79" s="1358"/>
      <c r="AS79" s="1358"/>
      <c r="AT79" s="1358"/>
      <c r="AU79" s="1358"/>
      <c r="AV79" s="1358"/>
      <c r="AW79" s="1358"/>
      <c r="AX79" s="1358"/>
      <c r="AY79" s="1358"/>
      <c r="AZ79" s="1358"/>
      <c r="BA79" s="1358"/>
      <c r="BB79" s="1358"/>
      <c r="BC79" s="1358"/>
      <c r="BD79" s="1358"/>
      <c r="BE79" s="1358"/>
      <c r="BF79" s="1358"/>
      <c r="BG79" s="1358"/>
      <c r="BH79" s="1358"/>
      <c r="BI79" s="1358"/>
      <c r="BJ79" s="1358"/>
      <c r="BK79" s="1358"/>
      <c r="BL79" s="1358"/>
      <c r="BM79" s="1358"/>
      <c r="BN79" s="1358"/>
      <c r="BO79" s="1358"/>
      <c r="BP79" s="1358"/>
      <c r="BQ79" s="1358"/>
    </row>
    <row r="80" spans="1:69" s="1354" customFormat="1" x14ac:dyDescent="0.25">
      <c r="A80" s="1353"/>
      <c r="B80" s="1353"/>
      <c r="C80" s="1353"/>
      <c r="D80" s="1353"/>
      <c r="E80" s="1353"/>
      <c r="F80" s="1353"/>
      <c r="G80" s="1353"/>
      <c r="H80" s="1353"/>
      <c r="I80" s="1353"/>
      <c r="J80" s="1353"/>
      <c r="K80" s="1387"/>
      <c r="L80" s="1353"/>
      <c r="M80" s="1353"/>
      <c r="N80" s="1353"/>
      <c r="V80" s="1358"/>
      <c r="W80" s="1358"/>
      <c r="X80" s="1358"/>
      <c r="Y80" s="1358"/>
      <c r="Z80" s="1358"/>
      <c r="AA80" s="1358"/>
      <c r="AB80" s="1358"/>
      <c r="AC80" s="1358"/>
      <c r="AD80" s="1358"/>
      <c r="AE80" s="1358"/>
      <c r="AF80" s="1358"/>
      <c r="AG80" s="1358"/>
      <c r="AH80" s="1358"/>
      <c r="AI80" s="1358"/>
      <c r="AJ80" s="1358"/>
      <c r="AK80" s="1358"/>
      <c r="AL80" s="1358"/>
      <c r="AM80" s="1358"/>
      <c r="AN80" s="1358"/>
      <c r="AO80" s="1358"/>
      <c r="AP80" s="1358"/>
      <c r="AQ80" s="1358"/>
      <c r="AR80" s="1358"/>
      <c r="AS80" s="1358"/>
      <c r="AT80" s="1358"/>
      <c r="AU80" s="1358"/>
      <c r="AV80" s="1358"/>
      <c r="AW80" s="1358"/>
      <c r="AX80" s="1358"/>
      <c r="AY80" s="1358"/>
      <c r="AZ80" s="1358"/>
      <c r="BA80" s="1358"/>
      <c r="BB80" s="1358"/>
      <c r="BC80" s="1358"/>
      <c r="BD80" s="1358"/>
      <c r="BE80" s="1358"/>
      <c r="BF80" s="1358"/>
      <c r="BG80" s="1358"/>
      <c r="BH80" s="1358"/>
      <c r="BI80" s="1358"/>
      <c r="BJ80" s="1358"/>
      <c r="BK80" s="1358"/>
      <c r="BL80" s="1358"/>
      <c r="BM80" s="1358"/>
      <c r="BN80" s="1358"/>
      <c r="BO80" s="1358"/>
      <c r="BP80" s="1358"/>
      <c r="BQ80" s="1358"/>
    </row>
    <row r="81" spans="1:69" s="1354" customFormat="1" x14ac:dyDescent="0.25">
      <c r="A81" s="1353"/>
      <c r="B81" s="1353"/>
      <c r="C81" s="1353"/>
      <c r="D81" s="1353"/>
      <c r="E81" s="1353"/>
      <c r="F81" s="1353"/>
      <c r="G81" s="1353"/>
      <c r="H81" s="1353"/>
      <c r="I81" s="1353"/>
      <c r="J81" s="1353"/>
      <c r="K81" s="1387"/>
      <c r="L81" s="1353"/>
      <c r="M81" s="1353"/>
      <c r="N81" s="1353"/>
      <c r="V81" s="1358"/>
      <c r="W81" s="1358"/>
      <c r="X81" s="1358"/>
      <c r="Y81" s="1358"/>
      <c r="Z81" s="1358"/>
      <c r="AA81" s="1358"/>
      <c r="AB81" s="1358"/>
      <c r="AC81" s="1358"/>
      <c r="AD81" s="1358"/>
      <c r="AE81" s="1358"/>
      <c r="AF81" s="1358"/>
      <c r="AG81" s="1358"/>
      <c r="AH81" s="1358"/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58"/>
      <c r="AY81" s="1358"/>
      <c r="AZ81" s="1358"/>
      <c r="BA81" s="1358"/>
      <c r="BB81" s="1358"/>
      <c r="BC81" s="1358"/>
      <c r="BD81" s="1358"/>
      <c r="BE81" s="1358"/>
      <c r="BF81" s="1358"/>
      <c r="BG81" s="1358"/>
      <c r="BH81" s="1358"/>
      <c r="BI81" s="1358"/>
      <c r="BJ81" s="1358"/>
      <c r="BK81" s="1358"/>
      <c r="BL81" s="1358"/>
      <c r="BM81" s="1358"/>
      <c r="BN81" s="1358"/>
      <c r="BO81" s="1358"/>
      <c r="BP81" s="1358"/>
      <c r="BQ81" s="1358"/>
    </row>
    <row r="82" spans="1:69" s="1354" customFormat="1" x14ac:dyDescent="0.25">
      <c r="A82" s="1353"/>
      <c r="B82" s="1353"/>
      <c r="C82" s="1353"/>
      <c r="D82" s="1353"/>
      <c r="E82" s="1353"/>
      <c r="F82" s="1353"/>
      <c r="G82" s="1353"/>
      <c r="H82" s="1353"/>
      <c r="I82" s="1353"/>
      <c r="J82" s="1353"/>
      <c r="K82" s="1387"/>
      <c r="L82" s="1353"/>
      <c r="M82" s="1353"/>
      <c r="N82" s="1353"/>
      <c r="V82" s="1358"/>
      <c r="W82" s="1358"/>
      <c r="X82" s="1358"/>
      <c r="Y82" s="1358"/>
      <c r="Z82" s="1358"/>
      <c r="AA82" s="1358"/>
      <c r="AB82" s="1358"/>
      <c r="AC82" s="1358"/>
      <c r="AD82" s="1358"/>
      <c r="AE82" s="1358"/>
      <c r="AF82" s="1358"/>
      <c r="AG82" s="1358"/>
      <c r="AH82" s="1358"/>
      <c r="AI82" s="1358"/>
      <c r="AJ82" s="1358"/>
      <c r="AK82" s="1358"/>
      <c r="AL82" s="1358"/>
      <c r="AM82" s="1358"/>
      <c r="AN82" s="1358"/>
      <c r="AO82" s="1358"/>
      <c r="AP82" s="1358"/>
      <c r="AQ82" s="1358"/>
      <c r="AR82" s="1358"/>
      <c r="AS82" s="1358"/>
      <c r="AT82" s="1358"/>
      <c r="AU82" s="1358"/>
      <c r="AV82" s="1358"/>
      <c r="AW82" s="1358"/>
      <c r="AX82" s="1358"/>
      <c r="AY82" s="1358"/>
      <c r="AZ82" s="1358"/>
      <c r="BA82" s="1358"/>
      <c r="BB82" s="1358"/>
      <c r="BC82" s="1358"/>
      <c r="BD82" s="1358"/>
      <c r="BE82" s="1358"/>
      <c r="BF82" s="1358"/>
      <c r="BG82" s="1358"/>
      <c r="BH82" s="1358"/>
      <c r="BI82" s="1358"/>
      <c r="BJ82" s="1358"/>
      <c r="BK82" s="1358"/>
      <c r="BL82" s="1358"/>
      <c r="BM82" s="1358"/>
      <c r="BN82" s="1358"/>
      <c r="BO82" s="1358"/>
      <c r="BP82" s="1358"/>
      <c r="BQ82" s="1358"/>
    </row>
    <row r="83" spans="1:69" s="1354" customFormat="1" x14ac:dyDescent="0.25">
      <c r="A83" s="1353"/>
      <c r="B83" s="1353"/>
      <c r="C83" s="1353"/>
      <c r="D83" s="1353"/>
      <c r="E83" s="1353"/>
      <c r="F83" s="1353"/>
      <c r="G83" s="1353"/>
      <c r="H83" s="1353"/>
      <c r="I83" s="1353"/>
      <c r="J83" s="1353"/>
      <c r="K83" s="1387"/>
      <c r="L83" s="1353"/>
      <c r="M83" s="1353"/>
      <c r="N83" s="1353"/>
      <c r="V83" s="1358"/>
      <c r="W83" s="1358"/>
      <c r="X83" s="1358"/>
      <c r="Y83" s="1358"/>
      <c r="Z83" s="1358"/>
      <c r="AA83" s="1358"/>
      <c r="AB83" s="1358"/>
      <c r="AC83" s="1358"/>
      <c r="AD83" s="1358"/>
      <c r="AE83" s="1358"/>
      <c r="AF83" s="1358"/>
      <c r="AG83" s="1358"/>
      <c r="AH83" s="1358"/>
      <c r="AI83" s="1358"/>
      <c r="AJ83" s="1358"/>
      <c r="AK83" s="1358"/>
      <c r="AL83" s="1358"/>
      <c r="AM83" s="1358"/>
      <c r="AN83" s="1358"/>
      <c r="AO83" s="1358"/>
      <c r="AP83" s="1358"/>
      <c r="AQ83" s="1358"/>
      <c r="AR83" s="1358"/>
      <c r="AS83" s="1358"/>
      <c r="AT83" s="1358"/>
      <c r="AU83" s="1358"/>
      <c r="AV83" s="1358"/>
      <c r="AW83" s="1358"/>
      <c r="AX83" s="1358"/>
      <c r="AY83" s="1358"/>
      <c r="AZ83" s="1358"/>
      <c r="BA83" s="1358"/>
      <c r="BB83" s="1358"/>
      <c r="BC83" s="1358"/>
      <c r="BD83" s="1358"/>
      <c r="BE83" s="1358"/>
      <c r="BF83" s="1358"/>
      <c r="BG83" s="1358"/>
      <c r="BH83" s="1358"/>
      <c r="BI83" s="1358"/>
      <c r="BJ83" s="1358"/>
      <c r="BK83" s="1358"/>
      <c r="BL83" s="1358"/>
      <c r="BM83" s="1358"/>
      <c r="BN83" s="1358"/>
      <c r="BO83" s="1358"/>
      <c r="BP83" s="1358"/>
      <c r="BQ83" s="1358"/>
    </row>
    <row r="84" spans="1:69" s="1354" customFormat="1" x14ac:dyDescent="0.25">
      <c r="A84" s="1353"/>
      <c r="B84" s="1353"/>
      <c r="C84" s="1353"/>
      <c r="D84" s="1353"/>
      <c r="E84" s="1353"/>
      <c r="F84" s="1353"/>
      <c r="G84" s="1353"/>
      <c r="H84" s="1353"/>
      <c r="I84" s="1353"/>
      <c r="J84" s="1353"/>
      <c r="K84" s="1387"/>
      <c r="L84" s="1353"/>
      <c r="M84" s="1353"/>
      <c r="N84" s="1353"/>
      <c r="V84" s="1358"/>
      <c r="W84" s="1358"/>
      <c r="X84" s="1358"/>
      <c r="Y84" s="1358"/>
      <c r="Z84" s="1358"/>
      <c r="AA84" s="1358"/>
      <c r="AB84" s="1358"/>
      <c r="AC84" s="1358"/>
      <c r="AD84" s="1358"/>
      <c r="AE84" s="1358"/>
      <c r="AF84" s="1358"/>
      <c r="AG84" s="1358"/>
      <c r="AH84" s="1358"/>
      <c r="AI84" s="1358"/>
      <c r="AJ84" s="1358"/>
      <c r="AK84" s="1358"/>
      <c r="AL84" s="1358"/>
      <c r="AM84" s="1358"/>
      <c r="AN84" s="1358"/>
      <c r="AO84" s="1358"/>
      <c r="AP84" s="1358"/>
      <c r="AQ84" s="1358"/>
      <c r="AR84" s="1358"/>
      <c r="AS84" s="1358"/>
      <c r="AT84" s="1358"/>
      <c r="AU84" s="1358"/>
      <c r="AV84" s="1358"/>
      <c r="AW84" s="1358"/>
      <c r="AX84" s="1358"/>
      <c r="AY84" s="1358"/>
      <c r="AZ84" s="1358"/>
      <c r="BA84" s="1358"/>
      <c r="BB84" s="1358"/>
      <c r="BC84" s="1358"/>
      <c r="BD84" s="1358"/>
      <c r="BE84" s="1358"/>
      <c r="BF84" s="1358"/>
      <c r="BG84" s="1358"/>
      <c r="BH84" s="1358"/>
      <c r="BI84" s="1358"/>
      <c r="BJ84" s="1358"/>
      <c r="BK84" s="1358"/>
      <c r="BL84" s="1358"/>
      <c r="BM84" s="1358"/>
      <c r="BN84" s="1358"/>
      <c r="BO84" s="1358"/>
      <c r="BP84" s="1358"/>
      <c r="BQ84" s="1358"/>
    </row>
    <row r="85" spans="1:69" s="1354" customFormat="1" x14ac:dyDescent="0.25">
      <c r="A85" s="1353"/>
      <c r="B85" s="1353"/>
      <c r="C85" s="1353"/>
      <c r="D85" s="1353"/>
      <c r="E85" s="1353"/>
      <c r="F85" s="1353"/>
      <c r="G85" s="1353"/>
      <c r="H85" s="1353"/>
      <c r="I85" s="1353"/>
      <c r="J85" s="1353"/>
      <c r="K85" s="1387"/>
      <c r="L85" s="1353"/>
      <c r="M85" s="1353"/>
      <c r="N85" s="1353"/>
      <c r="V85" s="1358"/>
      <c r="W85" s="1358"/>
      <c r="X85" s="1358"/>
      <c r="Y85" s="1358"/>
      <c r="Z85" s="1358"/>
      <c r="AA85" s="1358"/>
      <c r="AB85" s="1358"/>
      <c r="AC85" s="1358"/>
      <c r="AD85" s="1358"/>
      <c r="AE85" s="1358"/>
      <c r="AF85" s="1358"/>
      <c r="AG85" s="1358"/>
      <c r="AH85" s="1358"/>
      <c r="AI85" s="1358"/>
      <c r="AJ85" s="1358"/>
      <c r="AK85" s="1358"/>
      <c r="AL85" s="1358"/>
      <c r="AM85" s="1358"/>
      <c r="AN85" s="1358"/>
      <c r="AO85" s="1358"/>
      <c r="AP85" s="1358"/>
      <c r="AQ85" s="1358"/>
      <c r="AR85" s="1358"/>
      <c r="AS85" s="1358"/>
      <c r="AT85" s="1358"/>
      <c r="AU85" s="1358"/>
      <c r="AV85" s="1358"/>
      <c r="AW85" s="1358"/>
      <c r="AX85" s="1358"/>
      <c r="AY85" s="1358"/>
      <c r="AZ85" s="1358"/>
      <c r="BA85" s="1358"/>
      <c r="BB85" s="1358"/>
      <c r="BC85" s="1358"/>
      <c r="BD85" s="1358"/>
      <c r="BE85" s="1358"/>
      <c r="BF85" s="1358"/>
      <c r="BG85" s="1358"/>
      <c r="BH85" s="1358"/>
      <c r="BI85" s="1358"/>
      <c r="BJ85" s="1358"/>
      <c r="BK85" s="1358"/>
      <c r="BL85" s="1358"/>
      <c r="BM85" s="1358"/>
      <c r="BN85" s="1358"/>
      <c r="BO85" s="1358"/>
      <c r="BP85" s="1358"/>
      <c r="BQ85" s="1358"/>
    </row>
    <row r="86" spans="1:69" s="1354" customFormat="1" x14ac:dyDescent="0.25">
      <c r="A86" s="1353"/>
      <c r="B86" s="1353"/>
      <c r="C86" s="1353"/>
      <c r="D86" s="1353"/>
      <c r="E86" s="1353"/>
      <c r="F86" s="1353"/>
      <c r="G86" s="1353"/>
      <c r="H86" s="1353"/>
      <c r="I86" s="1353"/>
      <c r="J86" s="1353"/>
      <c r="K86" s="1387"/>
      <c r="L86" s="1353"/>
      <c r="M86" s="1353"/>
      <c r="N86" s="1353"/>
      <c r="V86" s="1358"/>
      <c r="W86" s="1358"/>
      <c r="X86" s="1358"/>
      <c r="Y86" s="1358"/>
      <c r="Z86" s="1358"/>
      <c r="AA86" s="1358"/>
      <c r="AB86" s="1358"/>
      <c r="AC86" s="1358"/>
      <c r="AD86" s="1358"/>
      <c r="AE86" s="1358"/>
      <c r="AF86" s="1358"/>
      <c r="AG86" s="1358"/>
      <c r="AH86" s="1358"/>
      <c r="AI86" s="1358"/>
      <c r="AJ86" s="1358"/>
      <c r="AK86" s="1358"/>
      <c r="AL86" s="1358"/>
      <c r="AM86" s="1358"/>
      <c r="AN86" s="1358"/>
      <c r="AO86" s="1358"/>
      <c r="AP86" s="1358"/>
      <c r="AQ86" s="1358"/>
      <c r="AR86" s="1358"/>
      <c r="AS86" s="1358"/>
      <c r="AT86" s="1358"/>
      <c r="AU86" s="1358"/>
      <c r="AV86" s="1358"/>
      <c r="AW86" s="1358"/>
      <c r="AX86" s="1358"/>
      <c r="AY86" s="1358"/>
      <c r="AZ86" s="1358"/>
      <c r="BA86" s="1358"/>
      <c r="BB86" s="1358"/>
      <c r="BC86" s="1358"/>
      <c r="BD86" s="1358"/>
      <c r="BE86" s="1358"/>
      <c r="BF86" s="1358"/>
      <c r="BG86" s="1358"/>
      <c r="BH86" s="1358"/>
      <c r="BI86" s="1358"/>
      <c r="BJ86" s="1358"/>
      <c r="BK86" s="1358"/>
      <c r="BL86" s="1358"/>
      <c r="BM86" s="1358"/>
      <c r="BN86" s="1358"/>
      <c r="BO86" s="1358"/>
      <c r="BP86" s="1358"/>
      <c r="BQ86" s="1358"/>
    </row>
    <row r="87" spans="1:69" s="1354" customFormat="1" x14ac:dyDescent="0.25">
      <c r="A87" s="1353"/>
      <c r="B87" s="1353"/>
      <c r="C87" s="1353"/>
      <c r="D87" s="1353"/>
      <c r="E87" s="1353"/>
      <c r="F87" s="1353"/>
      <c r="G87" s="1353"/>
      <c r="H87" s="1353"/>
      <c r="I87" s="1353"/>
      <c r="J87" s="1353"/>
      <c r="K87" s="1387"/>
      <c r="L87" s="1353"/>
      <c r="M87" s="1353"/>
      <c r="N87" s="1353"/>
      <c r="V87" s="1358"/>
      <c r="W87" s="1358"/>
      <c r="X87" s="1358"/>
      <c r="Y87" s="1358"/>
      <c r="Z87" s="1358"/>
      <c r="AA87" s="1358"/>
      <c r="AB87" s="1358"/>
      <c r="AC87" s="1358"/>
      <c r="AD87" s="1358"/>
      <c r="AE87" s="1358"/>
      <c r="AF87" s="1358"/>
      <c r="AG87" s="1358"/>
      <c r="AH87" s="1358"/>
      <c r="AI87" s="1358"/>
      <c r="AJ87" s="1358"/>
      <c r="AK87" s="1358"/>
      <c r="AL87" s="1358"/>
      <c r="AM87" s="1358"/>
      <c r="AN87" s="1358"/>
      <c r="AO87" s="1358"/>
      <c r="AP87" s="1358"/>
      <c r="AQ87" s="1358"/>
      <c r="AR87" s="1358"/>
      <c r="AS87" s="1358"/>
      <c r="AT87" s="1358"/>
      <c r="AU87" s="1358"/>
      <c r="AV87" s="1358"/>
      <c r="AW87" s="1358"/>
      <c r="AX87" s="1358"/>
      <c r="AY87" s="1358"/>
      <c r="AZ87" s="1358"/>
      <c r="BA87" s="1358"/>
      <c r="BB87" s="1358"/>
      <c r="BC87" s="1358"/>
      <c r="BD87" s="1358"/>
      <c r="BE87" s="1358"/>
      <c r="BF87" s="1358"/>
      <c r="BG87" s="1358"/>
      <c r="BH87" s="1358"/>
      <c r="BI87" s="1358"/>
      <c r="BJ87" s="1358"/>
      <c r="BK87" s="1358"/>
      <c r="BL87" s="1358"/>
      <c r="BM87" s="1358"/>
      <c r="BN87" s="1358"/>
      <c r="BO87" s="1358"/>
      <c r="BP87" s="1358"/>
      <c r="BQ87" s="1358"/>
    </row>
    <row r="88" spans="1:69" s="1354" customFormat="1" x14ac:dyDescent="0.25">
      <c r="A88" s="1353"/>
      <c r="B88" s="1353"/>
      <c r="C88" s="1353"/>
      <c r="D88" s="1353"/>
      <c r="E88" s="1353"/>
      <c r="F88" s="1353"/>
      <c r="G88" s="1353"/>
      <c r="H88" s="1353"/>
      <c r="I88" s="1353"/>
      <c r="J88" s="1353"/>
      <c r="K88" s="1387"/>
      <c r="L88" s="1353"/>
      <c r="M88" s="1353"/>
      <c r="N88" s="1353"/>
      <c r="V88" s="1358"/>
      <c r="W88" s="1358"/>
      <c r="X88" s="1358"/>
      <c r="Y88" s="1358"/>
      <c r="Z88" s="1358"/>
      <c r="AA88" s="1358"/>
      <c r="AB88" s="1358"/>
      <c r="AC88" s="1358"/>
      <c r="AD88" s="1358"/>
      <c r="AE88" s="1358"/>
      <c r="AF88" s="1358"/>
      <c r="AG88" s="1358"/>
      <c r="AH88" s="1358"/>
      <c r="AI88" s="1358"/>
      <c r="AJ88" s="1358"/>
      <c r="AK88" s="1358"/>
      <c r="AL88" s="1358"/>
      <c r="AM88" s="1358"/>
      <c r="AN88" s="1358"/>
      <c r="AO88" s="1358"/>
      <c r="AP88" s="1358"/>
      <c r="AQ88" s="1358"/>
      <c r="AR88" s="1358"/>
      <c r="AS88" s="1358"/>
      <c r="AT88" s="1358"/>
      <c r="AU88" s="1358"/>
      <c r="AV88" s="1358"/>
      <c r="AW88" s="1358"/>
      <c r="AX88" s="1358"/>
      <c r="AY88" s="1358"/>
      <c r="AZ88" s="1358"/>
      <c r="BA88" s="1358"/>
      <c r="BB88" s="1358"/>
      <c r="BC88" s="1358"/>
      <c r="BD88" s="1358"/>
      <c r="BE88" s="1358"/>
      <c r="BF88" s="1358"/>
      <c r="BG88" s="1358"/>
      <c r="BH88" s="1358"/>
      <c r="BI88" s="1358"/>
      <c r="BJ88" s="1358"/>
      <c r="BK88" s="1358"/>
      <c r="BL88" s="1358"/>
      <c r="BM88" s="1358"/>
      <c r="BN88" s="1358"/>
      <c r="BO88" s="1358"/>
      <c r="BP88" s="1358"/>
      <c r="BQ88" s="1358"/>
    </row>
    <row r="89" spans="1:69" s="1354" customFormat="1" x14ac:dyDescent="0.25">
      <c r="A89" s="1353"/>
      <c r="B89" s="1353"/>
      <c r="C89" s="1353"/>
      <c r="D89" s="1353"/>
      <c r="E89" s="1353"/>
      <c r="F89" s="1353"/>
      <c r="G89" s="1353"/>
      <c r="H89" s="1353"/>
      <c r="I89" s="1353"/>
      <c r="J89" s="1353"/>
      <c r="K89" s="1387"/>
      <c r="L89" s="1353"/>
      <c r="M89" s="1353"/>
      <c r="N89" s="1353"/>
      <c r="V89" s="1358"/>
      <c r="W89" s="1358"/>
      <c r="X89" s="1358"/>
      <c r="Y89" s="1358"/>
      <c r="Z89" s="1358"/>
      <c r="AA89" s="1358"/>
      <c r="AB89" s="1358"/>
      <c r="AC89" s="1358"/>
      <c r="AD89" s="1358"/>
      <c r="AE89" s="1358"/>
      <c r="AF89" s="1358"/>
      <c r="AG89" s="1358"/>
      <c r="AH89" s="1358"/>
      <c r="AI89" s="1358"/>
      <c r="AJ89" s="1358"/>
      <c r="AK89" s="1358"/>
      <c r="AL89" s="1358"/>
      <c r="AM89" s="1358"/>
      <c r="AN89" s="1358"/>
      <c r="AO89" s="1358"/>
      <c r="AP89" s="1358"/>
      <c r="AQ89" s="1358"/>
      <c r="AR89" s="1358"/>
      <c r="AS89" s="1358"/>
      <c r="AT89" s="1358"/>
      <c r="AU89" s="1358"/>
      <c r="AV89" s="1358"/>
      <c r="AW89" s="1358"/>
      <c r="AX89" s="1358"/>
      <c r="AY89" s="1358"/>
      <c r="AZ89" s="1358"/>
      <c r="BA89" s="1358"/>
      <c r="BB89" s="1358"/>
      <c r="BC89" s="1358"/>
      <c r="BD89" s="1358"/>
      <c r="BE89" s="1358"/>
      <c r="BF89" s="1358"/>
      <c r="BG89" s="1358"/>
      <c r="BH89" s="1358"/>
      <c r="BI89" s="1358"/>
      <c r="BJ89" s="1358"/>
      <c r="BK89" s="1358"/>
      <c r="BL89" s="1358"/>
      <c r="BM89" s="1358"/>
      <c r="BN89" s="1358"/>
      <c r="BO89" s="1358"/>
      <c r="BP89" s="1358"/>
      <c r="BQ89" s="1358"/>
    </row>
    <row r="90" spans="1:69" s="1354" customFormat="1" x14ac:dyDescent="0.25">
      <c r="A90" s="1353"/>
      <c r="B90" s="1353"/>
      <c r="C90" s="1353"/>
      <c r="D90" s="1353"/>
      <c r="E90" s="1353"/>
      <c r="F90" s="1353"/>
      <c r="G90" s="1353"/>
      <c r="H90" s="1353"/>
      <c r="I90" s="1353"/>
      <c r="J90" s="1353"/>
      <c r="K90" s="1387"/>
      <c r="L90" s="1353"/>
      <c r="M90" s="1353"/>
      <c r="N90" s="1353"/>
      <c r="V90" s="1358"/>
      <c r="W90" s="1358"/>
      <c r="X90" s="1358"/>
      <c r="Y90" s="1358"/>
      <c r="Z90" s="1358"/>
      <c r="AA90" s="1358"/>
      <c r="AB90" s="1358"/>
      <c r="AC90" s="1358"/>
      <c r="AD90" s="1358"/>
      <c r="AE90" s="1358"/>
      <c r="AF90" s="1358"/>
      <c r="AG90" s="1358"/>
      <c r="AH90" s="1358"/>
      <c r="AI90" s="1358"/>
      <c r="AJ90" s="1358"/>
      <c r="AK90" s="1358"/>
      <c r="AL90" s="1358"/>
      <c r="AM90" s="1358"/>
      <c r="AN90" s="1358"/>
      <c r="AO90" s="1358"/>
      <c r="AP90" s="1358"/>
      <c r="AQ90" s="1358"/>
      <c r="AR90" s="1358"/>
      <c r="AS90" s="1358"/>
      <c r="AT90" s="1358"/>
      <c r="AU90" s="1358"/>
      <c r="AV90" s="1358"/>
      <c r="AW90" s="1358"/>
      <c r="AX90" s="1358"/>
      <c r="AY90" s="1358"/>
      <c r="AZ90" s="1358"/>
      <c r="BA90" s="1358"/>
      <c r="BB90" s="1358"/>
      <c r="BC90" s="1358"/>
      <c r="BD90" s="1358"/>
      <c r="BE90" s="1358"/>
      <c r="BF90" s="1358"/>
      <c r="BG90" s="1358"/>
      <c r="BH90" s="1358"/>
      <c r="BI90" s="1358"/>
      <c r="BJ90" s="1358"/>
      <c r="BK90" s="1358"/>
      <c r="BL90" s="1358"/>
      <c r="BM90" s="1358"/>
      <c r="BN90" s="1358"/>
      <c r="BO90" s="1358"/>
      <c r="BP90" s="1358"/>
      <c r="BQ90" s="1358"/>
    </row>
    <row r="91" spans="1:69" s="1354" customFormat="1" x14ac:dyDescent="0.25">
      <c r="A91" s="1353"/>
      <c r="B91" s="1353"/>
      <c r="C91" s="1353"/>
      <c r="D91" s="1353"/>
      <c r="E91" s="1353"/>
      <c r="F91" s="1353"/>
      <c r="G91" s="1353"/>
      <c r="H91" s="1353"/>
      <c r="I91" s="1353"/>
      <c r="J91" s="1353"/>
      <c r="K91" s="1387"/>
      <c r="L91" s="1353"/>
      <c r="M91" s="1353"/>
      <c r="N91" s="1353"/>
      <c r="V91" s="1358"/>
      <c r="W91" s="1358"/>
      <c r="X91" s="1358"/>
      <c r="Y91" s="1358"/>
      <c r="Z91" s="1358"/>
      <c r="AA91" s="1358"/>
      <c r="AB91" s="1358"/>
      <c r="AC91" s="1358"/>
      <c r="AD91" s="1358"/>
      <c r="AE91" s="1358"/>
      <c r="AF91" s="1358"/>
      <c r="AG91" s="1358"/>
      <c r="AH91" s="1358"/>
      <c r="AI91" s="1358"/>
      <c r="AJ91" s="1358"/>
      <c r="AK91" s="1358"/>
      <c r="AL91" s="1358"/>
      <c r="AM91" s="1358"/>
      <c r="AN91" s="1358"/>
      <c r="AO91" s="1358"/>
      <c r="AP91" s="1358"/>
      <c r="AQ91" s="1358"/>
      <c r="AR91" s="1358"/>
      <c r="AS91" s="1358"/>
      <c r="AT91" s="1358"/>
      <c r="AU91" s="1358"/>
      <c r="AV91" s="1358"/>
      <c r="AW91" s="1358"/>
      <c r="AX91" s="1358"/>
      <c r="AY91" s="1358"/>
      <c r="AZ91" s="1358"/>
      <c r="BA91" s="1358"/>
      <c r="BB91" s="1358"/>
      <c r="BC91" s="1358"/>
      <c r="BD91" s="1358"/>
      <c r="BE91" s="1358"/>
      <c r="BF91" s="1358"/>
      <c r="BG91" s="1358"/>
      <c r="BH91" s="1358"/>
      <c r="BI91" s="1358"/>
      <c r="BJ91" s="1358"/>
      <c r="BK91" s="1358"/>
      <c r="BL91" s="1358"/>
      <c r="BM91" s="1358"/>
      <c r="BN91" s="1358"/>
      <c r="BO91" s="1358"/>
      <c r="BP91" s="1358"/>
      <c r="BQ91" s="1358"/>
    </row>
    <row r="92" spans="1:69" s="1354" customFormat="1" x14ac:dyDescent="0.25">
      <c r="A92" s="1353"/>
      <c r="B92" s="1353"/>
      <c r="C92" s="1353"/>
      <c r="D92" s="1353"/>
      <c r="E92" s="1353"/>
      <c r="F92" s="1353"/>
      <c r="G92" s="1353"/>
      <c r="H92" s="1353"/>
      <c r="I92" s="1353"/>
      <c r="J92" s="1353"/>
      <c r="K92" s="1387"/>
      <c r="L92" s="1353"/>
      <c r="M92" s="1353"/>
      <c r="N92" s="1353"/>
      <c r="V92" s="1358"/>
      <c r="W92" s="1358"/>
      <c r="X92" s="1358"/>
      <c r="Y92" s="1358"/>
      <c r="Z92" s="1358"/>
      <c r="AA92" s="1358"/>
      <c r="AB92" s="1358"/>
      <c r="AC92" s="1358"/>
      <c r="AD92" s="1358"/>
      <c r="AE92" s="1358"/>
      <c r="AF92" s="1358"/>
      <c r="AG92" s="1358"/>
      <c r="AH92" s="1358"/>
      <c r="AI92" s="1358"/>
      <c r="AJ92" s="1358"/>
      <c r="AK92" s="1358"/>
      <c r="AL92" s="1358"/>
      <c r="AM92" s="1358"/>
      <c r="AN92" s="1358"/>
      <c r="AO92" s="1358"/>
      <c r="AP92" s="1358"/>
      <c r="AQ92" s="1358"/>
      <c r="AR92" s="1358"/>
      <c r="AS92" s="1358"/>
      <c r="AT92" s="1358"/>
      <c r="AU92" s="1358"/>
      <c r="AV92" s="1358"/>
      <c r="AW92" s="1358"/>
      <c r="AX92" s="1358"/>
      <c r="AY92" s="1358"/>
      <c r="AZ92" s="1358"/>
      <c r="BA92" s="1358"/>
      <c r="BB92" s="1358"/>
      <c r="BC92" s="1358"/>
      <c r="BD92" s="1358"/>
      <c r="BE92" s="1358"/>
      <c r="BF92" s="1358"/>
      <c r="BG92" s="1358"/>
      <c r="BH92" s="1358"/>
      <c r="BI92" s="1358"/>
      <c r="BJ92" s="1358"/>
      <c r="BK92" s="1358"/>
      <c r="BL92" s="1358"/>
      <c r="BM92" s="1358"/>
      <c r="BN92" s="1358"/>
      <c r="BO92" s="1358"/>
      <c r="BP92" s="1358"/>
      <c r="BQ92" s="1358"/>
    </row>
    <row r="93" spans="1:69" s="1354" customFormat="1" x14ac:dyDescent="0.25">
      <c r="A93" s="1353"/>
      <c r="B93" s="1353"/>
      <c r="C93" s="1353"/>
      <c r="D93" s="1353"/>
      <c r="E93" s="1353"/>
      <c r="F93" s="1353"/>
      <c r="G93" s="1353"/>
      <c r="H93" s="1353"/>
      <c r="I93" s="1353"/>
      <c r="J93" s="1353"/>
      <c r="K93" s="1387"/>
      <c r="L93" s="1353"/>
      <c r="M93" s="1353"/>
      <c r="N93" s="1353"/>
      <c r="V93" s="1358"/>
      <c r="W93" s="1358"/>
      <c r="X93" s="1358"/>
      <c r="Y93" s="1358"/>
      <c r="Z93" s="1358"/>
      <c r="AA93" s="1358"/>
      <c r="AB93" s="1358"/>
      <c r="AC93" s="1358"/>
      <c r="AD93" s="1358"/>
      <c r="AE93" s="1358"/>
      <c r="AF93" s="1358"/>
      <c r="AG93" s="1358"/>
      <c r="AH93" s="1358"/>
      <c r="AI93" s="1358"/>
      <c r="AJ93" s="1358"/>
      <c r="AK93" s="1358"/>
      <c r="AL93" s="1358"/>
      <c r="AM93" s="1358"/>
      <c r="AN93" s="1358"/>
      <c r="AO93" s="1358"/>
      <c r="AP93" s="1358"/>
      <c r="AQ93" s="1358"/>
      <c r="AR93" s="1358"/>
      <c r="AS93" s="1358"/>
      <c r="AT93" s="1358"/>
      <c r="AU93" s="1358"/>
      <c r="AV93" s="1358"/>
      <c r="AW93" s="1358"/>
      <c r="AX93" s="1358"/>
      <c r="AY93" s="1358"/>
      <c r="AZ93" s="1358"/>
      <c r="BA93" s="1358"/>
      <c r="BB93" s="1358"/>
      <c r="BC93" s="1358"/>
      <c r="BD93" s="1358"/>
      <c r="BE93" s="1358"/>
      <c r="BF93" s="1358"/>
      <c r="BG93" s="1358"/>
      <c r="BH93" s="1358"/>
      <c r="BI93" s="1358"/>
      <c r="BJ93" s="1358"/>
      <c r="BK93" s="1358"/>
      <c r="BL93" s="1358"/>
      <c r="BM93" s="1358"/>
      <c r="BN93" s="1358"/>
      <c r="BO93" s="1358"/>
      <c r="BP93" s="1358"/>
      <c r="BQ93" s="1358"/>
    </row>
    <row r="94" spans="1:69" s="1354" customFormat="1" x14ac:dyDescent="0.25">
      <c r="A94" s="1353"/>
      <c r="B94" s="1353"/>
      <c r="C94" s="1353"/>
      <c r="D94" s="1353"/>
      <c r="E94" s="1353"/>
      <c r="F94" s="1353"/>
      <c r="G94" s="1353"/>
      <c r="H94" s="1353"/>
      <c r="I94" s="1353"/>
      <c r="J94" s="1353"/>
      <c r="K94" s="1387"/>
      <c r="L94" s="1353"/>
      <c r="M94" s="1353"/>
      <c r="N94" s="1353"/>
      <c r="V94" s="1358"/>
      <c r="W94" s="1358"/>
      <c r="X94" s="1358"/>
      <c r="Y94" s="1358"/>
      <c r="Z94" s="1358"/>
      <c r="AA94" s="1358"/>
      <c r="AB94" s="1358"/>
      <c r="AC94" s="1358"/>
      <c r="AD94" s="1358"/>
      <c r="AE94" s="1358"/>
      <c r="AF94" s="1358"/>
      <c r="AG94" s="1358"/>
      <c r="AH94" s="1358"/>
      <c r="AI94" s="1358"/>
      <c r="AJ94" s="1358"/>
      <c r="AK94" s="1358"/>
      <c r="AL94" s="1358"/>
      <c r="AM94" s="1358"/>
      <c r="AN94" s="1358"/>
      <c r="AO94" s="1358"/>
      <c r="AP94" s="1358"/>
      <c r="AQ94" s="1358"/>
      <c r="AR94" s="1358"/>
      <c r="AS94" s="1358"/>
      <c r="AT94" s="1358"/>
      <c r="AU94" s="1358"/>
      <c r="AV94" s="1358"/>
      <c r="AW94" s="1358"/>
      <c r="AX94" s="1358"/>
      <c r="AY94" s="1358"/>
      <c r="AZ94" s="1358"/>
      <c r="BA94" s="1358"/>
      <c r="BB94" s="1358"/>
      <c r="BC94" s="1358"/>
      <c r="BD94" s="1358"/>
      <c r="BE94" s="1358"/>
      <c r="BF94" s="1358"/>
      <c r="BG94" s="1358"/>
      <c r="BH94" s="1358"/>
      <c r="BI94" s="1358"/>
      <c r="BJ94" s="1358"/>
      <c r="BK94" s="1358"/>
      <c r="BL94" s="1358"/>
      <c r="BM94" s="1358"/>
      <c r="BN94" s="1358"/>
      <c r="BO94" s="1358"/>
      <c r="BP94" s="1358"/>
      <c r="BQ94" s="1358"/>
    </row>
    <row r="95" spans="1:69" s="1354" customFormat="1" x14ac:dyDescent="0.25">
      <c r="A95" s="1353"/>
      <c r="B95" s="1353"/>
      <c r="C95" s="1353"/>
      <c r="D95" s="1353"/>
      <c r="E95" s="1353"/>
      <c r="F95" s="1353"/>
      <c r="G95" s="1353"/>
      <c r="H95" s="1353"/>
      <c r="I95" s="1353"/>
      <c r="J95" s="1353"/>
      <c r="K95" s="1387"/>
      <c r="L95" s="1353"/>
      <c r="M95" s="1353"/>
      <c r="N95" s="1353"/>
      <c r="V95" s="1358"/>
      <c r="W95" s="1358"/>
      <c r="X95" s="1358"/>
      <c r="Y95" s="1358"/>
      <c r="Z95" s="1358"/>
      <c r="AA95" s="1358"/>
      <c r="AB95" s="1358"/>
      <c r="AC95" s="1358"/>
      <c r="AD95" s="1358"/>
      <c r="AE95" s="1358"/>
      <c r="AF95" s="1358"/>
      <c r="AG95" s="1358"/>
      <c r="AH95" s="1358"/>
      <c r="AI95" s="1358"/>
      <c r="AJ95" s="1358"/>
      <c r="AK95" s="1358"/>
      <c r="AL95" s="1358"/>
      <c r="AM95" s="1358"/>
      <c r="AN95" s="1358"/>
      <c r="AO95" s="1358"/>
      <c r="AP95" s="1358"/>
      <c r="AQ95" s="1358"/>
      <c r="AR95" s="1358"/>
      <c r="AS95" s="1358"/>
      <c r="AT95" s="1358"/>
      <c r="AU95" s="1358"/>
      <c r="AV95" s="1358"/>
      <c r="AW95" s="1358"/>
      <c r="AX95" s="1358"/>
      <c r="AY95" s="1358"/>
      <c r="AZ95" s="1358"/>
      <c r="BA95" s="1358"/>
      <c r="BB95" s="1358"/>
      <c r="BC95" s="1358"/>
      <c r="BD95" s="1358"/>
      <c r="BE95" s="1358"/>
      <c r="BF95" s="1358"/>
      <c r="BG95" s="1358"/>
      <c r="BH95" s="1358"/>
      <c r="BI95" s="1358"/>
      <c r="BJ95" s="1358"/>
      <c r="BK95" s="1358"/>
      <c r="BL95" s="1358"/>
      <c r="BM95" s="1358"/>
      <c r="BN95" s="1358"/>
      <c r="BO95" s="1358"/>
      <c r="BP95" s="1358"/>
      <c r="BQ95" s="1358"/>
    </row>
    <row r="96" spans="1:69" s="1354" customFormat="1" x14ac:dyDescent="0.25">
      <c r="A96" s="1353"/>
      <c r="B96" s="1353"/>
      <c r="C96" s="1353"/>
      <c r="D96" s="1353"/>
      <c r="E96" s="1353"/>
      <c r="F96" s="1353"/>
      <c r="G96" s="1353"/>
      <c r="H96" s="1353"/>
      <c r="I96" s="1353"/>
      <c r="J96" s="1353"/>
      <c r="K96" s="1387"/>
      <c r="L96" s="1353"/>
      <c r="M96" s="1353"/>
      <c r="N96" s="1353"/>
      <c r="V96" s="1358"/>
      <c r="W96" s="1358"/>
      <c r="X96" s="1358"/>
      <c r="Y96" s="1358"/>
      <c r="Z96" s="1358"/>
      <c r="AA96" s="1358"/>
      <c r="AB96" s="1358"/>
      <c r="AC96" s="1358"/>
      <c r="AD96" s="1358"/>
      <c r="AE96" s="1358"/>
      <c r="AF96" s="1358"/>
      <c r="AG96" s="1358"/>
      <c r="AH96" s="1358"/>
      <c r="AI96" s="1358"/>
      <c r="AJ96" s="1358"/>
      <c r="AK96" s="1358"/>
      <c r="AL96" s="1358"/>
      <c r="AM96" s="1358"/>
      <c r="AN96" s="1358"/>
      <c r="AO96" s="1358"/>
      <c r="AP96" s="1358"/>
      <c r="AQ96" s="1358"/>
      <c r="AR96" s="1358"/>
      <c r="AS96" s="1358"/>
      <c r="AT96" s="1358"/>
      <c r="AU96" s="1358"/>
      <c r="AV96" s="1358"/>
      <c r="AW96" s="1358"/>
      <c r="AX96" s="1358"/>
      <c r="AY96" s="1358"/>
      <c r="AZ96" s="1358"/>
      <c r="BA96" s="1358"/>
      <c r="BB96" s="1358"/>
      <c r="BC96" s="1358"/>
      <c r="BD96" s="1358"/>
      <c r="BE96" s="1358"/>
      <c r="BF96" s="1358"/>
      <c r="BG96" s="1358"/>
      <c r="BH96" s="1358"/>
      <c r="BI96" s="1358"/>
      <c r="BJ96" s="1358"/>
      <c r="BK96" s="1358"/>
      <c r="BL96" s="1358"/>
      <c r="BM96" s="1358"/>
      <c r="BN96" s="1358"/>
      <c r="BO96" s="1358"/>
      <c r="BP96" s="1358"/>
      <c r="BQ96" s="1358"/>
    </row>
    <row r="97" spans="1:69" s="1354" customFormat="1" x14ac:dyDescent="0.25">
      <c r="A97" s="1353"/>
      <c r="B97" s="1353"/>
      <c r="C97" s="1353"/>
      <c r="D97" s="1353"/>
      <c r="E97" s="1353"/>
      <c r="F97" s="1353"/>
      <c r="G97" s="1353"/>
      <c r="H97" s="1353"/>
      <c r="I97" s="1353"/>
      <c r="J97" s="1353"/>
      <c r="K97" s="1387"/>
      <c r="L97" s="1353"/>
      <c r="M97" s="1353"/>
      <c r="N97" s="1353"/>
      <c r="V97" s="1358"/>
      <c r="W97" s="1358"/>
      <c r="X97" s="1358"/>
      <c r="Y97" s="1358"/>
      <c r="Z97" s="1358"/>
      <c r="AA97" s="1358"/>
      <c r="AB97" s="1358"/>
      <c r="AC97" s="1358"/>
      <c r="AD97" s="1358"/>
      <c r="AE97" s="1358"/>
      <c r="AF97" s="1358"/>
      <c r="AG97" s="1358"/>
      <c r="AH97" s="1358"/>
      <c r="AI97" s="1358"/>
      <c r="AJ97" s="1358"/>
      <c r="AK97" s="1358"/>
      <c r="AL97" s="1358"/>
      <c r="AM97" s="1358"/>
      <c r="AN97" s="1358"/>
      <c r="AO97" s="1358"/>
      <c r="AP97" s="1358"/>
      <c r="AQ97" s="1358"/>
      <c r="AR97" s="1358"/>
      <c r="AS97" s="1358"/>
      <c r="AT97" s="1358"/>
      <c r="AU97" s="1358"/>
      <c r="AV97" s="1358"/>
      <c r="AW97" s="1358"/>
      <c r="AX97" s="1358"/>
      <c r="AY97" s="1358"/>
      <c r="AZ97" s="1358"/>
      <c r="BA97" s="1358"/>
      <c r="BB97" s="1358"/>
      <c r="BC97" s="1358"/>
      <c r="BD97" s="1358"/>
      <c r="BE97" s="1358"/>
      <c r="BF97" s="1358"/>
      <c r="BG97" s="1358"/>
      <c r="BH97" s="1358"/>
      <c r="BI97" s="1358"/>
      <c r="BJ97" s="1358"/>
      <c r="BK97" s="1358"/>
      <c r="BL97" s="1358"/>
      <c r="BM97" s="1358"/>
      <c r="BN97" s="1358"/>
      <c r="BO97" s="1358"/>
      <c r="BP97" s="1358"/>
      <c r="BQ97" s="1358"/>
    </row>
    <row r="98" spans="1:69" s="1354" customFormat="1" x14ac:dyDescent="0.25">
      <c r="A98" s="1353"/>
      <c r="B98" s="1353"/>
      <c r="C98" s="1353"/>
      <c r="D98" s="1353"/>
      <c r="E98" s="1353"/>
      <c r="F98" s="1353"/>
      <c r="G98" s="1353"/>
      <c r="H98" s="1353"/>
      <c r="I98" s="1353"/>
      <c r="J98" s="1353"/>
      <c r="K98" s="1387"/>
      <c r="L98" s="1353"/>
      <c r="M98" s="1353"/>
      <c r="N98" s="1353"/>
      <c r="V98" s="1358"/>
      <c r="W98" s="1358"/>
      <c r="X98" s="1358"/>
      <c r="Y98" s="1358"/>
      <c r="Z98" s="1358"/>
      <c r="AA98" s="1358"/>
      <c r="AB98" s="1358"/>
      <c r="AC98" s="1358"/>
      <c r="AD98" s="1358"/>
      <c r="AE98" s="1358"/>
      <c r="AF98" s="1358"/>
      <c r="AG98" s="1358"/>
      <c r="AH98" s="1358"/>
      <c r="AI98" s="1358"/>
      <c r="AJ98" s="1358"/>
      <c r="AK98" s="1358"/>
      <c r="AL98" s="1358"/>
      <c r="AM98" s="1358"/>
      <c r="AN98" s="1358"/>
      <c r="AO98" s="1358"/>
      <c r="AP98" s="1358"/>
      <c r="AQ98" s="1358"/>
      <c r="AR98" s="1358"/>
      <c r="AS98" s="1358"/>
      <c r="AT98" s="1358"/>
      <c r="AU98" s="1358"/>
      <c r="AV98" s="1358"/>
      <c r="AW98" s="1358"/>
      <c r="AX98" s="1358"/>
      <c r="AY98" s="1358"/>
      <c r="AZ98" s="1358"/>
      <c r="BA98" s="1358"/>
      <c r="BB98" s="1358"/>
      <c r="BC98" s="1358"/>
      <c r="BD98" s="1358"/>
      <c r="BE98" s="1358"/>
      <c r="BF98" s="1358"/>
      <c r="BG98" s="1358"/>
      <c r="BH98" s="1358"/>
      <c r="BI98" s="1358"/>
      <c r="BJ98" s="1358"/>
      <c r="BK98" s="1358"/>
      <c r="BL98" s="1358"/>
      <c r="BM98" s="1358"/>
      <c r="BN98" s="1358"/>
      <c r="BO98" s="1358"/>
      <c r="BP98" s="1358"/>
      <c r="BQ98" s="1358"/>
    </row>
    <row r="99" spans="1:69" s="1354" customFormat="1" x14ac:dyDescent="0.25">
      <c r="A99" s="1353"/>
      <c r="B99" s="1353"/>
      <c r="C99" s="1353"/>
      <c r="D99" s="1353"/>
      <c r="E99" s="1353"/>
      <c r="F99" s="1353"/>
      <c r="G99" s="1353"/>
      <c r="H99" s="1353"/>
      <c r="I99" s="1353"/>
      <c r="J99" s="1353"/>
      <c r="K99" s="1387"/>
      <c r="L99" s="1353"/>
      <c r="M99" s="1353"/>
      <c r="N99" s="1353"/>
      <c r="V99" s="1358"/>
      <c r="W99" s="1358"/>
      <c r="X99" s="1358"/>
      <c r="Y99" s="1358"/>
      <c r="Z99" s="1358"/>
      <c r="AA99" s="1358"/>
      <c r="AB99" s="1358"/>
      <c r="AC99" s="1358"/>
      <c r="AD99" s="1358"/>
      <c r="AE99" s="1358"/>
      <c r="AF99" s="1358"/>
      <c r="AG99" s="1358"/>
      <c r="AH99" s="1358"/>
      <c r="AI99" s="1358"/>
      <c r="AJ99" s="1358"/>
      <c r="AK99" s="1358"/>
      <c r="AL99" s="1358"/>
      <c r="AM99" s="1358"/>
      <c r="AN99" s="1358"/>
      <c r="AO99" s="1358"/>
      <c r="AP99" s="1358"/>
      <c r="AQ99" s="1358"/>
      <c r="AR99" s="1358"/>
      <c r="AS99" s="1358"/>
      <c r="AT99" s="1358"/>
      <c r="AU99" s="1358"/>
      <c r="AV99" s="1358"/>
      <c r="AW99" s="1358"/>
      <c r="AX99" s="1358"/>
      <c r="AY99" s="1358"/>
      <c r="AZ99" s="1358"/>
      <c r="BA99" s="1358"/>
      <c r="BB99" s="1358"/>
      <c r="BC99" s="1358"/>
      <c r="BD99" s="1358"/>
      <c r="BE99" s="1358"/>
      <c r="BF99" s="1358"/>
      <c r="BG99" s="1358"/>
      <c r="BH99" s="1358"/>
      <c r="BI99" s="1358"/>
      <c r="BJ99" s="1358"/>
      <c r="BK99" s="1358"/>
      <c r="BL99" s="1358"/>
      <c r="BM99" s="1358"/>
      <c r="BN99" s="1358"/>
      <c r="BO99" s="1358"/>
      <c r="BP99" s="1358"/>
      <c r="BQ99" s="1358"/>
    </row>
    <row r="100" spans="1:69" s="1354" customFormat="1" x14ac:dyDescent="0.25">
      <c r="A100" s="1353"/>
      <c r="B100" s="1353"/>
      <c r="C100" s="1353"/>
      <c r="D100" s="1353"/>
      <c r="E100" s="1353"/>
      <c r="F100" s="1353"/>
      <c r="G100" s="1353"/>
      <c r="H100" s="1353"/>
      <c r="I100" s="1353"/>
      <c r="J100" s="1353"/>
      <c r="K100" s="1387"/>
      <c r="L100" s="1353"/>
      <c r="M100" s="1353"/>
      <c r="N100" s="1353"/>
      <c r="V100" s="1358"/>
      <c r="W100" s="1358"/>
      <c r="X100" s="1358"/>
      <c r="Y100" s="1358"/>
      <c r="Z100" s="1358"/>
      <c r="AA100" s="1358"/>
      <c r="AB100" s="1358"/>
      <c r="AC100" s="1358"/>
      <c r="AD100" s="1358"/>
      <c r="AE100" s="1358"/>
      <c r="AF100" s="1358"/>
      <c r="AG100" s="1358"/>
      <c r="AH100" s="1358"/>
      <c r="AI100" s="1358"/>
      <c r="AJ100" s="1358"/>
      <c r="AK100" s="1358"/>
      <c r="AL100" s="1358"/>
      <c r="AM100" s="1358"/>
      <c r="AN100" s="1358"/>
      <c r="AO100" s="1358"/>
      <c r="AP100" s="1358"/>
      <c r="AQ100" s="1358"/>
      <c r="AR100" s="1358"/>
      <c r="AS100" s="1358"/>
      <c r="AT100" s="1358"/>
      <c r="AU100" s="1358"/>
      <c r="AV100" s="1358"/>
      <c r="AW100" s="1358"/>
      <c r="AX100" s="1358"/>
      <c r="AY100" s="1358"/>
      <c r="AZ100" s="1358"/>
      <c r="BA100" s="1358"/>
      <c r="BB100" s="1358"/>
      <c r="BC100" s="1358"/>
      <c r="BD100" s="1358"/>
      <c r="BE100" s="1358"/>
      <c r="BF100" s="1358"/>
      <c r="BG100" s="1358"/>
      <c r="BH100" s="1358"/>
      <c r="BI100" s="1358"/>
      <c r="BJ100" s="1358"/>
      <c r="BK100" s="1358"/>
      <c r="BL100" s="1358"/>
      <c r="BM100" s="1358"/>
      <c r="BN100" s="1358"/>
      <c r="BO100" s="1358"/>
      <c r="BP100" s="1358"/>
      <c r="BQ100" s="1358"/>
    </row>
    <row r="101" spans="1:69" s="1354" customFormat="1" x14ac:dyDescent="0.25">
      <c r="A101" s="1353"/>
      <c r="B101" s="1353"/>
      <c r="C101" s="1353"/>
      <c r="D101" s="1353"/>
      <c r="E101" s="1353"/>
      <c r="F101" s="1353"/>
      <c r="G101" s="1353"/>
      <c r="H101" s="1353"/>
      <c r="I101" s="1353"/>
      <c r="J101" s="1353"/>
      <c r="K101" s="1387"/>
      <c r="L101" s="1353"/>
      <c r="M101" s="1353"/>
      <c r="N101" s="1353"/>
      <c r="V101" s="1358"/>
      <c r="W101" s="1358"/>
      <c r="X101" s="1358"/>
      <c r="Y101" s="1358"/>
      <c r="Z101" s="1358"/>
      <c r="AA101" s="1358"/>
      <c r="AB101" s="1358"/>
      <c r="AC101" s="1358"/>
      <c r="AD101" s="1358"/>
      <c r="AE101" s="1358"/>
      <c r="AF101" s="1358"/>
      <c r="AG101" s="1358"/>
      <c r="AH101" s="1358"/>
      <c r="AI101" s="1358"/>
      <c r="AJ101" s="1358"/>
      <c r="AK101" s="1358"/>
      <c r="AL101" s="1358"/>
      <c r="AM101" s="1358"/>
      <c r="AN101" s="1358"/>
      <c r="AO101" s="1358"/>
      <c r="AP101" s="1358"/>
      <c r="AQ101" s="1358"/>
      <c r="AR101" s="1358"/>
      <c r="AS101" s="1358"/>
      <c r="AT101" s="1358"/>
      <c r="AU101" s="1358"/>
      <c r="AV101" s="1358"/>
      <c r="AW101" s="1358"/>
      <c r="AX101" s="1358"/>
      <c r="AY101" s="1358"/>
      <c r="AZ101" s="1358"/>
      <c r="BA101" s="1358"/>
      <c r="BB101" s="1358"/>
      <c r="BC101" s="1358"/>
      <c r="BD101" s="1358"/>
      <c r="BE101" s="1358"/>
      <c r="BF101" s="1358"/>
      <c r="BG101" s="1358"/>
      <c r="BH101" s="1358"/>
      <c r="BI101" s="1358"/>
      <c r="BJ101" s="1358"/>
      <c r="BK101" s="1358"/>
      <c r="BL101" s="1358"/>
      <c r="BM101" s="1358"/>
      <c r="BN101" s="1358"/>
      <c r="BO101" s="1358"/>
      <c r="BP101" s="1358"/>
      <c r="BQ101" s="1358"/>
    </row>
    <row r="102" spans="1:69" s="1354" customFormat="1" x14ac:dyDescent="0.25">
      <c r="A102" s="1353"/>
      <c r="B102" s="1353"/>
      <c r="C102" s="1353"/>
      <c r="D102" s="1353"/>
      <c r="E102" s="1353"/>
      <c r="F102" s="1353"/>
      <c r="G102" s="1353"/>
      <c r="H102" s="1353"/>
      <c r="I102" s="1353"/>
      <c r="J102" s="1353"/>
      <c r="K102" s="1387"/>
      <c r="L102" s="1353"/>
      <c r="M102" s="1353"/>
      <c r="N102" s="1353"/>
      <c r="V102" s="1358"/>
      <c r="W102" s="1358"/>
      <c r="X102" s="1358"/>
      <c r="Y102" s="1358"/>
      <c r="Z102" s="1358"/>
      <c r="AA102" s="1358"/>
      <c r="AB102" s="1358"/>
      <c r="AC102" s="1358"/>
      <c r="AD102" s="1358"/>
      <c r="AE102" s="1358"/>
      <c r="AF102" s="1358"/>
      <c r="AG102" s="1358"/>
      <c r="AH102" s="1358"/>
      <c r="AI102" s="1358"/>
      <c r="AJ102" s="1358"/>
      <c r="AK102" s="1358"/>
      <c r="AL102" s="1358"/>
      <c r="AM102" s="1358"/>
      <c r="AN102" s="1358"/>
      <c r="AO102" s="1358"/>
      <c r="AP102" s="1358"/>
      <c r="AQ102" s="1358"/>
      <c r="AR102" s="1358"/>
      <c r="AS102" s="1358"/>
      <c r="AT102" s="1358"/>
      <c r="AU102" s="1358"/>
      <c r="AV102" s="1358"/>
      <c r="AW102" s="1358"/>
      <c r="AX102" s="1358"/>
      <c r="AY102" s="1358"/>
      <c r="AZ102" s="1358"/>
      <c r="BA102" s="1358"/>
      <c r="BB102" s="1358"/>
      <c r="BC102" s="1358"/>
      <c r="BD102" s="1358"/>
      <c r="BE102" s="1358"/>
      <c r="BF102" s="1358"/>
      <c r="BG102" s="1358"/>
      <c r="BH102" s="1358"/>
      <c r="BI102" s="1358"/>
      <c r="BJ102" s="1358"/>
      <c r="BK102" s="1358"/>
      <c r="BL102" s="1358"/>
      <c r="BM102" s="1358"/>
      <c r="BN102" s="1358"/>
      <c r="BO102" s="1358"/>
      <c r="BP102" s="1358"/>
      <c r="BQ102" s="1358"/>
    </row>
    <row r="103" spans="1:69" s="1354" customFormat="1" x14ac:dyDescent="0.25">
      <c r="A103" s="1353"/>
      <c r="B103" s="1353"/>
      <c r="C103" s="1353"/>
      <c r="D103" s="1353"/>
      <c r="E103" s="1353"/>
      <c r="F103" s="1353"/>
      <c r="G103" s="1353"/>
      <c r="H103" s="1353"/>
      <c r="I103" s="1353"/>
      <c r="J103" s="1353"/>
      <c r="K103" s="1387"/>
      <c r="L103" s="1353"/>
      <c r="M103" s="1353"/>
      <c r="N103" s="1353"/>
      <c r="V103" s="1358"/>
      <c r="W103" s="1358"/>
      <c r="X103" s="1358"/>
      <c r="Y103" s="1358"/>
      <c r="Z103" s="1358"/>
      <c r="AA103" s="1358"/>
      <c r="AB103" s="1358"/>
      <c r="AC103" s="1358"/>
      <c r="AD103" s="1358"/>
      <c r="AE103" s="1358"/>
      <c r="AF103" s="1358"/>
      <c r="AG103" s="1358"/>
      <c r="AH103" s="1358"/>
      <c r="AI103" s="1358"/>
      <c r="AJ103" s="1358"/>
      <c r="AK103" s="1358"/>
      <c r="AL103" s="1358"/>
      <c r="AM103" s="1358"/>
      <c r="AN103" s="1358"/>
      <c r="AO103" s="1358"/>
      <c r="AP103" s="1358"/>
      <c r="AQ103" s="1358"/>
      <c r="AR103" s="1358"/>
      <c r="AS103" s="1358"/>
      <c r="AT103" s="1358"/>
      <c r="AU103" s="1358"/>
      <c r="AV103" s="1358"/>
      <c r="AW103" s="1358"/>
      <c r="AX103" s="1358"/>
      <c r="AY103" s="1358"/>
      <c r="AZ103" s="1358"/>
      <c r="BA103" s="1358"/>
      <c r="BB103" s="1358"/>
      <c r="BC103" s="1358"/>
      <c r="BD103" s="1358"/>
      <c r="BE103" s="1358"/>
      <c r="BF103" s="1358"/>
      <c r="BG103" s="1358"/>
      <c r="BH103" s="1358"/>
      <c r="BI103" s="1358"/>
      <c r="BJ103" s="1358"/>
      <c r="BK103" s="1358"/>
      <c r="BL103" s="1358"/>
      <c r="BM103" s="1358"/>
      <c r="BN103" s="1358"/>
      <c r="BO103" s="1358"/>
      <c r="BP103" s="1358"/>
      <c r="BQ103" s="1358"/>
    </row>
    <row r="104" spans="1:69" s="1354" customFormat="1" x14ac:dyDescent="0.25">
      <c r="A104" s="1353"/>
      <c r="B104" s="1353"/>
      <c r="C104" s="1353"/>
      <c r="D104" s="1353"/>
      <c r="E104" s="1353"/>
      <c r="F104" s="1353"/>
      <c r="G104" s="1353"/>
      <c r="H104" s="1353"/>
      <c r="I104" s="1353"/>
      <c r="J104" s="1353"/>
      <c r="K104" s="1387"/>
      <c r="L104" s="1353"/>
      <c r="M104" s="1353"/>
      <c r="N104" s="1353"/>
      <c r="V104" s="1358"/>
      <c r="W104" s="1358"/>
      <c r="X104" s="1358"/>
      <c r="Y104" s="1358"/>
      <c r="Z104" s="1358"/>
      <c r="AA104" s="1358"/>
      <c r="AB104" s="1358"/>
      <c r="AC104" s="1358"/>
      <c r="AD104" s="1358"/>
      <c r="AE104" s="1358"/>
      <c r="AF104" s="1358"/>
      <c r="AG104" s="1358"/>
      <c r="AH104" s="1358"/>
      <c r="AI104" s="1358"/>
      <c r="AJ104" s="1358"/>
      <c r="AK104" s="1358"/>
      <c r="AL104" s="1358"/>
      <c r="AM104" s="1358"/>
      <c r="AN104" s="1358"/>
      <c r="AO104" s="1358"/>
      <c r="AP104" s="1358"/>
      <c r="AQ104" s="1358"/>
      <c r="AR104" s="1358"/>
      <c r="AS104" s="1358"/>
      <c r="AT104" s="1358"/>
      <c r="AU104" s="1358"/>
      <c r="AV104" s="1358"/>
      <c r="AW104" s="1358"/>
      <c r="AX104" s="1358"/>
      <c r="AY104" s="1358"/>
      <c r="AZ104" s="1358"/>
      <c r="BA104" s="1358"/>
      <c r="BB104" s="1358"/>
      <c r="BC104" s="1358"/>
      <c r="BD104" s="1358"/>
      <c r="BE104" s="1358"/>
      <c r="BF104" s="1358"/>
      <c r="BG104" s="1358"/>
      <c r="BH104" s="1358"/>
      <c r="BI104" s="1358"/>
      <c r="BJ104" s="1358"/>
      <c r="BK104" s="1358"/>
      <c r="BL104" s="1358"/>
      <c r="BM104" s="1358"/>
      <c r="BN104" s="1358"/>
      <c r="BO104" s="1358"/>
      <c r="BP104" s="1358"/>
      <c r="BQ104" s="1358"/>
    </row>
    <row r="105" spans="1:69" s="1354" customFormat="1" x14ac:dyDescent="0.25">
      <c r="A105" s="1353"/>
      <c r="B105" s="1353"/>
      <c r="C105" s="1353"/>
      <c r="D105" s="1353"/>
      <c r="E105" s="1353"/>
      <c r="F105" s="1353"/>
      <c r="G105" s="1353"/>
      <c r="H105" s="1353"/>
      <c r="I105" s="1353"/>
      <c r="J105" s="1353"/>
      <c r="K105" s="1387"/>
      <c r="L105" s="1353"/>
      <c r="M105" s="1353"/>
      <c r="N105" s="1353"/>
      <c r="V105" s="1358"/>
      <c r="W105" s="1358"/>
      <c r="X105" s="1358"/>
      <c r="Y105" s="1358"/>
      <c r="Z105" s="1358"/>
      <c r="AA105" s="1358"/>
      <c r="AB105" s="1358"/>
      <c r="AC105" s="1358"/>
      <c r="AD105" s="1358"/>
      <c r="AE105" s="1358"/>
      <c r="AF105" s="1358"/>
      <c r="AG105" s="1358"/>
      <c r="AH105" s="1358"/>
      <c r="AI105" s="1358"/>
      <c r="AJ105" s="1358"/>
      <c r="AK105" s="1358"/>
      <c r="AL105" s="1358"/>
      <c r="AM105" s="1358"/>
      <c r="AN105" s="1358"/>
      <c r="AO105" s="1358"/>
      <c r="AP105" s="1358"/>
      <c r="AQ105" s="1358"/>
      <c r="AR105" s="1358"/>
      <c r="AS105" s="1358"/>
      <c r="AT105" s="1358"/>
      <c r="AU105" s="1358"/>
      <c r="AV105" s="1358"/>
      <c r="AW105" s="1358"/>
      <c r="AX105" s="1358"/>
      <c r="AY105" s="1358"/>
      <c r="AZ105" s="1358"/>
      <c r="BA105" s="1358"/>
      <c r="BB105" s="1358"/>
      <c r="BC105" s="1358"/>
      <c r="BD105" s="1358"/>
      <c r="BE105" s="1358"/>
      <c r="BF105" s="1358"/>
      <c r="BG105" s="1358"/>
      <c r="BH105" s="1358"/>
      <c r="BI105" s="1358"/>
      <c r="BJ105" s="1358"/>
      <c r="BK105" s="1358"/>
      <c r="BL105" s="1358"/>
      <c r="BM105" s="1358"/>
      <c r="BN105" s="1358"/>
      <c r="BO105" s="1358"/>
      <c r="BP105" s="1358"/>
      <c r="BQ105" s="1358"/>
    </row>
    <row r="106" spans="1:69" s="1354" customFormat="1" x14ac:dyDescent="0.25">
      <c r="A106" s="1353"/>
      <c r="B106" s="1353"/>
      <c r="C106" s="1353"/>
      <c r="D106" s="1353"/>
      <c r="E106" s="1353"/>
      <c r="F106" s="1353"/>
      <c r="G106" s="1353"/>
      <c r="H106" s="1353"/>
      <c r="I106" s="1353"/>
      <c r="J106" s="1353"/>
      <c r="K106" s="1387"/>
      <c r="L106" s="1353"/>
      <c r="M106" s="1353"/>
      <c r="N106" s="1353"/>
      <c r="V106" s="1358"/>
      <c r="W106" s="1358"/>
      <c r="X106" s="1358"/>
      <c r="Y106" s="1358"/>
      <c r="Z106" s="1358"/>
      <c r="AA106" s="1358"/>
      <c r="AB106" s="1358"/>
      <c r="AC106" s="1358"/>
      <c r="AD106" s="1358"/>
      <c r="AE106" s="1358"/>
      <c r="AF106" s="1358"/>
      <c r="AG106" s="1358"/>
      <c r="AH106" s="1358"/>
      <c r="AI106" s="1358"/>
      <c r="AJ106" s="1358"/>
      <c r="AK106" s="1358"/>
      <c r="AL106" s="1358"/>
      <c r="AM106" s="1358"/>
      <c r="AN106" s="1358"/>
      <c r="AO106" s="1358"/>
      <c r="AP106" s="1358"/>
      <c r="AQ106" s="1358"/>
      <c r="AR106" s="1358"/>
      <c r="AS106" s="1358"/>
      <c r="AT106" s="1358"/>
      <c r="AU106" s="1358"/>
      <c r="AV106" s="1358"/>
      <c r="AW106" s="1358"/>
      <c r="AX106" s="1358"/>
      <c r="AY106" s="1358"/>
      <c r="AZ106" s="1358"/>
      <c r="BA106" s="1358"/>
      <c r="BB106" s="1358"/>
      <c r="BC106" s="1358"/>
      <c r="BD106" s="1358"/>
      <c r="BE106" s="1358"/>
      <c r="BF106" s="1358"/>
      <c r="BG106" s="1358"/>
      <c r="BH106" s="1358"/>
      <c r="BI106" s="1358"/>
      <c r="BJ106" s="1358"/>
      <c r="BK106" s="1358"/>
      <c r="BL106" s="1358"/>
      <c r="BM106" s="1358"/>
      <c r="BN106" s="1358"/>
      <c r="BO106" s="1358"/>
      <c r="BP106" s="1358"/>
      <c r="BQ106" s="1358"/>
    </row>
    <row r="107" spans="1:69" x14ac:dyDescent="0.25">
      <c r="A107" s="1353"/>
      <c r="B107" s="1353"/>
      <c r="C107" s="1353"/>
      <c r="D107" s="1353"/>
      <c r="E107" s="1353"/>
      <c r="F107" s="1353"/>
      <c r="G107" s="1353"/>
      <c r="H107" s="1353"/>
      <c r="I107" s="1353"/>
      <c r="J107" s="1353"/>
      <c r="K107" s="1387"/>
      <c r="L107" s="1353"/>
      <c r="M107" s="1353"/>
      <c r="N107" s="1353"/>
    </row>
    <row r="108" spans="1:69" x14ac:dyDescent="0.25">
      <c r="A108" s="1353"/>
      <c r="B108" s="1353"/>
      <c r="C108" s="1353"/>
      <c r="D108" s="1353"/>
      <c r="E108" s="1353"/>
      <c r="F108" s="1353"/>
      <c r="G108" s="1353"/>
      <c r="H108" s="1353"/>
      <c r="I108" s="1353"/>
      <c r="J108" s="1353"/>
      <c r="K108" s="1387"/>
      <c r="L108" s="1353"/>
      <c r="M108" s="1353"/>
      <c r="N108" s="1353"/>
    </row>
    <row r="109" spans="1:69" x14ac:dyDescent="0.25">
      <c r="A109" s="1353"/>
      <c r="B109" s="1353"/>
      <c r="C109" s="1353"/>
      <c r="D109" s="1353"/>
      <c r="E109" s="1353"/>
      <c r="F109" s="1353"/>
      <c r="G109" s="1353"/>
      <c r="H109" s="1353"/>
      <c r="I109" s="1353"/>
      <c r="J109" s="1353"/>
      <c r="K109" s="1387"/>
      <c r="L109" s="1353"/>
      <c r="M109" s="1353"/>
      <c r="N109" s="1353"/>
    </row>
    <row r="110" spans="1:69" x14ac:dyDescent="0.25">
      <c r="A110" s="1353"/>
      <c r="B110" s="1353"/>
      <c r="C110" s="1353"/>
      <c r="D110" s="1353"/>
      <c r="E110" s="1353"/>
      <c r="F110" s="1353"/>
      <c r="G110" s="1353"/>
      <c r="H110" s="1353"/>
      <c r="I110" s="1353"/>
      <c r="J110" s="1353"/>
      <c r="K110" s="1387"/>
      <c r="L110" s="1353"/>
      <c r="M110" s="1353"/>
      <c r="N110" s="1353"/>
    </row>
    <row r="111" spans="1:69" x14ac:dyDescent="0.25">
      <c r="A111" s="1353"/>
      <c r="B111" s="1353"/>
      <c r="C111" s="1353"/>
      <c r="D111" s="1353"/>
      <c r="E111" s="1353"/>
      <c r="F111" s="1353"/>
      <c r="G111" s="1353"/>
      <c r="H111" s="1353"/>
      <c r="I111" s="1353"/>
      <c r="J111" s="1353"/>
      <c r="K111" s="1387"/>
      <c r="L111" s="1353"/>
      <c r="M111" s="1353"/>
      <c r="N111" s="1353"/>
    </row>
    <row r="112" spans="1:69" x14ac:dyDescent="0.25">
      <c r="A112" s="1353"/>
      <c r="B112" s="1353"/>
      <c r="C112" s="1353"/>
      <c r="D112" s="1353"/>
      <c r="E112" s="1353"/>
      <c r="F112" s="1353"/>
      <c r="G112" s="1353"/>
      <c r="H112" s="1353"/>
      <c r="I112" s="1353"/>
      <c r="J112" s="1353"/>
      <c r="K112" s="1387"/>
      <c r="L112" s="1353"/>
      <c r="M112" s="1353"/>
      <c r="N112" s="1353"/>
    </row>
    <row r="113" spans="1:14" x14ac:dyDescent="0.25">
      <c r="A113" s="1353"/>
      <c r="B113" s="1353"/>
      <c r="C113" s="1353"/>
      <c r="D113" s="1353"/>
      <c r="E113" s="1353"/>
      <c r="F113" s="1353"/>
      <c r="G113" s="1353"/>
      <c r="H113" s="1353"/>
      <c r="I113" s="1353"/>
      <c r="J113" s="1353"/>
      <c r="K113" s="1387"/>
      <c r="L113" s="1353"/>
      <c r="M113" s="1353"/>
      <c r="N113" s="1353"/>
    </row>
    <row r="114" spans="1:14" x14ac:dyDescent="0.25">
      <c r="A114" s="1353"/>
      <c r="B114" s="1353"/>
      <c r="C114" s="1353"/>
      <c r="D114" s="1353"/>
      <c r="E114" s="1353"/>
      <c r="F114" s="1353"/>
      <c r="G114" s="1353"/>
      <c r="H114" s="1353"/>
      <c r="I114" s="1353"/>
      <c r="J114" s="1353"/>
      <c r="K114" s="1387"/>
      <c r="L114" s="1353"/>
      <c r="M114" s="1353"/>
      <c r="N114" s="1353"/>
    </row>
    <row r="115" spans="1:14" x14ac:dyDescent="0.25">
      <c r="A115" s="1353"/>
      <c r="B115" s="1353"/>
      <c r="C115" s="1353"/>
      <c r="D115" s="1353"/>
      <c r="E115" s="1353"/>
      <c r="F115" s="1353"/>
      <c r="G115" s="1353"/>
      <c r="H115" s="1353"/>
      <c r="I115" s="1353"/>
      <c r="J115" s="1353"/>
      <c r="K115" s="1387"/>
      <c r="L115" s="1353"/>
      <c r="M115" s="1353"/>
      <c r="N115" s="1353"/>
    </row>
    <row r="116" spans="1:14" x14ac:dyDescent="0.25">
      <c r="A116" s="1353"/>
      <c r="B116" s="1353"/>
      <c r="C116" s="1353"/>
      <c r="D116" s="1353"/>
      <c r="E116" s="1353"/>
      <c r="F116" s="1353"/>
      <c r="G116" s="1353"/>
      <c r="H116" s="1353"/>
      <c r="I116" s="1353"/>
      <c r="J116" s="1353"/>
      <c r="K116" s="1387"/>
      <c r="L116" s="1353"/>
      <c r="M116" s="1353"/>
      <c r="N116" s="1353"/>
    </row>
    <row r="117" spans="1:14" x14ac:dyDescent="0.25">
      <c r="A117" s="1353"/>
      <c r="B117" s="1353"/>
      <c r="C117" s="1353"/>
      <c r="D117" s="1353"/>
      <c r="E117" s="1353"/>
      <c r="F117" s="1353"/>
      <c r="G117" s="1353"/>
      <c r="H117" s="1353"/>
      <c r="I117" s="1353"/>
      <c r="J117" s="1353"/>
      <c r="K117" s="1387"/>
      <c r="L117" s="1353"/>
      <c r="M117" s="1353"/>
      <c r="N117" s="1353"/>
    </row>
    <row r="118" spans="1:14" x14ac:dyDescent="0.25">
      <c r="A118" s="1353"/>
      <c r="B118" s="1353"/>
      <c r="C118" s="1353"/>
      <c r="D118" s="1353"/>
      <c r="E118" s="1353"/>
      <c r="F118" s="1353"/>
      <c r="G118" s="1353"/>
      <c r="H118" s="1353"/>
      <c r="I118" s="1353"/>
      <c r="J118" s="1353"/>
      <c r="K118" s="1387"/>
      <c r="L118" s="1353"/>
      <c r="M118" s="1353"/>
      <c r="N118" s="1353"/>
    </row>
    <row r="119" spans="1:14" x14ac:dyDescent="0.25">
      <c r="A119" s="1353"/>
      <c r="B119" s="1353"/>
      <c r="C119" s="1353"/>
      <c r="D119" s="1353"/>
      <c r="E119" s="1353"/>
      <c r="F119" s="1353"/>
      <c r="G119" s="1353"/>
      <c r="H119" s="1353"/>
      <c r="I119" s="1353"/>
      <c r="J119" s="1353"/>
      <c r="K119" s="1387"/>
      <c r="L119" s="1353"/>
      <c r="M119" s="1353"/>
      <c r="N119" s="1353"/>
    </row>
    <row r="120" spans="1:14" x14ac:dyDescent="0.25">
      <c r="A120" s="1353"/>
      <c r="B120" s="1353"/>
      <c r="C120" s="1353"/>
      <c r="D120" s="1353"/>
      <c r="E120" s="1353"/>
      <c r="F120" s="1353"/>
      <c r="G120" s="1353"/>
      <c r="H120" s="1353"/>
      <c r="I120" s="1353"/>
      <c r="J120" s="1353"/>
      <c r="K120" s="1387"/>
      <c r="L120" s="1353"/>
      <c r="M120" s="1353"/>
      <c r="N120" s="1353"/>
    </row>
    <row r="121" spans="1:14" x14ac:dyDescent="0.25">
      <c r="A121" s="1353"/>
      <c r="B121" s="1353"/>
      <c r="C121" s="1353"/>
      <c r="D121" s="1353"/>
      <c r="E121" s="1353"/>
      <c r="F121" s="1353"/>
      <c r="G121" s="1353"/>
      <c r="H121" s="1353"/>
      <c r="I121" s="1353"/>
      <c r="J121" s="1353"/>
      <c r="K121" s="1387"/>
      <c r="L121" s="1353"/>
      <c r="M121" s="1353"/>
      <c r="N121" s="1353"/>
    </row>
    <row r="122" spans="1:14" x14ac:dyDescent="0.25">
      <c r="A122" s="1353"/>
      <c r="B122" s="1353"/>
      <c r="C122" s="1353"/>
      <c r="D122" s="1353"/>
      <c r="E122" s="1353"/>
      <c r="F122" s="1353"/>
      <c r="G122" s="1353"/>
      <c r="H122" s="1353"/>
      <c r="I122" s="1353"/>
      <c r="J122" s="1353"/>
      <c r="K122" s="1387"/>
      <c r="L122" s="1353"/>
      <c r="M122" s="1353"/>
      <c r="N122" s="1353"/>
    </row>
    <row r="123" spans="1:14" x14ac:dyDescent="0.25">
      <c r="A123" s="1353"/>
      <c r="B123" s="1353"/>
      <c r="C123" s="1353"/>
      <c r="D123" s="1353"/>
      <c r="E123" s="1353"/>
      <c r="F123" s="1353"/>
      <c r="G123" s="1353"/>
      <c r="H123" s="1353"/>
      <c r="I123" s="1353"/>
      <c r="J123" s="1353"/>
      <c r="K123" s="1387"/>
      <c r="L123" s="1353"/>
      <c r="M123" s="1353"/>
      <c r="N123" s="1353"/>
    </row>
    <row r="124" spans="1:14" x14ac:dyDescent="0.25">
      <c r="A124" s="1353"/>
      <c r="B124" s="1353"/>
      <c r="C124" s="1353"/>
      <c r="D124" s="1353"/>
      <c r="E124" s="1353"/>
      <c r="F124" s="1353"/>
      <c r="G124" s="1353"/>
      <c r="H124" s="1353"/>
      <c r="I124" s="1353"/>
      <c r="J124" s="1353"/>
      <c r="K124" s="1387"/>
      <c r="L124" s="1353"/>
      <c r="M124" s="1353"/>
      <c r="N124" s="1353"/>
    </row>
    <row r="125" spans="1:14" x14ac:dyDescent="0.25">
      <c r="A125" s="1353"/>
      <c r="B125" s="1353"/>
      <c r="C125" s="1353"/>
      <c r="D125" s="1353"/>
      <c r="E125" s="1353"/>
      <c r="F125" s="1353"/>
      <c r="G125" s="1353"/>
      <c r="H125" s="1353"/>
      <c r="I125" s="1353"/>
      <c r="J125" s="1353"/>
      <c r="K125" s="1387"/>
      <c r="L125" s="1353"/>
      <c r="M125" s="1353"/>
      <c r="N125" s="1353"/>
    </row>
    <row r="126" spans="1:14" x14ac:dyDescent="0.25">
      <c r="A126" s="1353"/>
      <c r="B126" s="1353"/>
      <c r="C126" s="1353"/>
      <c r="D126" s="1353"/>
      <c r="E126" s="1353"/>
      <c r="F126" s="1353"/>
      <c r="G126" s="1353"/>
      <c r="H126" s="1353"/>
      <c r="I126" s="1353"/>
      <c r="J126" s="1353"/>
      <c r="K126" s="1387"/>
      <c r="L126" s="1353"/>
      <c r="M126" s="1353"/>
      <c r="N126" s="1353"/>
    </row>
    <row r="127" spans="1:14" x14ac:dyDescent="0.25">
      <c r="A127" s="1353"/>
      <c r="B127" s="1353"/>
      <c r="C127" s="1353"/>
      <c r="D127" s="1353"/>
      <c r="E127" s="1353"/>
      <c r="F127" s="1353"/>
      <c r="G127" s="1353"/>
      <c r="H127" s="1353"/>
      <c r="I127" s="1353"/>
      <c r="J127" s="1353"/>
      <c r="K127" s="1387"/>
      <c r="L127" s="1353"/>
      <c r="M127" s="1353"/>
      <c r="N127" s="1353"/>
    </row>
    <row r="128" spans="1:14" x14ac:dyDescent="0.25">
      <c r="A128" s="1353"/>
      <c r="B128" s="1353"/>
      <c r="C128" s="1353"/>
      <c r="D128" s="1353"/>
      <c r="E128" s="1353"/>
      <c r="F128" s="1353"/>
      <c r="G128" s="1353"/>
      <c r="H128" s="1353"/>
      <c r="I128" s="1353"/>
      <c r="J128" s="1353"/>
      <c r="K128" s="1387"/>
      <c r="L128" s="1353"/>
      <c r="M128" s="1353"/>
      <c r="N128" s="1353"/>
    </row>
    <row r="129" spans="1:14" x14ac:dyDescent="0.25">
      <c r="A129" s="1353"/>
      <c r="B129" s="1353"/>
      <c r="C129" s="1353"/>
      <c r="D129" s="1353"/>
      <c r="E129" s="1353"/>
      <c r="F129" s="1353"/>
      <c r="G129" s="1353"/>
      <c r="H129" s="1353"/>
      <c r="I129" s="1353"/>
      <c r="J129" s="1353"/>
      <c r="K129" s="1387"/>
      <c r="L129" s="1353"/>
      <c r="M129" s="1353"/>
      <c r="N129" s="1353"/>
    </row>
    <row r="130" spans="1:14" x14ac:dyDescent="0.25">
      <c r="A130" s="1353"/>
      <c r="B130" s="1353"/>
      <c r="C130" s="1353"/>
      <c r="D130" s="1353"/>
      <c r="E130" s="1353"/>
      <c r="F130" s="1353"/>
      <c r="G130" s="1353"/>
      <c r="H130" s="1353"/>
      <c r="I130" s="1353"/>
      <c r="J130" s="1353"/>
      <c r="K130" s="1387"/>
      <c r="L130" s="1353"/>
      <c r="M130" s="1353"/>
      <c r="N130" s="1353"/>
    </row>
    <row r="131" spans="1:14" x14ac:dyDescent="0.25">
      <c r="A131" s="1353"/>
      <c r="B131" s="1353"/>
      <c r="C131" s="1353"/>
      <c r="D131" s="1353"/>
      <c r="E131" s="1353"/>
      <c r="F131" s="1353"/>
      <c r="G131" s="1353"/>
      <c r="H131" s="1353"/>
      <c r="I131" s="1353"/>
      <c r="J131" s="1353"/>
      <c r="K131" s="1387"/>
      <c r="L131" s="1353"/>
      <c r="M131" s="1353"/>
      <c r="N131" s="1353"/>
    </row>
    <row r="132" spans="1:14" x14ac:dyDescent="0.25">
      <c r="A132" s="1353"/>
      <c r="B132" s="1353"/>
      <c r="C132" s="1353"/>
      <c r="D132" s="1353"/>
      <c r="E132" s="1353"/>
      <c r="F132" s="1353"/>
      <c r="G132" s="1353"/>
      <c r="H132" s="1353"/>
      <c r="I132" s="1353"/>
      <c r="J132" s="1353"/>
      <c r="K132" s="1387"/>
      <c r="L132" s="1353"/>
      <c r="M132" s="1353"/>
      <c r="N132" s="1353"/>
    </row>
    <row r="133" spans="1:14" x14ac:dyDescent="0.25">
      <c r="A133" s="1353"/>
      <c r="B133" s="1353"/>
      <c r="C133" s="1353"/>
      <c r="D133" s="1353"/>
      <c r="E133" s="1353"/>
      <c r="F133" s="1353"/>
      <c r="G133" s="1353"/>
      <c r="H133" s="1353"/>
      <c r="I133" s="1353"/>
      <c r="J133" s="1353"/>
      <c r="K133" s="1387"/>
      <c r="L133" s="1353"/>
      <c r="M133" s="1353"/>
      <c r="N133" s="1353"/>
    </row>
    <row r="134" spans="1:14" x14ac:dyDescent="0.25">
      <c r="A134" s="1353"/>
      <c r="B134" s="1353"/>
      <c r="C134" s="1353"/>
      <c r="D134" s="1353"/>
      <c r="E134" s="1353"/>
      <c r="F134" s="1353"/>
      <c r="G134" s="1353"/>
      <c r="H134" s="1353"/>
      <c r="I134" s="1353"/>
      <c r="J134" s="1353"/>
      <c r="K134" s="1387"/>
      <c r="L134" s="1353"/>
      <c r="M134" s="1353"/>
      <c r="N134" s="1353"/>
    </row>
    <row r="135" spans="1:14" x14ac:dyDescent="0.25">
      <c r="A135" s="1353"/>
      <c r="B135" s="1353"/>
      <c r="C135" s="1353"/>
      <c r="D135" s="1353"/>
      <c r="E135" s="1353"/>
      <c r="F135" s="1353"/>
      <c r="G135" s="1353"/>
      <c r="H135" s="1353"/>
      <c r="I135" s="1353"/>
      <c r="J135" s="1353"/>
      <c r="K135" s="1387"/>
      <c r="L135" s="1353"/>
      <c r="M135" s="1353"/>
      <c r="N135" s="1353"/>
    </row>
    <row r="136" spans="1:14" x14ac:dyDescent="0.25">
      <c r="A136" s="1353"/>
      <c r="B136" s="1353"/>
      <c r="C136" s="1353"/>
      <c r="D136" s="1353"/>
      <c r="E136" s="1353"/>
      <c r="F136" s="1353"/>
      <c r="G136" s="1353"/>
      <c r="H136" s="1353"/>
      <c r="I136" s="1353"/>
      <c r="J136" s="1353"/>
      <c r="K136" s="1387"/>
      <c r="L136" s="1353"/>
      <c r="M136" s="1353"/>
      <c r="N136" s="1353"/>
    </row>
    <row r="137" spans="1:14" x14ac:dyDescent="0.25">
      <c r="A137" s="1353"/>
      <c r="B137" s="1353"/>
      <c r="C137" s="1353"/>
      <c r="D137" s="1353"/>
      <c r="E137" s="1353"/>
      <c r="F137" s="1353"/>
      <c r="G137" s="1353"/>
      <c r="H137" s="1353"/>
      <c r="I137" s="1353"/>
      <c r="J137" s="1353"/>
      <c r="K137" s="1387"/>
      <c r="L137" s="1353"/>
      <c r="M137" s="1353"/>
      <c r="N137" s="1353"/>
    </row>
    <row r="138" spans="1:14" x14ac:dyDescent="0.25">
      <c r="A138" s="1353"/>
      <c r="B138" s="1353"/>
      <c r="C138" s="1353"/>
      <c r="D138" s="1353"/>
      <c r="E138" s="1353"/>
      <c r="F138" s="1353"/>
      <c r="G138" s="1353"/>
      <c r="H138" s="1353"/>
      <c r="I138" s="1353"/>
      <c r="J138" s="1353"/>
      <c r="K138" s="1387"/>
      <c r="L138" s="1353"/>
      <c r="M138" s="1353"/>
      <c r="N138" s="1353"/>
    </row>
    <row r="139" spans="1:14" x14ac:dyDescent="0.25">
      <c r="A139" s="1353"/>
      <c r="B139" s="1353"/>
      <c r="C139" s="1353"/>
      <c r="D139" s="1353"/>
      <c r="E139" s="1353"/>
      <c r="F139" s="1353"/>
      <c r="G139" s="1353"/>
      <c r="H139" s="1353"/>
      <c r="I139" s="1353"/>
      <c r="J139" s="1353"/>
      <c r="K139" s="1387"/>
      <c r="L139" s="1353"/>
      <c r="M139" s="1353"/>
      <c r="N139" s="1353"/>
    </row>
    <row r="140" spans="1:14" x14ac:dyDescent="0.25">
      <c r="A140" s="1353"/>
      <c r="B140" s="1353"/>
      <c r="C140" s="1353"/>
      <c r="D140" s="1353"/>
      <c r="E140" s="1353"/>
      <c r="F140" s="1353"/>
      <c r="G140" s="1353"/>
      <c r="H140" s="1353"/>
      <c r="I140" s="1353"/>
      <c r="J140" s="1353"/>
      <c r="K140" s="1387"/>
      <c r="L140" s="1353"/>
      <c r="M140" s="1353"/>
      <c r="N140" s="1353"/>
    </row>
    <row r="141" spans="1:14" x14ac:dyDescent="0.25">
      <c r="A141" s="1353"/>
      <c r="B141" s="1353"/>
      <c r="C141" s="1353"/>
      <c r="D141" s="1353"/>
      <c r="E141" s="1353"/>
      <c r="F141" s="1353"/>
      <c r="G141" s="1353"/>
      <c r="H141" s="1353"/>
      <c r="I141" s="1353"/>
      <c r="J141" s="1353"/>
      <c r="K141" s="1387"/>
      <c r="L141" s="1353"/>
      <c r="M141" s="1353"/>
      <c r="N141" s="1353"/>
    </row>
    <row r="142" spans="1:14" x14ac:dyDescent="0.25">
      <c r="A142" s="1353"/>
      <c r="B142" s="1353"/>
      <c r="C142" s="1353"/>
      <c r="D142" s="1353"/>
      <c r="E142" s="1353"/>
      <c r="F142" s="1353"/>
      <c r="G142" s="1353"/>
      <c r="H142" s="1353"/>
      <c r="I142" s="1353"/>
      <c r="J142" s="1353"/>
      <c r="K142" s="1387"/>
      <c r="L142" s="1353"/>
      <c r="M142" s="1353"/>
      <c r="N142" s="1353"/>
    </row>
    <row r="143" spans="1:14" x14ac:dyDescent="0.25">
      <c r="A143" s="1353"/>
      <c r="B143" s="1353"/>
      <c r="C143" s="1353"/>
      <c r="D143" s="1353"/>
      <c r="E143" s="1353"/>
      <c r="F143" s="1353"/>
      <c r="G143" s="1353"/>
      <c r="H143" s="1353"/>
      <c r="I143" s="1353"/>
      <c r="J143" s="1353"/>
      <c r="K143" s="1387"/>
      <c r="L143" s="1353"/>
      <c r="M143" s="1353"/>
      <c r="N143" s="1353"/>
    </row>
    <row r="144" spans="1:14" x14ac:dyDescent="0.25">
      <c r="A144" s="1353"/>
      <c r="B144" s="1353"/>
      <c r="C144" s="1353"/>
      <c r="D144" s="1353"/>
      <c r="E144" s="1353"/>
      <c r="F144" s="1353"/>
      <c r="G144" s="1353"/>
      <c r="H144" s="1353"/>
      <c r="I144" s="1353"/>
      <c r="J144" s="1353"/>
      <c r="K144" s="1387"/>
      <c r="L144" s="1353"/>
      <c r="M144" s="1353"/>
      <c r="N144" s="1353"/>
    </row>
    <row r="145" spans="1:14" x14ac:dyDescent="0.25">
      <c r="A145" s="1353"/>
      <c r="B145" s="1353"/>
      <c r="C145" s="1353"/>
      <c r="D145" s="1353"/>
      <c r="E145" s="1353"/>
      <c r="F145" s="1353"/>
      <c r="G145" s="1353"/>
      <c r="H145" s="1353"/>
      <c r="I145" s="1353"/>
      <c r="J145" s="1353"/>
      <c r="K145" s="1387"/>
      <c r="L145" s="1353"/>
      <c r="M145" s="1353"/>
      <c r="N145" s="1353"/>
    </row>
    <row r="146" spans="1:14" x14ac:dyDescent="0.25">
      <c r="A146" s="1353"/>
      <c r="B146" s="1353"/>
      <c r="C146" s="1353"/>
      <c r="D146" s="1353"/>
      <c r="E146" s="1353"/>
      <c r="F146" s="1353"/>
      <c r="G146" s="1353"/>
      <c r="H146" s="1353"/>
      <c r="I146" s="1353"/>
      <c r="J146" s="1353"/>
      <c r="K146" s="1387"/>
      <c r="L146" s="1353"/>
      <c r="M146" s="1353"/>
      <c r="N146" s="1353"/>
    </row>
    <row r="147" spans="1:14" x14ac:dyDescent="0.25">
      <c r="A147" s="1353"/>
      <c r="B147" s="1353"/>
      <c r="C147" s="1353"/>
      <c r="D147" s="1353"/>
      <c r="E147" s="1353"/>
      <c r="F147" s="1353"/>
      <c r="G147" s="1353"/>
      <c r="H147" s="1353"/>
      <c r="I147" s="1353"/>
      <c r="J147" s="1353"/>
      <c r="K147" s="1387"/>
      <c r="L147" s="1353"/>
      <c r="M147" s="1353"/>
      <c r="N147" s="1353"/>
    </row>
    <row r="148" spans="1:14" x14ac:dyDescent="0.25">
      <c r="A148" s="1353"/>
      <c r="B148" s="1353"/>
      <c r="C148" s="1353"/>
      <c r="D148" s="1353"/>
      <c r="E148" s="1353"/>
      <c r="F148" s="1353"/>
      <c r="G148" s="1353"/>
      <c r="H148" s="1353"/>
      <c r="I148" s="1353"/>
      <c r="J148" s="1353"/>
      <c r="K148" s="1387"/>
      <c r="L148" s="1353"/>
      <c r="M148" s="1353"/>
      <c r="N148" s="1353"/>
    </row>
    <row r="149" spans="1:14" x14ac:dyDescent="0.25">
      <c r="A149" s="1353"/>
      <c r="B149" s="1353"/>
      <c r="C149" s="1353"/>
      <c r="D149" s="1353"/>
      <c r="E149" s="1353"/>
      <c r="F149" s="1353"/>
      <c r="G149" s="1353"/>
      <c r="H149" s="1353"/>
      <c r="I149" s="1353"/>
      <c r="J149" s="1353"/>
      <c r="K149" s="1387"/>
      <c r="L149" s="1353"/>
      <c r="M149" s="1353"/>
      <c r="N149" s="1353"/>
    </row>
    <row r="150" spans="1:14" x14ac:dyDescent="0.25">
      <c r="A150" s="1353"/>
      <c r="B150" s="1353"/>
      <c r="C150" s="1353"/>
      <c r="D150" s="1353"/>
      <c r="E150" s="1353"/>
      <c r="F150" s="1353"/>
      <c r="G150" s="1353"/>
      <c r="H150" s="1353"/>
      <c r="I150" s="1353"/>
      <c r="J150" s="1353"/>
      <c r="K150" s="1387"/>
      <c r="L150" s="1353"/>
      <c r="M150" s="1353"/>
      <c r="N150" s="1353"/>
    </row>
    <row r="151" spans="1:14" x14ac:dyDescent="0.25">
      <c r="A151" s="1353"/>
      <c r="B151" s="1353"/>
      <c r="C151" s="1353"/>
      <c r="D151" s="1353"/>
      <c r="E151" s="1353"/>
      <c r="F151" s="1353"/>
      <c r="G151" s="1353"/>
      <c r="H151" s="1353"/>
      <c r="I151" s="1353"/>
      <c r="J151" s="1353"/>
      <c r="K151" s="1387"/>
      <c r="L151" s="1353"/>
      <c r="M151" s="1353"/>
      <c r="N151" s="1353"/>
    </row>
    <row r="152" spans="1:14" x14ac:dyDescent="0.25">
      <c r="A152" s="1353"/>
      <c r="B152" s="1353"/>
      <c r="C152" s="1353"/>
      <c r="D152" s="1353"/>
      <c r="E152" s="1353"/>
      <c r="F152" s="1353"/>
      <c r="G152" s="1353"/>
      <c r="H152" s="1353"/>
      <c r="I152" s="1353"/>
      <c r="J152" s="1353"/>
      <c r="K152" s="1387"/>
      <c r="L152" s="1353"/>
      <c r="M152" s="1353"/>
      <c r="N152" s="1353"/>
    </row>
    <row r="153" spans="1:14" x14ac:dyDescent="0.25">
      <c r="A153" s="1353"/>
      <c r="B153" s="1353"/>
      <c r="C153" s="1353"/>
      <c r="D153" s="1353"/>
      <c r="E153" s="1353"/>
      <c r="F153" s="1353"/>
      <c r="G153" s="1353"/>
      <c r="H153" s="1353"/>
      <c r="I153" s="1353"/>
      <c r="J153" s="1353"/>
      <c r="K153" s="1387"/>
      <c r="L153" s="1353"/>
      <c r="M153" s="1353"/>
      <c r="N153" s="1353"/>
    </row>
    <row r="154" spans="1:14" x14ac:dyDescent="0.25">
      <c r="A154" s="1353"/>
      <c r="B154" s="1353"/>
      <c r="C154" s="1353"/>
      <c r="D154" s="1353"/>
      <c r="E154" s="1353"/>
      <c r="F154" s="1353"/>
      <c r="G154" s="1353"/>
      <c r="H154" s="1353"/>
      <c r="I154" s="1353"/>
      <c r="J154" s="1353"/>
      <c r="K154" s="1387"/>
      <c r="L154" s="1353"/>
      <c r="M154" s="1353"/>
      <c r="N154" s="1353"/>
    </row>
    <row r="155" spans="1:14" x14ac:dyDescent="0.25">
      <c r="A155" s="1353"/>
      <c r="B155" s="1353"/>
      <c r="C155" s="1353"/>
      <c r="D155" s="1353"/>
      <c r="E155" s="1353"/>
      <c r="F155" s="1353"/>
      <c r="G155" s="1353"/>
      <c r="H155" s="1353"/>
      <c r="I155" s="1353"/>
      <c r="J155" s="1353"/>
      <c r="K155" s="1387"/>
      <c r="L155" s="1353"/>
      <c r="M155" s="1353"/>
      <c r="N155" s="1353"/>
    </row>
    <row r="156" spans="1:14" x14ac:dyDescent="0.25">
      <c r="A156" s="1353"/>
      <c r="B156" s="1353"/>
      <c r="C156" s="1353"/>
      <c r="D156" s="1353"/>
      <c r="E156" s="1353"/>
      <c r="F156" s="1353"/>
      <c r="G156" s="1353"/>
      <c r="H156" s="1353"/>
      <c r="I156" s="1353"/>
      <c r="J156" s="1353"/>
      <c r="K156" s="1387"/>
      <c r="L156" s="1353"/>
      <c r="M156" s="1353"/>
      <c r="N156" s="1353"/>
    </row>
    <row r="157" spans="1:14" x14ac:dyDescent="0.25">
      <c r="A157" s="1353"/>
      <c r="B157" s="1353"/>
      <c r="C157" s="1353"/>
      <c r="D157" s="1353"/>
      <c r="E157" s="1353"/>
      <c r="F157" s="1353"/>
      <c r="G157" s="1353"/>
      <c r="H157" s="1353"/>
      <c r="I157" s="1353"/>
      <c r="J157" s="1353"/>
      <c r="K157" s="1387"/>
      <c r="L157" s="1353"/>
      <c r="M157" s="1353"/>
      <c r="N157" s="1353"/>
    </row>
    <row r="158" spans="1:14" x14ac:dyDescent="0.25">
      <c r="A158" s="1353"/>
      <c r="B158" s="1353"/>
      <c r="C158" s="1353"/>
      <c r="D158" s="1353"/>
      <c r="E158" s="1353"/>
      <c r="F158" s="1353"/>
      <c r="G158" s="1353"/>
      <c r="H158" s="1353"/>
      <c r="I158" s="1353"/>
      <c r="J158" s="1353"/>
      <c r="K158" s="1387"/>
      <c r="L158" s="1353"/>
      <c r="M158" s="1353"/>
      <c r="N158" s="1353"/>
    </row>
    <row r="159" spans="1:14" x14ac:dyDescent="0.25">
      <c r="A159" s="1353"/>
      <c r="B159" s="1353"/>
      <c r="C159" s="1353"/>
      <c r="D159" s="1353"/>
      <c r="E159" s="1353"/>
      <c r="F159" s="1353"/>
      <c r="G159" s="1353"/>
      <c r="H159" s="1353"/>
      <c r="I159" s="1353"/>
      <c r="J159" s="1353"/>
      <c r="K159" s="1387"/>
      <c r="L159" s="1353"/>
      <c r="M159" s="1353"/>
      <c r="N159" s="1353"/>
    </row>
    <row r="160" spans="1:14" x14ac:dyDescent="0.25">
      <c r="A160" s="1353"/>
      <c r="B160" s="1353"/>
      <c r="C160" s="1353"/>
      <c r="D160" s="1353"/>
      <c r="E160" s="1353"/>
      <c r="F160" s="1353"/>
      <c r="G160" s="1353"/>
      <c r="H160" s="1353"/>
      <c r="I160" s="1353"/>
      <c r="J160" s="1353"/>
      <c r="K160" s="1387"/>
      <c r="L160" s="1353"/>
      <c r="M160" s="1353"/>
      <c r="N160" s="1353"/>
    </row>
    <row r="161" spans="1:14" x14ac:dyDescent="0.25">
      <c r="A161" s="1353"/>
      <c r="B161" s="1353"/>
      <c r="C161" s="1353"/>
      <c r="D161" s="1353"/>
      <c r="E161" s="1353"/>
      <c r="F161" s="1353"/>
      <c r="G161" s="1353"/>
      <c r="H161" s="1353"/>
      <c r="I161" s="1353"/>
      <c r="J161" s="1353"/>
      <c r="K161" s="1387"/>
      <c r="L161" s="1353"/>
      <c r="M161" s="1353"/>
      <c r="N161" s="1353"/>
    </row>
    <row r="162" spans="1:14" x14ac:dyDescent="0.25">
      <c r="A162" s="1353"/>
      <c r="B162" s="1353"/>
      <c r="C162" s="1353"/>
      <c r="D162" s="1353"/>
      <c r="E162" s="1353"/>
      <c r="F162" s="1353"/>
      <c r="G162" s="1353"/>
      <c r="H162" s="1353"/>
      <c r="I162" s="1353"/>
      <c r="J162" s="1353"/>
      <c r="K162" s="1387"/>
      <c r="L162" s="1353"/>
      <c r="M162" s="1353"/>
      <c r="N162" s="1353"/>
    </row>
    <row r="163" spans="1:14" x14ac:dyDescent="0.25">
      <c r="A163" s="1353"/>
      <c r="B163" s="1353"/>
      <c r="C163" s="1353"/>
      <c r="D163" s="1353"/>
      <c r="E163" s="1353"/>
      <c r="F163" s="1353"/>
      <c r="G163" s="1353"/>
      <c r="H163" s="1353"/>
      <c r="I163" s="1353"/>
      <c r="J163" s="1353"/>
      <c r="K163" s="1387"/>
      <c r="L163" s="1353"/>
      <c r="M163" s="1353"/>
      <c r="N163" s="1353"/>
    </row>
    <row r="164" spans="1:14" x14ac:dyDescent="0.25">
      <c r="A164" s="1353"/>
      <c r="B164" s="1353"/>
      <c r="C164" s="1353"/>
      <c r="D164" s="1353"/>
      <c r="E164" s="1353"/>
      <c r="F164" s="1353"/>
      <c r="G164" s="1353"/>
      <c r="H164" s="1353"/>
      <c r="I164" s="1353"/>
      <c r="J164" s="1353"/>
      <c r="K164" s="1387"/>
      <c r="L164" s="1353"/>
      <c r="M164" s="1353"/>
      <c r="N164" s="1353"/>
    </row>
    <row r="165" spans="1:14" x14ac:dyDescent="0.25">
      <c r="A165" s="1353"/>
      <c r="B165" s="1353"/>
      <c r="C165" s="1353"/>
      <c r="D165" s="1353"/>
      <c r="E165" s="1353"/>
      <c r="F165" s="1353"/>
      <c r="G165" s="1353"/>
      <c r="H165" s="1353"/>
      <c r="I165" s="1353"/>
      <c r="J165" s="1353"/>
      <c r="K165" s="1387"/>
      <c r="L165" s="1353"/>
      <c r="M165" s="1353"/>
      <c r="N165" s="1353"/>
    </row>
    <row r="166" spans="1:14" x14ac:dyDescent="0.25">
      <c r="A166" s="1353"/>
      <c r="B166" s="1353"/>
      <c r="C166" s="1353"/>
      <c r="D166" s="1353"/>
      <c r="E166" s="1353"/>
      <c r="F166" s="1353"/>
      <c r="G166" s="1353"/>
      <c r="H166" s="1353"/>
      <c r="I166" s="1353"/>
      <c r="J166" s="1353"/>
      <c r="K166" s="1387"/>
      <c r="L166" s="1353"/>
      <c r="M166" s="1353"/>
      <c r="N166" s="1353"/>
    </row>
    <row r="167" spans="1:14" x14ac:dyDescent="0.25">
      <c r="A167" s="1353"/>
      <c r="B167" s="1353"/>
      <c r="C167" s="1353"/>
      <c r="D167" s="1353"/>
      <c r="E167" s="1353"/>
      <c r="F167" s="1353"/>
      <c r="G167" s="1353"/>
      <c r="H167" s="1353"/>
      <c r="I167" s="1353"/>
      <c r="J167" s="1353"/>
      <c r="K167" s="1387"/>
      <c r="L167" s="1353"/>
      <c r="M167" s="1353"/>
      <c r="N167" s="1353"/>
    </row>
    <row r="168" spans="1:14" x14ac:dyDescent="0.25">
      <c r="A168" s="1353"/>
      <c r="B168" s="1353"/>
      <c r="C168" s="1353"/>
      <c r="D168" s="1353"/>
      <c r="E168" s="1353"/>
      <c r="F168" s="1353"/>
      <c r="G168" s="1353"/>
      <c r="H168" s="1353"/>
      <c r="I168" s="1353"/>
      <c r="J168" s="1353"/>
      <c r="K168" s="1387"/>
      <c r="L168" s="1353"/>
      <c r="M168" s="1353"/>
      <c r="N168" s="1353"/>
    </row>
    <row r="169" spans="1:14" x14ac:dyDescent="0.25">
      <c r="A169" s="1353"/>
      <c r="B169" s="1353"/>
      <c r="C169" s="1353"/>
      <c r="D169" s="1353"/>
      <c r="E169" s="1353"/>
      <c r="F169" s="1353"/>
      <c r="G169" s="1353"/>
      <c r="H169" s="1353"/>
      <c r="I169" s="1353"/>
      <c r="J169" s="1353"/>
      <c r="K169" s="1387"/>
      <c r="L169" s="1353"/>
      <c r="M169" s="1353"/>
      <c r="N169" s="1353"/>
    </row>
    <row r="170" spans="1:14" x14ac:dyDescent="0.25">
      <c r="A170" s="1353"/>
      <c r="B170" s="1353"/>
      <c r="C170" s="1353"/>
      <c r="D170" s="1353"/>
      <c r="E170" s="1353"/>
      <c r="F170" s="1353"/>
      <c r="G170" s="1353"/>
      <c r="H170" s="1353"/>
      <c r="I170" s="1353"/>
      <c r="J170" s="1353"/>
      <c r="K170" s="1387"/>
      <c r="L170" s="1353"/>
      <c r="M170" s="1353"/>
      <c r="N170" s="1353"/>
    </row>
    <row r="171" spans="1:14" x14ac:dyDescent="0.25">
      <c r="A171" s="1353"/>
      <c r="B171" s="1353"/>
      <c r="C171" s="1353"/>
      <c r="D171" s="1353"/>
      <c r="E171" s="1353"/>
      <c r="F171" s="1353"/>
      <c r="G171" s="1353"/>
      <c r="H171" s="1353"/>
      <c r="I171" s="1353"/>
      <c r="J171" s="1353"/>
      <c r="K171" s="1387"/>
      <c r="L171" s="1353"/>
      <c r="M171" s="1353"/>
      <c r="N171" s="1353"/>
    </row>
    <row r="172" spans="1:14" x14ac:dyDescent="0.25">
      <c r="A172" s="1353"/>
      <c r="B172" s="1353"/>
      <c r="C172" s="1353"/>
      <c r="D172" s="1353"/>
      <c r="E172" s="1353"/>
      <c r="F172" s="1353"/>
      <c r="G172" s="1353"/>
      <c r="H172" s="1353"/>
      <c r="I172" s="1353"/>
      <c r="J172" s="1353"/>
      <c r="K172" s="1387"/>
      <c r="L172" s="1353"/>
      <c r="M172" s="1353"/>
      <c r="N172" s="1353"/>
    </row>
    <row r="173" spans="1:14" x14ac:dyDescent="0.25">
      <c r="A173" s="1353"/>
      <c r="B173" s="1353"/>
      <c r="C173" s="1353"/>
      <c r="D173" s="1353"/>
      <c r="E173" s="1353"/>
      <c r="F173" s="1353"/>
      <c r="G173" s="1353"/>
      <c r="H173" s="1353"/>
      <c r="I173" s="1353"/>
      <c r="J173" s="1353"/>
      <c r="K173" s="1387"/>
      <c r="L173" s="1353"/>
      <c r="M173" s="1353"/>
      <c r="N173" s="1353"/>
    </row>
    <row r="174" spans="1:14" x14ac:dyDescent="0.25">
      <c r="A174" s="1353"/>
      <c r="B174" s="1353"/>
      <c r="C174" s="1353"/>
      <c r="D174" s="1353"/>
      <c r="E174" s="1353"/>
      <c r="F174" s="1353"/>
      <c r="G174" s="1353"/>
      <c r="H174" s="1353"/>
      <c r="I174" s="1353"/>
      <c r="J174" s="1353"/>
      <c r="K174" s="1387"/>
      <c r="L174" s="1353"/>
      <c r="M174" s="1353"/>
      <c r="N174" s="1353"/>
    </row>
    <row r="175" spans="1:14" x14ac:dyDescent="0.25">
      <c r="A175" s="1353"/>
      <c r="B175" s="1353"/>
      <c r="C175" s="1353"/>
      <c r="D175" s="1353"/>
      <c r="E175" s="1353"/>
      <c r="F175" s="1353"/>
      <c r="G175" s="1353"/>
      <c r="H175" s="1353"/>
      <c r="I175" s="1353"/>
      <c r="J175" s="1353"/>
      <c r="K175" s="1387"/>
      <c r="L175" s="1353"/>
      <c r="M175" s="1353"/>
      <c r="N175" s="1353"/>
    </row>
    <row r="176" spans="1:14" x14ac:dyDescent="0.25">
      <c r="A176" s="1353"/>
      <c r="B176" s="1353"/>
      <c r="C176" s="1353"/>
      <c r="D176" s="1353"/>
      <c r="E176" s="1353"/>
      <c r="F176" s="1353"/>
      <c r="G176" s="1353"/>
      <c r="H176" s="1353"/>
      <c r="I176" s="1353"/>
      <c r="J176" s="1353"/>
      <c r="K176" s="1387"/>
      <c r="L176" s="1353"/>
      <c r="M176" s="1353"/>
      <c r="N176" s="1353"/>
    </row>
    <row r="177" spans="1:14" x14ac:dyDescent="0.25">
      <c r="A177" s="1353"/>
      <c r="B177" s="1353"/>
      <c r="C177" s="1353"/>
      <c r="D177" s="1353"/>
      <c r="E177" s="1353"/>
      <c r="F177" s="1353"/>
      <c r="G177" s="1353"/>
      <c r="H177" s="1353"/>
      <c r="I177" s="1353"/>
      <c r="J177" s="1353"/>
      <c r="K177" s="1387"/>
      <c r="L177" s="1353"/>
      <c r="M177" s="1353"/>
      <c r="N177" s="1353"/>
    </row>
    <row r="178" spans="1:14" x14ac:dyDescent="0.25">
      <c r="A178" s="1353"/>
      <c r="B178" s="1353"/>
      <c r="C178" s="1353"/>
      <c r="D178" s="1353"/>
      <c r="E178" s="1353"/>
      <c r="F178" s="1353"/>
      <c r="G178" s="1353"/>
      <c r="H178" s="1353"/>
      <c r="I178" s="1353"/>
      <c r="J178" s="1353"/>
      <c r="K178" s="1387"/>
      <c r="L178" s="1353"/>
      <c r="M178" s="1353"/>
      <c r="N178" s="1353"/>
    </row>
    <row r="179" spans="1:14" x14ac:dyDescent="0.25">
      <c r="A179" s="1353"/>
      <c r="B179" s="1353"/>
      <c r="C179" s="1353"/>
      <c r="D179" s="1353"/>
      <c r="E179" s="1353"/>
      <c r="F179" s="1353"/>
      <c r="G179" s="1353"/>
      <c r="H179" s="1353"/>
      <c r="I179" s="1353"/>
      <c r="J179" s="1353"/>
      <c r="K179" s="1387"/>
      <c r="L179" s="1353"/>
      <c r="M179" s="1353"/>
      <c r="N179" s="1353"/>
    </row>
    <row r="180" spans="1:14" x14ac:dyDescent="0.25">
      <c r="A180" s="1353"/>
      <c r="B180" s="1353"/>
      <c r="C180" s="1353"/>
      <c r="D180" s="1353"/>
      <c r="E180" s="1353"/>
      <c r="F180" s="1353"/>
      <c r="G180" s="1353"/>
      <c r="H180" s="1353"/>
      <c r="I180" s="1353"/>
      <c r="J180" s="1353"/>
      <c r="K180" s="1387"/>
      <c r="L180" s="1353"/>
      <c r="M180" s="1353"/>
      <c r="N180" s="1353"/>
    </row>
    <row r="181" spans="1:14" x14ac:dyDescent="0.25">
      <c r="A181" s="1353"/>
      <c r="B181" s="1353"/>
      <c r="C181" s="1353"/>
      <c r="D181" s="1353"/>
      <c r="E181" s="1353"/>
      <c r="F181" s="1353"/>
      <c r="G181" s="1353"/>
      <c r="H181" s="1353"/>
      <c r="I181" s="1353"/>
      <c r="J181" s="1353"/>
      <c r="K181" s="1387"/>
      <c r="L181" s="1353"/>
      <c r="M181" s="1353"/>
      <c r="N181" s="1353"/>
    </row>
    <row r="182" spans="1:14" x14ac:dyDescent="0.25">
      <c r="A182" s="1353"/>
      <c r="B182" s="1353"/>
      <c r="C182" s="1353"/>
      <c r="D182" s="1353"/>
      <c r="E182" s="1353"/>
      <c r="F182" s="1353"/>
      <c r="G182" s="1353"/>
      <c r="H182" s="1353"/>
      <c r="I182" s="1353"/>
      <c r="J182" s="1353"/>
      <c r="K182" s="1387"/>
      <c r="L182" s="1353"/>
      <c r="M182" s="1353"/>
      <c r="N182" s="1353"/>
    </row>
    <row r="183" spans="1:14" x14ac:dyDescent="0.25">
      <c r="A183" s="1353"/>
      <c r="B183" s="1353"/>
      <c r="C183" s="1353"/>
      <c r="D183" s="1353"/>
      <c r="E183" s="1353"/>
      <c r="F183" s="1353"/>
      <c r="G183" s="1353"/>
      <c r="H183" s="1353"/>
      <c r="I183" s="1353"/>
      <c r="J183" s="1353"/>
      <c r="K183" s="1387"/>
      <c r="L183" s="1353"/>
      <c r="M183" s="1353"/>
      <c r="N183" s="1353"/>
    </row>
    <row r="184" spans="1:14" x14ac:dyDescent="0.25">
      <c r="A184" s="1353"/>
      <c r="B184" s="1353"/>
      <c r="C184" s="1353"/>
      <c r="D184" s="1353"/>
      <c r="E184" s="1353"/>
      <c r="F184" s="1353"/>
      <c r="G184" s="1353"/>
      <c r="H184" s="1353"/>
      <c r="I184" s="1353"/>
      <c r="J184" s="1353"/>
      <c r="K184" s="1387"/>
      <c r="L184" s="1353"/>
      <c r="M184" s="1353"/>
      <c r="N184" s="1353"/>
    </row>
    <row r="185" spans="1:14" x14ac:dyDescent="0.25">
      <c r="A185" s="1353"/>
      <c r="B185" s="1353"/>
      <c r="C185" s="1353"/>
      <c r="D185" s="1353"/>
      <c r="E185" s="1353"/>
      <c r="F185" s="1353"/>
      <c r="G185" s="1353"/>
      <c r="H185" s="1353"/>
      <c r="I185" s="1353"/>
      <c r="J185" s="1353"/>
      <c r="K185" s="1387"/>
      <c r="L185" s="1353"/>
      <c r="M185" s="1353"/>
      <c r="N185" s="1353"/>
    </row>
    <row r="186" spans="1:14" x14ac:dyDescent="0.25">
      <c r="A186" s="1353"/>
      <c r="B186" s="1353"/>
      <c r="C186" s="1353"/>
      <c r="D186" s="1353"/>
      <c r="E186" s="1353"/>
      <c r="F186" s="1353"/>
      <c r="G186" s="1353"/>
      <c r="H186" s="1353"/>
      <c r="I186" s="1353"/>
      <c r="J186" s="1353"/>
      <c r="K186" s="1387"/>
      <c r="L186" s="1353"/>
      <c r="M186" s="1353"/>
      <c r="N186" s="1353"/>
    </row>
    <row r="187" spans="1:14" x14ac:dyDescent="0.25">
      <c r="A187" s="1353"/>
      <c r="B187" s="1353"/>
      <c r="C187" s="1353"/>
      <c r="D187" s="1353"/>
      <c r="E187" s="1353"/>
      <c r="F187" s="1353"/>
      <c r="G187" s="1353"/>
      <c r="H187" s="1353"/>
      <c r="I187" s="1353"/>
      <c r="J187" s="1353"/>
      <c r="K187" s="1387"/>
      <c r="L187" s="1353"/>
      <c r="M187" s="1353"/>
      <c r="N187" s="1353"/>
    </row>
    <row r="188" spans="1:14" x14ac:dyDescent="0.25">
      <c r="A188" s="1353"/>
      <c r="B188" s="1353"/>
      <c r="C188" s="1353"/>
      <c r="D188" s="1353"/>
      <c r="E188" s="1353"/>
      <c r="F188" s="1353"/>
      <c r="G188" s="1353"/>
      <c r="H188" s="1353"/>
      <c r="I188" s="1353"/>
      <c r="J188" s="1353"/>
      <c r="K188" s="1387"/>
      <c r="L188" s="1353"/>
      <c r="M188" s="1353"/>
      <c r="N188" s="1353"/>
    </row>
    <row r="189" spans="1:14" x14ac:dyDescent="0.25">
      <c r="A189" s="1353"/>
      <c r="B189" s="1353"/>
      <c r="C189" s="1353"/>
      <c r="D189" s="1353"/>
      <c r="E189" s="1353"/>
      <c r="F189" s="1353"/>
      <c r="G189" s="1353"/>
      <c r="H189" s="1353"/>
      <c r="I189" s="1353"/>
      <c r="J189" s="1353"/>
      <c r="K189" s="1387"/>
      <c r="L189" s="1353"/>
      <c r="M189" s="1353"/>
      <c r="N189" s="1353"/>
    </row>
    <row r="190" spans="1:14" x14ac:dyDescent="0.25">
      <c r="A190" s="1353"/>
      <c r="B190" s="1353"/>
      <c r="C190" s="1353"/>
      <c r="D190" s="1353"/>
      <c r="E190" s="1353"/>
      <c r="F190" s="1353"/>
      <c r="G190" s="1353"/>
      <c r="H190" s="1353"/>
      <c r="I190" s="1353"/>
      <c r="J190" s="1353"/>
      <c r="K190" s="1387"/>
      <c r="L190" s="1353"/>
      <c r="M190" s="1353"/>
      <c r="N190" s="1353"/>
    </row>
    <row r="191" spans="1:14" x14ac:dyDescent="0.25">
      <c r="A191" s="1353"/>
      <c r="B191" s="1353"/>
      <c r="C191" s="1353"/>
      <c r="D191" s="1353"/>
      <c r="E191" s="1353"/>
      <c r="F191" s="1353"/>
      <c r="G191" s="1353"/>
      <c r="H191" s="1353"/>
      <c r="I191" s="1353"/>
      <c r="J191" s="1353"/>
      <c r="K191" s="1387"/>
      <c r="L191" s="1353"/>
      <c r="M191" s="1353"/>
      <c r="N191" s="1353"/>
    </row>
    <row r="192" spans="1:14" x14ac:dyDescent="0.25">
      <c r="A192" s="1353"/>
      <c r="B192" s="1353"/>
      <c r="C192" s="1353"/>
      <c r="D192" s="1353"/>
      <c r="E192" s="1353"/>
      <c r="F192" s="1353"/>
      <c r="G192" s="1353"/>
      <c r="H192" s="1353"/>
      <c r="I192" s="1353"/>
      <c r="J192" s="1353"/>
      <c r="K192" s="1387"/>
      <c r="L192" s="1353"/>
      <c r="M192" s="1353"/>
      <c r="N192" s="1353"/>
    </row>
    <row r="193" spans="1:14" x14ac:dyDescent="0.25">
      <c r="A193" s="1353"/>
      <c r="B193" s="1353"/>
      <c r="C193" s="1353"/>
      <c r="D193" s="1353"/>
      <c r="E193" s="1353"/>
      <c r="F193" s="1353"/>
      <c r="G193" s="1353"/>
      <c r="H193" s="1353"/>
      <c r="I193" s="1353"/>
      <c r="J193" s="1353"/>
      <c r="K193" s="1387"/>
      <c r="L193" s="1353"/>
      <c r="M193" s="1353"/>
      <c r="N193" s="1353"/>
    </row>
    <row r="194" spans="1:14" x14ac:dyDescent="0.25">
      <c r="A194" s="1353"/>
      <c r="B194" s="1353"/>
      <c r="C194" s="1353"/>
      <c r="D194" s="1353"/>
      <c r="E194" s="1353"/>
      <c r="F194" s="1353"/>
      <c r="G194" s="1353"/>
      <c r="H194" s="1353"/>
      <c r="I194" s="1353"/>
      <c r="J194" s="1353"/>
      <c r="K194" s="1387"/>
      <c r="L194" s="1353"/>
      <c r="M194" s="1353"/>
      <c r="N194" s="1353"/>
    </row>
    <row r="195" spans="1:14" x14ac:dyDescent="0.25">
      <c r="A195" s="1353"/>
      <c r="B195" s="1353"/>
      <c r="C195" s="1353"/>
      <c r="D195" s="1353"/>
      <c r="E195" s="1353"/>
      <c r="F195" s="1353"/>
      <c r="G195" s="1353"/>
      <c r="H195" s="1353"/>
      <c r="I195" s="1353"/>
      <c r="J195" s="1353"/>
      <c r="K195" s="1387"/>
      <c r="L195" s="1353"/>
      <c r="M195" s="1353"/>
      <c r="N195" s="1353"/>
    </row>
    <row r="196" spans="1:14" x14ac:dyDescent="0.25">
      <c r="A196" s="1353"/>
      <c r="B196" s="1353"/>
      <c r="C196" s="1353"/>
      <c r="D196" s="1353"/>
      <c r="E196" s="1353"/>
      <c r="F196" s="1353"/>
      <c r="G196" s="1353"/>
      <c r="H196" s="1353"/>
      <c r="I196" s="1353"/>
      <c r="J196" s="1353"/>
      <c r="K196" s="1387"/>
      <c r="L196" s="1353"/>
      <c r="M196" s="1353"/>
      <c r="N196" s="1353"/>
    </row>
    <row r="197" spans="1:14" x14ac:dyDescent="0.25">
      <c r="A197" s="1353"/>
      <c r="B197" s="1353"/>
      <c r="C197" s="1353"/>
      <c r="D197" s="1353"/>
      <c r="E197" s="1353"/>
      <c r="F197" s="1353"/>
      <c r="G197" s="1353"/>
      <c r="H197" s="1353"/>
      <c r="I197" s="1353"/>
      <c r="J197" s="1353"/>
      <c r="K197" s="1387"/>
      <c r="L197" s="1353"/>
      <c r="M197" s="1353"/>
      <c r="N197" s="1353"/>
    </row>
    <row r="198" spans="1:14" x14ac:dyDescent="0.25">
      <c r="A198" s="1353"/>
      <c r="B198" s="1353"/>
      <c r="C198" s="1353"/>
      <c r="D198" s="1353"/>
      <c r="E198" s="1353"/>
      <c r="F198" s="1353"/>
      <c r="G198" s="1353"/>
      <c r="H198" s="1353"/>
      <c r="I198" s="1353"/>
      <c r="J198" s="1353"/>
      <c r="K198" s="1387"/>
      <c r="L198" s="1353"/>
      <c r="M198" s="1353"/>
      <c r="N198" s="1353"/>
    </row>
    <row r="199" spans="1:14" x14ac:dyDescent="0.25">
      <c r="A199" s="1353"/>
      <c r="B199" s="1353"/>
      <c r="C199" s="1353"/>
      <c r="D199" s="1353"/>
      <c r="E199" s="1353"/>
      <c r="F199" s="1353"/>
      <c r="G199" s="1353"/>
      <c r="H199" s="1353"/>
      <c r="I199" s="1353"/>
      <c r="J199" s="1353"/>
      <c r="K199" s="1387"/>
      <c r="L199" s="1353"/>
      <c r="M199" s="1353"/>
      <c r="N199" s="1353"/>
    </row>
    <row r="200" spans="1:14" x14ac:dyDescent="0.25">
      <c r="A200" s="1353"/>
      <c r="B200" s="1353"/>
      <c r="C200" s="1353"/>
      <c r="D200" s="1353"/>
      <c r="E200" s="1353"/>
      <c r="F200" s="1353"/>
      <c r="G200" s="1353"/>
      <c r="H200" s="1353"/>
      <c r="I200" s="1353"/>
      <c r="J200" s="1353"/>
      <c r="K200" s="1387"/>
      <c r="L200" s="1353"/>
      <c r="M200" s="1353"/>
      <c r="N200" s="1353"/>
    </row>
    <row r="201" spans="1:14" x14ac:dyDescent="0.25">
      <c r="A201" s="1353"/>
      <c r="B201" s="1353"/>
      <c r="C201" s="1353"/>
      <c r="D201" s="1353"/>
      <c r="E201" s="1353"/>
      <c r="F201" s="1353"/>
      <c r="G201" s="1353"/>
      <c r="H201" s="1353"/>
      <c r="I201" s="1353"/>
      <c r="J201" s="1353"/>
      <c r="K201" s="1387"/>
      <c r="L201" s="1353"/>
      <c r="M201" s="1353"/>
      <c r="N201" s="1353"/>
    </row>
    <row r="202" spans="1:14" x14ac:dyDescent="0.25">
      <c r="A202" s="1353"/>
      <c r="B202" s="1353"/>
      <c r="C202" s="1353"/>
      <c r="D202" s="1353"/>
      <c r="E202" s="1353"/>
      <c r="F202" s="1353"/>
      <c r="G202" s="1353"/>
      <c r="H202" s="1353"/>
      <c r="I202" s="1353"/>
      <c r="J202" s="1353"/>
      <c r="K202" s="1387"/>
      <c r="L202" s="1353"/>
      <c r="M202" s="1353"/>
      <c r="N202" s="1353"/>
    </row>
    <row r="203" spans="1:14" x14ac:dyDescent="0.25">
      <c r="A203" s="1353"/>
      <c r="B203" s="1353"/>
      <c r="C203" s="1353"/>
      <c r="D203" s="1353"/>
      <c r="E203" s="1353"/>
      <c r="F203" s="1353"/>
      <c r="G203" s="1353"/>
      <c r="H203" s="1353"/>
      <c r="I203" s="1353"/>
      <c r="J203" s="1353"/>
      <c r="K203" s="1387"/>
      <c r="L203" s="1353"/>
      <c r="M203" s="1353"/>
      <c r="N203" s="1353"/>
    </row>
    <row r="204" spans="1:14" x14ac:dyDescent="0.25">
      <c r="A204" s="1353"/>
      <c r="B204" s="1353"/>
      <c r="C204" s="1353"/>
      <c r="D204" s="1353"/>
      <c r="E204" s="1353"/>
      <c r="F204" s="1353"/>
      <c r="G204" s="1353"/>
      <c r="H204" s="1353"/>
      <c r="I204" s="1353"/>
      <c r="J204" s="1353"/>
      <c r="K204" s="1387"/>
      <c r="L204" s="1353"/>
      <c r="M204" s="1353"/>
      <c r="N204" s="1353"/>
    </row>
    <row r="205" spans="1:14" x14ac:dyDescent="0.25">
      <c r="A205" s="1353"/>
      <c r="B205" s="1353"/>
      <c r="C205" s="1353"/>
      <c r="D205" s="1353"/>
      <c r="E205" s="1353"/>
      <c r="F205" s="1353"/>
      <c r="G205" s="1353"/>
      <c r="H205" s="1353"/>
      <c r="I205" s="1353"/>
      <c r="J205" s="1353"/>
      <c r="K205" s="1387"/>
      <c r="L205" s="1353"/>
      <c r="M205" s="1353"/>
      <c r="N205" s="1353"/>
    </row>
    <row r="206" spans="1:14" x14ac:dyDescent="0.25">
      <c r="A206" s="1353"/>
      <c r="B206" s="1353"/>
      <c r="C206" s="1353"/>
      <c r="D206" s="1353"/>
      <c r="E206" s="1353"/>
      <c r="F206" s="1353"/>
      <c r="G206" s="1353"/>
      <c r="H206" s="1353"/>
      <c r="I206" s="1353"/>
      <c r="J206" s="1353"/>
      <c r="K206" s="1387"/>
      <c r="L206" s="1353"/>
      <c r="M206" s="1353"/>
      <c r="N206" s="1353"/>
    </row>
    <row r="207" spans="1:14" x14ac:dyDescent="0.25">
      <c r="A207" s="1353"/>
      <c r="B207" s="1353"/>
      <c r="C207" s="1353"/>
      <c r="D207" s="1353"/>
      <c r="E207" s="1353"/>
      <c r="F207" s="1353"/>
      <c r="G207" s="1353"/>
      <c r="H207" s="1353"/>
      <c r="I207" s="1353"/>
      <c r="J207" s="1353"/>
      <c r="K207" s="1387"/>
      <c r="L207" s="1353"/>
      <c r="M207" s="1353"/>
      <c r="N207" s="1353"/>
    </row>
    <row r="208" spans="1:14" x14ac:dyDescent="0.25">
      <c r="A208" s="1353"/>
      <c r="B208" s="1353"/>
      <c r="C208" s="1353"/>
      <c r="D208" s="1353"/>
      <c r="E208" s="1353"/>
      <c r="F208" s="1353"/>
      <c r="G208" s="1353"/>
      <c r="H208" s="1353"/>
      <c r="I208" s="1353"/>
      <c r="J208" s="1353"/>
      <c r="K208" s="1387"/>
      <c r="L208" s="1353"/>
      <c r="M208" s="1353"/>
      <c r="N208" s="1353"/>
    </row>
    <row r="209" spans="1:14" x14ac:dyDescent="0.25">
      <c r="A209" s="1353"/>
      <c r="B209" s="1353"/>
      <c r="C209" s="1353"/>
      <c r="D209" s="1353"/>
      <c r="E209" s="1353"/>
      <c r="F209" s="1353"/>
      <c r="G209" s="1353"/>
      <c r="H209" s="1353"/>
      <c r="I209" s="1353"/>
      <c r="J209" s="1353"/>
      <c r="K209" s="1387"/>
      <c r="L209" s="1353"/>
      <c r="M209" s="1353"/>
      <c r="N209" s="1353"/>
    </row>
    <row r="210" spans="1:14" x14ac:dyDescent="0.25">
      <c r="A210" s="1353"/>
      <c r="B210" s="1353"/>
      <c r="C210" s="1353"/>
      <c r="D210" s="1353"/>
      <c r="E210" s="1353"/>
      <c r="F210" s="1353"/>
      <c r="G210" s="1353"/>
      <c r="H210" s="1353"/>
      <c r="I210" s="1353"/>
      <c r="J210" s="1353"/>
      <c r="K210" s="1387"/>
      <c r="L210" s="1353"/>
      <c r="M210" s="1353"/>
      <c r="N210" s="1353"/>
    </row>
    <row r="211" spans="1:14" x14ac:dyDescent="0.25">
      <c r="A211" s="1353"/>
      <c r="B211" s="1353"/>
      <c r="C211" s="1353"/>
      <c r="D211" s="1353"/>
      <c r="E211" s="1353"/>
      <c r="F211" s="1353"/>
      <c r="G211" s="1353"/>
      <c r="H211" s="1353"/>
      <c r="I211" s="1353"/>
      <c r="J211" s="1353"/>
      <c r="K211" s="1387"/>
      <c r="L211" s="1353"/>
      <c r="M211" s="1353"/>
      <c r="N211" s="1353"/>
    </row>
    <row r="212" spans="1:14" x14ac:dyDescent="0.25">
      <c r="A212" s="1353"/>
      <c r="B212" s="1353"/>
      <c r="C212" s="1353"/>
      <c r="D212" s="1353"/>
      <c r="E212" s="1353"/>
      <c r="F212" s="1353"/>
      <c r="G212" s="1353"/>
      <c r="H212" s="1353"/>
      <c r="I212" s="1353"/>
      <c r="J212" s="1353"/>
      <c r="K212" s="1387"/>
      <c r="L212" s="1353"/>
      <c r="M212" s="1353"/>
      <c r="N212" s="1353"/>
    </row>
    <row r="213" spans="1:14" x14ac:dyDescent="0.25">
      <c r="A213" s="1353"/>
      <c r="B213" s="1353"/>
      <c r="C213" s="1353"/>
      <c r="D213" s="1353"/>
      <c r="E213" s="1353"/>
      <c r="F213" s="1353"/>
      <c r="G213" s="1353"/>
      <c r="H213" s="1353"/>
      <c r="I213" s="1353"/>
      <c r="J213" s="1353"/>
      <c r="K213" s="1387"/>
      <c r="L213" s="1353"/>
      <c r="M213" s="1353"/>
      <c r="N213" s="1353"/>
    </row>
    <row r="214" spans="1:14" x14ac:dyDescent="0.25">
      <c r="A214" s="1353"/>
      <c r="B214" s="1353"/>
      <c r="C214" s="1353"/>
      <c r="D214" s="1353"/>
      <c r="E214" s="1353"/>
      <c r="F214" s="1353"/>
      <c r="G214" s="1353"/>
      <c r="H214" s="1353"/>
      <c r="I214" s="1353"/>
      <c r="J214" s="1353"/>
      <c r="K214" s="1387"/>
      <c r="L214" s="1353"/>
      <c r="M214" s="1353"/>
      <c r="N214" s="1353"/>
    </row>
    <row r="215" spans="1:14" x14ac:dyDescent="0.25">
      <c r="A215" s="1353"/>
      <c r="B215" s="1353"/>
      <c r="C215" s="1353"/>
      <c r="D215" s="1353"/>
      <c r="E215" s="1353"/>
      <c r="F215" s="1353"/>
      <c r="G215" s="1353"/>
      <c r="H215" s="1353"/>
      <c r="I215" s="1353"/>
      <c r="J215" s="1353"/>
      <c r="K215" s="1387"/>
      <c r="L215" s="1353"/>
      <c r="M215" s="1353"/>
      <c r="N215" s="1353"/>
    </row>
    <row r="216" spans="1:14" x14ac:dyDescent="0.25">
      <c r="A216" s="1353"/>
      <c r="B216" s="1353"/>
      <c r="C216" s="1353"/>
      <c r="D216" s="1353"/>
      <c r="E216" s="1353"/>
      <c r="F216" s="1353"/>
      <c r="G216" s="1353"/>
      <c r="H216" s="1353"/>
      <c r="I216" s="1353"/>
      <c r="J216" s="1353"/>
      <c r="K216" s="1387"/>
      <c r="L216" s="1353"/>
      <c r="M216" s="1353"/>
      <c r="N216" s="1353"/>
    </row>
    <row r="217" spans="1:14" x14ac:dyDescent="0.25">
      <c r="A217" s="1353"/>
      <c r="B217" s="1353"/>
      <c r="C217" s="1353"/>
      <c r="D217" s="1353"/>
      <c r="E217" s="1353"/>
      <c r="F217" s="1353"/>
      <c r="G217" s="1353"/>
      <c r="H217" s="1353"/>
      <c r="I217" s="1353"/>
      <c r="J217" s="1353"/>
      <c r="K217" s="1387"/>
      <c r="L217" s="1353"/>
      <c r="M217" s="1353"/>
      <c r="N217" s="1353"/>
    </row>
    <row r="218" spans="1:14" x14ac:dyDescent="0.25">
      <c r="A218" s="1353"/>
      <c r="B218" s="1353"/>
      <c r="C218" s="1353"/>
      <c r="D218" s="1353"/>
      <c r="E218" s="1353"/>
      <c r="F218" s="1353"/>
      <c r="G218" s="1353"/>
      <c r="H218" s="1353"/>
      <c r="I218" s="1353"/>
      <c r="J218" s="1353"/>
      <c r="K218" s="1387"/>
      <c r="L218" s="1353"/>
      <c r="M218" s="1353"/>
      <c r="N218" s="1353"/>
    </row>
    <row r="219" spans="1:14" x14ac:dyDescent="0.25">
      <c r="A219" s="1353"/>
      <c r="B219" s="1353"/>
      <c r="C219" s="1353"/>
      <c r="D219" s="1353"/>
      <c r="E219" s="1353"/>
      <c r="F219" s="1353"/>
      <c r="G219" s="1353"/>
      <c r="H219" s="1353"/>
      <c r="I219" s="1353"/>
      <c r="J219" s="1353"/>
      <c r="K219" s="1387"/>
      <c r="L219" s="1353"/>
      <c r="M219" s="1353"/>
      <c r="N219" s="1353"/>
    </row>
    <row r="220" spans="1:14" x14ac:dyDescent="0.25">
      <c r="A220" s="1353"/>
      <c r="B220" s="1353"/>
      <c r="C220" s="1353"/>
      <c r="D220" s="1353"/>
      <c r="E220" s="1353"/>
      <c r="F220" s="1353"/>
      <c r="G220" s="1353"/>
      <c r="H220" s="1353"/>
      <c r="I220" s="1353"/>
      <c r="J220" s="1353"/>
      <c r="K220" s="1387"/>
      <c r="L220" s="1353"/>
      <c r="M220" s="1353"/>
      <c r="N220" s="1353"/>
    </row>
    <row r="221" spans="1:14" x14ac:dyDescent="0.25">
      <c r="A221" s="1353"/>
      <c r="B221" s="1353"/>
      <c r="C221" s="1353"/>
      <c r="D221" s="1353"/>
      <c r="E221" s="1353"/>
      <c r="F221" s="1353"/>
      <c r="G221" s="1353"/>
      <c r="H221" s="1353"/>
      <c r="I221" s="1353"/>
      <c r="J221" s="1353"/>
      <c r="K221" s="1387"/>
      <c r="L221" s="1353"/>
      <c r="M221" s="1353"/>
      <c r="N221" s="1353"/>
    </row>
    <row r="222" spans="1:14" x14ac:dyDescent="0.25">
      <c r="A222" s="1353"/>
      <c r="B222" s="1353"/>
      <c r="C222" s="1353"/>
      <c r="D222" s="1353"/>
      <c r="E222" s="1353"/>
      <c r="F222" s="1353"/>
      <c r="G222" s="1353"/>
      <c r="H222" s="1353"/>
      <c r="I222" s="1353"/>
      <c r="J222" s="1353"/>
      <c r="K222" s="1387"/>
      <c r="L222" s="1353"/>
      <c r="M222" s="1353"/>
      <c r="N222" s="1353"/>
    </row>
    <row r="223" spans="1:14" x14ac:dyDescent="0.25">
      <c r="A223" s="1353"/>
      <c r="B223" s="1353"/>
      <c r="C223" s="1353"/>
      <c r="D223" s="1353"/>
      <c r="E223" s="1353"/>
      <c r="F223" s="1353"/>
      <c r="G223" s="1353"/>
      <c r="H223" s="1353"/>
      <c r="I223" s="1353"/>
      <c r="J223" s="1353"/>
      <c r="K223" s="1387"/>
      <c r="L223" s="1353"/>
      <c r="M223" s="1353"/>
      <c r="N223" s="1353"/>
    </row>
    <row r="224" spans="1:14" x14ac:dyDescent="0.25">
      <c r="A224" s="1353"/>
      <c r="B224" s="1353"/>
      <c r="C224" s="1353"/>
      <c r="D224" s="1353"/>
      <c r="E224" s="1353"/>
      <c r="F224" s="1353"/>
      <c r="G224" s="1353"/>
      <c r="H224" s="1353"/>
      <c r="I224" s="1353"/>
      <c r="J224" s="1353"/>
      <c r="K224" s="1387"/>
      <c r="L224" s="1353"/>
      <c r="M224" s="1353"/>
      <c r="N224" s="1353"/>
    </row>
    <row r="225" spans="1:14" x14ac:dyDescent="0.25">
      <c r="A225" s="1353"/>
      <c r="B225" s="1353"/>
      <c r="C225" s="1353"/>
      <c r="D225" s="1353"/>
      <c r="E225" s="1353"/>
      <c r="F225" s="1353"/>
      <c r="G225" s="1353"/>
      <c r="H225" s="1353"/>
      <c r="I225" s="1353"/>
      <c r="J225" s="1353"/>
      <c r="K225" s="1387"/>
      <c r="L225" s="1353"/>
      <c r="M225" s="1353"/>
      <c r="N225" s="1353"/>
    </row>
    <row r="226" spans="1:14" x14ac:dyDescent="0.25">
      <c r="A226" s="1353"/>
      <c r="B226" s="1353"/>
      <c r="C226" s="1353"/>
      <c r="D226" s="1353"/>
      <c r="E226" s="1353"/>
      <c r="F226" s="1353"/>
      <c r="G226" s="1353"/>
      <c r="H226" s="1353"/>
      <c r="I226" s="1353"/>
      <c r="J226" s="1353"/>
      <c r="K226" s="1387"/>
      <c r="L226" s="1353"/>
      <c r="M226" s="1353"/>
      <c r="N226" s="1353"/>
    </row>
    <row r="227" spans="1:14" x14ac:dyDescent="0.25">
      <c r="A227" s="1353"/>
      <c r="B227" s="1353"/>
      <c r="C227" s="1353"/>
      <c r="D227" s="1353"/>
      <c r="E227" s="1353"/>
      <c r="F227" s="1353"/>
      <c r="G227" s="1353"/>
      <c r="H227" s="1353"/>
      <c r="I227" s="1353"/>
      <c r="J227" s="1353"/>
      <c r="K227" s="1387"/>
      <c r="L227" s="1353"/>
      <c r="M227" s="1353"/>
      <c r="N227" s="1353"/>
    </row>
    <row r="228" spans="1:14" x14ac:dyDescent="0.25">
      <c r="A228" s="1353"/>
      <c r="B228" s="1353"/>
      <c r="C228" s="1353"/>
      <c r="D228" s="1353"/>
      <c r="E228" s="1353"/>
      <c r="F228" s="1353"/>
      <c r="G228" s="1353"/>
      <c r="H228" s="1353"/>
      <c r="I228" s="1353"/>
      <c r="J228" s="1353"/>
      <c r="K228" s="1387"/>
      <c r="L228" s="1353"/>
      <c r="M228" s="1353"/>
      <c r="N228" s="1353"/>
    </row>
    <row r="229" spans="1:14" x14ac:dyDescent="0.25">
      <c r="A229" s="1353"/>
      <c r="B229" s="1353"/>
      <c r="C229" s="1353"/>
      <c r="D229" s="1353"/>
      <c r="E229" s="1353"/>
      <c r="F229" s="1353"/>
      <c r="G229" s="1353"/>
      <c r="H229" s="1353"/>
      <c r="I229" s="1353"/>
      <c r="J229" s="1353"/>
      <c r="K229" s="1387"/>
      <c r="L229" s="1353"/>
      <c r="M229" s="1353"/>
      <c r="N229" s="1353"/>
    </row>
    <row r="230" spans="1:14" x14ac:dyDescent="0.25">
      <c r="A230" s="1353"/>
      <c r="B230" s="1353"/>
      <c r="C230" s="1353"/>
      <c r="D230" s="1353"/>
      <c r="E230" s="1353"/>
      <c r="F230" s="1353"/>
      <c r="G230" s="1353"/>
      <c r="H230" s="1353"/>
      <c r="I230" s="1353"/>
      <c r="J230" s="1353"/>
      <c r="K230" s="1387"/>
      <c r="L230" s="1353"/>
      <c r="M230" s="1353"/>
      <c r="N230" s="1353"/>
    </row>
    <row r="231" spans="1:14" x14ac:dyDescent="0.25">
      <c r="A231" s="1353"/>
      <c r="B231" s="1353"/>
      <c r="C231" s="1353"/>
      <c r="D231" s="1353"/>
      <c r="E231" s="1353"/>
      <c r="F231" s="1353"/>
      <c r="G231" s="1353"/>
      <c r="H231" s="1353"/>
      <c r="I231" s="1353"/>
      <c r="J231" s="1353"/>
      <c r="K231" s="1387"/>
      <c r="L231" s="1353"/>
      <c r="M231" s="1353"/>
      <c r="N231" s="1353"/>
    </row>
    <row r="232" spans="1:14" x14ac:dyDescent="0.25">
      <c r="A232" s="1353"/>
      <c r="B232" s="1353"/>
      <c r="C232" s="1353"/>
      <c r="D232" s="1353"/>
      <c r="E232" s="1353"/>
      <c r="F232" s="1353"/>
      <c r="G232" s="1353"/>
      <c r="H232" s="1353"/>
      <c r="I232" s="1353"/>
      <c r="J232" s="1353"/>
      <c r="K232" s="1387"/>
      <c r="L232" s="1353"/>
      <c r="M232" s="1353"/>
      <c r="N232" s="1353"/>
    </row>
    <row r="233" spans="1:14" x14ac:dyDescent="0.25">
      <c r="A233" s="1353"/>
      <c r="B233" s="1353"/>
      <c r="C233" s="1353"/>
      <c r="D233" s="1353"/>
      <c r="E233" s="1353"/>
      <c r="F233" s="1353"/>
      <c r="G233" s="1353"/>
      <c r="H233" s="1353"/>
      <c r="I233" s="1353"/>
      <c r="J233" s="1353"/>
      <c r="K233" s="1387"/>
      <c r="L233" s="1353"/>
      <c r="M233" s="1353"/>
      <c r="N233" s="1353"/>
    </row>
    <row r="234" spans="1:14" x14ac:dyDescent="0.25">
      <c r="A234" s="1353"/>
      <c r="B234" s="1353"/>
      <c r="C234" s="1353"/>
      <c r="D234" s="1353"/>
      <c r="E234" s="1353"/>
      <c r="F234" s="1353"/>
      <c r="G234" s="1353"/>
      <c r="H234" s="1353"/>
      <c r="I234" s="1353"/>
      <c r="J234" s="1353"/>
      <c r="K234" s="1387"/>
      <c r="L234" s="1353"/>
      <c r="M234" s="1353"/>
      <c r="N234" s="1353"/>
    </row>
    <row r="235" spans="1:14" x14ac:dyDescent="0.25">
      <c r="A235" s="1353"/>
      <c r="B235" s="1353"/>
      <c r="C235" s="1353"/>
      <c r="D235" s="1353"/>
      <c r="E235" s="1353"/>
      <c r="F235" s="1353"/>
      <c r="G235" s="1353"/>
      <c r="H235" s="1353"/>
      <c r="I235" s="1353"/>
      <c r="J235" s="1353"/>
      <c r="K235" s="1387"/>
      <c r="L235" s="1353"/>
      <c r="M235" s="1353"/>
      <c r="N235" s="1353"/>
    </row>
    <row r="236" spans="1:14" x14ac:dyDescent="0.25">
      <c r="A236" s="1353"/>
      <c r="B236" s="1353"/>
      <c r="C236" s="1353"/>
      <c r="D236" s="1353"/>
      <c r="E236" s="1353"/>
      <c r="F236" s="1353"/>
      <c r="G236" s="1353"/>
      <c r="H236" s="1353"/>
      <c r="I236" s="1353"/>
      <c r="J236" s="1353"/>
      <c r="K236" s="1387"/>
      <c r="L236" s="1353"/>
      <c r="M236" s="1353"/>
      <c r="N236" s="1353"/>
    </row>
    <row r="237" spans="1:14" x14ac:dyDescent="0.25">
      <c r="A237" s="1353"/>
      <c r="B237" s="1353"/>
      <c r="C237" s="1353"/>
      <c r="D237" s="1353"/>
      <c r="E237" s="1353"/>
      <c r="F237" s="1353"/>
      <c r="G237" s="1353"/>
      <c r="H237" s="1353"/>
      <c r="I237" s="1353"/>
      <c r="J237" s="1353"/>
      <c r="K237" s="1387"/>
      <c r="L237" s="1353"/>
      <c r="M237" s="1353"/>
      <c r="N237" s="1353"/>
    </row>
    <row r="238" spans="1:14" x14ac:dyDescent="0.25">
      <c r="A238" s="1353"/>
      <c r="B238" s="1353"/>
      <c r="C238" s="1353"/>
      <c r="D238" s="1353"/>
      <c r="E238" s="1353"/>
      <c r="F238" s="1353"/>
      <c r="G238" s="1353"/>
      <c r="H238" s="1353"/>
      <c r="I238" s="1353"/>
      <c r="J238" s="1353"/>
      <c r="K238" s="1387"/>
      <c r="L238" s="1353"/>
      <c r="M238" s="1353"/>
      <c r="N238" s="1353"/>
    </row>
    <row r="239" spans="1:14" x14ac:dyDescent="0.25">
      <c r="A239" s="1353"/>
      <c r="B239" s="1353"/>
      <c r="C239" s="1353"/>
      <c r="D239" s="1353"/>
      <c r="E239" s="1353"/>
      <c r="F239" s="1353"/>
      <c r="G239" s="1353"/>
      <c r="H239" s="1353"/>
      <c r="I239" s="1353"/>
      <c r="J239" s="1353"/>
      <c r="K239" s="1387"/>
      <c r="L239" s="1353"/>
      <c r="M239" s="1353"/>
      <c r="N239" s="1353"/>
    </row>
    <row r="240" spans="1:14" x14ac:dyDescent="0.25">
      <c r="A240" s="1353"/>
      <c r="B240" s="1353"/>
      <c r="C240" s="1353"/>
      <c r="D240" s="1353"/>
      <c r="E240" s="1353"/>
      <c r="F240" s="1353"/>
      <c r="G240" s="1353"/>
      <c r="H240" s="1353"/>
      <c r="I240" s="1353"/>
      <c r="J240" s="1353"/>
      <c r="K240" s="1387"/>
      <c r="L240" s="1353"/>
      <c r="M240" s="1353"/>
      <c r="N240" s="1353"/>
    </row>
    <row r="241" spans="1:14" x14ac:dyDescent="0.25">
      <c r="A241" s="1353"/>
      <c r="B241" s="1353"/>
      <c r="C241" s="1353"/>
      <c r="D241" s="1353"/>
      <c r="E241" s="1353"/>
      <c r="F241" s="1353"/>
      <c r="G241" s="1353"/>
      <c r="H241" s="1353"/>
      <c r="I241" s="1353"/>
      <c r="J241" s="1353"/>
      <c r="K241" s="1387"/>
      <c r="L241" s="1353"/>
      <c r="M241" s="1353"/>
      <c r="N241" s="1353"/>
    </row>
    <row r="242" spans="1:14" x14ac:dyDescent="0.25">
      <c r="A242" s="1353"/>
      <c r="B242" s="1353"/>
      <c r="C242" s="1353"/>
      <c r="D242" s="1353"/>
      <c r="E242" s="1353"/>
      <c r="F242" s="1353"/>
      <c r="G242" s="1353"/>
      <c r="H242" s="1353"/>
      <c r="I242" s="1353"/>
      <c r="J242" s="1353"/>
      <c r="K242" s="1387"/>
      <c r="L242" s="1353"/>
      <c r="M242" s="1353"/>
      <c r="N242" s="1353"/>
    </row>
    <row r="243" spans="1:14" x14ac:dyDescent="0.25">
      <c r="A243" s="1353"/>
      <c r="B243" s="1353"/>
      <c r="C243" s="1353"/>
      <c r="D243" s="1353"/>
      <c r="E243" s="1353"/>
      <c r="F243" s="1353"/>
      <c r="G243" s="1353"/>
      <c r="H243" s="1353"/>
      <c r="I243" s="1353"/>
      <c r="J243" s="1353"/>
      <c r="K243" s="1387"/>
      <c r="L243" s="1353"/>
      <c r="M243" s="1353"/>
      <c r="N243" s="1353"/>
    </row>
    <row r="244" spans="1:14" x14ac:dyDescent="0.25">
      <c r="A244" s="1353"/>
      <c r="B244" s="1353"/>
      <c r="C244" s="1353"/>
      <c r="D244" s="1353"/>
      <c r="E244" s="1353"/>
      <c r="F244" s="1353"/>
      <c r="G244" s="1353"/>
      <c r="H244" s="1353"/>
      <c r="I244" s="1353"/>
      <c r="J244" s="1353"/>
      <c r="K244" s="1387"/>
      <c r="L244" s="1353"/>
      <c r="M244" s="1353"/>
      <c r="N244" s="1353"/>
    </row>
    <row r="245" spans="1:14" x14ac:dyDescent="0.25">
      <c r="A245" s="1353"/>
      <c r="B245" s="1353"/>
      <c r="C245" s="1353"/>
      <c r="D245" s="1353"/>
      <c r="E245" s="1353"/>
      <c r="F245" s="1353"/>
      <c r="G245" s="1353"/>
      <c r="H245" s="1353"/>
      <c r="I245" s="1353"/>
      <c r="J245" s="1353"/>
      <c r="K245" s="1387"/>
      <c r="L245" s="1353"/>
      <c r="M245" s="1353"/>
      <c r="N245" s="1353"/>
    </row>
    <row r="246" spans="1:14" x14ac:dyDescent="0.25">
      <c r="A246" s="1353"/>
      <c r="B246" s="1353"/>
      <c r="C246" s="1353"/>
      <c r="D246" s="1353"/>
      <c r="E246" s="1353"/>
      <c r="F246" s="1353"/>
      <c r="G246" s="1353"/>
      <c r="H246" s="1353"/>
      <c r="I246" s="1353"/>
      <c r="J246" s="1353"/>
      <c r="K246" s="1387"/>
      <c r="L246" s="1353"/>
      <c r="M246" s="1353"/>
      <c r="N246" s="1353"/>
    </row>
    <row r="247" spans="1:14" x14ac:dyDescent="0.25">
      <c r="A247" s="1353"/>
      <c r="B247" s="1353"/>
      <c r="C247" s="1353"/>
      <c r="D247" s="1353"/>
      <c r="E247" s="1353"/>
      <c r="F247" s="1353"/>
      <c r="G247" s="1353"/>
      <c r="H247" s="1353"/>
      <c r="I247" s="1353"/>
      <c r="J247" s="1353"/>
      <c r="K247" s="1387"/>
      <c r="L247" s="1353"/>
      <c r="M247" s="1353"/>
      <c r="N247" s="1353"/>
    </row>
    <row r="248" spans="1:14" x14ac:dyDescent="0.25">
      <c r="A248" s="1353"/>
      <c r="B248" s="1353"/>
      <c r="C248" s="1353"/>
      <c r="D248" s="1353"/>
      <c r="E248" s="1353"/>
      <c r="F248" s="1353"/>
      <c r="G248" s="1353"/>
      <c r="H248" s="1353"/>
      <c r="I248" s="1353"/>
      <c r="J248" s="1353"/>
      <c r="K248" s="1387"/>
      <c r="L248" s="1353"/>
      <c r="M248" s="1353"/>
      <c r="N248" s="1353"/>
    </row>
    <row r="249" spans="1:14" x14ac:dyDescent="0.25">
      <c r="A249" s="1353"/>
      <c r="B249" s="1353"/>
      <c r="C249" s="1353"/>
      <c r="D249" s="1353"/>
      <c r="E249" s="1353"/>
      <c r="F249" s="1353"/>
      <c r="G249" s="1353"/>
      <c r="H249" s="1353"/>
      <c r="I249" s="1353"/>
      <c r="J249" s="1353"/>
      <c r="K249" s="1387"/>
      <c r="L249" s="1353"/>
      <c r="M249" s="1353"/>
      <c r="N249" s="1353"/>
    </row>
    <row r="250" spans="1:14" x14ac:dyDescent="0.25">
      <c r="A250" s="1353"/>
      <c r="B250" s="1353"/>
      <c r="C250" s="1353"/>
      <c r="D250" s="1353"/>
      <c r="E250" s="1353"/>
      <c r="F250" s="1353"/>
      <c r="G250" s="1353"/>
      <c r="H250" s="1353"/>
      <c r="I250" s="1353"/>
      <c r="J250" s="1353"/>
      <c r="K250" s="1387"/>
      <c r="L250" s="1353"/>
      <c r="M250" s="1353"/>
      <c r="N250" s="1353"/>
    </row>
    <row r="251" spans="1:14" x14ac:dyDescent="0.25">
      <c r="A251" s="1353"/>
      <c r="B251" s="1353"/>
      <c r="C251" s="1353"/>
      <c r="D251" s="1353"/>
      <c r="E251" s="1353"/>
      <c r="F251" s="1353"/>
      <c r="G251" s="1353"/>
      <c r="H251" s="1353"/>
      <c r="I251" s="1353"/>
      <c r="J251" s="1353"/>
      <c r="K251" s="1387"/>
      <c r="L251" s="1353"/>
      <c r="M251" s="1353"/>
      <c r="N251" s="1353"/>
    </row>
    <row r="252" spans="1:14" x14ac:dyDescent="0.25">
      <c r="A252" s="1353"/>
      <c r="B252" s="1353"/>
      <c r="C252" s="1353"/>
      <c r="D252" s="1353"/>
      <c r="E252" s="1353"/>
      <c r="F252" s="1353"/>
      <c r="G252" s="1353"/>
      <c r="H252" s="1353"/>
      <c r="I252" s="1353"/>
      <c r="J252" s="1353"/>
      <c r="K252" s="1387"/>
      <c r="L252" s="1353"/>
      <c r="M252" s="1353"/>
      <c r="N252" s="1353"/>
    </row>
    <row r="253" spans="1:14" x14ac:dyDescent="0.25">
      <c r="A253" s="1353"/>
      <c r="B253" s="1353"/>
      <c r="C253" s="1353"/>
      <c r="D253" s="1353"/>
      <c r="E253" s="1353"/>
      <c r="F253" s="1353"/>
      <c r="G253" s="1353"/>
      <c r="H253" s="1353"/>
      <c r="I253" s="1353"/>
      <c r="J253" s="1353"/>
      <c r="K253" s="1387"/>
      <c r="L253" s="1353"/>
      <c r="M253" s="1353"/>
      <c r="N253" s="1353"/>
    </row>
    <row r="254" spans="1:14" x14ac:dyDescent="0.25">
      <c r="A254" s="1353"/>
      <c r="B254" s="1353"/>
      <c r="C254" s="1353"/>
      <c r="D254" s="1353"/>
      <c r="E254" s="1353"/>
      <c r="F254" s="1353"/>
      <c r="G254" s="1353"/>
      <c r="H254" s="1353"/>
      <c r="I254" s="1353"/>
      <c r="J254" s="1353"/>
      <c r="K254" s="1387"/>
      <c r="L254" s="1353"/>
      <c r="M254" s="1353"/>
      <c r="N254" s="1353"/>
    </row>
    <row r="255" spans="1:14" x14ac:dyDescent="0.25">
      <c r="A255" s="1353"/>
      <c r="B255" s="1353"/>
      <c r="C255" s="1353"/>
      <c r="D255" s="1353"/>
      <c r="E255" s="1353"/>
      <c r="F255" s="1353"/>
      <c r="G255" s="1353"/>
      <c r="H255" s="1353"/>
      <c r="I255" s="1353"/>
      <c r="J255" s="1353"/>
      <c r="K255" s="1387"/>
      <c r="L255" s="1353"/>
      <c r="M255" s="1353"/>
      <c r="N255" s="1353"/>
    </row>
    <row r="256" spans="1:14" x14ac:dyDescent="0.25">
      <c r="A256" s="1353"/>
      <c r="B256" s="1353"/>
      <c r="C256" s="1353"/>
      <c r="D256" s="1353"/>
      <c r="E256" s="1353"/>
      <c r="F256" s="1353"/>
      <c r="G256" s="1353"/>
      <c r="H256" s="1353"/>
      <c r="I256" s="1353"/>
      <c r="J256" s="1353"/>
      <c r="K256" s="1387"/>
      <c r="L256" s="1353"/>
      <c r="M256" s="1353"/>
      <c r="N256" s="1353"/>
    </row>
    <row r="257" spans="1:14" x14ac:dyDescent="0.25">
      <c r="A257" s="1353"/>
      <c r="B257" s="1353"/>
      <c r="C257" s="1353"/>
      <c r="D257" s="1353"/>
      <c r="E257" s="1353"/>
      <c r="F257" s="1353"/>
      <c r="G257" s="1353"/>
      <c r="H257" s="1353"/>
      <c r="I257" s="1353"/>
      <c r="J257" s="1353"/>
      <c r="K257" s="1387"/>
      <c r="L257" s="1353"/>
      <c r="M257" s="1353"/>
      <c r="N257" s="1353"/>
    </row>
    <row r="258" spans="1:14" x14ac:dyDescent="0.25">
      <c r="A258" s="1353"/>
      <c r="B258" s="1353"/>
      <c r="C258" s="1353"/>
      <c r="D258" s="1353"/>
      <c r="E258" s="1353"/>
      <c r="F258" s="1353"/>
      <c r="G258" s="1353"/>
      <c r="H258" s="1353"/>
      <c r="I258" s="1353"/>
      <c r="J258" s="1353"/>
      <c r="K258" s="1387"/>
      <c r="L258" s="1353"/>
      <c r="M258" s="1353"/>
      <c r="N258" s="1353"/>
    </row>
    <row r="259" spans="1:14" x14ac:dyDescent="0.25">
      <c r="A259" s="1353"/>
      <c r="B259" s="1353"/>
      <c r="C259" s="1353"/>
      <c r="D259" s="1353"/>
      <c r="E259" s="1353"/>
      <c r="F259" s="1353"/>
      <c r="G259" s="1353"/>
      <c r="H259" s="1353"/>
      <c r="I259" s="1353"/>
      <c r="J259" s="1353"/>
      <c r="K259" s="1387"/>
      <c r="L259" s="1353"/>
      <c r="M259" s="1353"/>
      <c r="N259" s="1353"/>
    </row>
    <row r="260" spans="1:14" x14ac:dyDescent="0.25">
      <c r="A260" s="1353"/>
      <c r="B260" s="1353"/>
      <c r="C260" s="1353"/>
      <c r="D260" s="1353"/>
      <c r="E260" s="1353"/>
      <c r="F260" s="1353"/>
      <c r="G260" s="1353"/>
      <c r="H260" s="1353"/>
      <c r="I260" s="1353"/>
      <c r="J260" s="1353"/>
      <c r="K260" s="1387"/>
      <c r="L260" s="1353"/>
      <c r="M260" s="1353"/>
      <c r="N260" s="1353"/>
    </row>
    <row r="261" spans="1:14" x14ac:dyDescent="0.25">
      <c r="A261" s="1353"/>
      <c r="B261" s="1353"/>
      <c r="C261" s="1353"/>
      <c r="D261" s="1353"/>
      <c r="E261" s="1353"/>
      <c r="F261" s="1353"/>
      <c r="G261" s="1353"/>
      <c r="H261" s="1353"/>
      <c r="I261" s="1353"/>
      <c r="J261" s="1353"/>
      <c r="K261" s="1387"/>
      <c r="L261" s="1353"/>
      <c r="M261" s="1353"/>
      <c r="N261" s="1353"/>
    </row>
    <row r="262" spans="1:14" x14ac:dyDescent="0.25">
      <c r="A262" s="1353"/>
      <c r="B262" s="1353"/>
      <c r="C262" s="1353"/>
      <c r="D262" s="1353"/>
      <c r="E262" s="1353"/>
      <c r="F262" s="1353"/>
      <c r="G262" s="1353"/>
      <c r="H262" s="1353"/>
      <c r="I262" s="1353"/>
      <c r="J262" s="1353"/>
      <c r="K262" s="1387"/>
      <c r="L262" s="1353"/>
      <c r="M262" s="1353"/>
      <c r="N262" s="1353"/>
    </row>
    <row r="263" spans="1:14" x14ac:dyDescent="0.25">
      <c r="A263" s="1353"/>
      <c r="B263" s="1353"/>
      <c r="C263" s="1353"/>
      <c r="D263" s="1353"/>
      <c r="E263" s="1353"/>
      <c r="F263" s="1353"/>
      <c r="G263" s="1353"/>
      <c r="H263" s="1353"/>
      <c r="I263" s="1353"/>
      <c r="J263" s="1353"/>
      <c r="K263" s="1387"/>
      <c r="L263" s="1353"/>
      <c r="M263" s="1353"/>
      <c r="N263" s="1353"/>
    </row>
    <row r="264" spans="1:14" x14ac:dyDescent="0.25">
      <c r="A264" s="1353"/>
      <c r="B264" s="1353"/>
      <c r="C264" s="1353"/>
      <c r="D264" s="1353"/>
      <c r="E264" s="1353"/>
      <c r="F264" s="1353"/>
      <c r="G264" s="1353"/>
      <c r="H264" s="1353"/>
      <c r="I264" s="1353"/>
      <c r="J264" s="1353"/>
      <c r="K264" s="1387"/>
      <c r="L264" s="1353"/>
      <c r="M264" s="1353"/>
      <c r="N264" s="1353"/>
    </row>
    <row r="265" spans="1:14" x14ac:dyDescent="0.25">
      <c r="A265" s="1353"/>
      <c r="B265" s="1353"/>
      <c r="C265" s="1353"/>
      <c r="D265" s="1353"/>
      <c r="E265" s="1353"/>
      <c r="F265" s="1353"/>
      <c r="G265" s="1353"/>
      <c r="H265" s="1353"/>
      <c r="I265" s="1353"/>
      <c r="J265" s="1353"/>
      <c r="K265" s="1387"/>
      <c r="L265" s="1353"/>
      <c r="M265" s="1353"/>
      <c r="N265" s="1353"/>
    </row>
    <row r="266" spans="1:14" x14ac:dyDescent="0.25">
      <c r="A266" s="1353"/>
      <c r="B266" s="1353"/>
      <c r="C266" s="1353"/>
      <c r="D266" s="1353"/>
      <c r="E266" s="1353"/>
      <c r="F266" s="1353"/>
      <c r="G266" s="1353"/>
      <c r="H266" s="1353"/>
      <c r="I266" s="1353"/>
      <c r="J266" s="1353"/>
      <c r="K266" s="1387"/>
      <c r="L266" s="1353"/>
      <c r="M266" s="1353"/>
      <c r="N266" s="1353"/>
    </row>
    <row r="267" spans="1:14" x14ac:dyDescent="0.25">
      <c r="A267" s="1353"/>
      <c r="B267" s="1353"/>
      <c r="C267" s="1353"/>
      <c r="D267" s="1353"/>
      <c r="E267" s="1353"/>
      <c r="F267" s="1353"/>
      <c r="G267" s="1353"/>
      <c r="H267" s="1353"/>
      <c r="I267" s="1353"/>
      <c r="J267" s="1353"/>
      <c r="K267" s="1387"/>
      <c r="L267" s="1353"/>
      <c r="M267" s="1353"/>
      <c r="N267" s="1353"/>
    </row>
    <row r="268" spans="1:14" x14ac:dyDescent="0.25">
      <c r="A268" s="1353"/>
      <c r="B268" s="1353"/>
      <c r="C268" s="1353"/>
      <c r="D268" s="1353"/>
      <c r="E268" s="1353"/>
      <c r="F268" s="1353"/>
      <c r="G268" s="1353"/>
      <c r="H268" s="1353"/>
      <c r="I268" s="1353"/>
      <c r="J268" s="1353"/>
      <c r="K268" s="1387"/>
      <c r="L268" s="1353"/>
      <c r="M268" s="1353"/>
      <c r="N268" s="1353"/>
    </row>
    <row r="269" spans="1:14" x14ac:dyDescent="0.25">
      <c r="A269" s="1353"/>
      <c r="B269" s="1353"/>
      <c r="C269" s="1353"/>
      <c r="D269" s="1353"/>
      <c r="E269" s="1353"/>
      <c r="F269" s="1353"/>
      <c r="G269" s="1353"/>
      <c r="H269" s="1353"/>
      <c r="I269" s="1353"/>
      <c r="J269" s="1353"/>
      <c r="K269" s="1387"/>
      <c r="L269" s="1353"/>
      <c r="M269" s="1353"/>
      <c r="N269" s="1353"/>
    </row>
    <row r="270" spans="1:14" x14ac:dyDescent="0.25">
      <c r="A270" s="1353"/>
      <c r="B270" s="1353"/>
      <c r="C270" s="1353"/>
      <c r="D270" s="1353"/>
      <c r="E270" s="1353"/>
      <c r="F270" s="1353"/>
      <c r="G270" s="1353"/>
      <c r="H270" s="1353"/>
      <c r="I270" s="1353"/>
      <c r="J270" s="1353"/>
      <c r="K270" s="1387"/>
      <c r="L270" s="1353"/>
      <c r="M270" s="1353"/>
      <c r="N270" s="1353"/>
    </row>
    <row r="271" spans="1:14" x14ac:dyDescent="0.25">
      <c r="A271" s="1353"/>
      <c r="B271" s="1353"/>
      <c r="C271" s="1353"/>
      <c r="D271" s="1353"/>
      <c r="E271" s="1353"/>
      <c r="F271" s="1353"/>
      <c r="G271" s="1353"/>
      <c r="H271" s="1353"/>
      <c r="I271" s="1353"/>
      <c r="J271" s="1353"/>
      <c r="K271" s="1387"/>
      <c r="L271" s="1353"/>
      <c r="M271" s="1353"/>
      <c r="N271" s="1353"/>
    </row>
    <row r="272" spans="1:14" x14ac:dyDescent="0.25">
      <c r="A272" s="1353"/>
      <c r="B272" s="1353"/>
      <c r="C272" s="1353"/>
      <c r="D272" s="1353"/>
      <c r="E272" s="1353"/>
      <c r="F272" s="1353"/>
      <c r="G272" s="1353"/>
      <c r="H272" s="1353"/>
      <c r="I272" s="1353"/>
      <c r="J272" s="1353"/>
      <c r="K272" s="1387"/>
      <c r="L272" s="1353"/>
      <c r="M272" s="1353"/>
      <c r="N272" s="1353"/>
    </row>
    <row r="273" spans="1:14" x14ac:dyDescent="0.25">
      <c r="A273" s="1353"/>
      <c r="B273" s="1353"/>
      <c r="C273" s="1353"/>
      <c r="D273" s="1353"/>
      <c r="E273" s="1353"/>
      <c r="F273" s="1353"/>
      <c r="G273" s="1353"/>
      <c r="H273" s="1353"/>
      <c r="I273" s="1353"/>
      <c r="J273" s="1353"/>
      <c r="K273" s="1387"/>
      <c r="L273" s="1353"/>
      <c r="M273" s="1353"/>
      <c r="N273" s="1353"/>
    </row>
    <row r="274" spans="1:14" x14ac:dyDescent="0.25">
      <c r="A274" s="1353"/>
      <c r="B274" s="1353"/>
      <c r="C274" s="1353"/>
      <c r="D274" s="1353"/>
      <c r="E274" s="1353"/>
      <c r="F274" s="1353"/>
      <c r="G274" s="1353"/>
      <c r="H274" s="1353"/>
      <c r="I274" s="1353"/>
      <c r="J274" s="1353"/>
      <c r="K274" s="1387"/>
      <c r="L274" s="1353"/>
      <c r="M274" s="1353"/>
      <c r="N274" s="1353"/>
    </row>
    <row r="275" spans="1:14" x14ac:dyDescent="0.25">
      <c r="A275" s="1353"/>
      <c r="B275" s="1353"/>
      <c r="C275" s="1353"/>
      <c r="D275" s="1353"/>
      <c r="E275" s="1353"/>
      <c r="F275" s="1353"/>
      <c r="G275" s="1353"/>
      <c r="H275" s="1353"/>
      <c r="I275" s="1353"/>
      <c r="J275" s="1353"/>
      <c r="K275" s="1387"/>
      <c r="L275" s="1353"/>
      <c r="M275" s="1353"/>
      <c r="N275" s="1353"/>
    </row>
    <row r="276" spans="1:14" x14ac:dyDescent="0.25">
      <c r="A276" s="1353"/>
      <c r="B276" s="1353"/>
      <c r="C276" s="1353"/>
      <c r="D276" s="1353"/>
      <c r="E276" s="1353"/>
      <c r="F276" s="1353"/>
      <c r="G276" s="1353"/>
      <c r="H276" s="1353"/>
      <c r="I276" s="1353"/>
      <c r="J276" s="1353"/>
      <c r="K276" s="1387"/>
      <c r="L276" s="1353"/>
      <c r="M276" s="1353"/>
      <c r="N276" s="1353"/>
    </row>
    <row r="277" spans="1:14" x14ac:dyDescent="0.25">
      <c r="A277" s="1353"/>
      <c r="B277" s="1353"/>
      <c r="C277" s="1353"/>
      <c r="D277" s="1353"/>
      <c r="E277" s="1353"/>
      <c r="F277" s="1353"/>
      <c r="G277" s="1353"/>
      <c r="H277" s="1353"/>
      <c r="I277" s="1353"/>
      <c r="J277" s="1353"/>
      <c r="K277" s="1387"/>
      <c r="L277" s="1353"/>
      <c r="M277" s="1353"/>
      <c r="N277" s="1353"/>
    </row>
    <row r="278" spans="1:14" x14ac:dyDescent="0.25">
      <c r="A278" s="1353"/>
      <c r="B278" s="1353"/>
      <c r="C278" s="1353"/>
      <c r="D278" s="1353"/>
      <c r="E278" s="1353"/>
      <c r="F278" s="1353"/>
      <c r="G278" s="1353"/>
      <c r="H278" s="1353"/>
      <c r="I278" s="1353"/>
      <c r="J278" s="1353"/>
      <c r="K278" s="1387"/>
      <c r="L278" s="1353"/>
      <c r="M278" s="1353"/>
      <c r="N278" s="1353"/>
    </row>
    <row r="279" spans="1:14" x14ac:dyDescent="0.25">
      <c r="A279" s="1353"/>
      <c r="B279" s="1353"/>
      <c r="C279" s="1353"/>
      <c r="D279" s="1353"/>
      <c r="E279" s="1353"/>
      <c r="F279" s="1353"/>
      <c r="G279" s="1353"/>
      <c r="H279" s="1353"/>
      <c r="I279" s="1353"/>
      <c r="J279" s="1353"/>
      <c r="K279" s="1387"/>
      <c r="L279" s="1353"/>
      <c r="M279" s="1353"/>
      <c r="N279" s="1353"/>
    </row>
    <row r="280" spans="1:14" x14ac:dyDescent="0.25">
      <c r="A280" s="1353"/>
      <c r="B280" s="1353"/>
      <c r="C280" s="1353"/>
      <c r="D280" s="1353"/>
      <c r="E280" s="1353"/>
      <c r="F280" s="1353"/>
      <c r="G280" s="1353"/>
      <c r="H280" s="1353"/>
      <c r="I280" s="1353"/>
      <c r="J280" s="1353"/>
      <c r="K280" s="1387"/>
      <c r="L280" s="1353"/>
      <c r="M280" s="1353"/>
      <c r="N280" s="1353"/>
    </row>
    <row r="281" spans="1:14" x14ac:dyDescent="0.25">
      <c r="A281" s="1353"/>
      <c r="B281" s="1353"/>
      <c r="C281" s="1353"/>
      <c r="D281" s="1353"/>
      <c r="E281" s="1353"/>
      <c r="F281" s="1353"/>
      <c r="G281" s="1353"/>
      <c r="H281" s="1353"/>
      <c r="I281" s="1353"/>
      <c r="J281" s="1353"/>
      <c r="K281" s="1387"/>
      <c r="L281" s="1353"/>
      <c r="M281" s="1353"/>
      <c r="N281" s="1353"/>
    </row>
    <row r="282" spans="1:14" x14ac:dyDescent="0.25">
      <c r="A282" s="1353"/>
      <c r="B282" s="1353"/>
      <c r="C282" s="1353"/>
      <c r="D282" s="1353"/>
      <c r="E282" s="1353"/>
      <c r="F282" s="1353"/>
      <c r="G282" s="1353"/>
      <c r="H282" s="1353"/>
      <c r="I282" s="1353"/>
      <c r="J282" s="1353"/>
      <c r="K282" s="1387"/>
      <c r="L282" s="1353"/>
      <c r="M282" s="1353"/>
      <c r="N282" s="1353"/>
    </row>
    <row r="283" spans="1:14" x14ac:dyDescent="0.25">
      <c r="A283" s="1353"/>
      <c r="B283" s="1353"/>
      <c r="C283" s="1353"/>
      <c r="D283" s="1353"/>
      <c r="E283" s="1353"/>
      <c r="F283" s="1353"/>
      <c r="G283" s="1353"/>
      <c r="H283" s="1353"/>
      <c r="I283" s="1353"/>
      <c r="J283" s="1353"/>
      <c r="K283" s="1387"/>
      <c r="L283" s="1353"/>
      <c r="M283" s="1353"/>
      <c r="N283" s="1353"/>
    </row>
    <row r="284" spans="1:14" x14ac:dyDescent="0.25">
      <c r="A284" s="1353"/>
      <c r="B284" s="1353"/>
      <c r="C284" s="1353"/>
      <c r="D284" s="1353"/>
      <c r="E284" s="1353"/>
      <c r="F284" s="1353"/>
      <c r="G284" s="1353"/>
      <c r="H284" s="1353"/>
      <c r="I284" s="1353"/>
      <c r="J284" s="1353"/>
      <c r="K284" s="1387"/>
      <c r="L284" s="1353"/>
      <c r="M284" s="1353"/>
      <c r="N284" s="1353"/>
    </row>
    <row r="285" spans="1:14" x14ac:dyDescent="0.25">
      <c r="A285" s="1353"/>
      <c r="B285" s="1353"/>
      <c r="C285" s="1353"/>
      <c r="D285" s="1353"/>
      <c r="E285" s="1353"/>
      <c r="F285" s="1353"/>
      <c r="G285" s="1353"/>
      <c r="H285" s="1353"/>
      <c r="I285" s="1353"/>
      <c r="J285" s="1353"/>
      <c r="K285" s="1387"/>
      <c r="L285" s="1353"/>
      <c r="M285" s="1353"/>
      <c r="N285" s="1353"/>
    </row>
    <row r="286" spans="1:14" x14ac:dyDescent="0.25">
      <c r="A286" s="1353"/>
      <c r="B286" s="1353"/>
      <c r="C286" s="1353"/>
      <c r="D286" s="1353"/>
      <c r="E286" s="1353"/>
      <c r="F286" s="1353"/>
      <c r="G286" s="1353"/>
      <c r="H286" s="1353"/>
      <c r="I286" s="1353"/>
      <c r="J286" s="1353"/>
      <c r="K286" s="1387"/>
      <c r="L286" s="1353"/>
      <c r="M286" s="1353"/>
      <c r="N286" s="1353"/>
    </row>
    <row r="287" spans="1:14" x14ac:dyDescent="0.25">
      <c r="A287" s="1353"/>
      <c r="B287" s="1353"/>
      <c r="C287" s="1353"/>
      <c r="D287" s="1353"/>
      <c r="E287" s="1353"/>
      <c r="F287" s="1353"/>
      <c r="G287" s="1353"/>
      <c r="H287" s="1353"/>
      <c r="I287" s="1353"/>
      <c r="J287" s="1353"/>
      <c r="K287" s="1387"/>
      <c r="L287" s="1353"/>
      <c r="M287" s="1353"/>
      <c r="N287" s="1353"/>
    </row>
    <row r="288" spans="1:14" x14ac:dyDescent="0.25">
      <c r="A288" s="1353"/>
      <c r="B288" s="1353"/>
      <c r="C288" s="1353"/>
      <c r="D288" s="1353"/>
      <c r="E288" s="1353"/>
      <c r="F288" s="1353"/>
      <c r="G288" s="1353"/>
      <c r="H288" s="1353"/>
      <c r="I288" s="1353"/>
      <c r="J288" s="1353"/>
      <c r="K288" s="1387"/>
      <c r="L288" s="1353"/>
      <c r="M288" s="1353"/>
      <c r="N288" s="1353"/>
    </row>
    <row r="289" spans="1:14" x14ac:dyDescent="0.25">
      <c r="A289" s="1353"/>
      <c r="B289" s="1353"/>
      <c r="C289" s="1353"/>
      <c r="D289" s="1353"/>
      <c r="E289" s="1353"/>
      <c r="F289" s="1353"/>
      <c r="G289" s="1353"/>
      <c r="H289" s="1353"/>
      <c r="I289" s="1353"/>
      <c r="J289" s="1353"/>
      <c r="K289" s="1387"/>
      <c r="L289" s="1353"/>
      <c r="M289" s="1353"/>
      <c r="N289" s="1353"/>
    </row>
    <row r="290" spans="1:14" x14ac:dyDescent="0.25">
      <c r="A290" s="1353"/>
      <c r="B290" s="1353"/>
      <c r="C290" s="1353"/>
      <c r="D290" s="1353"/>
      <c r="E290" s="1353"/>
      <c r="F290" s="1353"/>
      <c r="G290" s="1353"/>
      <c r="H290" s="1353"/>
      <c r="I290" s="1353"/>
      <c r="J290" s="1353"/>
      <c r="K290" s="1387"/>
      <c r="L290" s="1353"/>
      <c r="M290" s="1353"/>
      <c r="N290" s="1353"/>
    </row>
    <row r="291" spans="1:14" x14ac:dyDescent="0.25">
      <c r="A291" s="1353"/>
      <c r="B291" s="1353"/>
      <c r="C291" s="1353"/>
      <c r="D291" s="1353"/>
      <c r="E291" s="1353"/>
      <c r="F291" s="1353"/>
      <c r="G291" s="1353"/>
      <c r="H291" s="1353"/>
      <c r="I291" s="1353"/>
      <c r="J291" s="1353"/>
      <c r="K291" s="1387"/>
      <c r="L291" s="1353"/>
      <c r="M291" s="1353"/>
      <c r="N291" s="1353"/>
    </row>
    <row r="292" spans="1:14" x14ac:dyDescent="0.25">
      <c r="A292" s="1353"/>
      <c r="B292" s="1353"/>
      <c r="C292" s="1353"/>
      <c r="D292" s="1353"/>
      <c r="E292" s="1353"/>
      <c r="F292" s="1353"/>
      <c r="G292" s="1353"/>
      <c r="H292" s="1353"/>
      <c r="I292" s="1353"/>
      <c r="J292" s="1353"/>
      <c r="K292" s="1387"/>
      <c r="L292" s="1353"/>
      <c r="M292" s="1353"/>
      <c r="N292" s="1353"/>
    </row>
    <row r="293" spans="1:14" x14ac:dyDescent="0.25">
      <c r="A293" s="1353"/>
      <c r="B293" s="1353"/>
      <c r="C293" s="1353"/>
      <c r="D293" s="1353"/>
      <c r="E293" s="1353"/>
      <c r="F293" s="1353"/>
      <c r="G293" s="1353"/>
      <c r="H293" s="1353"/>
      <c r="I293" s="1353"/>
      <c r="J293" s="1353"/>
      <c r="K293" s="1387"/>
      <c r="L293" s="1353"/>
      <c r="M293" s="1353"/>
      <c r="N293" s="1353"/>
    </row>
    <row r="294" spans="1:14" x14ac:dyDescent="0.25">
      <c r="A294" s="1353"/>
      <c r="B294" s="1353"/>
      <c r="C294" s="1353"/>
      <c r="D294" s="1353"/>
      <c r="E294" s="1353"/>
      <c r="F294" s="1353"/>
      <c r="G294" s="1353"/>
      <c r="H294" s="1353"/>
      <c r="I294" s="1353"/>
      <c r="J294" s="1353"/>
      <c r="K294" s="1387"/>
      <c r="L294" s="1353"/>
      <c r="M294" s="1353"/>
      <c r="N294" s="1353"/>
    </row>
    <row r="295" spans="1:14" x14ac:dyDescent="0.25">
      <c r="A295" s="1353"/>
      <c r="B295" s="1353"/>
      <c r="C295" s="1353"/>
      <c r="D295" s="1353"/>
      <c r="E295" s="1353"/>
      <c r="F295" s="1353"/>
      <c r="G295" s="1353"/>
      <c r="H295" s="1353"/>
      <c r="I295" s="1353"/>
      <c r="J295" s="1353"/>
      <c r="K295" s="1387"/>
      <c r="L295" s="1353"/>
      <c r="M295" s="1353"/>
      <c r="N295" s="1353"/>
    </row>
    <row r="296" spans="1:14" x14ac:dyDescent="0.25">
      <c r="A296" s="1353"/>
      <c r="B296" s="1353"/>
      <c r="C296" s="1353"/>
      <c r="D296" s="1353"/>
      <c r="E296" s="1353"/>
      <c r="F296" s="1353"/>
      <c r="G296" s="1353"/>
      <c r="H296" s="1353"/>
      <c r="I296" s="1353"/>
      <c r="J296" s="1353"/>
      <c r="K296" s="1387"/>
      <c r="L296" s="1353"/>
      <c r="M296" s="1353"/>
      <c r="N296" s="1353"/>
    </row>
    <row r="297" spans="1:14" x14ac:dyDescent="0.25">
      <c r="A297" s="1353"/>
      <c r="B297" s="1353"/>
      <c r="C297" s="1353"/>
      <c r="D297" s="1353"/>
      <c r="E297" s="1353"/>
      <c r="F297" s="1353"/>
      <c r="G297" s="1353"/>
      <c r="H297" s="1353"/>
      <c r="I297" s="1353"/>
      <c r="J297" s="1353"/>
      <c r="K297" s="1387"/>
      <c r="L297" s="1353"/>
      <c r="M297" s="1353"/>
      <c r="N297" s="1353"/>
    </row>
    <row r="298" spans="1:14" x14ac:dyDescent="0.25">
      <c r="A298" s="1353"/>
      <c r="B298" s="1353"/>
      <c r="C298" s="1353"/>
      <c r="D298" s="1353"/>
      <c r="E298" s="1353"/>
      <c r="F298" s="1353"/>
      <c r="G298" s="1353"/>
      <c r="H298" s="1353"/>
      <c r="I298" s="1353"/>
      <c r="J298" s="1353"/>
      <c r="K298" s="1387"/>
      <c r="L298" s="1353"/>
      <c r="M298" s="1353"/>
      <c r="N298" s="1353"/>
    </row>
    <row r="299" spans="1:14" x14ac:dyDescent="0.25">
      <c r="A299" s="1353"/>
      <c r="B299" s="1353"/>
      <c r="C299" s="1353"/>
      <c r="D299" s="1353"/>
      <c r="E299" s="1353"/>
      <c r="F299" s="1353"/>
      <c r="G299" s="1353"/>
      <c r="H299" s="1353"/>
      <c r="I299" s="1353"/>
      <c r="J299" s="1353"/>
      <c r="K299" s="1387"/>
      <c r="L299" s="1353"/>
      <c r="M299" s="1353"/>
      <c r="N299" s="1353"/>
    </row>
    <row r="300" spans="1:14" x14ac:dyDescent="0.25">
      <c r="A300" s="1353"/>
      <c r="B300" s="1353"/>
      <c r="C300" s="1353"/>
      <c r="D300" s="1353"/>
      <c r="E300" s="1353"/>
      <c r="F300" s="1353"/>
      <c r="G300" s="1353"/>
      <c r="H300" s="1353"/>
      <c r="I300" s="1353"/>
      <c r="J300" s="1353"/>
      <c r="K300" s="1387"/>
      <c r="L300" s="1353"/>
      <c r="M300" s="1353"/>
      <c r="N300" s="1353"/>
    </row>
    <row r="301" spans="1:14" x14ac:dyDescent="0.25">
      <c r="A301" s="1353"/>
      <c r="B301" s="1353"/>
      <c r="C301" s="1353"/>
      <c r="D301" s="1353"/>
      <c r="E301" s="1353"/>
      <c r="F301" s="1353"/>
      <c r="G301" s="1353"/>
      <c r="H301" s="1353"/>
      <c r="I301" s="1353"/>
      <c r="J301" s="1353"/>
      <c r="K301" s="1387"/>
      <c r="L301" s="1353"/>
      <c r="M301" s="1353"/>
      <c r="N301" s="1353"/>
    </row>
    <row r="302" spans="1:14" x14ac:dyDescent="0.25">
      <c r="A302" s="1353"/>
      <c r="B302" s="1353"/>
      <c r="C302" s="1353"/>
      <c r="D302" s="1353"/>
      <c r="E302" s="1353"/>
      <c r="F302" s="1353"/>
      <c r="G302" s="1353"/>
      <c r="H302" s="1353"/>
      <c r="I302" s="1353"/>
      <c r="J302" s="1353"/>
      <c r="K302" s="1387"/>
      <c r="L302" s="1353"/>
      <c r="M302" s="1353"/>
      <c r="N302" s="1353"/>
    </row>
    <row r="303" spans="1:14" x14ac:dyDescent="0.25">
      <c r="A303" s="1353"/>
      <c r="B303" s="1353"/>
      <c r="C303" s="1353"/>
      <c r="D303" s="1353"/>
      <c r="E303" s="1353"/>
      <c r="F303" s="1353"/>
      <c r="G303" s="1353"/>
      <c r="H303" s="1353"/>
      <c r="I303" s="1353"/>
      <c r="J303" s="1353"/>
      <c r="K303" s="1387"/>
      <c r="L303" s="1353"/>
      <c r="M303" s="1353"/>
      <c r="N303" s="1353"/>
    </row>
    <row r="304" spans="1:14" x14ac:dyDescent="0.25">
      <c r="A304" s="1353"/>
      <c r="B304" s="1353"/>
      <c r="C304" s="1353"/>
      <c r="D304" s="1353"/>
      <c r="E304" s="1353"/>
      <c r="F304" s="1353"/>
      <c r="G304" s="1353"/>
      <c r="H304" s="1353"/>
      <c r="I304" s="1353"/>
      <c r="J304" s="1353"/>
      <c r="K304" s="1387"/>
      <c r="L304" s="1353"/>
      <c r="M304" s="1353"/>
      <c r="N304" s="1353"/>
    </row>
    <row r="305" spans="1:14" x14ac:dyDescent="0.25">
      <c r="A305" s="1353"/>
      <c r="B305" s="1353"/>
      <c r="C305" s="1353"/>
      <c r="D305" s="1353"/>
      <c r="E305" s="1353"/>
      <c r="F305" s="1353"/>
      <c r="G305" s="1353"/>
      <c r="H305" s="1353"/>
      <c r="I305" s="1353"/>
      <c r="J305" s="1353"/>
      <c r="K305" s="1387"/>
      <c r="L305" s="1353"/>
      <c r="M305" s="1353"/>
      <c r="N305" s="1353"/>
    </row>
    <row r="306" spans="1:14" x14ac:dyDescent="0.25">
      <c r="A306" s="1353"/>
      <c r="B306" s="1353"/>
      <c r="C306" s="1353"/>
      <c r="D306" s="1353"/>
      <c r="E306" s="1353"/>
      <c r="F306" s="1353"/>
      <c r="G306" s="1353"/>
      <c r="H306" s="1353"/>
      <c r="I306" s="1353"/>
      <c r="J306" s="1353"/>
      <c r="K306" s="1387"/>
      <c r="L306" s="1353"/>
      <c r="M306" s="1353"/>
      <c r="N306" s="1353"/>
    </row>
    <row r="307" spans="1:14" x14ac:dyDescent="0.25">
      <c r="A307" s="1353"/>
      <c r="B307" s="1353"/>
      <c r="C307" s="1353"/>
      <c r="D307" s="1353"/>
      <c r="E307" s="1353"/>
      <c r="F307" s="1353"/>
      <c r="G307" s="1353"/>
      <c r="H307" s="1353"/>
      <c r="I307" s="1353"/>
      <c r="J307" s="1353"/>
      <c r="K307" s="1387"/>
      <c r="L307" s="1353"/>
      <c r="M307" s="1353"/>
      <c r="N307" s="1353"/>
    </row>
    <row r="308" spans="1:14" x14ac:dyDescent="0.25">
      <c r="A308" s="1353"/>
      <c r="B308" s="1353"/>
      <c r="C308" s="1353"/>
      <c r="D308" s="1353"/>
      <c r="E308" s="1353"/>
      <c r="F308" s="1353"/>
      <c r="G308" s="1353"/>
      <c r="H308" s="1353"/>
      <c r="I308" s="1353"/>
      <c r="J308" s="1353"/>
      <c r="K308" s="1387"/>
      <c r="L308" s="1353"/>
      <c r="M308" s="1353"/>
      <c r="N308" s="1353"/>
    </row>
    <row r="309" spans="1:14" x14ac:dyDescent="0.25">
      <c r="A309" s="1353"/>
      <c r="B309" s="1353"/>
      <c r="C309" s="1353"/>
      <c r="D309" s="1353"/>
      <c r="E309" s="1353"/>
      <c r="F309" s="1353"/>
      <c r="G309" s="1353"/>
      <c r="H309" s="1353"/>
      <c r="I309" s="1353"/>
      <c r="J309" s="1353"/>
      <c r="K309" s="1387"/>
      <c r="L309" s="1353"/>
      <c r="M309" s="1353"/>
      <c r="N309" s="1353"/>
    </row>
    <row r="310" spans="1:14" x14ac:dyDescent="0.25">
      <c r="A310" s="1353"/>
      <c r="B310" s="1353"/>
      <c r="C310" s="1353"/>
      <c r="D310" s="1353"/>
      <c r="E310" s="1353"/>
      <c r="F310" s="1353"/>
      <c r="G310" s="1353"/>
      <c r="H310" s="1353"/>
      <c r="I310" s="1353"/>
      <c r="J310" s="1353"/>
      <c r="K310" s="1387"/>
      <c r="L310" s="1353"/>
      <c r="M310" s="1353"/>
      <c r="N310" s="1353"/>
    </row>
    <row r="311" spans="1:14" x14ac:dyDescent="0.25">
      <c r="A311" s="1353"/>
      <c r="B311" s="1353"/>
      <c r="C311" s="1353"/>
      <c r="D311" s="1353"/>
      <c r="E311" s="1353"/>
      <c r="F311" s="1353"/>
      <c r="G311" s="1353"/>
      <c r="H311" s="1353"/>
      <c r="I311" s="1353"/>
      <c r="J311" s="1353"/>
      <c r="K311" s="1387"/>
      <c r="L311" s="1353"/>
      <c r="M311" s="1353"/>
      <c r="N311" s="1353"/>
    </row>
    <row r="312" spans="1:14" x14ac:dyDescent="0.25">
      <c r="A312" s="1353"/>
      <c r="B312" s="1353"/>
      <c r="C312" s="1353"/>
      <c r="D312" s="1353"/>
      <c r="E312" s="1353"/>
      <c r="F312" s="1353"/>
      <c r="G312" s="1353"/>
      <c r="H312" s="1353"/>
      <c r="I312" s="1353"/>
      <c r="J312" s="1353"/>
      <c r="K312" s="1387"/>
      <c r="L312" s="1353"/>
      <c r="M312" s="1353"/>
      <c r="N312" s="1353"/>
    </row>
    <row r="313" spans="1:14" x14ac:dyDescent="0.25">
      <c r="A313" s="1353"/>
      <c r="B313" s="1353"/>
      <c r="C313" s="1353"/>
      <c r="D313" s="1353"/>
      <c r="E313" s="1353"/>
      <c r="F313" s="1353"/>
      <c r="G313" s="1353"/>
      <c r="H313" s="1353"/>
      <c r="I313" s="1353"/>
      <c r="J313" s="1353"/>
      <c r="K313" s="1387"/>
      <c r="L313" s="1353"/>
      <c r="M313" s="1353"/>
      <c r="N313" s="1353"/>
    </row>
    <row r="314" spans="1:14" x14ac:dyDescent="0.25">
      <c r="A314" s="1353"/>
      <c r="B314" s="1353"/>
      <c r="C314" s="1353"/>
      <c r="D314" s="1353"/>
      <c r="E314" s="1353"/>
      <c r="F314" s="1353"/>
      <c r="G314" s="1353"/>
      <c r="H314" s="1353"/>
      <c r="I314" s="1353"/>
      <c r="J314" s="1353"/>
      <c r="K314" s="1387"/>
      <c r="L314" s="1353"/>
      <c r="M314" s="1353"/>
      <c r="N314" s="1353"/>
    </row>
    <row r="315" spans="1:14" x14ac:dyDescent="0.25">
      <c r="A315" s="1353"/>
      <c r="B315" s="1353"/>
      <c r="C315" s="1353"/>
      <c r="D315" s="1353"/>
      <c r="E315" s="1353"/>
      <c r="F315" s="1353"/>
      <c r="G315" s="1353"/>
      <c r="H315" s="1353"/>
      <c r="I315" s="1353"/>
      <c r="J315" s="1353"/>
      <c r="K315" s="1387"/>
      <c r="L315" s="1353"/>
      <c r="M315" s="1353"/>
      <c r="N315" s="1353"/>
    </row>
    <row r="316" spans="1:14" x14ac:dyDescent="0.25">
      <c r="A316" s="1353"/>
      <c r="B316" s="1353"/>
      <c r="C316" s="1353"/>
      <c r="D316" s="1353"/>
      <c r="E316" s="1353"/>
      <c r="F316" s="1353"/>
      <c r="G316" s="1353"/>
      <c r="H316" s="1353"/>
      <c r="I316" s="1353"/>
      <c r="J316" s="1353"/>
      <c r="K316" s="1387"/>
      <c r="L316" s="1353"/>
      <c r="M316" s="1353"/>
      <c r="N316" s="1353"/>
    </row>
    <row r="317" spans="1:14" x14ac:dyDescent="0.25">
      <c r="A317" s="1353"/>
      <c r="B317" s="1353"/>
      <c r="C317" s="1353"/>
      <c r="D317" s="1353"/>
      <c r="E317" s="1353"/>
      <c r="F317" s="1353"/>
      <c r="G317" s="1353"/>
      <c r="H317" s="1353"/>
      <c r="I317" s="1353"/>
      <c r="J317" s="1353"/>
      <c r="K317" s="1387"/>
      <c r="L317" s="1353"/>
      <c r="M317" s="1353"/>
      <c r="N317" s="1353"/>
    </row>
    <row r="318" spans="1:14" x14ac:dyDescent="0.25">
      <c r="A318" s="1353"/>
      <c r="B318" s="1353"/>
      <c r="C318" s="1353"/>
      <c r="D318" s="1353"/>
      <c r="E318" s="1353"/>
      <c r="F318" s="1353"/>
      <c r="G318" s="1353"/>
      <c r="H318" s="1353"/>
      <c r="I318" s="1353"/>
      <c r="J318" s="1353"/>
      <c r="K318" s="1387"/>
      <c r="L318" s="1353"/>
      <c r="M318" s="1353"/>
      <c r="N318" s="1353"/>
    </row>
    <row r="319" spans="1:14" x14ac:dyDescent="0.25">
      <c r="A319" s="1353"/>
      <c r="B319" s="1353"/>
      <c r="C319" s="1353"/>
      <c r="D319" s="1353"/>
      <c r="E319" s="1353"/>
      <c r="F319" s="1353"/>
      <c r="G319" s="1353"/>
      <c r="H319" s="1353"/>
      <c r="I319" s="1353"/>
      <c r="J319" s="1353"/>
      <c r="K319" s="1387"/>
      <c r="L319" s="1353"/>
      <c r="M319" s="1353"/>
      <c r="N319" s="1353"/>
    </row>
    <row r="320" spans="1:14" x14ac:dyDescent="0.25">
      <c r="A320" s="1353"/>
      <c r="B320" s="1353"/>
      <c r="C320" s="1353"/>
      <c r="D320" s="1353"/>
      <c r="E320" s="1353"/>
      <c r="F320" s="1353"/>
      <c r="G320" s="1353"/>
      <c r="H320" s="1353"/>
      <c r="I320" s="1353"/>
      <c r="J320" s="1353"/>
      <c r="K320" s="1387"/>
      <c r="L320" s="1353"/>
      <c r="M320" s="1353"/>
      <c r="N320" s="1353"/>
    </row>
    <row r="321" spans="1:14" x14ac:dyDescent="0.25">
      <c r="A321" s="1353"/>
      <c r="B321" s="1353"/>
      <c r="C321" s="1353"/>
      <c r="D321" s="1353"/>
      <c r="E321" s="1353"/>
      <c r="F321" s="1353"/>
      <c r="G321" s="1353"/>
      <c r="H321" s="1353"/>
      <c r="I321" s="1353"/>
      <c r="J321" s="1353"/>
      <c r="K321" s="1387"/>
      <c r="L321" s="1353"/>
      <c r="M321" s="1353"/>
      <c r="N321" s="1353"/>
    </row>
    <row r="322" spans="1:14" x14ac:dyDescent="0.25">
      <c r="A322" s="1353"/>
      <c r="B322" s="1353"/>
      <c r="C322" s="1353"/>
      <c r="D322" s="1353"/>
      <c r="E322" s="1353"/>
      <c r="F322" s="1353"/>
      <c r="G322" s="1353"/>
      <c r="H322" s="1353"/>
      <c r="I322" s="1353"/>
      <c r="J322" s="1353"/>
      <c r="K322" s="1387"/>
      <c r="L322" s="1353"/>
      <c r="M322" s="1353"/>
      <c r="N322" s="1353"/>
    </row>
    <row r="323" spans="1:14" x14ac:dyDescent="0.25">
      <c r="A323" s="1353"/>
      <c r="B323" s="1353"/>
      <c r="C323" s="1353"/>
      <c r="D323" s="1353"/>
      <c r="E323" s="1353"/>
      <c r="F323" s="1353"/>
      <c r="G323" s="1353"/>
      <c r="H323" s="1353"/>
      <c r="I323" s="1353"/>
      <c r="J323" s="1353"/>
      <c r="K323" s="1387"/>
      <c r="L323" s="1353"/>
      <c r="M323" s="1353"/>
      <c r="N323" s="1353"/>
    </row>
    <row r="324" spans="1:14" x14ac:dyDescent="0.25">
      <c r="A324" s="1353"/>
      <c r="B324" s="1353"/>
      <c r="C324" s="1353"/>
      <c r="D324" s="1353"/>
      <c r="E324" s="1353"/>
      <c r="F324" s="1353"/>
      <c r="G324" s="1353"/>
      <c r="H324" s="1353"/>
      <c r="I324" s="1353"/>
      <c r="J324" s="1353"/>
      <c r="K324" s="1387"/>
      <c r="L324" s="1353"/>
      <c r="M324" s="1353"/>
      <c r="N324" s="1353"/>
    </row>
    <row r="325" spans="1:14" x14ac:dyDescent="0.25">
      <c r="A325" s="1353"/>
      <c r="B325" s="1353"/>
      <c r="C325" s="1353"/>
      <c r="D325" s="1353"/>
      <c r="E325" s="1353"/>
      <c r="F325" s="1353"/>
      <c r="G325" s="1353"/>
      <c r="H325" s="1353"/>
      <c r="I325" s="1353"/>
      <c r="J325" s="1353"/>
      <c r="K325" s="1387"/>
      <c r="L325" s="1353"/>
      <c r="M325" s="1353"/>
      <c r="N325" s="1353"/>
    </row>
    <row r="326" spans="1:14" x14ac:dyDescent="0.25">
      <c r="A326" s="1353"/>
      <c r="B326" s="1353"/>
      <c r="C326" s="1353"/>
      <c r="D326" s="1353"/>
      <c r="E326" s="1353"/>
      <c r="F326" s="1353"/>
      <c r="G326" s="1353"/>
      <c r="H326" s="1353"/>
      <c r="I326" s="1353"/>
      <c r="J326" s="1353"/>
      <c r="K326" s="1387"/>
      <c r="L326" s="1353"/>
      <c r="M326" s="1353"/>
      <c r="N326" s="1353"/>
    </row>
    <row r="327" spans="1:14" x14ac:dyDescent="0.25">
      <c r="A327" s="1353"/>
      <c r="B327" s="1353"/>
      <c r="C327" s="1353"/>
      <c r="D327" s="1353"/>
      <c r="E327" s="1353"/>
      <c r="F327" s="1353"/>
      <c r="G327" s="1353"/>
      <c r="H327" s="1353"/>
      <c r="I327" s="1353"/>
      <c r="J327" s="1353"/>
      <c r="K327" s="1387"/>
      <c r="L327" s="1353"/>
      <c r="M327" s="1353"/>
      <c r="N327" s="1353"/>
    </row>
    <row r="328" spans="1:14" x14ac:dyDescent="0.25">
      <c r="A328" s="1353"/>
      <c r="B328" s="1353"/>
      <c r="C328" s="1353"/>
      <c r="D328" s="1353"/>
      <c r="E328" s="1353"/>
      <c r="F328" s="1353"/>
      <c r="G328" s="1353"/>
      <c r="H328" s="1353"/>
      <c r="I328" s="1353"/>
      <c r="J328" s="1353"/>
      <c r="K328" s="1387"/>
      <c r="L328" s="1353"/>
      <c r="M328" s="1353"/>
      <c r="N328" s="1353"/>
    </row>
    <row r="329" spans="1:14" x14ac:dyDescent="0.25">
      <c r="A329" s="1353"/>
      <c r="B329" s="1353"/>
      <c r="C329" s="1353"/>
      <c r="D329" s="1353"/>
      <c r="E329" s="1353"/>
      <c r="F329" s="1353"/>
      <c r="G329" s="1353"/>
      <c r="H329" s="1353"/>
      <c r="I329" s="1353"/>
      <c r="J329" s="1353"/>
      <c r="K329" s="1387"/>
      <c r="L329" s="1353"/>
      <c r="M329" s="1353"/>
      <c r="N329" s="1353"/>
    </row>
    <row r="330" spans="1:14" x14ac:dyDescent="0.25">
      <c r="A330" s="1353"/>
      <c r="B330" s="1353"/>
      <c r="C330" s="1353"/>
      <c r="D330" s="1353"/>
      <c r="E330" s="1353"/>
      <c r="F330" s="1353"/>
      <c r="G330" s="1353"/>
      <c r="H330" s="1353"/>
      <c r="I330" s="1353"/>
      <c r="J330" s="1353"/>
      <c r="K330" s="1387"/>
      <c r="L330" s="1353"/>
      <c r="M330" s="1353"/>
      <c r="N330" s="1353"/>
    </row>
    <row r="331" spans="1:14" x14ac:dyDescent="0.25">
      <c r="A331" s="1353"/>
      <c r="B331" s="1353"/>
      <c r="C331" s="1353"/>
      <c r="D331" s="1353"/>
      <c r="E331" s="1353"/>
      <c r="F331" s="1353"/>
      <c r="G331" s="1353"/>
      <c r="H331" s="1353"/>
      <c r="I331" s="1353"/>
      <c r="J331" s="1353"/>
      <c r="K331" s="1387"/>
      <c r="L331" s="1353"/>
      <c r="M331" s="1353"/>
      <c r="N331" s="1353"/>
    </row>
    <row r="332" spans="1:14" x14ac:dyDescent="0.25">
      <c r="A332" s="1353"/>
      <c r="B332" s="1353"/>
      <c r="C332" s="1353"/>
      <c r="D332" s="1353"/>
      <c r="E332" s="1353"/>
      <c r="F332" s="1353"/>
      <c r="G332" s="1353"/>
      <c r="H332" s="1353"/>
      <c r="I332" s="1353"/>
      <c r="J332" s="1353"/>
      <c r="K332" s="1387"/>
      <c r="L332" s="1353"/>
      <c r="M332" s="1353"/>
      <c r="N332" s="1353"/>
    </row>
    <row r="333" spans="1:14" x14ac:dyDescent="0.25">
      <c r="A333" s="1353"/>
      <c r="B333" s="1353"/>
      <c r="C333" s="1353"/>
      <c r="D333" s="1353"/>
      <c r="E333" s="1353"/>
      <c r="F333" s="1353"/>
      <c r="G333" s="1353"/>
      <c r="H333" s="1353"/>
      <c r="I333" s="1353"/>
      <c r="J333" s="1353"/>
      <c r="K333" s="1387"/>
      <c r="L333" s="1353"/>
      <c r="M333" s="1353"/>
      <c r="N333" s="1353"/>
    </row>
    <row r="334" spans="1:14" x14ac:dyDescent="0.25">
      <c r="A334" s="1353"/>
      <c r="B334" s="1353"/>
      <c r="C334" s="1353"/>
      <c r="D334" s="1353"/>
      <c r="E334" s="1353"/>
      <c r="F334" s="1353"/>
      <c r="G334" s="1353"/>
      <c r="H334" s="1353"/>
      <c r="I334" s="1353"/>
      <c r="J334" s="1353"/>
      <c r="K334" s="1387"/>
      <c r="L334" s="1353"/>
      <c r="M334" s="1353"/>
      <c r="N334" s="1353"/>
    </row>
    <row r="335" spans="1:14" x14ac:dyDescent="0.25">
      <c r="A335" s="1353"/>
      <c r="B335" s="1353"/>
      <c r="C335" s="1353"/>
      <c r="D335" s="1353"/>
      <c r="E335" s="1353"/>
      <c r="F335" s="1353"/>
      <c r="G335" s="1353"/>
      <c r="H335" s="1353"/>
      <c r="I335" s="1353"/>
      <c r="J335" s="1353"/>
      <c r="K335" s="1387"/>
      <c r="L335" s="1353"/>
      <c r="M335" s="1353"/>
      <c r="N335" s="1353"/>
    </row>
    <row r="336" spans="1:14" x14ac:dyDescent="0.25">
      <c r="A336" s="1353"/>
      <c r="B336" s="1353"/>
      <c r="C336" s="1353"/>
      <c r="D336" s="1353"/>
      <c r="E336" s="1353"/>
      <c r="F336" s="1353"/>
      <c r="G336" s="1353"/>
      <c r="H336" s="1353"/>
      <c r="I336" s="1353"/>
      <c r="J336" s="1353"/>
      <c r="K336" s="1387"/>
      <c r="L336" s="1353"/>
      <c r="M336" s="1353"/>
      <c r="N336" s="1353"/>
    </row>
    <row r="337" spans="1:14" x14ac:dyDescent="0.25">
      <c r="A337" s="1353"/>
      <c r="B337" s="1353"/>
      <c r="C337" s="1353"/>
      <c r="D337" s="1353"/>
      <c r="E337" s="1353"/>
      <c r="F337" s="1353"/>
      <c r="G337" s="1353"/>
      <c r="H337" s="1353"/>
      <c r="I337" s="1353"/>
      <c r="J337" s="1353"/>
      <c r="K337" s="1387"/>
      <c r="L337" s="1353"/>
      <c r="M337" s="1353"/>
      <c r="N337" s="1353"/>
    </row>
    <row r="338" spans="1:14" x14ac:dyDescent="0.25">
      <c r="A338" s="1353"/>
      <c r="B338" s="1353"/>
      <c r="C338" s="1353"/>
      <c r="D338" s="1353"/>
      <c r="E338" s="1353"/>
      <c r="F338" s="1353"/>
      <c r="G338" s="1353"/>
      <c r="H338" s="1353"/>
      <c r="I338" s="1353"/>
      <c r="J338" s="1353"/>
      <c r="K338" s="1387"/>
      <c r="L338" s="1353"/>
      <c r="M338" s="1353"/>
      <c r="N338" s="1353"/>
    </row>
    <row r="339" spans="1:14" x14ac:dyDescent="0.25">
      <c r="A339" s="1353"/>
      <c r="B339" s="1353"/>
      <c r="C339" s="1353"/>
      <c r="D339" s="1353"/>
      <c r="E339" s="1353"/>
      <c r="F339" s="1353"/>
      <c r="G339" s="1353"/>
      <c r="H339" s="1353"/>
      <c r="I339" s="1353"/>
      <c r="J339" s="1353"/>
      <c r="K339" s="1387"/>
      <c r="L339" s="1353"/>
      <c r="M339" s="1353"/>
      <c r="N339" s="1353"/>
    </row>
    <row r="340" spans="1:14" x14ac:dyDescent="0.25">
      <c r="A340" s="1353"/>
      <c r="B340" s="1353"/>
      <c r="C340" s="1353"/>
      <c r="D340" s="1353"/>
      <c r="E340" s="1353"/>
      <c r="F340" s="1353"/>
      <c r="G340" s="1353"/>
      <c r="H340" s="1353"/>
      <c r="I340" s="1353"/>
      <c r="J340" s="1353"/>
      <c r="K340" s="1387"/>
      <c r="L340" s="1353"/>
      <c r="M340" s="1353"/>
      <c r="N340" s="1353"/>
    </row>
    <row r="341" spans="1:14" x14ac:dyDescent="0.25">
      <c r="A341" s="1353"/>
      <c r="B341" s="1353"/>
      <c r="C341" s="1353"/>
      <c r="D341" s="1353"/>
      <c r="E341" s="1353"/>
      <c r="F341" s="1353"/>
      <c r="G341" s="1353"/>
      <c r="H341" s="1353"/>
      <c r="I341" s="1353"/>
      <c r="J341" s="1353"/>
      <c r="K341" s="1387"/>
      <c r="L341" s="1353"/>
      <c r="M341" s="1353"/>
      <c r="N341" s="1353"/>
    </row>
    <row r="342" spans="1:14" x14ac:dyDescent="0.25">
      <c r="A342" s="1353"/>
      <c r="B342" s="1353"/>
      <c r="C342" s="1353"/>
      <c r="D342" s="1353"/>
      <c r="E342" s="1353"/>
      <c r="F342" s="1353"/>
      <c r="G342" s="1353"/>
      <c r="H342" s="1353"/>
      <c r="I342" s="1353"/>
      <c r="J342" s="1353"/>
      <c r="K342" s="1387"/>
      <c r="L342" s="1353"/>
      <c r="M342" s="1353"/>
      <c r="N342" s="1353"/>
    </row>
    <row r="343" spans="1:14" x14ac:dyDescent="0.25">
      <c r="A343" s="1353"/>
      <c r="B343" s="1353"/>
      <c r="C343" s="1353"/>
      <c r="D343" s="1353"/>
      <c r="E343" s="1353"/>
      <c r="F343" s="1353"/>
      <c r="G343" s="1353"/>
      <c r="H343" s="1353"/>
      <c r="I343" s="1353"/>
      <c r="J343" s="1353"/>
      <c r="K343" s="1387"/>
      <c r="L343" s="1353"/>
      <c r="M343" s="1353"/>
      <c r="N343" s="1353"/>
    </row>
    <row r="344" spans="1:14" x14ac:dyDescent="0.25">
      <c r="A344" s="1353"/>
      <c r="B344" s="1353"/>
      <c r="C344" s="1353"/>
      <c r="D344" s="1353"/>
      <c r="E344" s="1353"/>
      <c r="F344" s="1353"/>
      <c r="G344" s="1353"/>
      <c r="H344" s="1353"/>
      <c r="I344" s="1353"/>
      <c r="J344" s="1353"/>
      <c r="K344" s="1387"/>
      <c r="L344" s="1353"/>
      <c r="M344" s="1353"/>
      <c r="N344" s="1353"/>
    </row>
    <row r="345" spans="1:14" x14ac:dyDescent="0.25">
      <c r="A345" s="1353"/>
      <c r="B345" s="1353"/>
      <c r="C345" s="1353"/>
      <c r="D345" s="1353"/>
      <c r="E345" s="1353"/>
      <c r="F345" s="1353"/>
      <c r="G345" s="1353"/>
      <c r="H345" s="1353"/>
      <c r="I345" s="1353"/>
      <c r="J345" s="1353"/>
      <c r="K345" s="1387"/>
      <c r="L345" s="1353"/>
      <c r="M345" s="1353"/>
      <c r="N345" s="1353"/>
    </row>
    <row r="346" spans="1:14" x14ac:dyDescent="0.25">
      <c r="A346" s="1353"/>
      <c r="B346" s="1353"/>
      <c r="C346" s="1353"/>
      <c r="D346" s="1353"/>
      <c r="E346" s="1353"/>
      <c r="F346" s="1353"/>
      <c r="G346" s="1353"/>
      <c r="H346" s="1353"/>
      <c r="I346" s="1353"/>
      <c r="J346" s="1353"/>
      <c r="K346" s="1387"/>
      <c r="L346" s="1353"/>
      <c r="M346" s="1353"/>
      <c r="N346" s="1353"/>
    </row>
    <row r="347" spans="1:14" x14ac:dyDescent="0.25">
      <c r="A347" s="1353"/>
      <c r="B347" s="1353"/>
      <c r="C347" s="1353"/>
      <c r="D347" s="1353"/>
      <c r="E347" s="1353"/>
      <c r="F347" s="1353"/>
      <c r="G347" s="1353"/>
      <c r="H347" s="1353"/>
      <c r="I347" s="1353"/>
      <c r="J347" s="1353"/>
      <c r="K347" s="1387"/>
      <c r="L347" s="1353"/>
      <c r="M347" s="1353"/>
      <c r="N347" s="1353"/>
    </row>
    <row r="348" spans="1:14" x14ac:dyDescent="0.25">
      <c r="A348" s="1353"/>
      <c r="B348" s="1353"/>
      <c r="C348" s="1353"/>
      <c r="D348" s="1353"/>
      <c r="E348" s="1353"/>
      <c r="F348" s="1353"/>
      <c r="G348" s="1353"/>
      <c r="H348" s="1353"/>
      <c r="I348" s="1353"/>
      <c r="J348" s="1353"/>
      <c r="K348" s="1387"/>
      <c r="L348" s="1353"/>
      <c r="M348" s="1353"/>
      <c r="N348" s="1353"/>
    </row>
    <row r="349" spans="1:14" x14ac:dyDescent="0.25">
      <c r="A349" s="1353"/>
      <c r="B349" s="1353"/>
      <c r="C349" s="1353"/>
      <c r="D349" s="1353"/>
      <c r="E349" s="1353"/>
      <c r="F349" s="1353"/>
      <c r="G349" s="1353"/>
      <c r="H349" s="1353"/>
      <c r="I349" s="1353"/>
      <c r="J349" s="1353"/>
      <c r="K349" s="1387"/>
      <c r="L349" s="1353"/>
      <c r="M349" s="1353"/>
      <c r="N349" s="1353"/>
    </row>
    <row r="350" spans="1:14" x14ac:dyDescent="0.25">
      <c r="A350" s="1353"/>
      <c r="B350" s="1353"/>
      <c r="C350" s="1353"/>
      <c r="D350" s="1353"/>
      <c r="E350" s="1353"/>
      <c r="F350" s="1353"/>
      <c r="G350" s="1353"/>
      <c r="H350" s="1353"/>
      <c r="I350" s="1353"/>
      <c r="J350" s="1353"/>
      <c r="K350" s="1387"/>
      <c r="L350" s="1353"/>
      <c r="M350" s="1353"/>
      <c r="N350" s="1353"/>
    </row>
    <row r="351" spans="1:14" x14ac:dyDescent="0.25">
      <c r="A351" s="1353"/>
      <c r="B351" s="1353"/>
      <c r="C351" s="1353"/>
      <c r="D351" s="1353"/>
      <c r="E351" s="1353"/>
      <c r="F351" s="1353"/>
      <c r="G351" s="1353"/>
      <c r="H351" s="1353"/>
      <c r="I351" s="1353"/>
      <c r="J351" s="1353"/>
      <c r="K351" s="1387"/>
      <c r="L351" s="1353"/>
      <c r="M351" s="1353"/>
      <c r="N351" s="1353"/>
    </row>
    <row r="352" spans="1:14" x14ac:dyDescent="0.25">
      <c r="A352" s="1353"/>
      <c r="B352" s="1353"/>
      <c r="C352" s="1353"/>
      <c r="D352" s="1353"/>
      <c r="E352" s="1353"/>
      <c r="F352" s="1353"/>
      <c r="G352" s="1353"/>
      <c r="H352" s="1353"/>
      <c r="I352" s="1353"/>
      <c r="J352" s="1353"/>
      <c r="K352" s="1387"/>
      <c r="L352" s="1353"/>
      <c r="M352" s="1353"/>
      <c r="N352" s="1353"/>
    </row>
    <row r="353" spans="1:14" x14ac:dyDescent="0.25">
      <c r="A353" s="1353"/>
      <c r="B353" s="1353"/>
      <c r="C353" s="1353"/>
      <c r="D353" s="1353"/>
      <c r="E353" s="1353"/>
      <c r="F353" s="1353"/>
      <c r="G353" s="1353"/>
      <c r="H353" s="1353"/>
      <c r="I353" s="1353"/>
      <c r="J353" s="1353"/>
      <c r="K353" s="1387"/>
      <c r="L353" s="1353"/>
      <c r="M353" s="1353"/>
      <c r="N353" s="1353"/>
    </row>
    <row r="354" spans="1:14" x14ac:dyDescent="0.25">
      <c r="A354" s="1353"/>
      <c r="B354" s="1353"/>
      <c r="C354" s="1353"/>
      <c r="D354" s="1353"/>
      <c r="E354" s="1353"/>
      <c r="F354" s="1353"/>
      <c r="G354" s="1353"/>
      <c r="H354" s="1353"/>
      <c r="I354" s="1353"/>
      <c r="J354" s="1353"/>
      <c r="K354" s="1387"/>
      <c r="L354" s="1353"/>
      <c r="M354" s="1353"/>
      <c r="N354" s="1353"/>
    </row>
    <row r="355" spans="1:14" x14ac:dyDescent="0.25">
      <c r="A355" s="1353"/>
      <c r="B355" s="1353"/>
      <c r="C355" s="1353"/>
      <c r="D355" s="1353"/>
      <c r="E355" s="1353"/>
      <c r="F355" s="1353"/>
      <c r="G355" s="1353"/>
      <c r="H355" s="1353"/>
      <c r="I355" s="1353"/>
      <c r="J355" s="1353"/>
      <c r="K355" s="1387"/>
      <c r="L355" s="1353"/>
      <c r="M355" s="1353"/>
      <c r="N355" s="1353"/>
    </row>
    <row r="356" spans="1:14" x14ac:dyDescent="0.25">
      <c r="A356" s="1353"/>
      <c r="B356" s="1353"/>
      <c r="C356" s="1353"/>
      <c r="D356" s="1353"/>
      <c r="E356" s="1353"/>
      <c r="F356" s="1353"/>
      <c r="G356" s="1353"/>
      <c r="H356" s="1353"/>
      <c r="I356" s="1353"/>
      <c r="J356" s="1353"/>
      <c r="K356" s="1387"/>
      <c r="L356" s="1353"/>
      <c r="M356" s="1353"/>
      <c r="N356" s="1353"/>
    </row>
    <row r="357" spans="1:14" x14ac:dyDescent="0.25">
      <c r="A357" s="1353"/>
      <c r="B357" s="1353"/>
      <c r="C357" s="1353"/>
      <c r="D357" s="1353"/>
      <c r="E357" s="1353"/>
      <c r="F357" s="1353"/>
      <c r="G357" s="1353"/>
      <c r="H357" s="1353"/>
      <c r="I357" s="1353"/>
      <c r="J357" s="1353"/>
      <c r="K357" s="1387"/>
      <c r="L357" s="1353"/>
      <c r="M357" s="1353"/>
      <c r="N357" s="1353"/>
    </row>
    <row r="358" spans="1:14" x14ac:dyDescent="0.25">
      <c r="A358" s="1353"/>
      <c r="B358" s="1353"/>
      <c r="C358" s="1353"/>
      <c r="D358" s="1353"/>
      <c r="E358" s="1353"/>
      <c r="F358" s="1353"/>
      <c r="G358" s="1353"/>
      <c r="H358" s="1353"/>
      <c r="I358" s="1353"/>
      <c r="J358" s="1353"/>
      <c r="K358" s="1387"/>
      <c r="L358" s="1353"/>
      <c r="M358" s="1353"/>
      <c r="N358" s="1353"/>
    </row>
    <row r="359" spans="1:14" x14ac:dyDescent="0.25">
      <c r="A359" s="1353"/>
      <c r="B359" s="1353"/>
      <c r="C359" s="1353"/>
      <c r="D359" s="1353"/>
      <c r="E359" s="1353"/>
      <c r="F359" s="1353"/>
      <c r="G359" s="1353"/>
      <c r="H359" s="1353"/>
      <c r="I359" s="1353"/>
      <c r="J359" s="1353"/>
      <c r="K359" s="1387"/>
      <c r="L359" s="1353"/>
      <c r="M359" s="1353"/>
      <c r="N359" s="1353"/>
    </row>
    <row r="360" spans="1:14" x14ac:dyDescent="0.25">
      <c r="A360" s="1353"/>
      <c r="B360" s="1353"/>
      <c r="C360" s="1353"/>
      <c r="D360" s="1353"/>
      <c r="E360" s="1353"/>
      <c r="F360" s="1353"/>
      <c r="G360" s="1353"/>
      <c r="H360" s="1353"/>
      <c r="I360" s="1353"/>
      <c r="J360" s="1353"/>
      <c r="K360" s="1387"/>
      <c r="L360" s="1353"/>
      <c r="M360" s="1353"/>
      <c r="N360" s="1353"/>
    </row>
    <row r="361" spans="1:14" x14ac:dyDescent="0.25">
      <c r="A361" s="1353"/>
      <c r="B361" s="1353"/>
      <c r="C361" s="1353"/>
      <c r="D361" s="1353"/>
      <c r="E361" s="1353"/>
      <c r="F361" s="1353"/>
      <c r="G361" s="1353"/>
      <c r="H361" s="1353"/>
      <c r="I361" s="1353"/>
      <c r="J361" s="1353"/>
      <c r="K361" s="1387"/>
      <c r="L361" s="1353"/>
      <c r="M361" s="1353"/>
      <c r="N361" s="1353"/>
    </row>
    <row r="362" spans="1:14" x14ac:dyDescent="0.25">
      <c r="A362" s="1353"/>
      <c r="B362" s="1353"/>
      <c r="C362" s="1353"/>
      <c r="D362" s="1353"/>
      <c r="E362" s="1353"/>
      <c r="F362" s="1353"/>
      <c r="G362" s="1353"/>
      <c r="H362" s="1353"/>
      <c r="I362" s="1353"/>
      <c r="J362" s="1353"/>
      <c r="K362" s="1387"/>
      <c r="L362" s="1353"/>
      <c r="M362" s="1353"/>
      <c r="N362" s="1353"/>
    </row>
    <row r="363" spans="1:14" x14ac:dyDescent="0.25">
      <c r="A363" s="1353"/>
      <c r="B363" s="1353"/>
      <c r="C363" s="1353"/>
      <c r="D363" s="1353"/>
      <c r="E363" s="1353"/>
      <c r="F363" s="1353"/>
      <c r="G363" s="1353"/>
      <c r="H363" s="1353"/>
      <c r="I363" s="1353"/>
      <c r="J363" s="1353"/>
      <c r="K363" s="1387"/>
      <c r="L363" s="1353"/>
      <c r="M363" s="1353"/>
      <c r="N363" s="1353"/>
    </row>
    <row r="364" spans="1:14" x14ac:dyDescent="0.25">
      <c r="A364" s="1353"/>
      <c r="B364" s="1353"/>
      <c r="C364" s="1353"/>
      <c r="D364" s="1353"/>
      <c r="E364" s="1353"/>
      <c r="F364" s="1353"/>
      <c r="G364" s="1353"/>
      <c r="H364" s="1353"/>
      <c r="I364" s="1353"/>
      <c r="J364" s="1353"/>
      <c r="K364" s="1387"/>
      <c r="L364" s="1353"/>
      <c r="M364" s="1353"/>
      <c r="N364" s="1353"/>
    </row>
    <row r="365" spans="1:14" x14ac:dyDescent="0.25">
      <c r="A365" s="1353"/>
      <c r="B365" s="1353"/>
      <c r="C365" s="1353"/>
      <c r="D365" s="1353"/>
      <c r="E365" s="1353"/>
      <c r="F365" s="1353"/>
      <c r="G365" s="1353"/>
      <c r="H365" s="1353"/>
      <c r="I365" s="1353"/>
      <c r="J365" s="1353"/>
      <c r="K365" s="1387"/>
      <c r="L365" s="1353"/>
      <c r="M365" s="1353"/>
      <c r="N365" s="1353"/>
    </row>
    <row r="366" spans="1:14" x14ac:dyDescent="0.25">
      <c r="A366" s="1353"/>
      <c r="B366" s="1353"/>
      <c r="C366" s="1353"/>
      <c r="D366" s="1353"/>
      <c r="E366" s="1353"/>
      <c r="F366" s="1353"/>
      <c r="G366" s="1353"/>
      <c r="H366" s="1353"/>
      <c r="I366" s="1353"/>
      <c r="J366" s="1353"/>
      <c r="K366" s="1387"/>
      <c r="L366" s="1353"/>
      <c r="M366" s="1353"/>
      <c r="N366" s="1353"/>
    </row>
    <row r="367" spans="1:14" x14ac:dyDescent="0.25">
      <c r="A367" s="1353"/>
      <c r="B367" s="1353"/>
      <c r="C367" s="1353"/>
      <c r="D367" s="1353"/>
      <c r="E367" s="1353"/>
      <c r="F367" s="1353"/>
      <c r="G367" s="1353"/>
      <c r="H367" s="1353"/>
      <c r="I367" s="1353"/>
      <c r="J367" s="1353"/>
      <c r="K367" s="1387"/>
      <c r="L367" s="1353"/>
      <c r="M367" s="1353"/>
      <c r="N367" s="1353"/>
    </row>
    <row r="368" spans="1:14" x14ac:dyDescent="0.25">
      <c r="A368" s="1353"/>
      <c r="B368" s="1353"/>
      <c r="C368" s="1353"/>
      <c r="D368" s="1353"/>
      <c r="E368" s="1353"/>
      <c r="F368" s="1353"/>
      <c r="G368" s="1353"/>
      <c r="H368" s="1353"/>
      <c r="I368" s="1353"/>
      <c r="J368" s="1353"/>
      <c r="K368" s="1387"/>
      <c r="L368" s="1353"/>
      <c r="M368" s="1353"/>
      <c r="N368" s="1353"/>
    </row>
    <row r="369" spans="1:14" x14ac:dyDescent="0.25">
      <c r="A369" s="1353"/>
      <c r="B369" s="1353"/>
      <c r="C369" s="1353"/>
      <c r="D369" s="1353"/>
      <c r="E369" s="1353"/>
      <c r="F369" s="1353"/>
      <c r="G369" s="1353"/>
      <c r="H369" s="1353"/>
      <c r="I369" s="1353"/>
      <c r="J369" s="1353"/>
      <c r="K369" s="1387"/>
      <c r="L369" s="1353"/>
      <c r="M369" s="1353"/>
      <c r="N369" s="1353"/>
    </row>
    <row r="370" spans="1:14" x14ac:dyDescent="0.25">
      <c r="A370" s="1353"/>
      <c r="B370" s="1353"/>
      <c r="C370" s="1353"/>
      <c r="D370" s="1353"/>
      <c r="E370" s="1353"/>
      <c r="F370" s="1353"/>
      <c r="G370" s="1353"/>
      <c r="H370" s="1353"/>
      <c r="I370" s="1353"/>
      <c r="J370" s="1353"/>
      <c r="K370" s="1387"/>
      <c r="L370" s="1353"/>
      <c r="M370" s="1353"/>
      <c r="N370" s="1353"/>
    </row>
    <row r="371" spans="1:14" x14ac:dyDescent="0.25">
      <c r="A371" s="1353"/>
      <c r="B371" s="1353"/>
      <c r="C371" s="1353"/>
      <c r="D371" s="1353"/>
      <c r="E371" s="1353"/>
      <c r="F371" s="1353"/>
      <c r="G371" s="1353"/>
      <c r="H371" s="1353"/>
      <c r="I371" s="1353"/>
      <c r="J371" s="1353"/>
      <c r="K371" s="1387"/>
      <c r="L371" s="1353"/>
      <c r="M371" s="1353"/>
      <c r="N371" s="1353"/>
    </row>
    <row r="372" spans="1:14" x14ac:dyDescent="0.25">
      <c r="A372" s="1353"/>
      <c r="B372" s="1353"/>
      <c r="C372" s="1353"/>
      <c r="D372" s="1353"/>
      <c r="E372" s="1353"/>
      <c r="F372" s="1353"/>
      <c r="G372" s="1353"/>
      <c r="H372" s="1353"/>
      <c r="I372" s="1353"/>
      <c r="J372" s="1353"/>
      <c r="K372" s="1387"/>
      <c r="L372" s="1353"/>
      <c r="M372" s="1353"/>
      <c r="N372" s="1353"/>
    </row>
    <row r="373" spans="1:14" x14ac:dyDescent="0.25">
      <c r="A373" s="1353"/>
      <c r="B373" s="1353"/>
      <c r="C373" s="1353"/>
      <c r="D373" s="1353"/>
      <c r="E373" s="1353"/>
      <c r="F373" s="1353"/>
      <c r="G373" s="1353"/>
      <c r="H373" s="1353"/>
      <c r="I373" s="1353"/>
      <c r="J373" s="1353"/>
      <c r="K373" s="1387"/>
      <c r="L373" s="1353"/>
      <c r="M373" s="1353"/>
      <c r="N373" s="1353"/>
    </row>
    <row r="374" spans="1:14" x14ac:dyDescent="0.25">
      <c r="A374" s="1353"/>
      <c r="B374" s="1353"/>
      <c r="C374" s="1353"/>
      <c r="D374" s="1353"/>
      <c r="E374" s="1353"/>
      <c r="F374" s="1353"/>
      <c r="G374" s="1353"/>
      <c r="H374" s="1353"/>
      <c r="I374" s="1353"/>
      <c r="J374" s="1353"/>
      <c r="K374" s="1387"/>
      <c r="L374" s="1353"/>
      <c r="M374" s="1353"/>
      <c r="N374" s="1353"/>
    </row>
    <row r="375" spans="1:14" x14ac:dyDescent="0.25">
      <c r="A375" s="1353"/>
      <c r="B375" s="1353"/>
      <c r="C375" s="1353"/>
      <c r="D375" s="1353"/>
      <c r="E375" s="1353"/>
      <c r="F375" s="1353"/>
      <c r="G375" s="1353"/>
      <c r="H375" s="1353"/>
      <c r="I375" s="1353"/>
      <c r="J375" s="1353"/>
      <c r="K375" s="1387"/>
      <c r="L375" s="1353"/>
      <c r="M375" s="1353"/>
      <c r="N375" s="1353"/>
    </row>
    <row r="376" spans="1:14" x14ac:dyDescent="0.25">
      <c r="A376" s="1353"/>
      <c r="B376" s="1353"/>
      <c r="C376" s="1353"/>
      <c r="D376" s="1353"/>
      <c r="E376" s="1353"/>
      <c r="F376" s="1353"/>
      <c r="G376" s="1353"/>
      <c r="H376" s="1353"/>
      <c r="I376" s="1353"/>
      <c r="J376" s="1353"/>
      <c r="K376" s="1387"/>
      <c r="L376" s="1353"/>
      <c r="M376" s="1353"/>
      <c r="N376" s="1353"/>
    </row>
    <row r="377" spans="1:14" x14ac:dyDescent="0.25">
      <c r="A377" s="1353"/>
      <c r="B377" s="1353"/>
      <c r="C377" s="1353"/>
      <c r="D377" s="1353"/>
      <c r="E377" s="1353"/>
      <c r="F377" s="1353"/>
      <c r="G377" s="1353"/>
      <c r="H377" s="1353"/>
      <c r="I377" s="1353"/>
      <c r="J377" s="1353"/>
      <c r="K377" s="1387"/>
      <c r="L377" s="1353"/>
      <c r="M377" s="1353"/>
      <c r="N377" s="1353"/>
    </row>
    <row r="378" spans="1:14" x14ac:dyDescent="0.25">
      <c r="A378" s="1353"/>
      <c r="B378" s="1353"/>
      <c r="C378" s="1353"/>
      <c r="D378" s="1353"/>
      <c r="E378" s="1353"/>
      <c r="F378" s="1353"/>
      <c r="G378" s="1353"/>
      <c r="H378" s="1353"/>
      <c r="I378" s="1353"/>
      <c r="J378" s="1353"/>
      <c r="K378" s="1387"/>
      <c r="L378" s="1353"/>
      <c r="M378" s="1353"/>
      <c r="N378" s="1353"/>
    </row>
    <row r="379" spans="1:14" x14ac:dyDescent="0.25">
      <c r="A379" s="1353"/>
      <c r="B379" s="1353"/>
      <c r="C379" s="1353"/>
      <c r="D379" s="1353"/>
      <c r="E379" s="1353"/>
      <c r="F379" s="1353"/>
      <c r="G379" s="1353"/>
      <c r="H379" s="1353"/>
      <c r="I379" s="1353"/>
      <c r="J379" s="1353"/>
      <c r="K379" s="1387"/>
      <c r="L379" s="1353"/>
      <c r="M379" s="1353"/>
      <c r="N379" s="1353"/>
    </row>
    <row r="380" spans="1:14" x14ac:dyDescent="0.25">
      <c r="A380" s="1353"/>
      <c r="B380" s="1353"/>
      <c r="C380" s="1353"/>
      <c r="D380" s="1353"/>
      <c r="E380" s="1353"/>
      <c r="F380" s="1353"/>
      <c r="G380" s="1353"/>
      <c r="H380" s="1353"/>
      <c r="I380" s="1353"/>
      <c r="J380" s="1353"/>
      <c r="K380" s="1387"/>
      <c r="L380" s="1353"/>
      <c r="M380" s="1353"/>
      <c r="N380" s="1353"/>
    </row>
    <row r="381" spans="1:14" x14ac:dyDescent="0.25">
      <c r="A381" s="1353"/>
      <c r="B381" s="1353"/>
      <c r="C381" s="1353"/>
      <c r="D381" s="1353"/>
      <c r="E381" s="1353"/>
      <c r="F381" s="1353"/>
      <c r="G381" s="1353"/>
      <c r="H381" s="1353"/>
      <c r="I381" s="1353"/>
      <c r="J381" s="1353"/>
      <c r="K381" s="1387"/>
      <c r="L381" s="1353"/>
      <c r="M381" s="1353"/>
      <c r="N381" s="1353"/>
    </row>
    <row r="382" spans="1:14" x14ac:dyDescent="0.25">
      <c r="A382" s="1353"/>
      <c r="B382" s="1353"/>
      <c r="C382" s="1353"/>
      <c r="D382" s="1353"/>
      <c r="E382" s="1353"/>
      <c r="F382" s="1353"/>
      <c r="G382" s="1353"/>
      <c r="H382" s="1353"/>
      <c r="I382" s="1353"/>
      <c r="J382" s="1353"/>
      <c r="K382" s="1387"/>
      <c r="L382" s="1353"/>
      <c r="M382" s="1353"/>
      <c r="N382" s="1353"/>
    </row>
    <row r="383" spans="1:14" x14ac:dyDescent="0.25">
      <c r="A383" s="1353"/>
      <c r="B383" s="1353"/>
      <c r="C383" s="1353"/>
      <c r="D383" s="1353"/>
      <c r="E383" s="1353"/>
      <c r="F383" s="1353"/>
      <c r="G383" s="1353"/>
      <c r="H383" s="1353"/>
      <c r="I383" s="1353"/>
      <c r="J383" s="1353"/>
      <c r="K383" s="1387"/>
      <c r="L383" s="1353"/>
      <c r="M383" s="1353"/>
      <c r="N383" s="1353"/>
    </row>
    <row r="384" spans="1:14" x14ac:dyDescent="0.25">
      <c r="A384" s="1353"/>
      <c r="B384" s="1353"/>
      <c r="C384" s="1353"/>
      <c r="D384" s="1353"/>
      <c r="E384" s="1353"/>
      <c r="F384" s="1353"/>
      <c r="G384" s="1353"/>
      <c r="H384" s="1353"/>
      <c r="I384" s="1353"/>
      <c r="J384" s="1353"/>
      <c r="K384" s="1387"/>
      <c r="L384" s="1353"/>
      <c r="M384" s="1353"/>
      <c r="N384" s="1353"/>
    </row>
    <row r="385" spans="1:14" x14ac:dyDescent="0.25">
      <c r="A385" s="1353"/>
      <c r="B385" s="1353"/>
      <c r="C385" s="1353"/>
      <c r="D385" s="1353"/>
      <c r="E385" s="1353"/>
      <c r="F385" s="1353"/>
      <c r="G385" s="1353"/>
      <c r="H385" s="1353"/>
      <c r="I385" s="1353"/>
      <c r="J385" s="1353"/>
      <c r="K385" s="1387"/>
      <c r="L385" s="1353"/>
      <c r="M385" s="1353"/>
      <c r="N385" s="1353"/>
    </row>
    <row r="386" spans="1:14" x14ac:dyDescent="0.25">
      <c r="A386" s="1353"/>
      <c r="B386" s="1353"/>
      <c r="C386" s="1353"/>
      <c r="D386" s="1353"/>
      <c r="E386" s="1353"/>
      <c r="F386" s="1353"/>
      <c r="G386" s="1353"/>
      <c r="H386" s="1353"/>
      <c r="I386" s="1353"/>
      <c r="J386" s="1353"/>
      <c r="K386" s="1387"/>
      <c r="L386" s="1353"/>
      <c r="M386" s="1353"/>
      <c r="N386" s="1353"/>
    </row>
    <row r="387" spans="1:14" x14ac:dyDescent="0.25">
      <c r="A387" s="1353"/>
      <c r="B387" s="1353"/>
      <c r="C387" s="1353"/>
      <c r="D387" s="1353"/>
      <c r="E387" s="1353"/>
      <c r="F387" s="1353"/>
      <c r="G387" s="1353"/>
      <c r="H387" s="1353"/>
      <c r="I387" s="1353"/>
      <c r="J387" s="1353"/>
      <c r="K387" s="1387"/>
      <c r="L387" s="1353"/>
      <c r="M387" s="1353"/>
      <c r="N387" s="1353"/>
    </row>
    <row r="388" spans="1:14" x14ac:dyDescent="0.25">
      <c r="A388" s="1353"/>
      <c r="B388" s="1353"/>
      <c r="C388" s="1353"/>
      <c r="D388" s="1353"/>
      <c r="E388" s="1353"/>
      <c r="F388" s="1353"/>
      <c r="G388" s="1353"/>
      <c r="H388" s="1353"/>
      <c r="I388" s="1353"/>
      <c r="J388" s="1353"/>
      <c r="K388" s="1387"/>
      <c r="L388" s="1353"/>
      <c r="M388" s="1353"/>
      <c r="N388" s="1353"/>
    </row>
    <row r="389" spans="1:14" x14ac:dyDescent="0.25">
      <c r="A389" s="1353"/>
      <c r="B389" s="1353"/>
      <c r="C389" s="1353"/>
      <c r="D389" s="1353"/>
      <c r="E389" s="1353"/>
      <c r="F389" s="1353"/>
      <c r="G389" s="1353"/>
      <c r="H389" s="1353"/>
      <c r="I389" s="1353"/>
      <c r="J389" s="1353"/>
      <c r="K389" s="1387"/>
      <c r="L389" s="1353"/>
      <c r="M389" s="1353"/>
      <c r="N389" s="1353"/>
    </row>
    <row r="390" spans="1:14" x14ac:dyDescent="0.25">
      <c r="A390" s="1353"/>
      <c r="B390" s="1353"/>
      <c r="C390" s="1353"/>
      <c r="D390" s="1353"/>
      <c r="E390" s="1353"/>
      <c r="F390" s="1353"/>
      <c r="G390" s="1353"/>
      <c r="H390" s="1353"/>
      <c r="I390" s="1353"/>
      <c r="J390" s="1353"/>
      <c r="K390" s="1387"/>
      <c r="L390" s="1353"/>
      <c r="M390" s="1353"/>
      <c r="N390" s="1353"/>
    </row>
    <row r="391" spans="1:14" x14ac:dyDescent="0.25">
      <c r="A391" s="1353"/>
      <c r="B391" s="1353"/>
      <c r="C391" s="1353"/>
      <c r="D391" s="1353"/>
      <c r="E391" s="1353"/>
      <c r="F391" s="1353"/>
      <c r="G391" s="1353"/>
      <c r="H391" s="1353"/>
      <c r="I391" s="1353"/>
      <c r="J391" s="1353"/>
      <c r="K391" s="1387"/>
      <c r="L391" s="1353"/>
      <c r="M391" s="1353"/>
      <c r="N391" s="1353"/>
    </row>
    <row r="392" spans="1:14" x14ac:dyDescent="0.25">
      <c r="A392" s="1353"/>
      <c r="B392" s="1353"/>
      <c r="C392" s="1353"/>
      <c r="D392" s="1353"/>
      <c r="E392" s="1353"/>
      <c r="F392" s="1353"/>
      <c r="G392" s="1353"/>
      <c r="H392" s="1353"/>
      <c r="I392" s="1353"/>
      <c r="J392" s="1353"/>
      <c r="K392" s="1387"/>
      <c r="L392" s="1353"/>
      <c r="M392" s="1353"/>
      <c r="N392" s="1353"/>
    </row>
    <row r="393" spans="1:14" x14ac:dyDescent="0.25">
      <c r="A393" s="1353"/>
      <c r="B393" s="1353"/>
      <c r="C393" s="1353"/>
      <c r="D393" s="1353"/>
      <c r="E393" s="1353"/>
      <c r="F393" s="1353"/>
      <c r="G393" s="1353"/>
      <c r="H393" s="1353"/>
      <c r="I393" s="1353"/>
      <c r="J393" s="1353"/>
      <c r="K393" s="1387"/>
      <c r="L393" s="1353"/>
      <c r="M393" s="1353"/>
      <c r="N393" s="1353"/>
    </row>
    <row r="394" spans="1:14" x14ac:dyDescent="0.25">
      <c r="A394" s="1353"/>
      <c r="B394" s="1353"/>
      <c r="C394" s="1353"/>
      <c r="D394" s="1353"/>
      <c r="E394" s="1353"/>
      <c r="F394" s="1353"/>
      <c r="G394" s="1353"/>
      <c r="H394" s="1353"/>
      <c r="I394" s="1353"/>
      <c r="J394" s="1353"/>
      <c r="K394" s="1387"/>
      <c r="L394" s="1353"/>
      <c r="M394" s="1353"/>
      <c r="N394" s="1353"/>
    </row>
    <row r="395" spans="1:14" x14ac:dyDescent="0.25">
      <c r="A395" s="1353"/>
      <c r="B395" s="1353"/>
      <c r="C395" s="1353"/>
      <c r="D395" s="1353"/>
      <c r="E395" s="1353"/>
      <c r="F395" s="1353"/>
      <c r="G395" s="1353"/>
      <c r="H395" s="1353"/>
      <c r="I395" s="1353"/>
      <c r="J395" s="1353"/>
      <c r="K395" s="1387"/>
      <c r="L395" s="1353"/>
      <c r="M395" s="1353"/>
      <c r="N395" s="1353"/>
    </row>
    <row r="396" spans="1:14" x14ac:dyDescent="0.25">
      <c r="A396" s="1353"/>
      <c r="B396" s="1353"/>
      <c r="C396" s="1353"/>
      <c r="D396" s="1353"/>
      <c r="E396" s="1353"/>
      <c r="F396" s="1353"/>
      <c r="G396" s="1353"/>
      <c r="H396" s="1353"/>
      <c r="I396" s="1353"/>
      <c r="J396" s="1353"/>
      <c r="K396" s="1387"/>
      <c r="L396" s="1353"/>
      <c r="M396" s="1353"/>
      <c r="N396" s="1353"/>
    </row>
    <row r="397" spans="1:14" x14ac:dyDescent="0.25">
      <c r="A397" s="1353"/>
      <c r="B397" s="1353"/>
      <c r="C397" s="1353"/>
      <c r="D397" s="1353"/>
      <c r="E397" s="1353"/>
      <c r="F397" s="1353"/>
      <c r="G397" s="1353"/>
      <c r="H397" s="1353"/>
      <c r="I397" s="1353"/>
      <c r="J397" s="1353"/>
      <c r="K397" s="1387"/>
      <c r="L397" s="1353"/>
      <c r="M397" s="1353"/>
      <c r="N397" s="1353"/>
    </row>
    <row r="398" spans="1:14" x14ac:dyDescent="0.25">
      <c r="A398" s="1353"/>
      <c r="B398" s="1353"/>
      <c r="C398" s="1353"/>
      <c r="D398" s="1353"/>
      <c r="E398" s="1353"/>
      <c r="F398" s="1353"/>
      <c r="G398" s="1353"/>
      <c r="H398" s="1353"/>
      <c r="I398" s="1353"/>
      <c r="J398" s="1353"/>
      <c r="K398" s="1387"/>
      <c r="L398" s="1353"/>
      <c r="M398" s="1353"/>
      <c r="N398" s="1353"/>
    </row>
    <row r="399" spans="1:14" x14ac:dyDescent="0.25">
      <c r="A399" s="1353"/>
      <c r="B399" s="1353"/>
      <c r="C399" s="1353"/>
      <c r="D399" s="1353"/>
      <c r="E399" s="1353"/>
      <c r="F399" s="1353"/>
      <c r="G399" s="1353"/>
      <c r="H399" s="1353"/>
      <c r="I399" s="1353"/>
      <c r="J399" s="1353"/>
      <c r="K399" s="1387"/>
      <c r="L399" s="1353"/>
      <c r="M399" s="1353"/>
      <c r="N399" s="1353"/>
    </row>
    <row r="400" spans="1:14" x14ac:dyDescent="0.25">
      <c r="A400" s="1353"/>
      <c r="B400" s="1353"/>
      <c r="C400" s="1353"/>
      <c r="D400" s="1353"/>
      <c r="E400" s="1353"/>
      <c r="F400" s="1353"/>
      <c r="G400" s="1353"/>
      <c r="H400" s="1353"/>
      <c r="I400" s="1353"/>
      <c r="J400" s="1353"/>
      <c r="K400" s="1387"/>
      <c r="L400" s="1353"/>
      <c r="M400" s="1353"/>
      <c r="N400" s="1353"/>
    </row>
    <row r="401" spans="1:14" x14ac:dyDescent="0.25">
      <c r="A401" s="1353"/>
      <c r="B401" s="1353"/>
      <c r="C401" s="1353"/>
      <c r="D401" s="1353"/>
      <c r="E401" s="1353"/>
      <c r="F401" s="1353"/>
      <c r="G401" s="1353"/>
      <c r="H401" s="1353"/>
      <c r="I401" s="1353"/>
      <c r="J401" s="1353"/>
      <c r="K401" s="1387"/>
      <c r="L401" s="1353"/>
      <c r="M401" s="1353"/>
      <c r="N401" s="1353"/>
    </row>
    <row r="402" spans="1:14" x14ac:dyDescent="0.25">
      <c r="A402" s="1353"/>
      <c r="B402" s="1353"/>
      <c r="C402" s="1353"/>
      <c r="D402" s="1353"/>
      <c r="E402" s="1353"/>
      <c r="F402" s="1353"/>
      <c r="G402" s="1353"/>
      <c r="H402" s="1353"/>
      <c r="I402" s="1353"/>
      <c r="J402" s="1353"/>
      <c r="K402" s="1387"/>
      <c r="L402" s="1353"/>
      <c r="M402" s="1353"/>
      <c r="N402" s="1353"/>
    </row>
    <row r="403" spans="1:14" x14ac:dyDescent="0.25">
      <c r="A403" s="1353"/>
      <c r="B403" s="1353"/>
      <c r="C403" s="1353"/>
      <c r="D403" s="1353"/>
      <c r="E403" s="1353"/>
      <c r="F403" s="1353"/>
      <c r="G403" s="1353"/>
      <c r="H403" s="1353"/>
      <c r="I403" s="1353"/>
      <c r="J403" s="1353"/>
      <c r="K403" s="1387"/>
      <c r="L403" s="1353"/>
      <c r="M403" s="1353"/>
      <c r="N403" s="1353"/>
    </row>
    <row r="404" spans="1:14" x14ac:dyDescent="0.25">
      <c r="A404" s="1353"/>
      <c r="B404" s="1353"/>
      <c r="C404" s="1353"/>
      <c r="D404" s="1353"/>
      <c r="E404" s="1353"/>
      <c r="F404" s="1353"/>
      <c r="G404" s="1353"/>
      <c r="H404" s="1353"/>
      <c r="I404" s="1353"/>
      <c r="J404" s="1353"/>
      <c r="K404" s="1387"/>
      <c r="L404" s="1353"/>
      <c r="M404" s="1353"/>
      <c r="N404" s="1353"/>
    </row>
    <row r="405" spans="1:14" x14ac:dyDescent="0.25">
      <c r="A405" s="1353"/>
      <c r="B405" s="1353"/>
      <c r="C405" s="1353"/>
      <c r="D405" s="1353"/>
      <c r="E405" s="1353"/>
      <c r="F405" s="1353"/>
      <c r="G405" s="1353"/>
      <c r="H405" s="1353"/>
      <c r="I405" s="1353"/>
      <c r="J405" s="1353"/>
      <c r="K405" s="1387"/>
      <c r="L405" s="1353"/>
      <c r="M405" s="1353"/>
      <c r="N405" s="1353"/>
    </row>
    <row r="406" spans="1:14" x14ac:dyDescent="0.25">
      <c r="A406" s="1353"/>
      <c r="B406" s="1353"/>
      <c r="C406" s="1353"/>
      <c r="D406" s="1353"/>
      <c r="E406" s="1353"/>
      <c r="F406" s="1353"/>
      <c r="G406" s="1353"/>
      <c r="H406" s="1353"/>
      <c r="I406" s="1353"/>
      <c r="J406" s="1353"/>
      <c r="K406" s="1387"/>
      <c r="L406" s="1353"/>
      <c r="M406" s="1353"/>
      <c r="N406" s="1353"/>
    </row>
    <row r="407" spans="1:14" x14ac:dyDescent="0.25">
      <c r="A407" s="1353"/>
      <c r="B407" s="1353"/>
      <c r="C407" s="1353"/>
      <c r="D407" s="1353"/>
      <c r="E407" s="1353"/>
      <c r="F407" s="1353"/>
      <c r="G407" s="1353"/>
      <c r="H407" s="1353"/>
      <c r="I407" s="1353"/>
      <c r="J407" s="1353"/>
      <c r="K407" s="1387"/>
      <c r="L407" s="1353"/>
      <c r="M407" s="1353"/>
      <c r="N407" s="1353"/>
    </row>
    <row r="408" spans="1:14" x14ac:dyDescent="0.25">
      <c r="A408" s="1353"/>
      <c r="B408" s="1353"/>
      <c r="C408" s="1353"/>
      <c r="D408" s="1353"/>
      <c r="E408" s="1353"/>
      <c r="F408" s="1353"/>
      <c r="G408" s="1353"/>
      <c r="H408" s="1353"/>
      <c r="I408" s="1353"/>
      <c r="J408" s="1353"/>
      <c r="K408" s="1387"/>
      <c r="L408" s="1353"/>
      <c r="M408" s="1353"/>
      <c r="N408" s="1353"/>
    </row>
    <row r="409" spans="1:14" x14ac:dyDescent="0.25">
      <c r="A409" s="1353"/>
      <c r="B409" s="1353"/>
      <c r="C409" s="1353"/>
      <c r="D409" s="1353"/>
      <c r="E409" s="1353"/>
      <c r="F409" s="1353"/>
      <c r="G409" s="1353"/>
      <c r="H409" s="1353"/>
      <c r="I409" s="1353"/>
      <c r="J409" s="1353"/>
      <c r="K409" s="1387"/>
      <c r="L409" s="1353"/>
      <c r="M409" s="1353"/>
      <c r="N409" s="1353"/>
    </row>
    <row r="410" spans="1:14" x14ac:dyDescent="0.25">
      <c r="A410" s="1353"/>
      <c r="B410" s="1353"/>
      <c r="C410" s="1353"/>
      <c r="D410" s="1353"/>
      <c r="E410" s="1353"/>
      <c r="F410" s="1353"/>
      <c r="G410" s="1353"/>
      <c r="H410" s="1353"/>
      <c r="I410" s="1353"/>
      <c r="J410" s="1353"/>
      <c r="K410" s="1387"/>
      <c r="L410" s="1353"/>
      <c r="M410" s="1353"/>
      <c r="N410" s="1353"/>
    </row>
    <row r="411" spans="1:14" x14ac:dyDescent="0.25">
      <c r="A411" s="1353"/>
      <c r="B411" s="1353"/>
      <c r="C411" s="1353"/>
      <c r="D411" s="1353"/>
      <c r="E411" s="1353"/>
      <c r="F411" s="1353"/>
      <c r="G411" s="1353"/>
      <c r="H411" s="1353"/>
      <c r="I411" s="1353"/>
      <c r="J411" s="1353"/>
      <c r="K411" s="1387"/>
      <c r="L411" s="1353"/>
      <c r="M411" s="1353"/>
      <c r="N411" s="1353"/>
    </row>
    <row r="412" spans="1:14" x14ac:dyDescent="0.25">
      <c r="A412" s="1353"/>
      <c r="B412" s="1353"/>
      <c r="C412" s="1353"/>
      <c r="D412" s="1353"/>
      <c r="E412" s="1353"/>
      <c r="F412" s="1353"/>
      <c r="G412" s="1353"/>
      <c r="H412" s="1353"/>
      <c r="I412" s="1353"/>
      <c r="J412" s="1353"/>
      <c r="K412" s="1387"/>
      <c r="L412" s="1353"/>
      <c r="M412" s="1353"/>
      <c r="N412" s="1353"/>
    </row>
    <row r="413" spans="1:14" x14ac:dyDescent="0.25">
      <c r="A413" s="1353"/>
      <c r="B413" s="1353"/>
      <c r="C413" s="1353"/>
      <c r="D413" s="1353"/>
      <c r="E413" s="1353"/>
      <c r="F413" s="1353"/>
      <c r="G413" s="1353"/>
      <c r="H413" s="1353"/>
      <c r="I413" s="1353"/>
      <c r="J413" s="1353"/>
      <c r="K413" s="1387"/>
      <c r="L413" s="1353"/>
      <c r="M413" s="1353"/>
      <c r="N413" s="1353"/>
    </row>
    <row r="414" spans="1:14" x14ac:dyDescent="0.25">
      <c r="A414" s="1353"/>
      <c r="B414" s="1353"/>
      <c r="C414" s="1353"/>
      <c r="D414" s="1353"/>
      <c r="E414" s="1353"/>
      <c r="F414" s="1353"/>
      <c r="G414" s="1353"/>
      <c r="H414" s="1353"/>
      <c r="I414" s="1353"/>
      <c r="J414" s="1353"/>
      <c r="K414" s="1387"/>
      <c r="L414" s="1353"/>
      <c r="M414" s="1353"/>
      <c r="N414" s="1353"/>
    </row>
    <row r="415" spans="1:14" x14ac:dyDescent="0.25">
      <c r="A415" s="1353"/>
      <c r="B415" s="1353"/>
      <c r="C415" s="1353"/>
      <c r="D415" s="1353"/>
      <c r="E415" s="1353"/>
      <c r="F415" s="1353"/>
      <c r="G415" s="1353"/>
      <c r="H415" s="1353"/>
      <c r="I415" s="1353"/>
      <c r="J415" s="1353"/>
      <c r="K415" s="1387"/>
      <c r="L415" s="1353"/>
      <c r="M415" s="1353"/>
      <c r="N415" s="1353"/>
    </row>
    <row r="416" spans="1:14" x14ac:dyDescent="0.25">
      <c r="A416" s="1353"/>
      <c r="B416" s="1353"/>
      <c r="C416" s="1353"/>
      <c r="D416" s="1353"/>
      <c r="E416" s="1353"/>
      <c r="F416" s="1353"/>
      <c r="G416" s="1353"/>
      <c r="H416" s="1353"/>
      <c r="I416" s="1353"/>
      <c r="J416" s="1353"/>
      <c r="K416" s="1387"/>
      <c r="L416" s="1353"/>
      <c r="M416" s="1353"/>
      <c r="N416" s="1353"/>
    </row>
    <row r="417" spans="1:14" x14ac:dyDescent="0.25">
      <c r="A417" s="1353"/>
      <c r="B417" s="1353"/>
      <c r="C417" s="1353"/>
      <c r="D417" s="1353"/>
      <c r="E417" s="1353"/>
      <c r="F417" s="1353"/>
      <c r="G417" s="1353"/>
      <c r="H417" s="1353"/>
      <c r="I417" s="1353"/>
      <c r="J417" s="1353"/>
      <c r="K417" s="1387"/>
      <c r="L417" s="1353"/>
      <c r="M417" s="1353"/>
      <c r="N417" s="1353"/>
    </row>
    <row r="418" spans="1:14" x14ac:dyDescent="0.25">
      <c r="A418" s="1353"/>
      <c r="B418" s="1353"/>
      <c r="C418" s="1353"/>
      <c r="D418" s="1353"/>
      <c r="E418" s="1353"/>
      <c r="F418" s="1353"/>
      <c r="G418" s="1353"/>
      <c r="H418" s="1353"/>
      <c r="I418" s="1353"/>
      <c r="J418" s="1353"/>
      <c r="K418" s="1387"/>
      <c r="L418" s="1353"/>
      <c r="M418" s="1353"/>
      <c r="N418" s="1353"/>
    </row>
    <row r="419" spans="1:14" x14ac:dyDescent="0.25">
      <c r="A419" s="1353"/>
      <c r="B419" s="1353"/>
      <c r="C419" s="1353"/>
      <c r="D419" s="1353"/>
      <c r="E419" s="1353"/>
      <c r="F419" s="1353"/>
      <c r="G419" s="1353"/>
      <c r="H419" s="1353"/>
      <c r="I419" s="1353"/>
      <c r="J419" s="1353"/>
      <c r="K419" s="1387"/>
      <c r="L419" s="1353"/>
      <c r="M419" s="1353"/>
      <c r="N419" s="1353"/>
    </row>
    <row r="420" spans="1:14" x14ac:dyDescent="0.25">
      <c r="A420" s="1353"/>
      <c r="B420" s="1353"/>
      <c r="C420" s="1353"/>
      <c r="D420" s="1353"/>
      <c r="E420" s="1353"/>
      <c r="F420" s="1353"/>
      <c r="G420" s="1353"/>
      <c r="H420" s="1353"/>
      <c r="I420" s="1353"/>
      <c r="J420" s="1353"/>
      <c r="K420" s="1387"/>
      <c r="L420" s="1353"/>
      <c r="M420" s="1353"/>
      <c r="N420" s="1353"/>
    </row>
    <row r="421" spans="1:14" x14ac:dyDescent="0.25">
      <c r="A421" s="1353"/>
      <c r="B421" s="1353"/>
      <c r="C421" s="1353"/>
      <c r="D421" s="1353"/>
      <c r="E421" s="1353"/>
      <c r="F421" s="1353"/>
      <c r="G421" s="1353"/>
      <c r="H421" s="1353"/>
      <c r="I421" s="1353"/>
      <c r="J421" s="1353"/>
      <c r="K421" s="1387"/>
      <c r="L421" s="1353"/>
      <c r="M421" s="1353"/>
      <c r="N421" s="1353"/>
    </row>
    <row r="422" spans="1:14" x14ac:dyDescent="0.25">
      <c r="A422" s="1353"/>
      <c r="B422" s="1353"/>
      <c r="C422" s="1353"/>
      <c r="D422" s="1353"/>
      <c r="E422" s="1353"/>
      <c r="F422" s="1353"/>
      <c r="G422" s="1353"/>
      <c r="H422" s="1353"/>
      <c r="I422" s="1353"/>
      <c r="J422" s="1353"/>
      <c r="K422" s="1387"/>
      <c r="L422" s="1353"/>
      <c r="M422" s="1353"/>
      <c r="N422" s="1353"/>
    </row>
    <row r="423" spans="1:14" x14ac:dyDescent="0.25">
      <c r="A423" s="1353"/>
      <c r="B423" s="1353"/>
      <c r="C423" s="1353"/>
      <c r="D423" s="1353"/>
      <c r="E423" s="1353"/>
      <c r="F423" s="1353"/>
      <c r="G423" s="1353"/>
      <c r="H423" s="1353"/>
      <c r="I423" s="1353"/>
      <c r="J423" s="1353"/>
      <c r="K423" s="1387"/>
      <c r="L423" s="1353"/>
      <c r="M423" s="1353"/>
      <c r="N423" s="1353"/>
    </row>
    <row r="424" spans="1:14" x14ac:dyDescent="0.25">
      <c r="A424" s="1353"/>
      <c r="B424" s="1353"/>
      <c r="C424" s="1353"/>
      <c r="D424" s="1353"/>
      <c r="E424" s="1353"/>
      <c r="F424" s="1353"/>
      <c r="G424" s="1353"/>
      <c r="H424" s="1353"/>
      <c r="I424" s="1353"/>
      <c r="J424" s="1353"/>
      <c r="K424" s="1387"/>
      <c r="L424" s="1353"/>
      <c r="M424" s="1353"/>
      <c r="N424" s="1353"/>
    </row>
    <row r="425" spans="1:14" x14ac:dyDescent="0.25">
      <c r="A425" s="1353"/>
      <c r="B425" s="1353"/>
      <c r="C425" s="1353"/>
      <c r="D425" s="1353"/>
      <c r="E425" s="1353"/>
      <c r="F425" s="1353"/>
      <c r="G425" s="1353"/>
      <c r="H425" s="1353"/>
      <c r="I425" s="1353"/>
      <c r="J425" s="1353"/>
      <c r="K425" s="1387"/>
      <c r="L425" s="1353"/>
      <c r="M425" s="1353"/>
      <c r="N425" s="1353"/>
    </row>
    <row r="426" spans="1:14" x14ac:dyDescent="0.25">
      <c r="A426" s="1353"/>
      <c r="B426" s="1353"/>
      <c r="C426" s="1353"/>
      <c r="D426" s="1353"/>
      <c r="E426" s="1353"/>
      <c r="F426" s="1353"/>
      <c r="G426" s="1353"/>
      <c r="H426" s="1353"/>
      <c r="I426" s="1353"/>
      <c r="J426" s="1353"/>
      <c r="K426" s="1387"/>
      <c r="L426" s="1353"/>
      <c r="M426" s="1353"/>
      <c r="N426" s="1353"/>
    </row>
    <row r="427" spans="1:14" x14ac:dyDescent="0.25">
      <c r="A427" s="1353"/>
      <c r="B427" s="1353"/>
      <c r="C427" s="1353"/>
      <c r="D427" s="1353"/>
      <c r="E427" s="1353"/>
      <c r="F427" s="1353"/>
      <c r="G427" s="1353"/>
      <c r="H427" s="1353"/>
      <c r="I427" s="1353"/>
      <c r="J427" s="1353"/>
      <c r="K427" s="1387"/>
      <c r="L427" s="1353"/>
      <c r="M427" s="1353"/>
      <c r="N427" s="1353"/>
    </row>
    <row r="428" spans="1:14" x14ac:dyDescent="0.25">
      <c r="A428" s="1353"/>
      <c r="B428" s="1353"/>
      <c r="C428" s="1353"/>
      <c r="D428" s="1353"/>
      <c r="E428" s="1353"/>
      <c r="F428" s="1353"/>
      <c r="G428" s="1353"/>
      <c r="H428" s="1353"/>
      <c r="I428" s="1353"/>
      <c r="J428" s="1353"/>
      <c r="K428" s="1387"/>
      <c r="L428" s="1353"/>
      <c r="M428" s="1353"/>
      <c r="N428" s="1353"/>
    </row>
    <row r="429" spans="1:14" x14ac:dyDescent="0.25">
      <c r="A429" s="1353"/>
      <c r="B429" s="1353"/>
      <c r="C429" s="1353"/>
      <c r="D429" s="1353"/>
      <c r="E429" s="1353"/>
      <c r="F429" s="1353"/>
      <c r="G429" s="1353"/>
      <c r="H429" s="1353"/>
      <c r="I429" s="1353"/>
      <c r="J429" s="1353"/>
      <c r="K429" s="1387"/>
      <c r="L429" s="1353"/>
      <c r="M429" s="1353"/>
      <c r="N429" s="1353"/>
    </row>
    <row r="430" spans="1:14" x14ac:dyDescent="0.25">
      <c r="A430" s="1353"/>
      <c r="B430" s="1353"/>
      <c r="C430" s="1353"/>
      <c r="D430" s="1353"/>
      <c r="E430" s="1353"/>
      <c r="F430" s="1353"/>
      <c r="G430" s="1353"/>
      <c r="H430" s="1353"/>
      <c r="I430" s="1353"/>
      <c r="J430" s="1353"/>
      <c r="K430" s="1387"/>
      <c r="L430" s="1353"/>
      <c r="M430" s="1353"/>
      <c r="N430" s="1353"/>
    </row>
    <row r="431" spans="1:14" x14ac:dyDescent="0.25">
      <c r="A431" s="1353"/>
      <c r="B431" s="1353"/>
      <c r="C431" s="1353"/>
      <c r="D431" s="1353"/>
      <c r="E431" s="1353"/>
      <c r="F431" s="1353"/>
      <c r="G431" s="1353"/>
      <c r="H431" s="1353"/>
      <c r="I431" s="1353"/>
      <c r="J431" s="1353"/>
      <c r="K431" s="1387"/>
      <c r="L431" s="1353"/>
      <c r="M431" s="1353"/>
      <c r="N431" s="1353"/>
    </row>
    <row r="432" spans="1:14" x14ac:dyDescent="0.25">
      <c r="A432" s="1353"/>
      <c r="B432" s="1353"/>
      <c r="C432" s="1353"/>
      <c r="D432" s="1353"/>
      <c r="E432" s="1353"/>
      <c r="F432" s="1353"/>
      <c r="G432" s="1353"/>
      <c r="H432" s="1353"/>
      <c r="I432" s="1353"/>
      <c r="J432" s="1353"/>
      <c r="K432" s="1387"/>
      <c r="L432" s="1353"/>
      <c r="M432" s="1353"/>
      <c r="N432" s="1353"/>
    </row>
    <row r="433" spans="1:14" x14ac:dyDescent="0.25">
      <c r="A433" s="1353"/>
      <c r="B433" s="1353"/>
      <c r="C433" s="1353"/>
      <c r="D433" s="1353"/>
      <c r="E433" s="1353"/>
      <c r="F433" s="1353"/>
      <c r="G433" s="1353"/>
      <c r="H433" s="1353"/>
      <c r="I433" s="1353"/>
      <c r="J433" s="1353"/>
      <c r="K433" s="1387"/>
      <c r="L433" s="1353"/>
      <c r="M433" s="1353"/>
      <c r="N433" s="1353"/>
    </row>
    <row r="434" spans="1:14" x14ac:dyDescent="0.25">
      <c r="A434" s="1353"/>
      <c r="B434" s="1353"/>
      <c r="C434" s="1353"/>
      <c r="D434" s="1353"/>
      <c r="E434" s="1353"/>
      <c r="F434" s="1353"/>
      <c r="G434" s="1353"/>
      <c r="H434" s="1353"/>
      <c r="I434" s="1353"/>
      <c r="J434" s="1353"/>
      <c r="K434" s="1387"/>
      <c r="L434" s="1353"/>
      <c r="M434" s="1353"/>
      <c r="N434" s="1353"/>
    </row>
    <row r="435" spans="1:14" x14ac:dyDescent="0.25">
      <c r="A435" s="1353"/>
      <c r="B435" s="1353"/>
      <c r="C435" s="1353"/>
      <c r="D435" s="1353"/>
      <c r="E435" s="1353"/>
      <c r="F435" s="1353"/>
      <c r="G435" s="1353"/>
      <c r="H435" s="1353"/>
      <c r="I435" s="1353"/>
      <c r="J435" s="1353"/>
      <c r="K435" s="1387"/>
      <c r="L435" s="1353"/>
      <c r="M435" s="1353"/>
      <c r="N435" s="1353"/>
    </row>
    <row r="436" spans="1:14" x14ac:dyDescent="0.25">
      <c r="A436" s="1353"/>
      <c r="B436" s="1353"/>
      <c r="C436" s="1353"/>
      <c r="D436" s="1353"/>
      <c r="E436" s="1353"/>
      <c r="F436" s="1353"/>
      <c r="G436" s="1353"/>
      <c r="H436" s="1353"/>
      <c r="I436" s="1353"/>
      <c r="J436" s="1353"/>
      <c r="K436" s="1387"/>
      <c r="L436" s="1353"/>
      <c r="M436" s="1353"/>
      <c r="N436" s="1353"/>
    </row>
    <row r="437" spans="1:14" x14ac:dyDescent="0.25">
      <c r="A437" s="1353"/>
      <c r="B437" s="1353"/>
      <c r="C437" s="1353"/>
      <c r="D437" s="1353"/>
      <c r="E437" s="1353"/>
      <c r="F437" s="1353"/>
      <c r="G437" s="1353"/>
      <c r="H437" s="1353"/>
      <c r="I437" s="1353"/>
      <c r="J437" s="1353"/>
      <c r="K437" s="1387"/>
      <c r="L437" s="1353"/>
      <c r="M437" s="1353"/>
      <c r="N437" s="1353"/>
    </row>
    <row r="438" spans="1:14" x14ac:dyDescent="0.25">
      <c r="A438" s="1353"/>
      <c r="B438" s="1353"/>
      <c r="C438" s="1353"/>
      <c r="D438" s="1353"/>
      <c r="E438" s="1353"/>
      <c r="F438" s="1353"/>
      <c r="G438" s="1353"/>
      <c r="H438" s="1353"/>
      <c r="I438" s="1353"/>
      <c r="J438" s="1353"/>
      <c r="K438" s="1387"/>
      <c r="L438" s="1353"/>
      <c r="M438" s="1353"/>
      <c r="N438" s="1353"/>
    </row>
    <row r="439" spans="1:14" x14ac:dyDescent="0.25">
      <c r="A439" s="1353"/>
      <c r="B439" s="1353"/>
      <c r="C439" s="1353"/>
      <c r="D439" s="1353"/>
      <c r="E439" s="1353"/>
      <c r="F439" s="1353"/>
      <c r="G439" s="1353"/>
      <c r="H439" s="1353"/>
      <c r="I439" s="1353"/>
      <c r="J439" s="1353"/>
      <c r="K439" s="1387"/>
      <c r="L439" s="1353"/>
      <c r="M439" s="1353"/>
      <c r="N439" s="1353"/>
    </row>
    <row r="440" spans="1:14" x14ac:dyDescent="0.25">
      <c r="A440" s="1353"/>
      <c r="B440" s="1353"/>
      <c r="C440" s="1353"/>
      <c r="D440" s="1353"/>
      <c r="E440" s="1353"/>
      <c r="F440" s="1353"/>
      <c r="G440" s="1353"/>
      <c r="H440" s="1353"/>
      <c r="I440" s="1353"/>
      <c r="J440" s="1353"/>
      <c r="K440" s="1387"/>
      <c r="L440" s="1353"/>
      <c r="M440" s="1353"/>
      <c r="N440" s="1353"/>
    </row>
    <row r="441" spans="1:14" x14ac:dyDescent="0.25">
      <c r="A441" s="1353"/>
      <c r="B441" s="1353"/>
      <c r="C441" s="1353"/>
      <c r="D441" s="1353"/>
      <c r="E441" s="1353"/>
      <c r="F441" s="1353"/>
      <c r="G441" s="1353"/>
      <c r="H441" s="1353"/>
      <c r="I441" s="1353"/>
      <c r="J441" s="1353"/>
      <c r="K441" s="1387"/>
      <c r="L441" s="1353"/>
      <c r="M441" s="1353"/>
      <c r="N441" s="1353"/>
    </row>
    <row r="442" spans="1:14" x14ac:dyDescent="0.25">
      <c r="A442" s="1353"/>
      <c r="B442" s="1353"/>
      <c r="C442" s="1353"/>
      <c r="D442" s="1353"/>
      <c r="E442" s="1353"/>
      <c r="F442" s="1353"/>
      <c r="G442" s="1353"/>
      <c r="H442" s="1353"/>
      <c r="I442" s="1353"/>
      <c r="J442" s="1353"/>
      <c r="K442" s="1387"/>
      <c r="L442" s="1353"/>
      <c r="M442" s="1353"/>
      <c r="N442" s="1353"/>
    </row>
    <row r="443" spans="1:14" x14ac:dyDescent="0.25">
      <c r="A443" s="1353"/>
      <c r="B443" s="1353"/>
      <c r="C443" s="1353"/>
      <c r="D443" s="1353"/>
      <c r="E443" s="1353"/>
      <c r="F443" s="1353"/>
      <c r="G443" s="1353"/>
      <c r="H443" s="1353"/>
      <c r="I443" s="1353"/>
      <c r="J443" s="1353"/>
      <c r="K443" s="1387"/>
      <c r="L443" s="1353"/>
      <c r="M443" s="1353"/>
      <c r="N443" s="1353"/>
    </row>
    <row r="444" spans="1:14" x14ac:dyDescent="0.25">
      <c r="A444" s="1353"/>
      <c r="B444" s="1353"/>
      <c r="C444" s="1353"/>
      <c r="D444" s="1353"/>
      <c r="E444" s="1353"/>
      <c r="F444" s="1353"/>
      <c r="G444" s="1353"/>
      <c r="H444" s="1353"/>
      <c r="I444" s="1353"/>
      <c r="J444" s="1353"/>
      <c r="K444" s="1387"/>
      <c r="L444" s="1353"/>
      <c r="M444" s="1353"/>
      <c r="N444" s="1353"/>
    </row>
    <row r="445" spans="1:14" x14ac:dyDescent="0.25">
      <c r="A445" s="1353"/>
      <c r="B445" s="1353"/>
      <c r="C445" s="1353"/>
      <c r="D445" s="1353"/>
      <c r="E445" s="1353"/>
      <c r="F445" s="1353"/>
      <c r="G445" s="1353"/>
      <c r="H445" s="1353"/>
      <c r="I445" s="1353"/>
      <c r="J445" s="1353"/>
      <c r="K445" s="1387"/>
      <c r="L445" s="1353"/>
      <c r="M445" s="1353"/>
      <c r="N445" s="1353"/>
    </row>
    <row r="446" spans="1:14" x14ac:dyDescent="0.25">
      <c r="A446" s="1353"/>
      <c r="B446" s="1353"/>
      <c r="C446" s="1353"/>
      <c r="D446" s="1353"/>
      <c r="E446" s="1353"/>
      <c r="F446" s="1353"/>
      <c r="G446" s="1353"/>
      <c r="H446" s="1353"/>
      <c r="I446" s="1353"/>
      <c r="J446" s="1353"/>
      <c r="K446" s="1387"/>
      <c r="L446" s="1353"/>
      <c r="M446" s="1353"/>
      <c r="N446" s="1353"/>
    </row>
    <row r="447" spans="1:14" x14ac:dyDescent="0.25">
      <c r="A447" s="1353"/>
      <c r="B447" s="1353"/>
      <c r="C447" s="1353"/>
      <c r="D447" s="1353"/>
      <c r="E447" s="1353"/>
      <c r="F447" s="1353"/>
      <c r="G447" s="1353"/>
      <c r="H447" s="1353"/>
      <c r="I447" s="1353"/>
      <c r="J447" s="1353"/>
      <c r="K447" s="1387"/>
      <c r="L447" s="1353"/>
      <c r="M447" s="1353"/>
      <c r="N447" s="1353"/>
    </row>
    <row r="448" spans="1:14" x14ac:dyDescent="0.25">
      <c r="A448" s="1353"/>
      <c r="B448" s="1353"/>
      <c r="C448" s="1353"/>
      <c r="D448" s="1353"/>
      <c r="E448" s="1353"/>
      <c r="F448" s="1353"/>
      <c r="G448" s="1353"/>
      <c r="H448" s="1353"/>
      <c r="I448" s="1353"/>
      <c r="J448" s="1353"/>
      <c r="K448" s="1387"/>
      <c r="L448" s="1353"/>
      <c r="M448" s="1353"/>
      <c r="N448" s="1353"/>
    </row>
    <row r="449" spans="1:14" x14ac:dyDescent="0.25">
      <c r="A449" s="1353"/>
      <c r="B449" s="1353"/>
      <c r="C449" s="1353"/>
      <c r="D449" s="1353"/>
      <c r="E449" s="1353"/>
      <c r="F449" s="1353"/>
      <c r="G449" s="1353"/>
      <c r="H449" s="1353"/>
      <c r="I449" s="1353"/>
      <c r="J449" s="1353"/>
      <c r="K449" s="1387"/>
      <c r="L449" s="1353"/>
      <c r="M449" s="1353"/>
      <c r="N449" s="1353"/>
    </row>
    <row r="450" spans="1:14" x14ac:dyDescent="0.25">
      <c r="A450" s="1353"/>
      <c r="B450" s="1353"/>
      <c r="C450" s="1353"/>
      <c r="D450" s="1353"/>
      <c r="E450" s="1353"/>
      <c r="F450" s="1353"/>
      <c r="G450" s="1353"/>
      <c r="H450" s="1353"/>
      <c r="I450" s="1353"/>
      <c r="J450" s="1353"/>
      <c r="K450" s="1387"/>
      <c r="L450" s="1353"/>
      <c r="M450" s="1353"/>
      <c r="N450" s="1353"/>
    </row>
    <row r="451" spans="1:14" x14ac:dyDescent="0.25">
      <c r="A451" s="1353"/>
      <c r="B451" s="1353"/>
      <c r="C451" s="1353"/>
      <c r="D451" s="1353"/>
      <c r="E451" s="1353"/>
      <c r="F451" s="1353"/>
      <c r="G451" s="1353"/>
      <c r="H451" s="1353"/>
      <c r="I451" s="1353"/>
      <c r="J451" s="1353"/>
      <c r="K451" s="1387"/>
      <c r="L451" s="1353"/>
      <c r="M451" s="1353"/>
      <c r="N451" s="1353"/>
    </row>
    <row r="452" spans="1:14" x14ac:dyDescent="0.25">
      <c r="A452" s="1353"/>
      <c r="B452" s="1353"/>
      <c r="C452" s="1353"/>
      <c r="D452" s="1353"/>
      <c r="E452" s="1353"/>
      <c r="F452" s="1353"/>
      <c r="G452" s="1353"/>
      <c r="H452" s="1353"/>
      <c r="I452" s="1353"/>
      <c r="J452" s="1353"/>
      <c r="K452" s="1387"/>
      <c r="L452" s="1353"/>
      <c r="M452" s="1353"/>
      <c r="N452" s="1353"/>
    </row>
    <row r="453" spans="1:14" x14ac:dyDescent="0.25">
      <c r="A453" s="1353"/>
      <c r="B453" s="1353"/>
      <c r="C453" s="1353"/>
      <c r="D453" s="1353"/>
      <c r="E453" s="1353"/>
      <c r="F453" s="1353"/>
      <c r="G453" s="1353"/>
      <c r="H453" s="1353"/>
      <c r="I453" s="1353"/>
      <c r="J453" s="1353"/>
      <c r="K453" s="1387"/>
      <c r="L453" s="1353"/>
      <c r="M453" s="1353"/>
      <c r="N453" s="1353"/>
    </row>
    <row r="454" spans="1:14" x14ac:dyDescent="0.25">
      <c r="A454" s="1353"/>
      <c r="B454" s="1353"/>
      <c r="C454" s="1353"/>
      <c r="D454" s="1353"/>
      <c r="E454" s="1353"/>
      <c r="F454" s="1353"/>
      <c r="G454" s="1353"/>
      <c r="H454" s="1353"/>
      <c r="I454" s="1353"/>
      <c r="J454" s="1353"/>
      <c r="K454" s="1387"/>
      <c r="L454" s="1353"/>
      <c r="M454" s="1353"/>
      <c r="N454" s="1353"/>
    </row>
    <row r="455" spans="1:14" x14ac:dyDescent="0.25">
      <c r="A455" s="1353"/>
      <c r="B455" s="1353"/>
      <c r="C455" s="1353"/>
      <c r="D455" s="1353"/>
      <c r="E455" s="1353"/>
      <c r="F455" s="1353"/>
      <c r="G455" s="1353"/>
      <c r="H455" s="1353"/>
      <c r="I455" s="1353"/>
      <c r="J455" s="1353"/>
      <c r="K455" s="1387"/>
      <c r="L455" s="1353"/>
      <c r="M455" s="1353"/>
      <c r="N455" s="1353"/>
    </row>
    <row r="456" spans="1:14" x14ac:dyDescent="0.25">
      <c r="A456" s="1353"/>
      <c r="B456" s="1353"/>
      <c r="C456" s="1353"/>
      <c r="D456" s="1353"/>
      <c r="E456" s="1353"/>
      <c r="F456" s="1353"/>
      <c r="G456" s="1353"/>
      <c r="H456" s="1353"/>
      <c r="I456" s="1353"/>
      <c r="J456" s="1353"/>
      <c r="K456" s="1387"/>
      <c r="L456" s="1353"/>
      <c r="M456" s="1353"/>
      <c r="N456" s="1353"/>
    </row>
    <row r="457" spans="1:14" x14ac:dyDescent="0.25">
      <c r="A457" s="1353"/>
      <c r="B457" s="1353"/>
      <c r="C457" s="1353"/>
      <c r="D457" s="1353"/>
      <c r="E457" s="1353"/>
      <c r="F457" s="1353"/>
      <c r="G457" s="1353"/>
      <c r="H457" s="1353"/>
      <c r="I457" s="1353"/>
      <c r="J457" s="1353"/>
      <c r="K457" s="1387"/>
      <c r="L457" s="1353"/>
      <c r="M457" s="1353"/>
      <c r="N457" s="1353"/>
    </row>
    <row r="458" spans="1:14" x14ac:dyDescent="0.25">
      <c r="A458" s="1353"/>
      <c r="B458" s="1353"/>
      <c r="C458" s="1353"/>
      <c r="D458" s="1353"/>
      <c r="E458" s="1353"/>
      <c r="F458" s="1353"/>
      <c r="G458" s="1353"/>
      <c r="H458" s="1353"/>
      <c r="I458" s="1353"/>
      <c r="J458" s="1353"/>
      <c r="K458" s="1387"/>
      <c r="L458" s="1353"/>
      <c r="M458" s="1353"/>
      <c r="N458" s="1353"/>
    </row>
    <row r="459" spans="1:14" x14ac:dyDescent="0.25">
      <c r="A459" s="1353"/>
      <c r="B459" s="1353"/>
      <c r="C459" s="1353"/>
      <c r="D459" s="1353"/>
      <c r="E459" s="1353"/>
      <c r="F459" s="1353"/>
      <c r="G459" s="1353"/>
      <c r="H459" s="1353"/>
      <c r="I459" s="1353"/>
      <c r="J459" s="1353"/>
      <c r="K459" s="1387"/>
      <c r="L459" s="1353"/>
      <c r="M459" s="1353"/>
      <c r="N459" s="1353"/>
    </row>
    <row r="460" spans="1:14" x14ac:dyDescent="0.25">
      <c r="A460" s="1353"/>
      <c r="B460" s="1353"/>
      <c r="C460" s="1353"/>
      <c r="D460" s="1353"/>
      <c r="E460" s="1353"/>
      <c r="F460" s="1353"/>
      <c r="G460" s="1353"/>
      <c r="H460" s="1353"/>
      <c r="I460" s="1353"/>
      <c r="J460" s="1353"/>
      <c r="K460" s="1387"/>
      <c r="L460" s="1353"/>
      <c r="M460" s="1353"/>
      <c r="N460" s="1353"/>
    </row>
    <row r="461" spans="1:14" x14ac:dyDescent="0.25">
      <c r="A461" s="1353"/>
      <c r="B461" s="1353"/>
      <c r="C461" s="1353"/>
      <c r="D461" s="1353"/>
      <c r="E461" s="1353"/>
      <c r="F461" s="1353"/>
      <c r="G461" s="1353"/>
      <c r="H461" s="1353"/>
      <c r="I461" s="1353"/>
      <c r="J461" s="1353"/>
      <c r="K461" s="1387"/>
      <c r="L461" s="1353"/>
      <c r="M461" s="1353"/>
      <c r="N461" s="1353"/>
    </row>
    <row r="462" spans="1:14" x14ac:dyDescent="0.25">
      <c r="A462" s="1353"/>
      <c r="B462" s="1353"/>
      <c r="C462" s="1353"/>
      <c r="D462" s="1353"/>
      <c r="E462" s="1353"/>
      <c r="F462" s="1353"/>
      <c r="G462" s="1353"/>
      <c r="H462" s="1353"/>
      <c r="I462" s="1353"/>
      <c r="J462" s="1353"/>
      <c r="K462" s="1387"/>
      <c r="L462" s="1353"/>
      <c r="M462" s="1353"/>
      <c r="N462" s="1353"/>
    </row>
    <row r="463" spans="1:14" x14ac:dyDescent="0.25">
      <c r="A463" s="1353"/>
      <c r="B463" s="1353"/>
      <c r="C463" s="1353"/>
      <c r="D463" s="1353"/>
      <c r="E463" s="1353"/>
      <c r="F463" s="1353"/>
      <c r="G463" s="1353"/>
      <c r="H463" s="1353"/>
      <c r="I463" s="1353"/>
      <c r="J463" s="1353"/>
      <c r="K463" s="1387"/>
      <c r="L463" s="1353"/>
      <c r="M463" s="1353"/>
      <c r="N463" s="1353"/>
    </row>
    <row r="464" spans="1:14" x14ac:dyDescent="0.25">
      <c r="A464" s="1353"/>
      <c r="B464" s="1353"/>
      <c r="C464" s="1353"/>
      <c r="D464" s="1353"/>
      <c r="E464" s="1353"/>
      <c r="F464" s="1353"/>
      <c r="G464" s="1353"/>
      <c r="H464" s="1353"/>
      <c r="I464" s="1353"/>
      <c r="J464" s="1353"/>
      <c r="K464" s="1387"/>
      <c r="L464" s="1353"/>
      <c r="M464" s="1353"/>
      <c r="N464" s="1353"/>
    </row>
    <row r="465" spans="1:14" x14ac:dyDescent="0.25">
      <c r="A465" s="1353"/>
      <c r="B465" s="1353"/>
      <c r="C465" s="1353"/>
      <c r="D465" s="1353"/>
      <c r="E465" s="1353"/>
      <c r="F465" s="1353"/>
      <c r="G465" s="1353"/>
      <c r="H465" s="1353"/>
      <c r="I465" s="1353"/>
      <c r="J465" s="1353"/>
      <c r="K465" s="1387"/>
      <c r="L465" s="1353"/>
      <c r="M465" s="1353"/>
      <c r="N465" s="1353"/>
    </row>
    <row r="466" spans="1:14" x14ac:dyDescent="0.25">
      <c r="A466" s="1353"/>
      <c r="B466" s="1353"/>
      <c r="C466" s="1353"/>
      <c r="D466" s="1353"/>
      <c r="E466" s="1353"/>
      <c r="F466" s="1353"/>
      <c r="G466" s="1353"/>
      <c r="H466" s="1353"/>
      <c r="I466" s="1353"/>
      <c r="J466" s="1353"/>
      <c r="K466" s="1387"/>
      <c r="L466" s="1353"/>
      <c r="M466" s="1353"/>
      <c r="N466" s="1353"/>
    </row>
    <row r="467" spans="1:14" x14ac:dyDescent="0.25">
      <c r="A467" s="1353"/>
      <c r="B467" s="1353"/>
      <c r="C467" s="1353"/>
      <c r="D467" s="1353"/>
      <c r="E467" s="1353"/>
      <c r="F467" s="1353"/>
      <c r="G467" s="1353"/>
      <c r="H467" s="1353"/>
      <c r="I467" s="1353"/>
      <c r="J467" s="1353"/>
      <c r="K467" s="1387"/>
      <c r="L467" s="1353"/>
      <c r="M467" s="1353"/>
      <c r="N467" s="1353"/>
    </row>
    <row r="468" spans="1:14" x14ac:dyDescent="0.25">
      <c r="A468" s="1353"/>
      <c r="B468" s="1353"/>
      <c r="C468" s="1353"/>
      <c r="D468" s="1353"/>
      <c r="E468" s="1353"/>
      <c r="F468" s="1353"/>
      <c r="G468" s="1353"/>
      <c r="H468" s="1353"/>
      <c r="I468" s="1353"/>
      <c r="J468" s="1353"/>
      <c r="K468" s="1387"/>
      <c r="L468" s="1353"/>
      <c r="M468" s="1353"/>
      <c r="N468" s="1353"/>
    </row>
    <row r="469" spans="1:14" x14ac:dyDescent="0.25">
      <c r="A469" s="1353"/>
      <c r="B469" s="1353"/>
      <c r="C469" s="1353"/>
      <c r="D469" s="1353"/>
      <c r="E469" s="1353"/>
      <c r="F469" s="1353"/>
      <c r="G469" s="1353"/>
      <c r="H469" s="1353"/>
      <c r="I469" s="1353"/>
      <c r="J469" s="1353"/>
      <c r="K469" s="1387"/>
      <c r="L469" s="1353"/>
      <c r="M469" s="1353"/>
      <c r="N469" s="1353"/>
    </row>
    <row r="470" spans="1:14" x14ac:dyDescent="0.25">
      <c r="A470" s="1353"/>
      <c r="B470" s="1353"/>
      <c r="C470" s="1353"/>
      <c r="D470" s="1353"/>
      <c r="E470" s="1353"/>
      <c r="F470" s="1353"/>
      <c r="G470" s="1353"/>
      <c r="H470" s="1353"/>
      <c r="I470" s="1353"/>
      <c r="J470" s="1353"/>
      <c r="K470" s="1387"/>
      <c r="L470" s="1353"/>
      <c r="M470" s="1353"/>
      <c r="N470" s="1353"/>
    </row>
    <row r="471" spans="1:14" x14ac:dyDescent="0.25">
      <c r="A471" s="1353"/>
      <c r="B471" s="1353"/>
      <c r="C471" s="1353"/>
      <c r="D471" s="1353"/>
      <c r="E471" s="1353"/>
      <c r="F471" s="1353"/>
      <c r="G471" s="1353"/>
      <c r="H471" s="1353"/>
      <c r="I471" s="1353"/>
      <c r="J471" s="1353"/>
      <c r="K471" s="1387"/>
      <c r="L471" s="1353"/>
      <c r="M471" s="1353"/>
      <c r="N471" s="1353"/>
    </row>
    <row r="472" spans="1:14" x14ac:dyDescent="0.25">
      <c r="A472" s="1353"/>
      <c r="B472" s="1353"/>
      <c r="C472" s="1353"/>
      <c r="D472" s="1353"/>
      <c r="E472" s="1353"/>
      <c r="F472" s="1353"/>
      <c r="G472" s="1353"/>
      <c r="H472" s="1353"/>
      <c r="I472" s="1353"/>
      <c r="J472" s="1353"/>
      <c r="K472" s="1387"/>
      <c r="L472" s="1353"/>
      <c r="M472" s="1353"/>
      <c r="N472" s="1353"/>
    </row>
    <row r="473" spans="1:14" x14ac:dyDescent="0.25">
      <c r="A473" s="1353"/>
      <c r="B473" s="1353"/>
      <c r="C473" s="1353"/>
      <c r="D473" s="1353"/>
      <c r="E473" s="1353"/>
      <c r="F473" s="1353"/>
      <c r="G473" s="1353"/>
      <c r="H473" s="1353"/>
      <c r="I473" s="1353"/>
      <c r="J473" s="1353"/>
      <c r="K473" s="1387"/>
      <c r="L473" s="1353"/>
      <c r="M473" s="1353"/>
      <c r="N473" s="1353"/>
    </row>
    <row r="474" spans="1:14" x14ac:dyDescent="0.25">
      <c r="A474" s="1353"/>
      <c r="B474" s="1353"/>
      <c r="C474" s="1353"/>
      <c r="D474" s="1353"/>
      <c r="E474" s="1353"/>
      <c r="F474" s="1353"/>
      <c r="G474" s="1353"/>
      <c r="H474" s="1353"/>
      <c r="I474" s="1353"/>
      <c r="J474" s="1353"/>
      <c r="K474" s="1387"/>
      <c r="L474" s="1353"/>
      <c r="M474" s="1353"/>
      <c r="N474" s="1353"/>
    </row>
    <row r="475" spans="1:14" x14ac:dyDescent="0.25">
      <c r="A475" s="1353"/>
      <c r="B475" s="1353"/>
      <c r="C475" s="1353"/>
      <c r="D475" s="1353"/>
      <c r="E475" s="1353"/>
      <c r="F475" s="1353"/>
      <c r="G475" s="1353"/>
      <c r="H475" s="1353"/>
      <c r="I475" s="1353"/>
      <c r="J475" s="1353"/>
      <c r="K475" s="1387"/>
      <c r="L475" s="1353"/>
      <c r="M475" s="1353"/>
      <c r="N475" s="1353"/>
    </row>
    <row r="476" spans="1:14" x14ac:dyDescent="0.25">
      <c r="A476" s="1353"/>
      <c r="B476" s="1353"/>
      <c r="C476" s="1353"/>
      <c r="D476" s="1353"/>
      <c r="E476" s="1353"/>
      <c r="F476" s="1353"/>
      <c r="G476" s="1353"/>
      <c r="H476" s="1353"/>
      <c r="I476" s="1353"/>
      <c r="J476" s="1353"/>
      <c r="K476" s="1387"/>
      <c r="L476" s="1353"/>
      <c r="M476" s="1353"/>
      <c r="N476" s="1353"/>
    </row>
    <row r="477" spans="1:14" x14ac:dyDescent="0.25">
      <c r="A477" s="1353"/>
      <c r="B477" s="1353"/>
      <c r="C477" s="1353"/>
      <c r="D477" s="1353"/>
      <c r="E477" s="1353"/>
      <c r="F477" s="1353"/>
      <c r="G477" s="1353"/>
      <c r="H477" s="1353"/>
      <c r="I477" s="1353"/>
      <c r="J477" s="1353"/>
      <c r="K477" s="1387"/>
      <c r="L477" s="1353"/>
      <c r="M477" s="1353"/>
      <c r="N477" s="1353"/>
    </row>
    <row r="478" spans="1:14" x14ac:dyDescent="0.25">
      <c r="A478" s="1353"/>
      <c r="B478" s="1353"/>
      <c r="C478" s="1353"/>
      <c r="D478" s="1353"/>
      <c r="E478" s="1353"/>
      <c r="F478" s="1353"/>
      <c r="G478" s="1353"/>
      <c r="H478" s="1353"/>
      <c r="I478" s="1353"/>
      <c r="J478" s="1353"/>
      <c r="K478" s="1387"/>
      <c r="L478" s="1353"/>
      <c r="M478" s="1353"/>
      <c r="N478" s="1353"/>
    </row>
    <row r="479" spans="1:14" x14ac:dyDescent="0.25">
      <c r="A479" s="1353"/>
      <c r="B479" s="1353"/>
      <c r="C479" s="1353"/>
      <c r="D479" s="1353"/>
      <c r="E479" s="1353"/>
      <c r="F479" s="1353"/>
      <c r="G479" s="1353"/>
      <c r="H479" s="1353"/>
      <c r="I479" s="1353"/>
      <c r="J479" s="1353"/>
      <c r="K479" s="1387"/>
      <c r="L479" s="1353"/>
      <c r="M479" s="1353"/>
      <c r="N479" s="1353"/>
    </row>
    <row r="480" spans="1:14" x14ac:dyDescent="0.25">
      <c r="A480" s="1353"/>
      <c r="B480" s="1353"/>
      <c r="C480" s="1353"/>
      <c r="D480" s="1353"/>
      <c r="E480" s="1353"/>
      <c r="F480" s="1353"/>
      <c r="G480" s="1353"/>
      <c r="H480" s="1353"/>
      <c r="I480" s="1353"/>
      <c r="J480" s="1353"/>
      <c r="K480" s="1387"/>
      <c r="L480" s="1353"/>
      <c r="M480" s="1353"/>
      <c r="N480" s="1353"/>
    </row>
    <row r="481" spans="1:14" x14ac:dyDescent="0.25">
      <c r="A481" s="1353"/>
      <c r="B481" s="1353"/>
      <c r="C481" s="1353"/>
      <c r="D481" s="1353"/>
      <c r="E481" s="1353"/>
      <c r="F481" s="1353"/>
      <c r="G481" s="1353"/>
      <c r="H481" s="1353"/>
      <c r="I481" s="1353"/>
      <c r="J481" s="1353"/>
      <c r="K481" s="1387"/>
      <c r="L481" s="1353"/>
      <c r="M481" s="1353"/>
      <c r="N481" s="1353"/>
    </row>
    <row r="482" spans="1:14" x14ac:dyDescent="0.25">
      <c r="A482" s="1353"/>
      <c r="B482" s="1353"/>
      <c r="C482" s="1353"/>
      <c r="D482" s="1353"/>
      <c r="E482" s="1353"/>
      <c r="F482" s="1353"/>
      <c r="G482" s="1353"/>
      <c r="H482" s="1353"/>
      <c r="I482" s="1353"/>
      <c r="J482" s="1353"/>
      <c r="K482" s="1387"/>
      <c r="L482" s="1353"/>
      <c r="M482" s="1353"/>
      <c r="N482" s="1353"/>
    </row>
    <row r="483" spans="1:14" x14ac:dyDescent="0.25">
      <c r="A483" s="1353"/>
      <c r="B483" s="1353"/>
      <c r="C483" s="1353"/>
      <c r="D483" s="1353"/>
      <c r="E483" s="1353"/>
      <c r="F483" s="1353"/>
      <c r="G483" s="1353"/>
      <c r="H483" s="1353"/>
      <c r="I483" s="1353"/>
      <c r="J483" s="1353"/>
      <c r="K483" s="1387"/>
      <c r="L483" s="1353"/>
      <c r="M483" s="1353"/>
      <c r="N483" s="1353"/>
    </row>
    <row r="484" spans="1:14" x14ac:dyDescent="0.25">
      <c r="A484" s="1353"/>
      <c r="B484" s="1353"/>
      <c r="C484" s="1353"/>
      <c r="D484" s="1353"/>
      <c r="E484" s="1353"/>
      <c r="F484" s="1353"/>
      <c r="G484" s="1353"/>
      <c r="H484" s="1353"/>
      <c r="I484" s="1353"/>
      <c r="J484" s="1353"/>
      <c r="K484" s="1387"/>
      <c r="L484" s="1353"/>
      <c r="M484" s="1353"/>
      <c r="N484" s="1353"/>
    </row>
    <row r="485" spans="1:14" x14ac:dyDescent="0.25">
      <c r="A485" s="1353"/>
      <c r="B485" s="1353"/>
      <c r="C485" s="1353"/>
      <c r="D485" s="1353"/>
      <c r="E485" s="1353"/>
      <c r="F485" s="1353"/>
      <c r="G485" s="1353"/>
      <c r="H485" s="1353"/>
      <c r="I485" s="1353"/>
      <c r="J485" s="1353"/>
      <c r="K485" s="1387"/>
      <c r="L485" s="1353"/>
      <c r="M485" s="1353"/>
      <c r="N485" s="1353"/>
    </row>
    <row r="486" spans="1:14" x14ac:dyDescent="0.25">
      <c r="A486" s="1353"/>
      <c r="B486" s="1353"/>
      <c r="C486" s="1353"/>
      <c r="D486" s="1353"/>
      <c r="E486" s="1353"/>
      <c r="F486" s="1353"/>
      <c r="G486" s="1353"/>
      <c r="H486" s="1353"/>
      <c r="I486" s="1353"/>
      <c r="J486" s="1353"/>
      <c r="K486" s="1387"/>
      <c r="L486" s="1353"/>
      <c r="M486" s="1353"/>
      <c r="N486" s="1353"/>
    </row>
    <row r="487" spans="1:14" x14ac:dyDescent="0.25">
      <c r="A487" s="1353"/>
      <c r="B487" s="1353"/>
      <c r="C487" s="1353"/>
      <c r="D487" s="1353"/>
      <c r="E487" s="1353"/>
      <c r="F487" s="1353"/>
      <c r="G487" s="1353"/>
      <c r="H487" s="1353"/>
      <c r="I487" s="1353"/>
      <c r="J487" s="1353"/>
      <c r="K487" s="1387"/>
      <c r="L487" s="1353"/>
      <c r="M487" s="1353"/>
      <c r="N487" s="1353"/>
    </row>
    <row r="488" spans="1:14" x14ac:dyDescent="0.25">
      <c r="A488" s="1353"/>
      <c r="B488" s="1353"/>
      <c r="C488" s="1353"/>
      <c r="D488" s="1353"/>
      <c r="E488" s="1353"/>
      <c r="F488" s="1353"/>
      <c r="G488" s="1353"/>
      <c r="H488" s="1353"/>
      <c r="I488" s="1353"/>
      <c r="J488" s="1353"/>
      <c r="K488" s="1387"/>
      <c r="L488" s="1353"/>
      <c r="M488" s="1353"/>
      <c r="N488" s="1353"/>
    </row>
    <row r="489" spans="1:14" x14ac:dyDescent="0.25">
      <c r="A489" s="1353"/>
      <c r="B489" s="1353"/>
      <c r="C489" s="1353"/>
      <c r="D489" s="1353"/>
      <c r="E489" s="1353"/>
      <c r="F489" s="1353"/>
      <c r="G489" s="1353"/>
      <c r="H489" s="1353"/>
      <c r="I489" s="1353"/>
      <c r="J489" s="1353"/>
      <c r="K489" s="1387"/>
      <c r="L489" s="1353"/>
      <c r="M489" s="1353"/>
      <c r="N489" s="1353"/>
    </row>
    <row r="490" spans="1:14" x14ac:dyDescent="0.25">
      <c r="A490" s="1353"/>
      <c r="B490" s="1353"/>
      <c r="C490" s="1353"/>
      <c r="D490" s="1353"/>
      <c r="E490" s="1353"/>
      <c r="F490" s="1353"/>
      <c r="G490" s="1353"/>
      <c r="H490" s="1353"/>
      <c r="I490" s="1353"/>
      <c r="J490" s="1353"/>
      <c r="K490" s="1387"/>
      <c r="L490" s="1353"/>
      <c r="M490" s="1353"/>
      <c r="N490" s="1353"/>
    </row>
    <row r="491" spans="1:14" x14ac:dyDescent="0.25">
      <c r="A491" s="1353"/>
      <c r="B491" s="1353"/>
      <c r="C491" s="1353"/>
      <c r="D491" s="1353"/>
      <c r="E491" s="1353"/>
      <c r="F491" s="1353"/>
      <c r="G491" s="1353"/>
      <c r="H491" s="1353"/>
      <c r="I491" s="1353"/>
      <c r="J491" s="1353"/>
      <c r="K491" s="1387"/>
      <c r="L491" s="1353"/>
      <c r="M491" s="1353"/>
      <c r="N491" s="1353"/>
    </row>
    <row r="492" spans="1:14" x14ac:dyDescent="0.25">
      <c r="A492" s="1353"/>
      <c r="B492" s="1353"/>
      <c r="C492" s="1353"/>
      <c r="D492" s="1353"/>
      <c r="E492" s="1353"/>
      <c r="F492" s="1353"/>
      <c r="G492" s="1353"/>
      <c r="H492" s="1353"/>
      <c r="I492" s="1353"/>
      <c r="J492" s="1353"/>
      <c r="K492" s="1387"/>
      <c r="L492" s="1353"/>
      <c r="M492" s="1353"/>
      <c r="N492" s="1353"/>
    </row>
    <row r="493" spans="1:14" x14ac:dyDescent="0.25">
      <c r="A493" s="1353"/>
      <c r="B493" s="1353"/>
      <c r="C493" s="1353"/>
      <c r="D493" s="1353"/>
      <c r="E493" s="1353"/>
      <c r="F493" s="1353"/>
      <c r="G493" s="1353"/>
      <c r="H493" s="1353"/>
      <c r="I493" s="1353"/>
      <c r="J493" s="1353"/>
      <c r="K493" s="1387"/>
      <c r="L493" s="1353"/>
      <c r="M493" s="1353"/>
      <c r="N493" s="1353"/>
    </row>
    <row r="494" spans="1:14" x14ac:dyDescent="0.25">
      <c r="A494" s="1353"/>
      <c r="B494" s="1353"/>
      <c r="C494" s="1353"/>
      <c r="D494" s="1353"/>
      <c r="E494" s="1353"/>
      <c r="F494" s="1353"/>
      <c r="G494" s="1353"/>
      <c r="H494" s="1353"/>
      <c r="I494" s="1353"/>
      <c r="J494" s="1353"/>
      <c r="K494" s="1387"/>
      <c r="L494" s="1353"/>
      <c r="M494" s="1353"/>
      <c r="N494" s="1353"/>
    </row>
    <row r="495" spans="1:14" x14ac:dyDescent="0.25">
      <c r="A495" s="1353"/>
      <c r="B495" s="1353"/>
      <c r="C495" s="1353"/>
      <c r="D495" s="1353"/>
      <c r="E495" s="1353"/>
      <c r="F495" s="1353"/>
      <c r="G495" s="1353"/>
      <c r="H495" s="1353"/>
      <c r="I495" s="1353"/>
      <c r="J495" s="1353"/>
      <c r="K495" s="1387"/>
      <c r="L495" s="1353"/>
      <c r="M495" s="1353"/>
      <c r="N495" s="1353"/>
    </row>
    <row r="496" spans="1:14" x14ac:dyDescent="0.25">
      <c r="A496" s="1353"/>
      <c r="B496" s="1353"/>
      <c r="C496" s="1353"/>
      <c r="D496" s="1353"/>
      <c r="E496" s="1353"/>
      <c r="F496" s="1353"/>
      <c r="G496" s="1353"/>
      <c r="H496" s="1353"/>
      <c r="I496" s="1353"/>
      <c r="J496" s="1353"/>
      <c r="K496" s="1387"/>
      <c r="L496" s="1353"/>
      <c r="M496" s="1353"/>
      <c r="N496" s="1353"/>
    </row>
    <row r="497" spans="1:14" x14ac:dyDescent="0.25">
      <c r="A497" s="1353"/>
      <c r="B497" s="1353"/>
      <c r="C497" s="1353"/>
      <c r="D497" s="1353"/>
      <c r="E497" s="1353"/>
      <c r="F497" s="1353"/>
      <c r="G497" s="1353"/>
      <c r="H497" s="1353"/>
      <c r="I497" s="1353"/>
      <c r="J497" s="1353"/>
      <c r="K497" s="1387"/>
      <c r="L497" s="1353"/>
      <c r="M497" s="1353"/>
      <c r="N497" s="1353"/>
    </row>
    <row r="498" spans="1:14" x14ac:dyDescent="0.25">
      <c r="A498" s="1353"/>
      <c r="B498" s="1353"/>
      <c r="C498" s="1353"/>
      <c r="D498" s="1353"/>
      <c r="E498" s="1353"/>
      <c r="F498" s="1353"/>
      <c r="G498" s="1353"/>
      <c r="H498" s="1353"/>
      <c r="I498" s="1353"/>
      <c r="J498" s="1353"/>
      <c r="K498" s="1387"/>
      <c r="L498" s="1353"/>
      <c r="M498" s="1353"/>
      <c r="N498" s="1353"/>
    </row>
    <row r="499" spans="1:14" x14ac:dyDescent="0.25">
      <c r="A499" s="1353"/>
      <c r="B499" s="1353"/>
      <c r="C499" s="1353"/>
      <c r="D499" s="1353"/>
      <c r="E499" s="1353"/>
      <c r="F499" s="1353"/>
      <c r="G499" s="1353"/>
      <c r="H499" s="1353"/>
      <c r="I499" s="1353"/>
      <c r="J499" s="1353"/>
      <c r="K499" s="1387"/>
      <c r="L499" s="1353"/>
      <c r="M499" s="1353"/>
      <c r="N499" s="1353"/>
    </row>
    <row r="500" spans="1:14" x14ac:dyDescent="0.25">
      <c r="A500" s="1353"/>
      <c r="B500" s="1353"/>
      <c r="C500" s="1353"/>
      <c r="D500" s="1353"/>
      <c r="E500" s="1353"/>
      <c r="F500" s="1353"/>
      <c r="G500" s="1353"/>
      <c r="H500" s="1353"/>
      <c r="I500" s="1353"/>
      <c r="J500" s="1353"/>
      <c r="K500" s="1387"/>
      <c r="L500" s="1353"/>
      <c r="M500" s="1353"/>
      <c r="N500" s="1353"/>
    </row>
    <row r="501" spans="1:14" x14ac:dyDescent="0.25">
      <c r="A501" s="1353"/>
      <c r="B501" s="1353"/>
      <c r="C501" s="1353"/>
      <c r="D501" s="1353"/>
      <c r="E501" s="1353"/>
      <c r="F501" s="1353"/>
      <c r="G501" s="1353"/>
      <c r="H501" s="1353"/>
      <c r="I501" s="1353"/>
      <c r="J501" s="1353"/>
      <c r="K501" s="1387"/>
      <c r="L501" s="1353"/>
      <c r="M501" s="1353"/>
      <c r="N501" s="1353"/>
    </row>
    <row r="502" spans="1:14" x14ac:dyDescent="0.25">
      <c r="A502" s="1353"/>
      <c r="B502" s="1353"/>
      <c r="C502" s="1353"/>
      <c r="D502" s="1353"/>
      <c r="E502" s="1353"/>
      <c r="F502" s="1353"/>
      <c r="G502" s="1353"/>
      <c r="H502" s="1353"/>
      <c r="I502" s="1353"/>
      <c r="J502" s="1353"/>
      <c r="K502" s="1387"/>
      <c r="L502" s="1353"/>
      <c r="M502" s="1353"/>
      <c r="N502" s="1353"/>
    </row>
    <row r="503" spans="1:14" x14ac:dyDescent="0.25">
      <c r="A503" s="1353"/>
      <c r="B503" s="1353"/>
      <c r="C503" s="1353"/>
      <c r="D503" s="1353"/>
      <c r="E503" s="1353"/>
      <c r="F503" s="1353"/>
      <c r="G503" s="1353"/>
      <c r="H503" s="1353"/>
      <c r="I503" s="1353"/>
      <c r="J503" s="1353"/>
      <c r="K503" s="1387"/>
      <c r="L503" s="1353"/>
      <c r="M503" s="1353"/>
      <c r="N503" s="1353"/>
    </row>
    <row r="504" spans="1:14" x14ac:dyDescent="0.25">
      <c r="A504" s="1353"/>
      <c r="B504" s="1353"/>
      <c r="C504" s="1353"/>
      <c r="D504" s="1353"/>
      <c r="E504" s="1353"/>
      <c r="F504" s="1353"/>
      <c r="G504" s="1353"/>
      <c r="H504" s="1353"/>
      <c r="I504" s="1353"/>
      <c r="J504" s="1353"/>
      <c r="K504" s="1387"/>
      <c r="L504" s="1353"/>
      <c r="M504" s="1353"/>
      <c r="N504" s="1353"/>
    </row>
    <row r="505" spans="1:14" x14ac:dyDescent="0.25">
      <c r="A505" s="1353"/>
      <c r="B505" s="1353"/>
      <c r="C505" s="1353"/>
      <c r="D505" s="1353"/>
      <c r="E505" s="1353"/>
      <c r="F505" s="1353"/>
      <c r="G505" s="1353"/>
      <c r="H505" s="1353"/>
      <c r="I505" s="1353"/>
      <c r="J505" s="1353"/>
      <c r="K505" s="1387"/>
      <c r="L505" s="1353"/>
      <c r="M505" s="1353"/>
      <c r="N505" s="1353"/>
    </row>
    <row r="506" spans="1:14" x14ac:dyDescent="0.25">
      <c r="A506" s="1353"/>
      <c r="B506" s="1353"/>
      <c r="C506" s="1353"/>
      <c r="D506" s="1353"/>
      <c r="E506" s="1353"/>
      <c r="F506" s="1353"/>
      <c r="G506" s="1353"/>
      <c r="H506" s="1353"/>
      <c r="I506" s="1353"/>
      <c r="J506" s="1353"/>
      <c r="K506" s="1387"/>
      <c r="L506" s="1353"/>
      <c r="M506" s="1353"/>
      <c r="N506" s="1353"/>
    </row>
    <row r="507" spans="1:14" x14ac:dyDescent="0.25">
      <c r="A507" s="1353"/>
      <c r="B507" s="1353"/>
      <c r="C507" s="1353"/>
      <c r="D507" s="1353"/>
      <c r="E507" s="1353"/>
      <c r="F507" s="1353"/>
      <c r="G507" s="1353"/>
      <c r="H507" s="1353"/>
      <c r="I507" s="1353"/>
      <c r="J507" s="1353"/>
      <c r="K507" s="1387"/>
      <c r="L507" s="1353"/>
      <c r="M507" s="1353"/>
      <c r="N507" s="1353"/>
    </row>
    <row r="508" spans="1:14" x14ac:dyDescent="0.25">
      <c r="A508" s="1353"/>
      <c r="B508" s="1353"/>
      <c r="C508" s="1353"/>
      <c r="D508" s="1353"/>
      <c r="E508" s="1353"/>
      <c r="F508" s="1353"/>
      <c r="G508" s="1353"/>
      <c r="H508" s="1353"/>
      <c r="I508" s="1353"/>
      <c r="J508" s="1353"/>
      <c r="K508" s="1387"/>
      <c r="L508" s="1353"/>
      <c r="M508" s="1353"/>
      <c r="N508" s="1353"/>
    </row>
    <row r="509" spans="1:14" x14ac:dyDescent="0.25">
      <c r="A509" s="1353"/>
      <c r="B509" s="1353"/>
      <c r="C509" s="1353"/>
      <c r="D509" s="1353"/>
      <c r="E509" s="1353"/>
      <c r="F509" s="1353"/>
      <c r="G509" s="1353"/>
      <c r="H509" s="1353"/>
      <c r="I509" s="1353"/>
      <c r="J509" s="1353"/>
      <c r="K509" s="1387"/>
      <c r="L509" s="1353"/>
      <c r="M509" s="1353"/>
      <c r="N509" s="1353"/>
    </row>
    <row r="510" spans="1:14" x14ac:dyDescent="0.25">
      <c r="A510" s="1353"/>
      <c r="B510" s="1353"/>
      <c r="C510" s="1353"/>
      <c r="D510" s="1353"/>
      <c r="E510" s="1353"/>
      <c r="F510" s="1353"/>
      <c r="G510" s="1353"/>
      <c r="H510" s="1353"/>
      <c r="I510" s="1353"/>
      <c r="J510" s="1353"/>
      <c r="K510" s="1387"/>
      <c r="L510" s="1353"/>
      <c r="M510" s="1353"/>
      <c r="N510" s="1353"/>
    </row>
    <row r="511" spans="1:14" x14ac:dyDescent="0.25">
      <c r="A511" s="1353"/>
      <c r="B511" s="1353"/>
      <c r="C511" s="1353"/>
      <c r="D511" s="1353"/>
      <c r="E511" s="1353"/>
      <c r="F511" s="1353"/>
      <c r="G511" s="1353"/>
      <c r="H511" s="1353"/>
      <c r="I511" s="1353"/>
      <c r="J511" s="1353"/>
      <c r="K511" s="1387"/>
      <c r="L511" s="1353"/>
      <c r="M511" s="1353"/>
      <c r="N511" s="1353"/>
    </row>
    <row r="512" spans="1:14" x14ac:dyDescent="0.25">
      <c r="A512" s="1353"/>
      <c r="B512" s="1353"/>
      <c r="C512" s="1353"/>
      <c r="D512" s="1353"/>
      <c r="E512" s="1353"/>
      <c r="F512" s="1353"/>
      <c r="G512" s="1353"/>
      <c r="H512" s="1353"/>
      <c r="I512" s="1353"/>
      <c r="J512" s="1353"/>
      <c r="K512" s="1387"/>
      <c r="L512" s="1353"/>
      <c r="M512" s="1353"/>
      <c r="N512" s="1353"/>
    </row>
    <row r="513" spans="1:14" x14ac:dyDescent="0.25">
      <c r="A513" s="1353"/>
      <c r="B513" s="1353"/>
      <c r="C513" s="1353"/>
      <c r="D513" s="1353"/>
      <c r="E513" s="1353"/>
      <c r="F513" s="1353"/>
      <c r="G513" s="1353"/>
      <c r="H513" s="1353"/>
      <c r="I513" s="1353"/>
      <c r="J513" s="1353"/>
      <c r="K513" s="1387"/>
      <c r="L513" s="1353"/>
      <c r="M513" s="1353"/>
      <c r="N513" s="1353"/>
    </row>
    <row r="514" spans="1:14" x14ac:dyDescent="0.25">
      <c r="A514" s="1353"/>
      <c r="B514" s="1353"/>
      <c r="C514" s="1353"/>
      <c r="D514" s="1353"/>
      <c r="E514" s="1353"/>
      <c r="F514" s="1353"/>
      <c r="G514" s="1353"/>
      <c r="H514" s="1353"/>
      <c r="I514" s="1353"/>
      <c r="J514" s="1353"/>
      <c r="K514" s="1387"/>
      <c r="L514" s="1353"/>
      <c r="M514" s="1353"/>
      <c r="N514" s="1353"/>
    </row>
    <row r="515" spans="1:14" x14ac:dyDescent="0.25">
      <c r="A515" s="1353"/>
      <c r="B515" s="1353"/>
      <c r="C515" s="1353"/>
      <c r="D515" s="1353"/>
      <c r="E515" s="1353"/>
      <c r="F515" s="1353"/>
      <c r="G515" s="1353"/>
      <c r="H515" s="1353"/>
      <c r="I515" s="1353"/>
      <c r="J515" s="1353"/>
      <c r="K515" s="1387"/>
      <c r="L515" s="1353"/>
      <c r="M515" s="1353"/>
      <c r="N515" s="1353"/>
    </row>
    <row r="516" spans="1:14" x14ac:dyDescent="0.25">
      <c r="A516" s="1353"/>
      <c r="B516" s="1353"/>
      <c r="C516" s="1353"/>
      <c r="D516" s="1353"/>
      <c r="E516" s="1353"/>
      <c r="F516" s="1353"/>
      <c r="G516" s="1353"/>
      <c r="H516" s="1353"/>
      <c r="I516" s="1353"/>
      <c r="J516" s="1353"/>
      <c r="K516" s="1387"/>
      <c r="L516" s="1353"/>
      <c r="M516" s="1353"/>
      <c r="N516" s="1353"/>
    </row>
    <row r="517" spans="1:14" x14ac:dyDescent="0.25">
      <c r="A517" s="1353"/>
      <c r="B517" s="1353"/>
      <c r="C517" s="1353"/>
      <c r="D517" s="1353"/>
      <c r="E517" s="1353"/>
      <c r="F517" s="1353"/>
      <c r="G517" s="1353"/>
      <c r="H517" s="1353"/>
      <c r="I517" s="1353"/>
      <c r="J517" s="1353"/>
      <c r="K517" s="1387"/>
      <c r="L517" s="1353"/>
      <c r="M517" s="1353"/>
      <c r="N517" s="1353"/>
    </row>
    <row r="518" spans="1:14" x14ac:dyDescent="0.25">
      <c r="A518" s="1353"/>
      <c r="B518" s="1353"/>
      <c r="C518" s="1353"/>
      <c r="D518" s="1353"/>
      <c r="E518" s="1353"/>
      <c r="F518" s="1353"/>
      <c r="G518" s="1353"/>
      <c r="H518" s="1353"/>
      <c r="I518" s="1353"/>
      <c r="J518" s="1353"/>
      <c r="K518" s="1387"/>
      <c r="L518" s="1353"/>
      <c r="M518" s="1353"/>
      <c r="N518" s="1353"/>
    </row>
    <row r="519" spans="1:14" x14ac:dyDescent="0.25">
      <c r="A519" s="1353"/>
      <c r="B519" s="1353"/>
      <c r="C519" s="1353"/>
      <c r="D519" s="1353"/>
      <c r="E519" s="1353"/>
      <c r="F519" s="1353"/>
      <c r="G519" s="1353"/>
      <c r="H519" s="1353"/>
      <c r="I519" s="1353"/>
      <c r="J519" s="1353"/>
      <c r="K519" s="1387"/>
      <c r="L519" s="1353"/>
      <c r="M519" s="1353"/>
      <c r="N519" s="1353"/>
    </row>
    <row r="520" spans="1:14" x14ac:dyDescent="0.25">
      <c r="A520" s="1353"/>
      <c r="B520" s="1353"/>
      <c r="C520" s="1353"/>
      <c r="D520" s="1353"/>
      <c r="E520" s="1353"/>
      <c r="F520" s="1353"/>
      <c r="G520" s="1353"/>
      <c r="H520" s="1353"/>
      <c r="I520" s="1353"/>
      <c r="J520" s="1353"/>
      <c r="K520" s="1387"/>
      <c r="L520" s="1353"/>
      <c r="M520" s="1353"/>
      <c r="N520" s="1353"/>
    </row>
    <row r="521" spans="1:14" x14ac:dyDescent="0.25">
      <c r="A521" s="1353"/>
      <c r="B521" s="1353"/>
      <c r="C521" s="1353"/>
      <c r="D521" s="1353"/>
      <c r="E521" s="1353"/>
      <c r="F521" s="1353"/>
      <c r="G521" s="1353"/>
      <c r="H521" s="1353"/>
      <c r="I521" s="1353"/>
      <c r="J521" s="1353"/>
      <c r="K521" s="1387"/>
      <c r="L521" s="1353"/>
      <c r="M521" s="1353"/>
      <c r="N521" s="1353"/>
    </row>
    <row r="522" spans="1:14" x14ac:dyDescent="0.25">
      <c r="A522" s="1353"/>
      <c r="B522" s="1353"/>
      <c r="C522" s="1353"/>
      <c r="D522" s="1353"/>
      <c r="E522" s="1353"/>
      <c r="F522" s="1353"/>
      <c r="G522" s="1353"/>
      <c r="H522" s="1353"/>
      <c r="I522" s="1353"/>
      <c r="J522" s="1353"/>
      <c r="K522" s="1387"/>
      <c r="L522" s="1353"/>
      <c r="M522" s="1353"/>
      <c r="N522" s="1353"/>
    </row>
    <row r="523" spans="1:14" x14ac:dyDescent="0.25">
      <c r="A523" s="1353"/>
      <c r="B523" s="1353"/>
      <c r="C523" s="1353"/>
      <c r="D523" s="1353"/>
      <c r="E523" s="1353"/>
      <c r="F523" s="1353"/>
      <c r="G523" s="1353"/>
      <c r="H523" s="1353"/>
      <c r="I523" s="1353"/>
      <c r="J523" s="1353"/>
      <c r="K523" s="1387"/>
      <c r="L523" s="1353"/>
      <c r="M523" s="1353"/>
      <c r="N523" s="1353"/>
    </row>
    <row r="524" spans="1:14" x14ac:dyDescent="0.25">
      <c r="A524" s="1353"/>
      <c r="B524" s="1353"/>
      <c r="C524" s="1353"/>
      <c r="D524" s="1353"/>
      <c r="E524" s="1353"/>
      <c r="F524" s="1353"/>
      <c r="G524" s="1353"/>
      <c r="H524" s="1353"/>
      <c r="I524" s="1353"/>
      <c r="J524" s="1353"/>
      <c r="K524" s="1387"/>
      <c r="L524" s="1353"/>
      <c r="M524" s="1353"/>
      <c r="N524" s="1353"/>
    </row>
    <row r="525" spans="1:14" x14ac:dyDescent="0.25">
      <c r="A525" s="1353"/>
      <c r="B525" s="1353"/>
      <c r="C525" s="1353"/>
      <c r="D525" s="1353"/>
      <c r="E525" s="1353"/>
      <c r="F525" s="1353"/>
      <c r="G525" s="1353"/>
      <c r="H525" s="1353"/>
      <c r="I525" s="1353"/>
      <c r="J525" s="1353"/>
      <c r="K525" s="1387"/>
      <c r="L525" s="1353"/>
      <c r="M525" s="1353"/>
      <c r="N525" s="1353"/>
    </row>
    <row r="526" spans="1:14" x14ac:dyDescent="0.25">
      <c r="A526" s="1353"/>
      <c r="B526" s="1353"/>
      <c r="C526" s="1353"/>
      <c r="D526" s="1353"/>
      <c r="E526" s="1353"/>
      <c r="F526" s="1353"/>
      <c r="G526" s="1353"/>
      <c r="H526" s="1353"/>
      <c r="I526" s="1353"/>
      <c r="J526" s="1353"/>
      <c r="K526" s="1387"/>
      <c r="L526" s="1353"/>
      <c r="M526" s="1353"/>
      <c r="N526" s="1353"/>
    </row>
    <row r="527" spans="1:14" x14ac:dyDescent="0.25">
      <c r="A527" s="1353"/>
      <c r="B527" s="1353"/>
      <c r="C527" s="1353"/>
      <c r="D527" s="1353"/>
      <c r="E527" s="1353"/>
      <c r="F527" s="1353"/>
      <c r="G527" s="1353"/>
      <c r="H527" s="1353"/>
      <c r="I527" s="1353"/>
      <c r="J527" s="1353"/>
      <c r="K527" s="1387"/>
      <c r="L527" s="1353"/>
      <c r="M527" s="1353"/>
      <c r="N527" s="1353"/>
    </row>
    <row r="528" spans="1:14" x14ac:dyDescent="0.25">
      <c r="A528" s="1353"/>
      <c r="B528" s="1353"/>
      <c r="C528" s="1353"/>
      <c r="D528" s="1353"/>
      <c r="E528" s="1353"/>
      <c r="F528" s="1353"/>
      <c r="G528" s="1353"/>
      <c r="H528" s="1353"/>
      <c r="I528" s="1353"/>
      <c r="J528" s="1353"/>
      <c r="K528" s="1387"/>
      <c r="L528" s="1353"/>
      <c r="M528" s="1353"/>
      <c r="N528" s="1353"/>
    </row>
    <row r="529" spans="1:14" x14ac:dyDescent="0.25">
      <c r="A529" s="1353"/>
      <c r="B529" s="1353"/>
      <c r="C529" s="1353"/>
      <c r="D529" s="1353"/>
      <c r="E529" s="1353"/>
      <c r="F529" s="1353"/>
      <c r="G529" s="1353"/>
      <c r="H529" s="1353"/>
      <c r="I529" s="1353"/>
      <c r="J529" s="1353"/>
      <c r="K529" s="1387"/>
      <c r="L529" s="1353"/>
      <c r="M529" s="1353"/>
      <c r="N529" s="1353"/>
    </row>
    <row r="530" spans="1:14" x14ac:dyDescent="0.25">
      <c r="A530" s="1353"/>
      <c r="B530" s="1353"/>
      <c r="C530" s="1353"/>
      <c r="D530" s="1353"/>
      <c r="E530" s="1353"/>
      <c r="F530" s="1353"/>
      <c r="G530" s="1353"/>
      <c r="H530" s="1353"/>
      <c r="I530" s="1353"/>
      <c r="J530" s="1353"/>
      <c r="K530" s="1387"/>
      <c r="L530" s="1353"/>
      <c r="M530" s="1353"/>
      <c r="N530" s="1353"/>
    </row>
    <row r="531" spans="1:14" x14ac:dyDescent="0.25">
      <c r="A531" s="1353"/>
      <c r="B531" s="1353"/>
      <c r="C531" s="1353"/>
      <c r="D531" s="1353"/>
      <c r="E531" s="1353"/>
      <c r="F531" s="1353"/>
      <c r="G531" s="1353"/>
      <c r="H531" s="1353"/>
      <c r="I531" s="1353"/>
      <c r="J531" s="1353"/>
      <c r="K531" s="1387"/>
      <c r="L531" s="1353"/>
      <c r="M531" s="1353"/>
      <c r="N531" s="1353"/>
    </row>
    <row r="532" spans="1:14" x14ac:dyDescent="0.25">
      <c r="A532" s="1353"/>
      <c r="B532" s="1353"/>
      <c r="C532" s="1353"/>
      <c r="D532" s="1353"/>
      <c r="E532" s="1353"/>
      <c r="F532" s="1353"/>
      <c r="G532" s="1353"/>
      <c r="H532" s="1353"/>
      <c r="I532" s="1353"/>
      <c r="J532" s="1353"/>
      <c r="K532" s="1387"/>
      <c r="L532" s="1353"/>
      <c r="M532" s="1353"/>
      <c r="N532" s="1353"/>
    </row>
    <row r="533" spans="1:14" x14ac:dyDescent="0.25">
      <c r="A533" s="1353"/>
      <c r="B533" s="1353"/>
      <c r="C533" s="1353"/>
      <c r="D533" s="1353"/>
      <c r="E533" s="1353"/>
      <c r="F533" s="1353"/>
      <c r="G533" s="1353"/>
      <c r="H533" s="1353"/>
      <c r="I533" s="1353"/>
      <c r="J533" s="1353"/>
      <c r="K533" s="1387"/>
      <c r="L533" s="1353"/>
      <c r="M533" s="1353"/>
      <c r="N533" s="1353"/>
    </row>
    <row r="534" spans="1:14" x14ac:dyDescent="0.25">
      <c r="A534" s="1353"/>
      <c r="B534" s="1353"/>
      <c r="C534" s="1353"/>
      <c r="D534" s="1353"/>
      <c r="E534" s="1353"/>
      <c r="F534" s="1353"/>
      <c r="G534" s="1353"/>
      <c r="H534" s="1353"/>
      <c r="I534" s="1353"/>
      <c r="J534" s="1353"/>
      <c r="K534" s="1387"/>
      <c r="L534" s="1353"/>
      <c r="M534" s="1353"/>
      <c r="N534" s="1353"/>
    </row>
    <row r="535" spans="1:14" x14ac:dyDescent="0.25">
      <c r="A535" s="1353"/>
      <c r="B535" s="1353"/>
      <c r="C535" s="1353"/>
      <c r="D535" s="1353"/>
      <c r="E535" s="1353"/>
      <c r="F535" s="1353"/>
      <c r="G535" s="1353"/>
      <c r="H535" s="1353"/>
      <c r="I535" s="1353"/>
      <c r="J535" s="1353"/>
      <c r="K535" s="1387"/>
      <c r="L535" s="1353"/>
      <c r="M535" s="1353"/>
      <c r="N535" s="1353"/>
    </row>
    <row r="536" spans="1:14" x14ac:dyDescent="0.25">
      <c r="A536" s="1353"/>
      <c r="B536" s="1353"/>
      <c r="C536" s="1353"/>
      <c r="D536" s="1353"/>
      <c r="E536" s="1353"/>
      <c r="F536" s="1353"/>
      <c r="G536" s="1353"/>
      <c r="H536" s="1353"/>
      <c r="I536" s="1353"/>
      <c r="J536" s="1353"/>
      <c r="K536" s="1387"/>
      <c r="L536" s="1353"/>
      <c r="M536" s="1353"/>
      <c r="N536" s="1353"/>
    </row>
    <row r="537" spans="1:14" x14ac:dyDescent="0.25">
      <c r="A537" s="1353"/>
      <c r="B537" s="1353"/>
      <c r="C537" s="1353"/>
      <c r="D537" s="1353"/>
      <c r="E537" s="1353"/>
      <c r="F537" s="1353"/>
      <c r="G537" s="1353"/>
      <c r="H537" s="1353"/>
      <c r="I537" s="1353"/>
      <c r="J537" s="1353"/>
      <c r="K537" s="1387"/>
      <c r="L537" s="1353"/>
      <c r="M537" s="1353"/>
      <c r="N537" s="1353"/>
    </row>
    <row r="538" spans="1:14" x14ac:dyDescent="0.25">
      <c r="A538" s="1353"/>
      <c r="B538" s="1353"/>
      <c r="C538" s="1353"/>
      <c r="D538" s="1353"/>
      <c r="E538" s="1353"/>
      <c r="F538" s="1353"/>
      <c r="G538" s="1353"/>
      <c r="H538" s="1353"/>
      <c r="I538" s="1353"/>
      <c r="J538" s="1353"/>
      <c r="K538" s="1387"/>
      <c r="L538" s="1353"/>
      <c r="M538" s="1353"/>
      <c r="N538" s="1353"/>
    </row>
    <row r="539" spans="1:14" x14ac:dyDescent="0.25">
      <c r="A539" s="1353"/>
      <c r="B539" s="1353"/>
      <c r="C539" s="1353"/>
      <c r="D539" s="1353"/>
      <c r="E539" s="1353"/>
      <c r="F539" s="1353"/>
      <c r="G539" s="1353"/>
      <c r="H539" s="1353"/>
      <c r="I539" s="1353"/>
      <c r="J539" s="1353"/>
      <c r="K539" s="1387"/>
      <c r="L539" s="1353"/>
      <c r="M539" s="1353"/>
      <c r="N539" s="1353"/>
    </row>
    <row r="540" spans="1:14" x14ac:dyDescent="0.25">
      <c r="A540" s="1353"/>
      <c r="B540" s="1353"/>
      <c r="C540" s="1353"/>
      <c r="D540" s="1353"/>
      <c r="E540" s="1353"/>
      <c r="F540" s="1353"/>
      <c r="G540" s="1353"/>
      <c r="H540" s="1353"/>
      <c r="I540" s="1353"/>
      <c r="J540" s="1353"/>
      <c r="K540" s="1387"/>
      <c r="L540" s="1353"/>
      <c r="M540" s="1353"/>
      <c r="N540" s="1353"/>
    </row>
    <row r="541" spans="1:14" x14ac:dyDescent="0.25">
      <c r="A541" s="1353"/>
      <c r="B541" s="1353"/>
      <c r="C541" s="1353"/>
      <c r="D541" s="1353"/>
      <c r="E541" s="1353"/>
      <c r="F541" s="1353"/>
      <c r="G541" s="1353"/>
      <c r="H541" s="1353"/>
      <c r="I541" s="1353"/>
      <c r="J541" s="1353"/>
      <c r="K541" s="1387"/>
      <c r="L541" s="1353"/>
      <c r="M541" s="1353"/>
      <c r="N541" s="1353"/>
    </row>
    <row r="542" spans="1:14" x14ac:dyDescent="0.25">
      <c r="A542" s="1353"/>
      <c r="B542" s="1353"/>
      <c r="C542" s="1353"/>
      <c r="D542" s="1353"/>
      <c r="E542" s="1353"/>
      <c r="F542" s="1353"/>
      <c r="G542" s="1353"/>
      <c r="H542" s="1353"/>
      <c r="I542" s="1353"/>
      <c r="J542" s="1353"/>
      <c r="K542" s="1387"/>
      <c r="L542" s="1353"/>
      <c r="M542" s="1353"/>
      <c r="N542" s="1353"/>
    </row>
    <row r="543" spans="1:14" x14ac:dyDescent="0.25">
      <c r="A543" s="1353"/>
      <c r="B543" s="1353"/>
      <c r="C543" s="1353"/>
      <c r="D543" s="1353"/>
      <c r="E543" s="1353"/>
      <c r="F543" s="1353"/>
      <c r="G543" s="1353"/>
      <c r="H543" s="1353"/>
      <c r="I543" s="1353"/>
      <c r="J543" s="1353"/>
      <c r="K543" s="1387"/>
      <c r="L543" s="1353"/>
      <c r="M543" s="1353"/>
      <c r="N543" s="1353"/>
    </row>
    <row r="544" spans="1:14" x14ac:dyDescent="0.25">
      <c r="A544" s="1353"/>
      <c r="B544" s="1353"/>
      <c r="C544" s="1353"/>
      <c r="D544" s="1353"/>
      <c r="E544" s="1353"/>
      <c r="F544" s="1353"/>
      <c r="G544" s="1353"/>
      <c r="H544" s="1353"/>
      <c r="I544" s="1353"/>
      <c r="J544" s="1353"/>
      <c r="K544" s="1387"/>
      <c r="L544" s="1353"/>
      <c r="M544" s="1353"/>
      <c r="N544" s="1353"/>
    </row>
    <row r="545" spans="1:14" x14ac:dyDescent="0.25">
      <c r="A545" s="1353"/>
      <c r="B545" s="1353"/>
      <c r="C545" s="1353"/>
      <c r="D545" s="1353"/>
      <c r="E545" s="1353"/>
      <c r="F545" s="1353"/>
      <c r="G545" s="1353"/>
      <c r="H545" s="1353"/>
      <c r="I545" s="1353"/>
      <c r="J545" s="1353"/>
      <c r="K545" s="1387"/>
      <c r="L545" s="1353"/>
      <c r="M545" s="1353"/>
      <c r="N545" s="1353"/>
    </row>
    <row r="546" spans="1:14" x14ac:dyDescent="0.25">
      <c r="A546" s="1353"/>
      <c r="B546" s="1353"/>
      <c r="C546" s="1353"/>
      <c r="D546" s="1353"/>
      <c r="E546" s="1353"/>
      <c r="F546" s="1353"/>
      <c r="G546" s="1353"/>
      <c r="H546" s="1353"/>
      <c r="I546" s="1353"/>
      <c r="J546" s="1353"/>
      <c r="K546" s="1387"/>
      <c r="L546" s="1353"/>
      <c r="M546" s="1353"/>
      <c r="N546" s="1353"/>
    </row>
    <row r="547" spans="1:14" x14ac:dyDescent="0.25">
      <c r="A547" s="1353"/>
      <c r="B547" s="1353"/>
      <c r="C547" s="1353"/>
      <c r="D547" s="1353"/>
      <c r="E547" s="1353"/>
      <c r="F547" s="1353"/>
      <c r="G547" s="1353"/>
      <c r="H547" s="1353"/>
      <c r="I547" s="1353"/>
      <c r="J547" s="1353"/>
      <c r="K547" s="1387"/>
      <c r="L547" s="1353"/>
      <c r="M547" s="1353"/>
      <c r="N547" s="1353"/>
    </row>
    <row r="548" spans="1:14" x14ac:dyDescent="0.25">
      <c r="A548" s="1353"/>
      <c r="B548" s="1353"/>
      <c r="C548" s="1353"/>
      <c r="D548" s="1353"/>
      <c r="E548" s="1353"/>
      <c r="F548" s="1353"/>
      <c r="G548" s="1353"/>
      <c r="H548" s="1353"/>
      <c r="I548" s="1353"/>
      <c r="J548" s="1353"/>
      <c r="K548" s="1387"/>
      <c r="L548" s="1353"/>
      <c r="M548" s="1353"/>
      <c r="N548" s="1353"/>
    </row>
    <row r="549" spans="1:14" x14ac:dyDescent="0.25">
      <c r="A549" s="1353"/>
      <c r="B549" s="1353"/>
      <c r="C549" s="1353"/>
      <c r="D549" s="1353"/>
      <c r="E549" s="1353"/>
      <c r="F549" s="1353"/>
      <c r="G549" s="1353"/>
      <c r="H549" s="1353"/>
      <c r="I549" s="1353"/>
      <c r="J549" s="1353"/>
      <c r="K549" s="1387"/>
      <c r="L549" s="1353"/>
      <c r="M549" s="1353"/>
      <c r="N549" s="1353"/>
    </row>
    <row r="550" spans="1:14" x14ac:dyDescent="0.25">
      <c r="A550" s="1353"/>
      <c r="B550" s="1353"/>
      <c r="C550" s="1353"/>
      <c r="D550" s="1353"/>
      <c r="E550" s="1353"/>
      <c r="F550" s="1353"/>
      <c r="G550" s="1353"/>
      <c r="H550" s="1353"/>
      <c r="I550" s="1353"/>
      <c r="J550" s="1353"/>
      <c r="K550" s="1387"/>
      <c r="L550" s="1353"/>
      <c r="M550" s="1353"/>
      <c r="N550" s="1353"/>
    </row>
    <row r="551" spans="1:14" x14ac:dyDescent="0.25">
      <c r="A551" s="1353"/>
      <c r="B551" s="1353"/>
      <c r="C551" s="1353"/>
      <c r="D551" s="1353"/>
      <c r="E551" s="1353"/>
      <c r="F551" s="1353"/>
      <c r="G551" s="1353"/>
      <c r="H551" s="1353"/>
      <c r="I551" s="1353"/>
      <c r="J551" s="1353"/>
      <c r="K551" s="1387"/>
      <c r="L551" s="1353"/>
      <c r="M551" s="1353"/>
      <c r="N551" s="1353"/>
    </row>
    <row r="552" spans="1:14" x14ac:dyDescent="0.25">
      <c r="A552" s="1353"/>
      <c r="B552" s="1353"/>
      <c r="C552" s="1353"/>
      <c r="D552" s="1353"/>
      <c r="E552" s="1353"/>
      <c r="F552" s="1353"/>
      <c r="G552" s="1353"/>
      <c r="H552" s="1353"/>
      <c r="I552" s="1353"/>
      <c r="J552" s="1353"/>
      <c r="K552" s="1387"/>
      <c r="L552" s="1353"/>
      <c r="M552" s="1353"/>
      <c r="N552" s="1353"/>
    </row>
    <row r="553" spans="1:14" x14ac:dyDescent="0.25">
      <c r="A553" s="1353"/>
      <c r="B553" s="1353"/>
      <c r="C553" s="1353"/>
      <c r="D553" s="1353"/>
      <c r="E553" s="1353"/>
      <c r="F553" s="1353"/>
      <c r="G553" s="1353"/>
      <c r="H553" s="1353"/>
      <c r="I553" s="1353"/>
      <c r="J553" s="1353"/>
      <c r="K553" s="1387"/>
      <c r="L553" s="1353"/>
      <c r="M553" s="1353"/>
      <c r="N553" s="1353"/>
    </row>
    <row r="554" spans="1:14" x14ac:dyDescent="0.25">
      <c r="A554" s="1353"/>
      <c r="B554" s="1353"/>
      <c r="C554" s="1353"/>
      <c r="D554" s="1353"/>
      <c r="E554" s="1353"/>
      <c r="F554" s="1353"/>
      <c r="G554" s="1353"/>
      <c r="H554" s="1353"/>
      <c r="I554" s="1353"/>
      <c r="J554" s="1353"/>
      <c r="K554" s="1387"/>
      <c r="L554" s="1353"/>
      <c r="M554" s="1353"/>
      <c r="N554" s="1353"/>
    </row>
    <row r="555" spans="1:14" x14ac:dyDescent="0.25">
      <c r="A555" s="1353"/>
      <c r="B555" s="1353"/>
      <c r="C555" s="1353"/>
      <c r="D555" s="1353"/>
      <c r="E555" s="1353"/>
      <c r="F555" s="1353"/>
      <c r="G555" s="1353"/>
      <c r="H555" s="1353"/>
      <c r="I555" s="1353"/>
      <c r="J555" s="1353"/>
      <c r="K555" s="1387"/>
      <c r="L555" s="1353"/>
      <c r="M555" s="1353"/>
      <c r="N555" s="1353"/>
    </row>
    <row r="556" spans="1:14" x14ac:dyDescent="0.25">
      <c r="A556" s="1353"/>
      <c r="B556" s="1353"/>
      <c r="C556" s="1353"/>
      <c r="D556" s="1353"/>
      <c r="E556" s="1353"/>
      <c r="F556" s="1353"/>
      <c r="G556" s="1353"/>
      <c r="H556" s="1353"/>
      <c r="I556" s="1353"/>
      <c r="J556" s="1353"/>
      <c r="K556" s="1387"/>
      <c r="L556" s="1353"/>
      <c r="M556" s="1353"/>
      <c r="N556" s="1353"/>
    </row>
    <row r="557" spans="1:14" x14ac:dyDescent="0.25">
      <c r="A557" s="1353"/>
      <c r="B557" s="1353"/>
      <c r="C557" s="1353"/>
      <c r="D557" s="1353"/>
      <c r="E557" s="1353"/>
      <c r="F557" s="1353"/>
      <c r="G557" s="1353"/>
      <c r="H557" s="1353"/>
      <c r="I557" s="1353"/>
      <c r="J557" s="1353"/>
      <c r="K557" s="1387"/>
      <c r="L557" s="1353"/>
      <c r="M557" s="1353"/>
      <c r="N557" s="1353"/>
    </row>
    <row r="558" spans="1:14" x14ac:dyDescent="0.25">
      <c r="A558" s="1353"/>
      <c r="B558" s="1353"/>
      <c r="C558" s="1353"/>
      <c r="D558" s="1353"/>
      <c r="E558" s="1353"/>
      <c r="F558" s="1353"/>
      <c r="G558" s="1353"/>
      <c r="H558" s="1353"/>
      <c r="I558" s="1353"/>
      <c r="J558" s="1353"/>
      <c r="K558" s="1387"/>
      <c r="L558" s="1353"/>
      <c r="M558" s="1353"/>
      <c r="N558" s="1353"/>
    </row>
    <row r="559" spans="1:14" x14ac:dyDescent="0.25">
      <c r="A559" s="1353"/>
      <c r="B559" s="1353"/>
      <c r="C559" s="1353"/>
      <c r="D559" s="1353"/>
      <c r="E559" s="1353"/>
      <c r="F559" s="1353"/>
      <c r="G559" s="1353"/>
      <c r="H559" s="1353"/>
      <c r="I559" s="1353"/>
      <c r="J559" s="1353"/>
      <c r="K559" s="1387"/>
      <c r="L559" s="1353"/>
      <c r="M559" s="1353"/>
      <c r="N559" s="1353"/>
    </row>
    <row r="560" spans="1:14" x14ac:dyDescent="0.25">
      <c r="A560" s="1353"/>
      <c r="B560" s="1353"/>
      <c r="C560" s="1353"/>
      <c r="D560" s="1353"/>
      <c r="E560" s="1353"/>
      <c r="F560" s="1353"/>
      <c r="G560" s="1353"/>
      <c r="H560" s="1353"/>
      <c r="I560" s="1353"/>
      <c r="J560" s="1353"/>
      <c r="K560" s="1387"/>
      <c r="L560" s="1353"/>
      <c r="M560" s="1353"/>
      <c r="N560" s="1353"/>
    </row>
    <row r="561" spans="1:14" x14ac:dyDescent="0.25">
      <c r="A561" s="1353"/>
      <c r="B561" s="1353"/>
      <c r="C561" s="1353"/>
      <c r="D561" s="1353"/>
      <c r="E561" s="1353"/>
      <c r="F561" s="1353"/>
      <c r="G561" s="1353"/>
      <c r="H561" s="1353"/>
      <c r="I561" s="1353"/>
      <c r="J561" s="1353"/>
      <c r="K561" s="1387"/>
      <c r="L561" s="1353"/>
      <c r="M561" s="1353"/>
      <c r="N561" s="1353"/>
    </row>
    <row r="562" spans="1:14" x14ac:dyDescent="0.25">
      <c r="A562" s="1353"/>
      <c r="B562" s="1353"/>
      <c r="C562" s="1353"/>
      <c r="D562" s="1353"/>
      <c r="E562" s="1353"/>
      <c r="F562" s="1353"/>
      <c r="G562" s="1353"/>
      <c r="H562" s="1353"/>
      <c r="I562" s="1353"/>
      <c r="J562" s="1353"/>
      <c r="K562" s="1387"/>
      <c r="L562" s="1353"/>
      <c r="M562" s="1353"/>
      <c r="N562" s="1353"/>
    </row>
    <row r="563" spans="1:14" x14ac:dyDescent="0.25">
      <c r="A563" s="1353"/>
      <c r="B563" s="1353"/>
      <c r="C563" s="1353"/>
      <c r="D563" s="1353"/>
      <c r="E563" s="1353"/>
      <c r="F563" s="1353"/>
      <c r="G563" s="1353"/>
      <c r="H563" s="1353"/>
      <c r="I563" s="1353"/>
      <c r="J563" s="1353"/>
      <c r="K563" s="1387"/>
      <c r="L563" s="1353"/>
      <c r="M563" s="1353"/>
      <c r="N563" s="1353"/>
    </row>
    <row r="564" spans="1:14" x14ac:dyDescent="0.25">
      <c r="A564" s="1353"/>
      <c r="B564" s="1353"/>
      <c r="C564" s="1353"/>
      <c r="D564" s="1353"/>
      <c r="E564" s="1353"/>
      <c r="F564" s="1353"/>
      <c r="G564" s="1353"/>
      <c r="H564" s="1353"/>
      <c r="I564" s="1353"/>
      <c r="J564" s="1353"/>
      <c r="K564" s="1387"/>
      <c r="L564" s="1353"/>
      <c r="M564" s="1353"/>
      <c r="N564" s="1353"/>
    </row>
    <row r="565" spans="1:14" x14ac:dyDescent="0.25">
      <c r="A565" s="1353"/>
      <c r="B565" s="1353"/>
      <c r="C565" s="1353"/>
      <c r="D565" s="1353"/>
      <c r="E565" s="1353"/>
      <c r="F565" s="1353"/>
      <c r="G565" s="1353"/>
      <c r="H565" s="1353"/>
      <c r="I565" s="1353"/>
      <c r="J565" s="1353"/>
      <c r="K565" s="1387"/>
      <c r="L565" s="1353"/>
      <c r="M565" s="1353"/>
      <c r="N565" s="1353"/>
    </row>
    <row r="566" spans="1:14" x14ac:dyDescent="0.25">
      <c r="A566" s="1353"/>
      <c r="B566" s="1353"/>
      <c r="C566" s="1353"/>
      <c r="D566" s="1353"/>
      <c r="E566" s="1353"/>
      <c r="F566" s="1353"/>
      <c r="G566" s="1353"/>
      <c r="H566" s="1353"/>
      <c r="I566" s="1353"/>
      <c r="J566" s="1353"/>
      <c r="K566" s="1387"/>
      <c r="L566" s="1353"/>
      <c r="M566" s="1353"/>
      <c r="N566" s="1353"/>
    </row>
    <row r="567" spans="1:14" x14ac:dyDescent="0.25">
      <c r="A567" s="1353"/>
      <c r="B567" s="1353"/>
      <c r="C567" s="1353"/>
      <c r="D567" s="1353"/>
      <c r="E567" s="1353"/>
      <c r="F567" s="1353"/>
      <c r="G567" s="1353"/>
      <c r="H567" s="1353"/>
      <c r="I567" s="1353"/>
      <c r="J567" s="1353"/>
      <c r="K567" s="1387"/>
      <c r="L567" s="1353"/>
      <c r="M567" s="1353"/>
      <c r="N567" s="1353"/>
    </row>
    <row r="568" spans="1:14" x14ac:dyDescent="0.25">
      <c r="A568" s="1353"/>
      <c r="B568" s="1353"/>
      <c r="C568" s="1353"/>
      <c r="D568" s="1353"/>
      <c r="E568" s="1353"/>
      <c r="F568" s="1353"/>
      <c r="G568" s="1353"/>
      <c r="H568" s="1353"/>
      <c r="I568" s="1353"/>
      <c r="J568" s="1353"/>
      <c r="K568" s="1387"/>
      <c r="L568" s="1353"/>
      <c r="M568" s="1353"/>
      <c r="N568" s="1353"/>
    </row>
    <row r="569" spans="1:14" x14ac:dyDescent="0.25">
      <c r="A569" s="1353"/>
      <c r="B569" s="1353"/>
      <c r="C569" s="1353"/>
      <c r="D569" s="1353"/>
      <c r="E569" s="1353"/>
      <c r="F569" s="1353"/>
      <c r="G569" s="1353"/>
      <c r="H569" s="1353"/>
      <c r="I569" s="1353"/>
      <c r="J569" s="1353"/>
      <c r="K569" s="1387"/>
      <c r="L569" s="1353"/>
      <c r="M569" s="1353"/>
      <c r="N569" s="1353"/>
    </row>
    <row r="570" spans="1:14" x14ac:dyDescent="0.25">
      <c r="A570" s="1353"/>
      <c r="B570" s="1353"/>
      <c r="C570" s="1353"/>
      <c r="D570" s="1353"/>
      <c r="E570" s="1353"/>
      <c r="F570" s="1353"/>
      <c r="G570" s="1353"/>
      <c r="H570" s="1353"/>
      <c r="I570" s="1353"/>
      <c r="J570" s="1353"/>
      <c r="K570" s="1387"/>
      <c r="L570" s="1353"/>
      <c r="M570" s="1353"/>
      <c r="N570" s="1353"/>
    </row>
    <row r="571" spans="1:14" x14ac:dyDescent="0.25">
      <c r="A571" s="1353"/>
      <c r="B571" s="1353"/>
      <c r="C571" s="1353"/>
      <c r="D571" s="1353"/>
      <c r="E571" s="1353"/>
      <c r="F571" s="1353"/>
      <c r="G571" s="1353"/>
      <c r="H571" s="1353"/>
      <c r="I571" s="1353"/>
      <c r="J571" s="1353"/>
      <c r="K571" s="1387"/>
      <c r="L571" s="1353"/>
      <c r="M571" s="1353"/>
      <c r="N571" s="1353"/>
    </row>
    <row r="572" spans="1:14" x14ac:dyDescent="0.25">
      <c r="A572" s="1353"/>
      <c r="B572" s="1353"/>
      <c r="C572" s="1353"/>
      <c r="D572" s="1353"/>
      <c r="E572" s="1353"/>
      <c r="F572" s="1353"/>
      <c r="G572" s="1353"/>
      <c r="H572" s="1353"/>
      <c r="I572" s="1353"/>
      <c r="J572" s="1353"/>
      <c r="K572" s="1387"/>
      <c r="L572" s="1353"/>
      <c r="M572" s="1353"/>
      <c r="N572" s="1353"/>
    </row>
    <row r="573" spans="1:14" x14ac:dyDescent="0.25">
      <c r="A573" s="1353"/>
      <c r="B573" s="1353"/>
      <c r="C573" s="1353"/>
      <c r="D573" s="1353"/>
      <c r="E573" s="1353"/>
      <c r="F573" s="1353"/>
      <c r="G573" s="1353"/>
      <c r="H573" s="1353"/>
      <c r="I573" s="1353"/>
      <c r="J573" s="1353"/>
      <c r="K573" s="1387"/>
      <c r="L573" s="1353"/>
      <c r="M573" s="1353"/>
      <c r="N573" s="1353"/>
    </row>
    <row r="574" spans="1:14" x14ac:dyDescent="0.25">
      <c r="A574" s="1353"/>
      <c r="B574" s="1353"/>
      <c r="C574" s="1353"/>
      <c r="D574" s="1353"/>
      <c r="E574" s="1353"/>
      <c r="F574" s="1353"/>
      <c r="G574" s="1353"/>
      <c r="H574" s="1353"/>
      <c r="I574" s="1353"/>
      <c r="J574" s="1353"/>
      <c r="K574" s="1387"/>
      <c r="L574" s="1353"/>
      <c r="M574" s="1353"/>
      <c r="N574" s="1353"/>
    </row>
    <row r="575" spans="1:14" x14ac:dyDescent="0.25">
      <c r="A575" s="1353"/>
      <c r="B575" s="1353"/>
      <c r="C575" s="1353"/>
      <c r="D575" s="1353"/>
      <c r="E575" s="1353"/>
      <c r="F575" s="1353"/>
      <c r="G575" s="1353"/>
      <c r="H575" s="1353"/>
      <c r="I575" s="1353"/>
      <c r="J575" s="1353"/>
      <c r="K575" s="1387"/>
      <c r="L575" s="1353"/>
      <c r="M575" s="1353"/>
      <c r="N575" s="1353"/>
    </row>
    <row r="576" spans="1:14" x14ac:dyDescent="0.25">
      <c r="A576" s="1353"/>
      <c r="B576" s="1353"/>
      <c r="C576" s="1353"/>
      <c r="D576" s="1353"/>
      <c r="E576" s="1353"/>
      <c r="F576" s="1353"/>
      <c r="G576" s="1353"/>
      <c r="H576" s="1353"/>
      <c r="I576" s="1353"/>
      <c r="J576" s="1353"/>
      <c r="K576" s="1387"/>
      <c r="L576" s="1353"/>
      <c r="M576" s="1353"/>
      <c r="N576" s="1353"/>
    </row>
    <row r="577" spans="1:14" x14ac:dyDescent="0.25">
      <c r="A577" s="1353"/>
      <c r="B577" s="1353"/>
      <c r="C577" s="1353"/>
      <c r="D577" s="1353"/>
      <c r="E577" s="1353"/>
      <c r="F577" s="1353"/>
      <c r="G577" s="1353"/>
      <c r="H577" s="1353"/>
      <c r="I577" s="1353"/>
      <c r="J577" s="1353"/>
      <c r="K577" s="1387"/>
      <c r="L577" s="1353"/>
      <c r="M577" s="1353"/>
      <c r="N577" s="1353"/>
    </row>
    <row r="578" spans="1:14" x14ac:dyDescent="0.25">
      <c r="A578" s="1353"/>
      <c r="B578" s="1353"/>
      <c r="C578" s="1353"/>
      <c r="D578" s="1353"/>
      <c r="E578" s="1353"/>
      <c r="F578" s="1353"/>
      <c r="G578" s="1353"/>
      <c r="H578" s="1353"/>
      <c r="I578" s="1353"/>
      <c r="J578" s="1353"/>
      <c r="K578" s="1387"/>
      <c r="L578" s="1353"/>
      <c r="M578" s="1353"/>
      <c r="N578" s="1353"/>
    </row>
    <row r="579" spans="1:14" x14ac:dyDescent="0.25">
      <c r="A579" s="1353"/>
      <c r="B579" s="1353"/>
      <c r="C579" s="1353"/>
      <c r="D579" s="1353"/>
      <c r="E579" s="1353"/>
      <c r="F579" s="1353"/>
      <c r="G579" s="1353"/>
      <c r="H579" s="1353"/>
      <c r="I579" s="1353"/>
      <c r="J579" s="1353"/>
      <c r="K579" s="1387"/>
      <c r="L579" s="1353"/>
      <c r="M579" s="1353"/>
      <c r="N579" s="1353"/>
    </row>
    <row r="580" spans="1:14" x14ac:dyDescent="0.25">
      <c r="A580" s="1353"/>
      <c r="B580" s="1353"/>
      <c r="C580" s="1353"/>
      <c r="D580" s="1353"/>
      <c r="E580" s="1353"/>
      <c r="F580" s="1353"/>
      <c r="G580" s="1353"/>
      <c r="H580" s="1353"/>
      <c r="I580" s="1353"/>
      <c r="J580" s="1353"/>
      <c r="K580" s="1387"/>
      <c r="L580" s="1353"/>
      <c r="M580" s="1353"/>
      <c r="N580" s="1353"/>
    </row>
    <row r="581" spans="1:14" x14ac:dyDescent="0.25">
      <c r="A581" s="1353"/>
      <c r="B581" s="1353"/>
      <c r="C581" s="1353"/>
      <c r="D581" s="1353"/>
      <c r="E581" s="1353"/>
      <c r="F581" s="1353"/>
      <c r="G581" s="1353"/>
      <c r="H581" s="1353"/>
      <c r="I581" s="1353"/>
      <c r="J581" s="1353"/>
      <c r="K581" s="1387"/>
      <c r="L581" s="1353"/>
      <c r="M581" s="1353"/>
      <c r="N581" s="1353"/>
    </row>
    <row r="582" spans="1:14" x14ac:dyDescent="0.25">
      <c r="A582" s="1353"/>
      <c r="B582" s="1353"/>
      <c r="C582" s="1353"/>
      <c r="D582" s="1353"/>
      <c r="E582" s="1353"/>
      <c r="F582" s="1353"/>
      <c r="G582" s="1353"/>
      <c r="H582" s="1353"/>
      <c r="I582" s="1353"/>
      <c r="J582" s="1353"/>
      <c r="K582" s="1387"/>
      <c r="L582" s="1353"/>
      <c r="M582" s="1353"/>
      <c r="N582" s="1353"/>
    </row>
    <row r="583" spans="1:14" x14ac:dyDescent="0.25">
      <c r="A583" s="1353"/>
      <c r="B583" s="1353"/>
      <c r="C583" s="1353"/>
      <c r="D583" s="1353"/>
      <c r="E583" s="1353"/>
      <c r="F583" s="1353"/>
      <c r="G583" s="1353"/>
      <c r="H583" s="1353"/>
      <c r="I583" s="1353"/>
      <c r="J583" s="1353"/>
      <c r="K583" s="1387"/>
      <c r="L583" s="1353"/>
      <c r="M583" s="1353"/>
      <c r="N583" s="1353"/>
    </row>
    <row r="584" spans="1:14" x14ac:dyDescent="0.25">
      <c r="A584" s="1353"/>
      <c r="B584" s="1353"/>
      <c r="C584" s="1353"/>
      <c r="D584" s="1353"/>
      <c r="E584" s="1353"/>
      <c r="F584" s="1353"/>
      <c r="G584" s="1353"/>
      <c r="H584" s="1353"/>
      <c r="I584" s="1353"/>
      <c r="J584" s="1353"/>
      <c r="K584" s="1387"/>
      <c r="L584" s="1353"/>
      <c r="M584" s="1353"/>
      <c r="N584" s="1353"/>
    </row>
    <row r="585" spans="1:14" x14ac:dyDescent="0.25">
      <c r="A585" s="1353"/>
      <c r="B585" s="1353"/>
      <c r="C585" s="1353"/>
      <c r="D585" s="1353"/>
      <c r="E585" s="1353"/>
      <c r="F585" s="1353"/>
      <c r="G585" s="1353"/>
      <c r="H585" s="1353"/>
      <c r="I585" s="1353"/>
      <c r="J585" s="1353"/>
      <c r="K585" s="1387"/>
      <c r="L585" s="1353"/>
      <c r="M585" s="1353"/>
      <c r="N585" s="1353"/>
    </row>
    <row r="586" spans="1:14" x14ac:dyDescent="0.25">
      <c r="A586" s="1353"/>
      <c r="B586" s="1353"/>
      <c r="C586" s="1353"/>
      <c r="D586" s="1353"/>
      <c r="E586" s="1353"/>
      <c r="F586" s="1353"/>
      <c r="G586" s="1353"/>
      <c r="H586" s="1353"/>
      <c r="I586" s="1353"/>
      <c r="J586" s="1353"/>
      <c r="K586" s="1387"/>
      <c r="L586" s="1353"/>
      <c r="M586" s="1353"/>
      <c r="N586" s="1353"/>
    </row>
    <row r="587" spans="1:14" x14ac:dyDescent="0.25">
      <c r="A587" s="1353"/>
      <c r="B587" s="1353"/>
      <c r="C587" s="1353"/>
      <c r="D587" s="1353"/>
      <c r="E587" s="1353"/>
      <c r="F587" s="1353"/>
      <c r="G587" s="1353"/>
      <c r="H587" s="1353"/>
      <c r="I587" s="1353"/>
      <c r="J587" s="1353"/>
      <c r="K587" s="1387"/>
      <c r="L587" s="1353"/>
      <c r="M587" s="1353"/>
      <c r="N587" s="1353"/>
    </row>
    <row r="588" spans="1:14" x14ac:dyDescent="0.25">
      <c r="A588" s="1353"/>
      <c r="B588" s="1353"/>
      <c r="C588" s="1353"/>
      <c r="D588" s="1353"/>
      <c r="E588" s="1353"/>
      <c r="F588" s="1353"/>
      <c r="G588" s="1353"/>
      <c r="H588" s="1353"/>
      <c r="I588" s="1353"/>
      <c r="J588" s="1353"/>
      <c r="K588" s="1387"/>
      <c r="L588" s="1353"/>
      <c r="M588" s="1353"/>
      <c r="N588" s="1353"/>
    </row>
    <row r="589" spans="1:14" x14ac:dyDescent="0.25">
      <c r="A589" s="1353"/>
      <c r="B589" s="1353"/>
      <c r="C589" s="1353"/>
      <c r="D589" s="1353"/>
      <c r="E589" s="1353"/>
      <c r="F589" s="1353"/>
      <c r="G589" s="1353"/>
      <c r="H589" s="1353"/>
      <c r="I589" s="1353"/>
      <c r="J589" s="1353"/>
      <c r="K589" s="1387"/>
      <c r="L589" s="1353"/>
      <c r="M589" s="1353"/>
      <c r="N589" s="1353"/>
    </row>
    <row r="590" spans="1:14" x14ac:dyDescent="0.25">
      <c r="A590" s="1353"/>
      <c r="B590" s="1353"/>
      <c r="C590" s="1353"/>
      <c r="D590" s="1353"/>
      <c r="E590" s="1353"/>
      <c r="F590" s="1353"/>
      <c r="G590" s="1353"/>
      <c r="H590" s="1353"/>
      <c r="I590" s="1353"/>
      <c r="J590" s="1353"/>
      <c r="K590" s="1387"/>
      <c r="L590" s="1353"/>
      <c r="M590" s="1353"/>
      <c r="N590" s="1353"/>
    </row>
    <row r="591" spans="1:14" x14ac:dyDescent="0.25">
      <c r="A591" s="1353"/>
      <c r="B591" s="1353"/>
      <c r="C591" s="1353"/>
      <c r="D591" s="1353"/>
      <c r="E591" s="1353"/>
      <c r="F591" s="1353"/>
      <c r="G591" s="1353"/>
      <c r="H591" s="1353"/>
      <c r="I591" s="1353"/>
      <c r="J591" s="1353"/>
      <c r="K591" s="1387"/>
      <c r="L591" s="1353"/>
      <c r="M591" s="1353"/>
      <c r="N591" s="1353"/>
    </row>
    <row r="592" spans="1:14" x14ac:dyDescent="0.25">
      <c r="A592" s="1353"/>
      <c r="B592" s="1353"/>
      <c r="C592" s="1353"/>
      <c r="D592" s="1353"/>
      <c r="E592" s="1353"/>
      <c r="F592" s="1353"/>
      <c r="G592" s="1353"/>
      <c r="H592" s="1353"/>
      <c r="I592" s="1353"/>
      <c r="J592" s="1353"/>
      <c r="K592" s="1387"/>
      <c r="L592" s="1353"/>
      <c r="M592" s="1353"/>
      <c r="N592" s="1353"/>
    </row>
    <row r="593" spans="1:14" x14ac:dyDescent="0.25">
      <c r="A593" s="1353"/>
      <c r="B593" s="1353"/>
      <c r="C593" s="1353"/>
      <c r="D593" s="1353"/>
      <c r="E593" s="1353"/>
      <c r="F593" s="1353"/>
      <c r="G593" s="1353"/>
      <c r="H593" s="1353"/>
      <c r="I593" s="1353"/>
      <c r="J593" s="1353"/>
      <c r="K593" s="1387"/>
      <c r="L593" s="1353"/>
      <c r="M593" s="1353"/>
      <c r="N593" s="1353"/>
    </row>
    <row r="594" spans="1:14" x14ac:dyDescent="0.25">
      <c r="A594" s="1353"/>
      <c r="B594" s="1353"/>
      <c r="C594" s="1353"/>
      <c r="D594" s="1353"/>
      <c r="E594" s="1353"/>
      <c r="F594" s="1353"/>
      <c r="G594" s="1353"/>
      <c r="H594" s="1353"/>
      <c r="I594" s="1353"/>
      <c r="J594" s="1353"/>
      <c r="K594" s="1387"/>
      <c r="L594" s="1353"/>
      <c r="M594" s="1353"/>
      <c r="N594" s="1353"/>
    </row>
    <row r="595" spans="1:14" x14ac:dyDescent="0.25">
      <c r="A595" s="1353"/>
      <c r="B595" s="1353"/>
      <c r="C595" s="1353"/>
      <c r="D595" s="1353"/>
      <c r="E595" s="1353"/>
      <c r="F595" s="1353"/>
      <c r="G595" s="1353"/>
      <c r="H595" s="1353"/>
      <c r="I595" s="1353"/>
      <c r="J595" s="1353"/>
      <c r="K595" s="1387"/>
      <c r="L595" s="1353"/>
      <c r="M595" s="1353"/>
      <c r="N595" s="1353"/>
    </row>
    <row r="596" spans="1:14" x14ac:dyDescent="0.25">
      <c r="A596" s="1353"/>
      <c r="B596" s="1353"/>
      <c r="C596" s="1353"/>
      <c r="D596" s="1353"/>
      <c r="E596" s="1353"/>
      <c r="F596" s="1353"/>
      <c r="G596" s="1353"/>
      <c r="H596" s="1353"/>
      <c r="I596" s="1353"/>
      <c r="J596" s="1353"/>
      <c r="K596" s="1387"/>
      <c r="L596" s="1353"/>
      <c r="M596" s="1353"/>
      <c r="N596" s="1353"/>
    </row>
    <row r="597" spans="1:14" x14ac:dyDescent="0.25">
      <c r="A597" s="1353"/>
      <c r="B597" s="1353"/>
      <c r="C597" s="1353"/>
      <c r="D597" s="1353"/>
      <c r="E597" s="1353"/>
      <c r="F597" s="1353"/>
      <c r="G597" s="1353"/>
      <c r="H597" s="1353"/>
      <c r="I597" s="1353"/>
      <c r="J597" s="1353"/>
      <c r="K597" s="1387"/>
      <c r="L597" s="1353"/>
      <c r="M597" s="1353"/>
      <c r="N597" s="1353"/>
    </row>
    <row r="598" spans="1:14" x14ac:dyDescent="0.25">
      <c r="A598" s="1353"/>
      <c r="B598" s="1353"/>
      <c r="C598" s="1353"/>
      <c r="D598" s="1353"/>
      <c r="E598" s="1353"/>
      <c r="F598" s="1353"/>
      <c r="G598" s="1353"/>
      <c r="H598" s="1353"/>
      <c r="I598" s="1353"/>
      <c r="J598" s="1353"/>
      <c r="K598" s="1387"/>
      <c r="L598" s="1353"/>
      <c r="M598" s="1353"/>
      <c r="N598" s="1353"/>
    </row>
    <row r="599" spans="1:14" x14ac:dyDescent="0.25">
      <c r="A599" s="1353"/>
      <c r="B599" s="1353"/>
      <c r="C599" s="1353"/>
      <c r="D599" s="1353"/>
      <c r="E599" s="1353"/>
      <c r="F599" s="1353"/>
      <c r="G599" s="1353"/>
      <c r="H599" s="1353"/>
      <c r="I599" s="1353"/>
      <c r="J599" s="1353"/>
      <c r="K599" s="1387"/>
      <c r="L599" s="1353"/>
      <c r="M599" s="1353"/>
      <c r="N599" s="1353"/>
    </row>
    <row r="600" spans="1:14" x14ac:dyDescent="0.25">
      <c r="A600" s="1353"/>
      <c r="B600" s="1353"/>
      <c r="C600" s="1353"/>
      <c r="D600" s="1353"/>
      <c r="E600" s="1353"/>
      <c r="F600" s="1353"/>
      <c r="G600" s="1353"/>
      <c r="H600" s="1353"/>
      <c r="I600" s="1353"/>
      <c r="J600" s="1353"/>
      <c r="K600" s="1387"/>
      <c r="L600" s="1353"/>
      <c r="M600" s="1353"/>
      <c r="N600" s="1353"/>
    </row>
    <row r="601" spans="1:14" x14ac:dyDescent="0.25">
      <c r="A601" s="1353"/>
      <c r="B601" s="1353"/>
      <c r="C601" s="1353"/>
      <c r="D601" s="1353"/>
      <c r="E601" s="1353"/>
      <c r="F601" s="1353"/>
      <c r="G601" s="1353"/>
      <c r="H601" s="1353"/>
      <c r="I601" s="1353"/>
      <c r="J601" s="1353"/>
      <c r="K601" s="1387"/>
      <c r="L601" s="1353"/>
      <c r="M601" s="1353"/>
      <c r="N601" s="1353"/>
    </row>
    <row r="602" spans="1:14" x14ac:dyDescent="0.25">
      <c r="A602" s="1353"/>
      <c r="B602" s="1353"/>
      <c r="C602" s="1353"/>
      <c r="D602" s="1353"/>
      <c r="E602" s="1353"/>
      <c r="F602" s="1353"/>
      <c r="G602" s="1353"/>
      <c r="H602" s="1353"/>
      <c r="I602" s="1353"/>
      <c r="J602" s="1353"/>
      <c r="K602" s="1387"/>
      <c r="L602" s="1353"/>
      <c r="M602" s="1353"/>
      <c r="N602" s="1353"/>
    </row>
    <row r="603" spans="1:14" x14ac:dyDescent="0.25">
      <c r="A603" s="1353"/>
      <c r="B603" s="1353"/>
      <c r="C603" s="1353"/>
      <c r="D603" s="1353"/>
      <c r="E603" s="1353"/>
      <c r="F603" s="1353"/>
      <c r="G603" s="1353"/>
      <c r="H603" s="1353"/>
      <c r="I603" s="1353"/>
      <c r="J603" s="1353"/>
      <c r="K603" s="1387"/>
      <c r="L603" s="1353"/>
      <c r="M603" s="1353"/>
      <c r="N603" s="1353"/>
    </row>
    <row r="604" spans="1:14" x14ac:dyDescent="0.25">
      <c r="A604" s="1353"/>
      <c r="B604" s="1353"/>
      <c r="C604" s="1353"/>
      <c r="D604" s="1353"/>
      <c r="E604" s="1353"/>
      <c r="F604" s="1353"/>
      <c r="G604" s="1353"/>
      <c r="H604" s="1353"/>
      <c r="I604" s="1353"/>
      <c r="J604" s="1353"/>
      <c r="K604" s="1387"/>
      <c r="L604" s="1353"/>
      <c r="M604" s="1353"/>
      <c r="N604" s="1353"/>
    </row>
    <row r="605" spans="1:14" x14ac:dyDescent="0.25">
      <c r="A605" s="1353"/>
      <c r="B605" s="1353"/>
      <c r="C605" s="1353"/>
      <c r="D605" s="1353"/>
      <c r="E605" s="1353"/>
      <c r="F605" s="1353"/>
      <c r="G605" s="1353"/>
      <c r="H605" s="1353"/>
      <c r="I605" s="1353"/>
      <c r="J605" s="1353"/>
      <c r="K605" s="1387"/>
      <c r="L605" s="1353"/>
      <c r="M605" s="1353"/>
      <c r="N605" s="1353"/>
    </row>
    <row r="606" spans="1:14" x14ac:dyDescent="0.25">
      <c r="A606" s="1353"/>
      <c r="B606" s="1353"/>
      <c r="C606" s="1353"/>
      <c r="D606" s="1353"/>
      <c r="E606" s="1353"/>
      <c r="F606" s="1353"/>
      <c r="G606" s="1353"/>
      <c r="H606" s="1353"/>
      <c r="I606" s="1353"/>
      <c r="J606" s="1353"/>
      <c r="K606" s="1387"/>
      <c r="L606" s="1353"/>
      <c r="M606" s="1353"/>
      <c r="N606" s="1353"/>
    </row>
    <row r="607" spans="1:14" x14ac:dyDescent="0.25">
      <c r="A607" s="1353"/>
      <c r="B607" s="1353"/>
      <c r="C607" s="1353"/>
      <c r="D607" s="1353"/>
      <c r="E607" s="1353"/>
      <c r="F607" s="1353"/>
      <c r="G607" s="1353"/>
      <c r="H607" s="1353"/>
      <c r="I607" s="1353"/>
      <c r="J607" s="1353"/>
      <c r="K607" s="1387"/>
      <c r="L607" s="1353"/>
      <c r="M607" s="1353"/>
      <c r="N607" s="1353"/>
    </row>
    <row r="608" spans="1:14" x14ac:dyDescent="0.25">
      <c r="A608" s="1353"/>
      <c r="B608" s="1353"/>
      <c r="C608" s="1353"/>
      <c r="D608" s="1353"/>
      <c r="E608" s="1353"/>
      <c r="F608" s="1353"/>
      <c r="G608" s="1353"/>
      <c r="H608" s="1353"/>
      <c r="I608" s="1353"/>
      <c r="J608" s="1353"/>
      <c r="K608" s="1387"/>
      <c r="L608" s="1353"/>
      <c r="M608" s="1353"/>
      <c r="N608" s="1353"/>
    </row>
    <row r="609" spans="1:14" x14ac:dyDescent="0.25">
      <c r="A609" s="1353"/>
      <c r="B609" s="1353"/>
      <c r="C609" s="1353"/>
      <c r="D609" s="1353"/>
      <c r="E609" s="1353"/>
      <c r="F609" s="1353"/>
      <c r="G609" s="1353"/>
      <c r="H609" s="1353"/>
      <c r="I609" s="1353"/>
      <c r="J609" s="1353"/>
      <c r="K609" s="1387"/>
      <c r="L609" s="1353"/>
      <c r="M609" s="1353"/>
      <c r="N609" s="1353"/>
    </row>
    <row r="610" spans="1:14" x14ac:dyDescent="0.25">
      <c r="A610" s="1353"/>
      <c r="B610" s="1353"/>
      <c r="C610" s="1353"/>
      <c r="D610" s="1353"/>
      <c r="E610" s="1353"/>
      <c r="F610" s="1353"/>
      <c r="G610" s="1353"/>
      <c r="H610" s="1353"/>
      <c r="I610" s="1353"/>
      <c r="J610" s="1353"/>
      <c r="K610" s="1387"/>
      <c r="L610" s="1353"/>
      <c r="M610" s="1353"/>
      <c r="N610" s="1353"/>
    </row>
    <row r="611" spans="1:14" x14ac:dyDescent="0.25">
      <c r="A611" s="1353"/>
      <c r="B611" s="1353"/>
      <c r="C611" s="1353"/>
      <c r="D611" s="1353"/>
      <c r="E611" s="1353"/>
      <c r="F611" s="1353"/>
      <c r="G611" s="1353"/>
      <c r="H611" s="1353"/>
      <c r="I611" s="1353"/>
      <c r="J611" s="1353"/>
      <c r="K611" s="1387"/>
      <c r="L611" s="1353"/>
      <c r="M611" s="1353"/>
      <c r="N611" s="1353"/>
    </row>
    <row r="612" spans="1:14" x14ac:dyDescent="0.25">
      <c r="A612" s="1353"/>
      <c r="B612" s="1353"/>
      <c r="C612" s="1353"/>
      <c r="D612" s="1353"/>
      <c r="E612" s="1353"/>
      <c r="F612" s="1353"/>
      <c r="G612" s="1353"/>
      <c r="H612" s="1353"/>
      <c r="I612" s="1353"/>
      <c r="J612" s="1353"/>
      <c r="K612" s="1387"/>
      <c r="L612" s="1353"/>
      <c r="M612" s="1353"/>
      <c r="N612" s="1353"/>
    </row>
    <row r="613" spans="1:14" x14ac:dyDescent="0.25">
      <c r="A613" s="1353"/>
      <c r="B613" s="1353"/>
      <c r="C613" s="1353"/>
      <c r="D613" s="1353"/>
      <c r="E613" s="1353"/>
      <c r="F613" s="1353"/>
      <c r="G613" s="1353"/>
      <c r="H613" s="1353"/>
      <c r="I613" s="1353"/>
      <c r="J613" s="1353"/>
      <c r="K613" s="1387"/>
      <c r="L613" s="1353"/>
      <c r="M613" s="1353"/>
      <c r="N613" s="1353"/>
    </row>
    <row r="614" spans="1:14" x14ac:dyDescent="0.25">
      <c r="A614" s="1353"/>
      <c r="B614" s="1353"/>
      <c r="C614" s="1353"/>
      <c r="D614" s="1353"/>
      <c r="E614" s="1353"/>
      <c r="F614" s="1353"/>
      <c r="G614" s="1353"/>
      <c r="H614" s="1353"/>
      <c r="I614" s="1353"/>
      <c r="J614" s="1353"/>
      <c r="K614" s="1387"/>
      <c r="L614" s="1353"/>
      <c r="M614" s="1353"/>
      <c r="N614" s="1353"/>
    </row>
    <row r="615" spans="1:14" x14ac:dyDescent="0.25">
      <c r="A615" s="1353"/>
      <c r="B615" s="1353"/>
      <c r="C615" s="1353"/>
      <c r="D615" s="1353"/>
      <c r="E615" s="1353"/>
      <c r="F615" s="1353"/>
      <c r="G615" s="1353"/>
      <c r="H615" s="1353"/>
      <c r="I615" s="1353"/>
      <c r="J615" s="1353"/>
      <c r="K615" s="1387"/>
      <c r="L615" s="1353"/>
      <c r="M615" s="1353"/>
      <c r="N615" s="1353"/>
    </row>
    <row r="616" spans="1:14" x14ac:dyDescent="0.25">
      <c r="A616" s="1353"/>
      <c r="B616" s="1353"/>
      <c r="C616" s="1353"/>
      <c r="D616" s="1353"/>
      <c r="E616" s="1353"/>
      <c r="F616" s="1353"/>
      <c r="G616" s="1353"/>
      <c r="H616" s="1353"/>
      <c r="I616" s="1353"/>
      <c r="J616" s="1353"/>
      <c r="K616" s="1387"/>
      <c r="L616" s="1353"/>
      <c r="M616" s="1353"/>
      <c r="N616" s="1353"/>
    </row>
    <row r="617" spans="1:14" x14ac:dyDescent="0.25">
      <c r="A617" s="1353"/>
      <c r="B617" s="1353"/>
      <c r="C617" s="1353"/>
      <c r="D617" s="1353"/>
      <c r="E617" s="1353"/>
      <c r="F617" s="1353"/>
      <c r="G617" s="1353"/>
      <c r="H617" s="1353"/>
      <c r="I617" s="1353"/>
      <c r="J617" s="1353"/>
      <c r="K617" s="1387"/>
      <c r="L617" s="1353"/>
      <c r="M617" s="1353"/>
      <c r="N617" s="1353"/>
    </row>
    <row r="618" spans="1:14" x14ac:dyDescent="0.25">
      <c r="A618" s="1353"/>
      <c r="B618" s="1353"/>
      <c r="C618" s="1353"/>
      <c r="D618" s="1353"/>
      <c r="E618" s="1353"/>
      <c r="F618" s="1353"/>
      <c r="G618" s="1353"/>
      <c r="H618" s="1353"/>
      <c r="I618" s="1353"/>
      <c r="J618" s="1353"/>
      <c r="K618" s="1387"/>
      <c r="L618" s="1353"/>
      <c r="M618" s="1353"/>
      <c r="N618" s="1353"/>
    </row>
    <row r="619" spans="1:14" x14ac:dyDescent="0.25">
      <c r="A619" s="1353"/>
      <c r="B619" s="1353"/>
      <c r="C619" s="1353"/>
      <c r="D619" s="1353"/>
      <c r="E619" s="1353"/>
      <c r="F619" s="1353"/>
      <c r="G619" s="1353"/>
      <c r="H619" s="1353"/>
      <c r="I619" s="1353"/>
      <c r="J619" s="1353"/>
      <c r="K619" s="1387"/>
      <c r="L619" s="1353"/>
      <c r="M619" s="1353"/>
      <c r="N619" s="1353"/>
    </row>
    <row r="620" spans="1:14" x14ac:dyDescent="0.25">
      <c r="A620" s="1353"/>
      <c r="B620" s="1353"/>
      <c r="C620" s="1353"/>
      <c r="D620" s="1353"/>
      <c r="E620" s="1353"/>
      <c r="F620" s="1353"/>
      <c r="G620" s="1353"/>
      <c r="H620" s="1353"/>
      <c r="I620" s="1353"/>
      <c r="J620" s="1353"/>
      <c r="K620" s="1387"/>
      <c r="L620" s="1353"/>
      <c r="M620" s="1353"/>
      <c r="N620" s="1353"/>
    </row>
    <row r="621" spans="1:14" x14ac:dyDescent="0.25">
      <c r="A621" s="1353"/>
      <c r="B621" s="1353"/>
      <c r="C621" s="1353"/>
      <c r="D621" s="1353"/>
      <c r="E621" s="1353"/>
      <c r="F621" s="1353"/>
      <c r="G621" s="1353"/>
      <c r="H621" s="1353"/>
      <c r="I621" s="1353"/>
      <c r="J621" s="1353"/>
      <c r="K621" s="1387"/>
      <c r="L621" s="1353"/>
      <c r="M621" s="1353"/>
      <c r="N621" s="1353"/>
    </row>
    <row r="622" spans="1:14" x14ac:dyDescent="0.25">
      <c r="A622" s="1353"/>
      <c r="B622" s="1353"/>
      <c r="C622" s="1353"/>
      <c r="D622" s="1353"/>
      <c r="E622" s="1353"/>
      <c r="F622" s="1353"/>
      <c r="G622" s="1353"/>
      <c r="H622" s="1353"/>
      <c r="I622" s="1353"/>
      <c r="J622" s="1353"/>
      <c r="K622" s="1387"/>
      <c r="L622" s="1353"/>
      <c r="M622" s="1353"/>
      <c r="N622" s="1353"/>
    </row>
    <row r="623" spans="1:14" x14ac:dyDescent="0.25">
      <c r="A623" s="1353"/>
      <c r="B623" s="1353"/>
      <c r="C623" s="1353"/>
      <c r="D623" s="1353"/>
      <c r="E623" s="1353"/>
      <c r="F623" s="1353"/>
      <c r="G623" s="1353"/>
      <c r="H623" s="1353"/>
      <c r="I623" s="1353"/>
      <c r="J623" s="1353"/>
      <c r="K623" s="1387"/>
      <c r="L623" s="1353"/>
      <c r="M623" s="1353"/>
      <c r="N623" s="1353"/>
    </row>
    <row r="624" spans="1:14" x14ac:dyDescent="0.25">
      <c r="A624" s="1353"/>
      <c r="B624" s="1353"/>
      <c r="C624" s="1353"/>
      <c r="D624" s="1353"/>
      <c r="E624" s="1353"/>
      <c r="F624" s="1353"/>
      <c r="G624" s="1353"/>
      <c r="H624" s="1353"/>
      <c r="I624" s="1353"/>
      <c r="J624" s="1353"/>
      <c r="K624" s="1387"/>
      <c r="L624" s="1353"/>
      <c r="M624" s="1353"/>
      <c r="N624" s="1353"/>
    </row>
    <row r="625" spans="1:14" x14ac:dyDescent="0.25">
      <c r="A625" s="1353"/>
      <c r="B625" s="1353"/>
      <c r="C625" s="1353"/>
      <c r="D625" s="1353"/>
      <c r="E625" s="1353"/>
      <c r="F625" s="1353"/>
      <c r="G625" s="1353"/>
      <c r="H625" s="1353"/>
      <c r="I625" s="1353"/>
      <c r="J625" s="1353"/>
      <c r="K625" s="1387"/>
      <c r="L625" s="1353"/>
      <c r="M625" s="1353"/>
      <c r="N625" s="1353"/>
    </row>
    <row r="626" spans="1:14" x14ac:dyDescent="0.25">
      <c r="A626" s="1353"/>
      <c r="B626" s="1353"/>
      <c r="C626" s="1353"/>
      <c r="D626" s="1353"/>
      <c r="E626" s="1353"/>
      <c r="F626" s="1353"/>
      <c r="G626" s="1353"/>
      <c r="H626" s="1353"/>
      <c r="I626" s="1353"/>
      <c r="J626" s="1353"/>
      <c r="K626" s="1387"/>
      <c r="L626" s="1353"/>
      <c r="M626" s="1353"/>
      <c r="N626" s="1353"/>
    </row>
    <row r="627" spans="1:14" x14ac:dyDescent="0.25">
      <c r="A627" s="1353"/>
      <c r="B627" s="1353"/>
      <c r="C627" s="1353"/>
      <c r="D627" s="1353"/>
      <c r="E627" s="1353"/>
      <c r="F627" s="1353"/>
      <c r="G627" s="1353"/>
      <c r="H627" s="1353"/>
      <c r="I627" s="1353"/>
      <c r="J627" s="1353"/>
      <c r="K627" s="1387"/>
      <c r="L627" s="1353"/>
      <c r="M627" s="1353"/>
      <c r="N627" s="1353"/>
    </row>
    <row r="628" spans="1:14" x14ac:dyDescent="0.25">
      <c r="A628" s="1353"/>
      <c r="B628" s="1353"/>
      <c r="C628" s="1353"/>
      <c r="D628" s="1353"/>
      <c r="E628" s="1353"/>
      <c r="F628" s="1353"/>
      <c r="G628" s="1353"/>
      <c r="H628" s="1353"/>
      <c r="I628" s="1353"/>
      <c r="J628" s="1353"/>
      <c r="K628" s="1387"/>
      <c r="L628" s="1353"/>
      <c r="M628" s="1353"/>
      <c r="N628" s="1353"/>
    </row>
    <row r="629" spans="1:14" x14ac:dyDescent="0.25">
      <c r="A629" s="1353"/>
      <c r="B629" s="1353"/>
      <c r="C629" s="1353"/>
      <c r="D629" s="1353"/>
      <c r="E629" s="1353"/>
      <c r="F629" s="1353"/>
      <c r="G629" s="1353"/>
      <c r="H629" s="1353"/>
      <c r="I629" s="1353"/>
      <c r="J629" s="1353"/>
      <c r="K629" s="1387"/>
      <c r="L629" s="1353"/>
      <c r="M629" s="1353"/>
      <c r="N629" s="1353"/>
    </row>
    <row r="630" spans="1:14" x14ac:dyDescent="0.25">
      <c r="A630" s="1353"/>
      <c r="B630" s="1353"/>
      <c r="C630" s="1353"/>
      <c r="D630" s="1353"/>
      <c r="E630" s="1353"/>
      <c r="F630" s="1353"/>
      <c r="G630" s="1353"/>
      <c r="H630" s="1353"/>
      <c r="I630" s="1353"/>
      <c r="J630" s="1353"/>
      <c r="K630" s="1387"/>
      <c r="L630" s="1353"/>
      <c r="M630" s="1353"/>
      <c r="N630" s="1353"/>
    </row>
    <row r="631" spans="1:14" x14ac:dyDescent="0.25">
      <c r="A631" s="1353"/>
      <c r="B631" s="1353"/>
      <c r="C631" s="1353"/>
      <c r="D631" s="1353"/>
      <c r="E631" s="1353"/>
      <c r="F631" s="1353"/>
      <c r="G631" s="1353"/>
      <c r="H631" s="1353"/>
      <c r="I631" s="1353"/>
      <c r="J631" s="1353"/>
      <c r="K631" s="1387"/>
      <c r="L631" s="1353"/>
      <c r="M631" s="1353"/>
      <c r="N631" s="1353"/>
    </row>
    <row r="632" spans="1:14" x14ac:dyDescent="0.25">
      <c r="A632" s="1353"/>
      <c r="B632" s="1353"/>
      <c r="C632" s="1353"/>
      <c r="D632" s="1353"/>
      <c r="E632" s="1353"/>
      <c r="F632" s="1353"/>
      <c r="G632" s="1353"/>
      <c r="H632" s="1353"/>
      <c r="I632" s="1353"/>
      <c r="J632" s="1353"/>
      <c r="K632" s="1387"/>
      <c r="L632" s="1353"/>
      <c r="M632" s="1353"/>
      <c r="N632" s="1353"/>
    </row>
    <row r="633" spans="1:14" x14ac:dyDescent="0.25">
      <c r="A633" s="1353"/>
      <c r="B633" s="1353"/>
      <c r="C633" s="1353"/>
      <c r="D633" s="1353"/>
      <c r="E633" s="1353"/>
      <c r="F633" s="1353"/>
      <c r="G633" s="1353"/>
      <c r="H633" s="1353"/>
      <c r="I633" s="1353"/>
      <c r="J633" s="1353"/>
      <c r="K633" s="1387"/>
      <c r="L633" s="1353"/>
      <c r="M633" s="1353"/>
      <c r="N633" s="1353"/>
    </row>
    <row r="634" spans="1:14" x14ac:dyDescent="0.25">
      <c r="A634" s="1353"/>
      <c r="B634" s="1353"/>
      <c r="C634" s="1353"/>
      <c r="D634" s="1353"/>
      <c r="E634" s="1353"/>
      <c r="F634" s="1353"/>
      <c r="G634" s="1353"/>
      <c r="H634" s="1353"/>
      <c r="I634" s="1353"/>
      <c r="J634" s="1353"/>
      <c r="K634" s="1387"/>
      <c r="L634" s="1353"/>
      <c r="M634" s="1353"/>
      <c r="N634" s="1353"/>
    </row>
    <row r="635" spans="1:14" x14ac:dyDescent="0.25">
      <c r="A635" s="1353"/>
      <c r="B635" s="1353"/>
      <c r="C635" s="1353"/>
      <c r="D635" s="1353"/>
      <c r="E635" s="1353"/>
      <c r="F635" s="1353"/>
      <c r="G635" s="1353"/>
      <c r="H635" s="1353"/>
      <c r="I635" s="1353"/>
      <c r="J635" s="1353"/>
      <c r="K635" s="1387"/>
      <c r="L635" s="1353"/>
      <c r="M635" s="1353"/>
      <c r="N635" s="1353"/>
    </row>
    <row r="636" spans="1:14" x14ac:dyDescent="0.25">
      <c r="A636" s="1353"/>
      <c r="B636" s="1353"/>
      <c r="C636" s="1353"/>
      <c r="D636" s="1353"/>
      <c r="E636" s="1353"/>
      <c r="F636" s="1353"/>
      <c r="G636" s="1353"/>
      <c r="H636" s="1353"/>
      <c r="I636" s="1353"/>
      <c r="J636" s="1353"/>
      <c r="K636" s="1387"/>
      <c r="L636" s="1353"/>
      <c r="M636" s="1353"/>
      <c r="N636" s="1353"/>
    </row>
    <row r="637" spans="1:14" x14ac:dyDescent="0.25">
      <c r="A637" s="1353"/>
      <c r="B637" s="1353"/>
      <c r="C637" s="1353"/>
      <c r="D637" s="1353"/>
      <c r="E637" s="1353"/>
      <c r="F637" s="1353"/>
      <c r="G637" s="1353"/>
      <c r="H637" s="1353"/>
      <c r="I637" s="1353"/>
      <c r="J637" s="1353"/>
      <c r="K637" s="1387"/>
      <c r="L637" s="1353"/>
      <c r="M637" s="1353"/>
      <c r="N637" s="1353"/>
    </row>
    <row r="638" spans="1:14" x14ac:dyDescent="0.25">
      <c r="A638" s="1353"/>
      <c r="B638" s="1353"/>
      <c r="C638" s="1353"/>
      <c r="D638" s="1353"/>
      <c r="E638" s="1353"/>
      <c r="F638" s="1353"/>
      <c r="G638" s="1353"/>
      <c r="H638" s="1353"/>
      <c r="I638" s="1353"/>
      <c r="J638" s="1353"/>
      <c r="K638" s="1387"/>
      <c r="L638" s="1353"/>
      <c r="M638" s="1353"/>
      <c r="N638" s="1353"/>
    </row>
    <row r="639" spans="1:14" x14ac:dyDescent="0.25">
      <c r="A639" s="1353"/>
      <c r="B639" s="1353"/>
      <c r="C639" s="1353"/>
      <c r="D639" s="1353"/>
      <c r="E639" s="1353"/>
      <c r="F639" s="1353"/>
      <c r="G639" s="1353"/>
      <c r="H639" s="1353"/>
      <c r="I639" s="1353"/>
      <c r="J639" s="1353"/>
      <c r="K639" s="1387"/>
      <c r="L639" s="1353"/>
      <c r="M639" s="1353"/>
      <c r="N639" s="1353"/>
    </row>
    <row r="640" spans="1:14" x14ac:dyDescent="0.25">
      <c r="A640" s="1353"/>
      <c r="B640" s="1353"/>
      <c r="C640" s="1353"/>
      <c r="D640" s="1353"/>
      <c r="E640" s="1353"/>
      <c r="F640" s="1353"/>
      <c r="G640" s="1353"/>
      <c r="H640" s="1353"/>
      <c r="I640" s="1353"/>
      <c r="J640" s="1353"/>
      <c r="K640" s="1387"/>
      <c r="L640" s="1353"/>
      <c r="M640" s="1353"/>
      <c r="N640" s="1353"/>
    </row>
    <row r="641" spans="1:14" x14ac:dyDescent="0.25">
      <c r="A641" s="1353"/>
      <c r="B641" s="1353"/>
      <c r="C641" s="1353"/>
      <c r="D641" s="1353"/>
      <c r="E641" s="1353"/>
      <c r="F641" s="1353"/>
      <c r="G641" s="1353"/>
      <c r="H641" s="1353"/>
      <c r="I641" s="1353"/>
      <c r="J641" s="1353"/>
      <c r="K641" s="1387"/>
      <c r="L641" s="1353"/>
      <c r="M641" s="1353"/>
      <c r="N641" s="1353"/>
    </row>
    <row r="642" spans="1:14" x14ac:dyDescent="0.25">
      <c r="A642" s="1353"/>
      <c r="B642" s="1353"/>
      <c r="C642" s="1353"/>
      <c r="D642" s="1353"/>
      <c r="E642" s="1353"/>
      <c r="F642" s="1353"/>
      <c r="G642" s="1353"/>
      <c r="H642" s="1353"/>
      <c r="I642" s="1353"/>
      <c r="J642" s="1353"/>
      <c r="K642" s="1387"/>
      <c r="L642" s="1353"/>
      <c r="M642" s="1353"/>
      <c r="N642" s="1353"/>
    </row>
    <row r="643" spans="1:14" x14ac:dyDescent="0.25">
      <c r="A643" s="1353"/>
      <c r="B643" s="1353"/>
      <c r="C643" s="1353"/>
      <c r="D643" s="1353"/>
      <c r="E643" s="1353"/>
      <c r="F643" s="1353"/>
      <c r="G643" s="1353"/>
      <c r="H643" s="1353"/>
      <c r="I643" s="1353"/>
      <c r="J643" s="1353"/>
      <c r="K643" s="1387"/>
      <c r="L643" s="1353"/>
      <c r="M643" s="1353"/>
      <c r="N643" s="1353"/>
    </row>
    <row r="644" spans="1:14" x14ac:dyDescent="0.25">
      <c r="A644" s="1353"/>
      <c r="B644" s="1353"/>
      <c r="C644" s="1353"/>
      <c r="D644" s="1353"/>
      <c r="E644" s="1353"/>
      <c r="F644" s="1353"/>
      <c r="G644" s="1353"/>
      <c r="H644" s="1353"/>
      <c r="I644" s="1353"/>
      <c r="J644" s="1353"/>
      <c r="K644" s="1387"/>
      <c r="L644" s="1353"/>
      <c r="M644" s="1353"/>
      <c r="N644" s="1353"/>
    </row>
    <row r="645" spans="1:14" x14ac:dyDescent="0.25">
      <c r="A645" s="1353"/>
      <c r="B645" s="1353"/>
      <c r="C645" s="1353"/>
      <c r="D645" s="1353"/>
      <c r="E645" s="1353"/>
      <c r="F645" s="1353"/>
      <c r="G645" s="1353"/>
      <c r="H645" s="1353"/>
      <c r="I645" s="1353"/>
      <c r="J645" s="1353"/>
      <c r="K645" s="1387"/>
      <c r="L645" s="1353"/>
      <c r="M645" s="1353"/>
      <c r="N645" s="1353"/>
    </row>
    <row r="646" spans="1:14" x14ac:dyDescent="0.25">
      <c r="A646" s="1353"/>
      <c r="B646" s="1353"/>
      <c r="C646" s="1353"/>
      <c r="D646" s="1353"/>
      <c r="E646" s="1353"/>
      <c r="F646" s="1353"/>
      <c r="G646" s="1353"/>
      <c r="H646" s="1353"/>
      <c r="I646" s="1353"/>
      <c r="J646" s="1353"/>
      <c r="K646" s="1387"/>
      <c r="L646" s="1353"/>
      <c r="M646" s="1353"/>
      <c r="N646" s="1353"/>
    </row>
    <row r="647" spans="1:14" x14ac:dyDescent="0.25">
      <c r="A647" s="1353"/>
      <c r="B647" s="1353"/>
      <c r="C647" s="1353"/>
      <c r="D647" s="1353"/>
      <c r="E647" s="1353"/>
      <c r="F647" s="1353"/>
      <c r="G647" s="1353"/>
      <c r="H647" s="1353"/>
      <c r="I647" s="1353"/>
      <c r="J647" s="1353"/>
      <c r="K647" s="1387"/>
      <c r="L647" s="1353"/>
      <c r="M647" s="1353"/>
      <c r="N647" s="1353"/>
    </row>
    <row r="648" spans="1:14" x14ac:dyDescent="0.25">
      <c r="A648" s="1353"/>
      <c r="B648" s="1353"/>
      <c r="C648" s="1353"/>
      <c r="D648" s="1353"/>
      <c r="E648" s="1353"/>
      <c r="F648" s="1353"/>
      <c r="G648" s="1353"/>
      <c r="H648" s="1353"/>
      <c r="I648" s="1353"/>
      <c r="J648" s="1353"/>
      <c r="K648" s="1387"/>
      <c r="L648" s="1353"/>
      <c r="M648" s="1353"/>
      <c r="N648" s="1353"/>
    </row>
    <row r="649" spans="1:14" x14ac:dyDescent="0.25">
      <c r="A649" s="1353"/>
      <c r="B649" s="1353"/>
      <c r="C649" s="1353"/>
      <c r="D649" s="1353"/>
      <c r="E649" s="1353"/>
      <c r="F649" s="1353"/>
      <c r="G649" s="1353"/>
      <c r="H649" s="1353"/>
      <c r="I649" s="1353"/>
      <c r="J649" s="1353"/>
      <c r="K649" s="1387"/>
      <c r="L649" s="1353"/>
      <c r="M649" s="1353"/>
      <c r="N649" s="1353"/>
    </row>
    <row r="650" spans="1:14" x14ac:dyDescent="0.25">
      <c r="A650" s="1353"/>
      <c r="B650" s="1353"/>
      <c r="C650" s="1353"/>
      <c r="D650" s="1353"/>
      <c r="E650" s="1353"/>
      <c r="F650" s="1353"/>
      <c r="G650" s="1353"/>
      <c r="H650" s="1353"/>
      <c r="I650" s="1353"/>
      <c r="J650" s="1353"/>
      <c r="K650" s="1387"/>
      <c r="L650" s="1353"/>
      <c r="M650" s="1353"/>
      <c r="N650" s="1353"/>
    </row>
    <row r="651" spans="1:14" x14ac:dyDescent="0.25">
      <c r="A651" s="1353"/>
      <c r="B651" s="1353"/>
      <c r="C651" s="1353"/>
      <c r="D651" s="1353"/>
      <c r="E651" s="1353"/>
      <c r="F651" s="1353"/>
      <c r="G651" s="1353"/>
      <c r="H651" s="1353"/>
      <c r="I651" s="1353"/>
      <c r="J651" s="1353"/>
      <c r="K651" s="1387"/>
      <c r="L651" s="1353"/>
      <c r="M651" s="1353"/>
      <c r="N651" s="1353"/>
    </row>
    <row r="652" spans="1:14" x14ac:dyDescent="0.25">
      <c r="A652" s="1353"/>
      <c r="B652" s="1353"/>
      <c r="C652" s="1353"/>
      <c r="D652" s="1353"/>
      <c r="E652" s="1353"/>
      <c r="F652" s="1353"/>
      <c r="G652" s="1353"/>
      <c r="H652" s="1353"/>
      <c r="I652" s="1353"/>
      <c r="J652" s="1353"/>
      <c r="K652" s="1387"/>
      <c r="L652" s="1353"/>
      <c r="M652" s="1353"/>
      <c r="N652" s="1353"/>
    </row>
    <row r="653" spans="1:14" x14ac:dyDescent="0.25">
      <c r="A653" s="1353"/>
      <c r="B653" s="1353"/>
      <c r="C653" s="1353"/>
      <c r="D653" s="1353"/>
      <c r="E653" s="1353"/>
      <c r="F653" s="1353"/>
      <c r="G653" s="1353"/>
      <c r="H653" s="1353"/>
      <c r="I653" s="1353"/>
      <c r="J653" s="1353"/>
      <c r="K653" s="1387"/>
      <c r="L653" s="1353"/>
      <c r="M653" s="1353"/>
      <c r="N653" s="1353"/>
    </row>
    <row r="654" spans="1:14" x14ac:dyDescent="0.25">
      <c r="A654" s="1353"/>
      <c r="B654" s="1353"/>
      <c r="C654" s="1353"/>
      <c r="D654" s="1353"/>
      <c r="E654" s="1353"/>
      <c r="F654" s="1353"/>
      <c r="G654" s="1353"/>
      <c r="H654" s="1353"/>
      <c r="I654" s="1353"/>
      <c r="J654" s="1353"/>
      <c r="K654" s="1387"/>
      <c r="L654" s="1353"/>
      <c r="M654" s="1353"/>
      <c r="N654" s="1353"/>
    </row>
    <row r="655" spans="1:14" x14ac:dyDescent="0.25">
      <c r="A655" s="1353"/>
      <c r="B655" s="1353"/>
      <c r="C655" s="1353"/>
      <c r="D655" s="1353"/>
      <c r="E655" s="1353"/>
      <c r="F655" s="1353"/>
      <c r="G655" s="1353"/>
      <c r="H655" s="1353"/>
      <c r="I655" s="1353"/>
      <c r="J655" s="1353"/>
      <c r="K655" s="1387"/>
      <c r="L655" s="1353"/>
      <c r="M655" s="1353"/>
      <c r="N655" s="1353"/>
    </row>
    <row r="656" spans="1:14" x14ac:dyDescent="0.25">
      <c r="A656" s="1353"/>
      <c r="B656" s="1353"/>
      <c r="C656" s="1353"/>
      <c r="D656" s="1353"/>
      <c r="E656" s="1353"/>
      <c r="F656" s="1353"/>
      <c r="G656" s="1353"/>
      <c r="H656" s="1353"/>
      <c r="I656" s="1353"/>
      <c r="J656" s="1353"/>
      <c r="K656" s="1387"/>
      <c r="L656" s="1353"/>
      <c r="M656" s="1353"/>
      <c r="N656" s="1353"/>
    </row>
    <row r="657" spans="1:14" x14ac:dyDescent="0.25">
      <c r="A657" s="1353"/>
      <c r="B657" s="1353"/>
      <c r="C657" s="1353"/>
      <c r="D657" s="1353"/>
      <c r="E657" s="1353"/>
      <c r="F657" s="1353"/>
      <c r="G657" s="1353"/>
      <c r="H657" s="1353"/>
      <c r="I657" s="1353"/>
      <c r="J657" s="1353"/>
      <c r="K657" s="1387"/>
      <c r="L657" s="1353"/>
      <c r="M657" s="1353"/>
      <c r="N657" s="1353"/>
    </row>
    <row r="658" spans="1:14" x14ac:dyDescent="0.25">
      <c r="A658" s="1353"/>
      <c r="B658" s="1353"/>
      <c r="C658" s="1353"/>
      <c r="D658" s="1353"/>
      <c r="E658" s="1353"/>
      <c r="F658" s="1353"/>
      <c r="G658" s="1353"/>
      <c r="H658" s="1353"/>
      <c r="I658" s="1353"/>
      <c r="J658" s="1353"/>
      <c r="K658" s="1387"/>
      <c r="L658" s="1353"/>
      <c r="M658" s="1353"/>
      <c r="N658" s="1353"/>
    </row>
    <row r="659" spans="1:14" x14ac:dyDescent="0.25">
      <c r="A659" s="1353"/>
      <c r="B659" s="1353"/>
      <c r="C659" s="1353"/>
      <c r="D659" s="1353"/>
      <c r="E659" s="1353"/>
      <c r="F659" s="1353"/>
      <c r="G659" s="1353"/>
      <c r="H659" s="1353"/>
      <c r="I659" s="1353"/>
      <c r="J659" s="1353"/>
      <c r="K659" s="1387"/>
      <c r="L659" s="1353"/>
      <c r="M659" s="1353"/>
      <c r="N659" s="1353"/>
    </row>
    <row r="660" spans="1:14" x14ac:dyDescent="0.25">
      <c r="A660" s="1353"/>
      <c r="B660" s="1353"/>
      <c r="C660" s="1353"/>
      <c r="D660" s="1353"/>
      <c r="E660" s="1353"/>
      <c r="F660" s="1353"/>
      <c r="G660" s="1353"/>
      <c r="H660" s="1353"/>
      <c r="I660" s="1353"/>
      <c r="J660" s="1353"/>
      <c r="K660" s="1387"/>
      <c r="L660" s="1353"/>
      <c r="M660" s="1353"/>
      <c r="N660" s="1353"/>
    </row>
    <row r="661" spans="1:14" x14ac:dyDescent="0.25">
      <c r="A661" s="1353"/>
      <c r="B661" s="1353"/>
      <c r="C661" s="1353"/>
      <c r="D661" s="1353"/>
      <c r="E661" s="1353"/>
      <c r="F661" s="1353"/>
      <c r="G661" s="1353"/>
      <c r="H661" s="1353"/>
      <c r="I661" s="1353"/>
      <c r="J661" s="1353"/>
      <c r="K661" s="1387"/>
      <c r="L661" s="1353"/>
      <c r="M661" s="1353"/>
      <c r="N661" s="1353"/>
    </row>
    <row r="662" spans="1:14" x14ac:dyDescent="0.25">
      <c r="A662" s="1353"/>
      <c r="B662" s="1353"/>
      <c r="C662" s="1353"/>
      <c r="D662" s="1353"/>
      <c r="E662" s="1353"/>
      <c r="F662" s="1353"/>
      <c r="G662" s="1353"/>
      <c r="H662" s="1353"/>
      <c r="I662" s="1353"/>
      <c r="J662" s="1353"/>
      <c r="K662" s="1387"/>
      <c r="L662" s="1353"/>
      <c r="M662" s="1353"/>
      <c r="N662" s="1353"/>
    </row>
    <row r="663" spans="1:14" x14ac:dyDescent="0.25">
      <c r="A663" s="1353"/>
      <c r="B663" s="1353"/>
      <c r="C663" s="1353"/>
      <c r="D663" s="1353"/>
      <c r="E663" s="1353"/>
      <c r="F663" s="1353"/>
      <c r="G663" s="1353"/>
      <c r="H663" s="1353"/>
      <c r="I663" s="1353"/>
      <c r="J663" s="1353"/>
      <c r="K663" s="1387"/>
      <c r="L663" s="1353"/>
      <c r="M663" s="1353"/>
      <c r="N663" s="1353"/>
    </row>
    <row r="664" spans="1:14" x14ac:dyDescent="0.25">
      <c r="A664" s="1353"/>
      <c r="B664" s="1353"/>
      <c r="C664" s="1353"/>
      <c r="D664" s="1353"/>
      <c r="E664" s="1353"/>
      <c r="F664" s="1353"/>
      <c r="G664" s="1353"/>
      <c r="H664" s="1353"/>
      <c r="I664" s="1353"/>
      <c r="J664" s="1353"/>
      <c r="K664" s="1387"/>
      <c r="L664" s="1353"/>
      <c r="M664" s="1353"/>
      <c r="N664" s="1353"/>
    </row>
    <row r="665" spans="1:14" x14ac:dyDescent="0.25">
      <c r="A665" s="1353"/>
      <c r="B665" s="1353"/>
      <c r="C665" s="1353"/>
      <c r="D665" s="1353"/>
      <c r="E665" s="1353"/>
      <c r="F665" s="1353"/>
      <c r="G665" s="1353"/>
      <c r="H665" s="1353"/>
      <c r="I665" s="1353"/>
      <c r="J665" s="1353"/>
      <c r="K665" s="1387"/>
      <c r="L665" s="1353"/>
      <c r="M665" s="1353"/>
      <c r="N665" s="1353"/>
    </row>
    <row r="666" spans="1:14" x14ac:dyDescent="0.25">
      <c r="A666" s="1353"/>
      <c r="B666" s="1353"/>
      <c r="C666" s="1353"/>
      <c r="D666" s="1353"/>
      <c r="E666" s="1353"/>
      <c r="F666" s="1353"/>
      <c r="G666" s="1353"/>
      <c r="H666" s="1353"/>
      <c r="I666" s="1353"/>
      <c r="J666" s="1353"/>
      <c r="K666" s="1387"/>
      <c r="L666" s="1353"/>
      <c r="M666" s="1353"/>
      <c r="N666" s="1353"/>
    </row>
    <row r="667" spans="1:14" x14ac:dyDescent="0.25">
      <c r="A667" s="1353"/>
      <c r="B667" s="1353"/>
      <c r="C667" s="1353"/>
      <c r="D667" s="1353"/>
      <c r="E667" s="1353"/>
      <c r="F667" s="1353"/>
      <c r="G667" s="1353"/>
      <c r="H667" s="1353"/>
      <c r="I667" s="1353"/>
      <c r="J667" s="1353"/>
      <c r="K667" s="1387"/>
      <c r="L667" s="1353"/>
      <c r="M667" s="1353"/>
      <c r="N667" s="1353"/>
    </row>
    <row r="668" spans="1:14" x14ac:dyDescent="0.25">
      <c r="A668" s="1353"/>
      <c r="B668" s="1353"/>
      <c r="C668" s="1353"/>
      <c r="D668" s="1353"/>
      <c r="E668" s="1353"/>
      <c r="F668" s="1353"/>
      <c r="G668" s="1353"/>
      <c r="H668" s="1353"/>
      <c r="I668" s="1353"/>
      <c r="J668" s="1353"/>
      <c r="K668" s="1387"/>
      <c r="L668" s="1353"/>
      <c r="M668" s="1353"/>
      <c r="N668" s="1353"/>
    </row>
    <row r="669" spans="1:14" x14ac:dyDescent="0.25">
      <c r="A669" s="1353"/>
      <c r="B669" s="1353"/>
      <c r="C669" s="1353"/>
      <c r="D669" s="1353"/>
      <c r="E669" s="1353"/>
      <c r="F669" s="1353"/>
      <c r="G669" s="1353"/>
      <c r="H669" s="1353"/>
      <c r="I669" s="1353"/>
      <c r="J669" s="1353"/>
      <c r="K669" s="1387"/>
      <c r="L669" s="1353"/>
      <c r="M669" s="1353"/>
      <c r="N669" s="1353"/>
    </row>
    <row r="670" spans="1:14" x14ac:dyDescent="0.25">
      <c r="A670" s="1353"/>
      <c r="B670" s="1353"/>
      <c r="C670" s="1353"/>
      <c r="D670" s="1353"/>
      <c r="E670" s="1353"/>
      <c r="F670" s="1353"/>
      <c r="G670" s="1353"/>
      <c r="H670" s="1353"/>
      <c r="I670" s="1353"/>
      <c r="J670" s="1353"/>
      <c r="K670" s="1387"/>
      <c r="L670" s="1353"/>
      <c r="M670" s="1353"/>
      <c r="N670" s="1353"/>
    </row>
    <row r="671" spans="1:14" x14ac:dyDescent="0.25">
      <c r="A671" s="1353"/>
      <c r="B671" s="1353"/>
      <c r="C671" s="1353"/>
      <c r="D671" s="1353"/>
      <c r="E671" s="1353"/>
      <c r="F671" s="1353"/>
      <c r="G671" s="1353"/>
      <c r="H671" s="1353"/>
      <c r="I671" s="1353"/>
      <c r="J671" s="1353"/>
      <c r="K671" s="1387"/>
      <c r="L671" s="1353"/>
      <c r="M671" s="1353"/>
      <c r="N671" s="1353"/>
    </row>
    <row r="672" spans="1:14" x14ac:dyDescent="0.25">
      <c r="A672" s="1353"/>
      <c r="B672" s="1353"/>
      <c r="C672" s="1353"/>
      <c r="D672" s="1353"/>
      <c r="E672" s="1353"/>
      <c r="F672" s="1353"/>
      <c r="G672" s="1353"/>
      <c r="H672" s="1353"/>
      <c r="I672" s="1353"/>
      <c r="J672" s="1353"/>
      <c r="K672" s="1387"/>
      <c r="L672" s="1353"/>
      <c r="M672" s="1353"/>
      <c r="N672" s="1353"/>
    </row>
    <row r="673" spans="1:14" x14ac:dyDescent="0.25">
      <c r="A673" s="1353"/>
      <c r="B673" s="1353"/>
      <c r="C673" s="1353"/>
      <c r="D673" s="1353"/>
      <c r="E673" s="1353"/>
      <c r="F673" s="1353"/>
      <c r="G673" s="1353"/>
      <c r="H673" s="1353"/>
      <c r="I673" s="1353"/>
      <c r="J673" s="1353"/>
      <c r="K673" s="1387"/>
      <c r="L673" s="1353"/>
      <c r="M673" s="1353"/>
      <c r="N673" s="1353"/>
    </row>
    <row r="674" spans="1:14" x14ac:dyDescent="0.25">
      <c r="A674" s="1353"/>
      <c r="B674" s="1353"/>
      <c r="C674" s="1353"/>
      <c r="D674" s="1353"/>
      <c r="E674" s="1353"/>
      <c r="F674" s="1353"/>
      <c r="G674" s="1353"/>
      <c r="H674" s="1353"/>
      <c r="I674" s="1353"/>
      <c r="J674" s="1353"/>
      <c r="K674" s="1387"/>
      <c r="L674" s="1353"/>
      <c r="M674" s="1353"/>
      <c r="N674" s="1353"/>
    </row>
    <row r="675" spans="1:14" x14ac:dyDescent="0.25">
      <c r="A675" s="1353"/>
      <c r="B675" s="1353"/>
      <c r="C675" s="1353"/>
      <c r="D675" s="1353"/>
      <c r="E675" s="1353"/>
      <c r="F675" s="1353"/>
      <c r="G675" s="1353"/>
      <c r="H675" s="1353"/>
      <c r="I675" s="1353"/>
      <c r="J675" s="1353"/>
      <c r="K675" s="1387"/>
      <c r="L675" s="1353"/>
      <c r="M675" s="1353"/>
      <c r="N675" s="1353"/>
    </row>
    <row r="676" spans="1:14" x14ac:dyDescent="0.25">
      <c r="A676" s="1353"/>
      <c r="B676" s="1353"/>
      <c r="C676" s="1353"/>
      <c r="D676" s="1353"/>
      <c r="E676" s="1353"/>
      <c r="F676" s="1353"/>
      <c r="G676" s="1353"/>
      <c r="H676" s="1353"/>
      <c r="I676" s="1353"/>
      <c r="J676" s="1353"/>
      <c r="K676" s="1387"/>
      <c r="L676" s="1353"/>
      <c r="M676" s="1353"/>
      <c r="N676" s="1353"/>
    </row>
    <row r="677" spans="1:14" x14ac:dyDescent="0.25">
      <c r="A677" s="1353"/>
      <c r="B677" s="1353"/>
      <c r="C677" s="1353"/>
      <c r="D677" s="1353"/>
      <c r="E677" s="1353"/>
      <c r="F677" s="1353"/>
      <c r="G677" s="1353"/>
      <c r="H677" s="1353"/>
      <c r="I677" s="1353"/>
      <c r="J677" s="1353"/>
      <c r="K677" s="1387"/>
      <c r="L677" s="1353"/>
      <c r="M677" s="1353"/>
      <c r="N677" s="1353"/>
    </row>
    <row r="678" spans="1:14" x14ac:dyDescent="0.25">
      <c r="A678" s="1353"/>
      <c r="B678" s="1353"/>
      <c r="C678" s="1353"/>
      <c r="D678" s="1353"/>
      <c r="E678" s="1353"/>
      <c r="F678" s="1353"/>
      <c r="G678" s="1353"/>
      <c r="H678" s="1353"/>
      <c r="I678" s="1353"/>
      <c r="J678" s="1353"/>
      <c r="K678" s="1387"/>
      <c r="L678" s="1353"/>
      <c r="M678" s="1353"/>
      <c r="N678" s="1353"/>
    </row>
    <row r="679" spans="1:14" x14ac:dyDescent="0.25">
      <c r="A679" s="1353"/>
      <c r="B679" s="1353"/>
      <c r="C679" s="1353"/>
      <c r="D679" s="1353"/>
      <c r="E679" s="1353"/>
      <c r="F679" s="1353"/>
      <c r="G679" s="1353"/>
      <c r="H679" s="1353"/>
      <c r="I679" s="1353"/>
      <c r="J679" s="1353"/>
      <c r="K679" s="1387"/>
      <c r="L679" s="1353"/>
      <c r="M679" s="1353"/>
      <c r="N679" s="1353"/>
    </row>
    <row r="680" spans="1:14" x14ac:dyDescent="0.25">
      <c r="A680" s="1353"/>
      <c r="B680" s="1353"/>
      <c r="C680" s="1353"/>
      <c r="D680" s="1353"/>
      <c r="E680" s="1353"/>
      <c r="F680" s="1353"/>
      <c r="G680" s="1353"/>
      <c r="H680" s="1353"/>
      <c r="I680" s="1353"/>
      <c r="J680" s="1353"/>
      <c r="K680" s="1387"/>
      <c r="L680" s="1353"/>
      <c r="M680" s="1353"/>
      <c r="N680" s="1353"/>
    </row>
    <row r="681" spans="1:14" x14ac:dyDescent="0.25">
      <c r="A681" s="1353"/>
      <c r="B681" s="1353"/>
      <c r="C681" s="1353"/>
      <c r="D681" s="1353"/>
      <c r="E681" s="1353"/>
      <c r="F681" s="1353"/>
      <c r="G681" s="1353"/>
      <c r="H681" s="1353"/>
      <c r="I681" s="1353"/>
      <c r="J681" s="1353"/>
      <c r="K681" s="1387"/>
      <c r="L681" s="1353"/>
      <c r="M681" s="1353"/>
      <c r="N681" s="1353"/>
    </row>
    <row r="682" spans="1:14" x14ac:dyDescent="0.25">
      <c r="A682" s="1353"/>
      <c r="B682" s="1353"/>
      <c r="C682" s="1353"/>
      <c r="D682" s="1353"/>
      <c r="E682" s="1353"/>
      <c r="F682" s="1353"/>
      <c r="G682" s="1353"/>
      <c r="H682" s="1353"/>
      <c r="I682" s="1353"/>
      <c r="J682" s="1353"/>
      <c r="K682" s="1387"/>
      <c r="L682" s="1353"/>
      <c r="M682" s="1353"/>
      <c r="N682" s="1353"/>
    </row>
    <row r="683" spans="1:14" x14ac:dyDescent="0.25">
      <c r="A683" s="1353"/>
      <c r="B683" s="1353"/>
      <c r="C683" s="1353"/>
      <c r="D683" s="1353"/>
      <c r="E683" s="1353"/>
      <c r="F683" s="1353"/>
      <c r="G683" s="1353"/>
      <c r="H683" s="1353"/>
      <c r="I683" s="1353"/>
      <c r="J683" s="1353"/>
      <c r="K683" s="1387"/>
      <c r="L683" s="1353"/>
      <c r="M683" s="1353"/>
      <c r="N683" s="1353"/>
    </row>
    <row r="684" spans="1:14" x14ac:dyDescent="0.25">
      <c r="A684" s="1353"/>
      <c r="B684" s="1353"/>
      <c r="C684" s="1353"/>
      <c r="D684" s="1353"/>
      <c r="E684" s="1353"/>
      <c r="F684" s="1353"/>
      <c r="G684" s="1353"/>
      <c r="H684" s="1353"/>
      <c r="I684" s="1353"/>
      <c r="J684" s="1353"/>
      <c r="K684" s="1387"/>
      <c r="L684" s="1353"/>
      <c r="M684" s="1353"/>
      <c r="N684" s="1353"/>
    </row>
    <row r="685" spans="1:14" x14ac:dyDescent="0.25">
      <c r="A685" s="1353"/>
      <c r="B685" s="1353"/>
      <c r="C685" s="1353"/>
      <c r="D685" s="1353"/>
      <c r="E685" s="1353"/>
      <c r="F685" s="1353"/>
      <c r="G685" s="1353"/>
      <c r="H685" s="1353"/>
      <c r="I685" s="1353"/>
      <c r="J685" s="1353"/>
      <c r="K685" s="1387"/>
      <c r="L685" s="1353"/>
      <c r="M685" s="1353"/>
      <c r="N685" s="1353"/>
    </row>
    <row r="686" spans="1:14" x14ac:dyDescent="0.25">
      <c r="A686" s="1353"/>
      <c r="B686" s="1353"/>
      <c r="C686" s="1353"/>
      <c r="D686" s="1353"/>
      <c r="E686" s="1353"/>
      <c r="F686" s="1353"/>
      <c r="G686" s="1353"/>
      <c r="H686" s="1353"/>
      <c r="I686" s="1353"/>
      <c r="J686" s="1353"/>
      <c r="K686" s="1387"/>
      <c r="L686" s="1353"/>
      <c r="M686" s="1353"/>
      <c r="N686" s="1353"/>
    </row>
    <row r="687" spans="1:14" x14ac:dyDescent="0.25">
      <c r="A687" s="1353"/>
      <c r="B687" s="1353"/>
      <c r="C687" s="1353"/>
      <c r="D687" s="1353"/>
      <c r="E687" s="1353"/>
      <c r="F687" s="1353"/>
      <c r="G687" s="1353"/>
      <c r="H687" s="1353"/>
      <c r="I687" s="1353"/>
      <c r="J687" s="1353"/>
      <c r="K687" s="1387"/>
      <c r="L687" s="1353"/>
      <c r="M687" s="1353"/>
      <c r="N687" s="1353"/>
    </row>
    <row r="688" spans="1:14" x14ac:dyDescent="0.25">
      <c r="A688" s="1353"/>
      <c r="B688" s="1353"/>
      <c r="C688" s="1353"/>
      <c r="D688" s="1353"/>
      <c r="E688" s="1353"/>
      <c r="F688" s="1353"/>
      <c r="G688" s="1353"/>
      <c r="H688" s="1353"/>
      <c r="I688" s="1353"/>
      <c r="J688" s="1353"/>
      <c r="K688" s="1387"/>
      <c r="L688" s="1353"/>
      <c r="M688" s="1353"/>
      <c r="N688" s="1353"/>
    </row>
    <row r="689" spans="1:14" x14ac:dyDescent="0.25">
      <c r="A689" s="1353"/>
      <c r="B689" s="1353"/>
      <c r="C689" s="1353"/>
      <c r="D689" s="1353"/>
      <c r="E689" s="1353"/>
      <c r="F689" s="1353"/>
      <c r="G689" s="1353"/>
      <c r="H689" s="1353"/>
      <c r="I689" s="1353"/>
      <c r="J689" s="1353"/>
      <c r="K689" s="1387"/>
      <c r="L689" s="1353"/>
      <c r="M689" s="1353"/>
      <c r="N689" s="1353"/>
    </row>
    <row r="690" spans="1:14" x14ac:dyDescent="0.25">
      <c r="A690" s="1353"/>
      <c r="B690" s="1353"/>
      <c r="C690" s="1353"/>
      <c r="D690" s="1353"/>
      <c r="E690" s="1353"/>
      <c r="F690" s="1353"/>
      <c r="G690" s="1353"/>
      <c r="H690" s="1353"/>
      <c r="I690" s="1353"/>
      <c r="J690" s="1353"/>
      <c r="K690" s="1387"/>
      <c r="L690" s="1353"/>
      <c r="M690" s="1353"/>
      <c r="N690" s="1353"/>
    </row>
    <row r="691" spans="1:14" x14ac:dyDescent="0.25">
      <c r="A691" s="1353"/>
      <c r="B691" s="1353"/>
      <c r="C691" s="1353"/>
      <c r="D691" s="1353"/>
      <c r="E691" s="1353"/>
      <c r="F691" s="1353"/>
      <c r="G691" s="1353"/>
      <c r="H691" s="1353"/>
      <c r="I691" s="1353"/>
      <c r="J691" s="1353"/>
      <c r="K691" s="1387"/>
      <c r="L691" s="1353"/>
      <c r="M691" s="1353"/>
      <c r="N691" s="1353"/>
    </row>
    <row r="692" spans="1:14" x14ac:dyDescent="0.25">
      <c r="A692" s="1353"/>
      <c r="B692" s="1353"/>
      <c r="C692" s="1353"/>
      <c r="D692" s="1353"/>
      <c r="E692" s="1353"/>
      <c r="F692" s="1353"/>
      <c r="G692" s="1353"/>
      <c r="H692" s="1353"/>
      <c r="I692" s="1353"/>
      <c r="J692" s="1353"/>
      <c r="K692" s="1387"/>
      <c r="L692" s="1353"/>
      <c r="M692" s="1353"/>
      <c r="N692" s="1353"/>
    </row>
    <row r="693" spans="1:14" x14ac:dyDescent="0.25">
      <c r="A693" s="1353"/>
      <c r="B693" s="1353"/>
      <c r="C693" s="1353"/>
      <c r="D693" s="1353"/>
      <c r="E693" s="1353"/>
      <c r="F693" s="1353"/>
      <c r="G693" s="1353"/>
      <c r="H693" s="1353"/>
      <c r="I693" s="1353"/>
      <c r="J693" s="1353"/>
      <c r="K693" s="1387"/>
      <c r="L693" s="1353"/>
      <c r="M693" s="1353"/>
      <c r="N693" s="1353"/>
    </row>
    <row r="694" spans="1:14" x14ac:dyDescent="0.25">
      <c r="A694" s="1353"/>
      <c r="B694" s="1353"/>
      <c r="C694" s="1353"/>
      <c r="D694" s="1353"/>
      <c r="E694" s="1353"/>
      <c r="F694" s="1353"/>
      <c r="G694" s="1353"/>
      <c r="H694" s="1353"/>
      <c r="I694" s="1353"/>
      <c r="J694" s="1353"/>
      <c r="K694" s="1387"/>
      <c r="L694" s="1353"/>
      <c r="M694" s="1353"/>
      <c r="N694" s="1353"/>
    </row>
    <row r="695" spans="1:14" x14ac:dyDescent="0.25">
      <c r="A695" s="1353"/>
      <c r="B695" s="1353"/>
      <c r="C695" s="1353"/>
      <c r="D695" s="1353"/>
      <c r="E695" s="1353"/>
      <c r="F695" s="1353"/>
      <c r="G695" s="1353"/>
      <c r="H695" s="1353"/>
      <c r="I695" s="1353"/>
      <c r="J695" s="1353"/>
      <c r="K695" s="1387"/>
      <c r="L695" s="1353"/>
      <c r="M695" s="1353"/>
      <c r="N695" s="1353"/>
    </row>
    <row r="696" spans="1:14" x14ac:dyDescent="0.25">
      <c r="A696" s="1353"/>
      <c r="B696" s="1353"/>
      <c r="C696" s="1353"/>
      <c r="D696" s="1353"/>
      <c r="E696" s="1353"/>
      <c r="F696" s="1353"/>
      <c r="G696" s="1353"/>
      <c r="H696" s="1353"/>
      <c r="I696" s="1353"/>
      <c r="J696" s="1353"/>
      <c r="K696" s="1387"/>
      <c r="L696" s="1353"/>
      <c r="M696" s="1353"/>
      <c r="N696" s="1353"/>
    </row>
    <row r="697" spans="1:14" x14ac:dyDescent="0.25">
      <c r="A697" s="1353"/>
      <c r="B697" s="1353"/>
      <c r="C697" s="1353"/>
      <c r="D697" s="1353"/>
      <c r="E697" s="1353"/>
      <c r="F697" s="1353"/>
      <c r="G697" s="1353"/>
      <c r="H697" s="1353"/>
      <c r="I697" s="1353"/>
      <c r="J697" s="1353"/>
      <c r="K697" s="1387"/>
      <c r="L697" s="1353"/>
      <c r="M697" s="1353"/>
      <c r="N697" s="1353"/>
    </row>
    <row r="698" spans="1:14" x14ac:dyDescent="0.25">
      <c r="A698" s="1353"/>
      <c r="B698" s="1353"/>
      <c r="C698" s="1353"/>
      <c r="D698" s="1353"/>
      <c r="E698" s="1353"/>
      <c r="F698" s="1353"/>
      <c r="G698" s="1353"/>
      <c r="H698" s="1353"/>
      <c r="I698" s="1353"/>
      <c r="J698" s="1353"/>
      <c r="K698" s="1387"/>
      <c r="L698" s="1353"/>
      <c r="M698" s="1353"/>
      <c r="N698" s="1353"/>
    </row>
    <row r="699" spans="1:14" x14ac:dyDescent="0.25">
      <c r="A699" s="1353"/>
      <c r="B699" s="1353"/>
      <c r="C699" s="1353"/>
      <c r="D699" s="1353"/>
      <c r="E699" s="1353"/>
      <c r="F699" s="1353"/>
      <c r="G699" s="1353"/>
      <c r="H699" s="1353"/>
      <c r="I699" s="1353"/>
      <c r="J699" s="1353"/>
      <c r="K699" s="1387"/>
      <c r="L699" s="1353"/>
      <c r="M699" s="1353"/>
      <c r="N699" s="1353"/>
    </row>
    <row r="700" spans="1:14" x14ac:dyDescent="0.25">
      <c r="A700" s="1353"/>
      <c r="B700" s="1353"/>
      <c r="C700" s="1353"/>
      <c r="D700" s="1353"/>
      <c r="E700" s="1353"/>
      <c r="F700" s="1353"/>
      <c r="G700" s="1353"/>
      <c r="H700" s="1353"/>
      <c r="I700" s="1353"/>
      <c r="J700" s="1353"/>
      <c r="K700" s="1387"/>
      <c r="L700" s="1353"/>
      <c r="M700" s="1353"/>
      <c r="N700" s="1353"/>
    </row>
    <row r="701" spans="1:14" x14ac:dyDescent="0.25">
      <c r="A701" s="1353"/>
      <c r="B701" s="1353"/>
      <c r="C701" s="1353"/>
      <c r="D701" s="1353"/>
      <c r="E701" s="1353"/>
      <c r="F701" s="1353"/>
      <c r="G701" s="1353"/>
      <c r="H701" s="1353"/>
      <c r="I701" s="1353"/>
      <c r="J701" s="1353"/>
      <c r="K701" s="1387"/>
      <c r="L701" s="1353"/>
      <c r="M701" s="1353"/>
      <c r="N701" s="1353"/>
    </row>
    <row r="702" spans="1:14" x14ac:dyDescent="0.25">
      <c r="A702" s="1353"/>
      <c r="B702" s="1353"/>
      <c r="C702" s="1353"/>
      <c r="D702" s="1353"/>
      <c r="E702" s="1353"/>
      <c r="F702" s="1353"/>
      <c r="G702" s="1353"/>
      <c r="H702" s="1353"/>
      <c r="I702" s="1353"/>
      <c r="J702" s="1353"/>
      <c r="K702" s="1387"/>
      <c r="L702" s="1353"/>
      <c r="M702" s="1353"/>
      <c r="N702" s="1353"/>
    </row>
    <row r="703" spans="1:14" x14ac:dyDescent="0.25">
      <c r="A703" s="1353"/>
      <c r="B703" s="1353"/>
      <c r="C703" s="1353"/>
      <c r="D703" s="1353"/>
      <c r="E703" s="1353"/>
      <c r="F703" s="1353"/>
      <c r="G703" s="1353"/>
      <c r="H703" s="1353"/>
      <c r="I703" s="1353"/>
      <c r="J703" s="1353"/>
      <c r="K703" s="1387"/>
      <c r="L703" s="1353"/>
      <c r="M703" s="1353"/>
      <c r="N703" s="1353"/>
    </row>
    <row r="704" spans="1:14" x14ac:dyDescent="0.25">
      <c r="A704" s="1353"/>
      <c r="B704" s="1353"/>
      <c r="C704" s="1353"/>
      <c r="D704" s="1353"/>
      <c r="E704" s="1353"/>
      <c r="F704" s="1353"/>
      <c r="G704" s="1353"/>
      <c r="H704" s="1353"/>
      <c r="I704" s="1353"/>
      <c r="J704" s="1353"/>
      <c r="K704" s="1387"/>
      <c r="L704" s="1353"/>
      <c r="M704" s="1353"/>
      <c r="N704" s="1353"/>
    </row>
    <row r="705" spans="1:14" x14ac:dyDescent="0.25">
      <c r="A705" s="1353"/>
      <c r="B705" s="1353"/>
      <c r="C705" s="1353"/>
      <c r="D705" s="1353"/>
      <c r="E705" s="1353"/>
      <c r="F705" s="1353"/>
      <c r="G705" s="1353"/>
      <c r="H705" s="1353"/>
      <c r="I705" s="1353"/>
      <c r="J705" s="1353"/>
      <c r="K705" s="1387"/>
      <c r="L705" s="1353"/>
      <c r="M705" s="1353"/>
      <c r="N705" s="1353"/>
    </row>
    <row r="706" spans="1:14" x14ac:dyDescent="0.25">
      <c r="A706" s="1353"/>
      <c r="B706" s="1353"/>
      <c r="C706" s="1353"/>
      <c r="D706" s="1353"/>
      <c r="E706" s="1353"/>
      <c r="F706" s="1353"/>
      <c r="G706" s="1353"/>
      <c r="H706" s="1353"/>
      <c r="I706" s="1353"/>
      <c r="J706" s="1353"/>
      <c r="K706" s="1387"/>
      <c r="L706" s="1353"/>
      <c r="M706" s="1353"/>
      <c r="N706" s="1353"/>
    </row>
    <row r="707" spans="1:14" x14ac:dyDescent="0.25">
      <c r="A707" s="1353"/>
      <c r="B707" s="1353"/>
      <c r="C707" s="1353"/>
      <c r="D707" s="1353"/>
      <c r="E707" s="1353"/>
      <c r="F707" s="1353"/>
      <c r="G707" s="1353"/>
      <c r="H707" s="1353"/>
      <c r="I707" s="1353"/>
      <c r="J707" s="1353"/>
      <c r="K707" s="1387"/>
      <c r="L707" s="1353"/>
      <c r="M707" s="1353"/>
      <c r="N707" s="1353"/>
    </row>
    <row r="708" spans="1:14" x14ac:dyDescent="0.25">
      <c r="A708" s="1353"/>
      <c r="B708" s="1353"/>
      <c r="C708" s="1353"/>
      <c r="D708" s="1353"/>
      <c r="E708" s="1353"/>
      <c r="F708" s="1353"/>
      <c r="G708" s="1353"/>
      <c r="H708" s="1353"/>
      <c r="I708" s="1353"/>
      <c r="J708" s="1353"/>
      <c r="K708" s="1387"/>
      <c r="L708" s="1353"/>
      <c r="M708" s="1353"/>
      <c r="N708" s="1353"/>
    </row>
    <row r="709" spans="1:14" x14ac:dyDescent="0.25">
      <c r="A709" s="1353"/>
      <c r="B709" s="1353"/>
      <c r="C709" s="1353"/>
      <c r="D709" s="1353"/>
      <c r="E709" s="1353"/>
      <c r="F709" s="1353"/>
      <c r="G709" s="1353"/>
      <c r="H709" s="1353"/>
      <c r="I709" s="1353"/>
      <c r="J709" s="1353"/>
      <c r="K709" s="1387"/>
      <c r="L709" s="1353"/>
      <c r="M709" s="1353"/>
      <c r="N709" s="1353"/>
    </row>
    <row r="710" spans="1:14" x14ac:dyDescent="0.25">
      <c r="A710" s="1353"/>
      <c r="B710" s="1353"/>
      <c r="C710" s="1353"/>
      <c r="D710" s="1353"/>
      <c r="E710" s="1353"/>
      <c r="F710" s="1353"/>
      <c r="G710" s="1353"/>
      <c r="H710" s="1353"/>
      <c r="I710" s="1353"/>
      <c r="J710" s="1353"/>
      <c r="K710" s="1387"/>
      <c r="L710" s="1353"/>
      <c r="M710" s="1353"/>
      <c r="N710" s="1353"/>
    </row>
    <row r="711" spans="1:14" x14ac:dyDescent="0.25">
      <c r="A711" s="1353"/>
      <c r="B711" s="1353"/>
      <c r="C711" s="1353"/>
      <c r="D711" s="1353"/>
      <c r="E711" s="1353"/>
      <c r="F711" s="1353"/>
      <c r="G711" s="1353"/>
      <c r="H711" s="1353"/>
      <c r="I711" s="1353"/>
      <c r="J711" s="1353"/>
      <c r="K711" s="1387"/>
      <c r="L711" s="1353"/>
      <c r="M711" s="1353"/>
      <c r="N711" s="1353"/>
    </row>
    <row r="712" spans="1:14" x14ac:dyDescent="0.25">
      <c r="A712" s="1353"/>
      <c r="B712" s="1353"/>
      <c r="C712" s="1353"/>
      <c r="D712" s="1353"/>
      <c r="E712" s="1353"/>
      <c r="F712" s="1353"/>
      <c r="G712" s="1353"/>
      <c r="H712" s="1353"/>
      <c r="I712" s="1353"/>
      <c r="J712" s="1353"/>
      <c r="K712" s="1387"/>
      <c r="L712" s="1353"/>
      <c r="M712" s="1353"/>
      <c r="N712" s="1353"/>
    </row>
    <row r="713" spans="1:14" x14ac:dyDescent="0.25">
      <c r="A713" s="1353"/>
      <c r="B713" s="1353"/>
      <c r="C713" s="1353"/>
      <c r="D713" s="1353"/>
      <c r="E713" s="1353"/>
      <c r="F713" s="1353"/>
      <c r="G713" s="1353"/>
      <c r="H713" s="1353"/>
      <c r="I713" s="1353"/>
      <c r="J713" s="1353"/>
      <c r="K713" s="1387"/>
      <c r="L713" s="1353"/>
      <c r="M713" s="1353"/>
      <c r="N713" s="1353"/>
    </row>
    <row r="714" spans="1:14" x14ac:dyDescent="0.25">
      <c r="A714" s="1353"/>
      <c r="B714" s="1353"/>
      <c r="C714" s="1353"/>
      <c r="D714" s="1353"/>
      <c r="E714" s="1353"/>
      <c r="F714" s="1353"/>
      <c r="G714" s="1353"/>
      <c r="H714" s="1353"/>
      <c r="I714" s="1353"/>
      <c r="J714" s="1353"/>
      <c r="K714" s="1387"/>
      <c r="L714" s="1353"/>
      <c r="M714" s="1353"/>
      <c r="N714" s="1353"/>
    </row>
    <row r="715" spans="1:14" x14ac:dyDescent="0.25">
      <c r="A715" s="1353"/>
      <c r="B715" s="1353"/>
      <c r="C715" s="1353"/>
      <c r="D715" s="1353"/>
      <c r="E715" s="1353"/>
      <c r="F715" s="1353"/>
      <c r="G715" s="1353"/>
      <c r="H715" s="1353"/>
      <c r="I715" s="1353"/>
      <c r="J715" s="1353"/>
      <c r="K715" s="1387"/>
      <c r="L715" s="1353"/>
      <c r="M715" s="1353"/>
      <c r="N715" s="1353"/>
    </row>
    <row r="716" spans="1:14" x14ac:dyDescent="0.25">
      <c r="A716" s="1353"/>
      <c r="B716" s="1353"/>
      <c r="C716" s="1353"/>
      <c r="D716" s="1353"/>
      <c r="E716" s="1353"/>
      <c r="F716" s="1353"/>
      <c r="G716" s="1353"/>
      <c r="H716" s="1353"/>
      <c r="I716" s="1353"/>
      <c r="J716" s="1353"/>
      <c r="K716" s="1387"/>
      <c r="L716" s="1353"/>
      <c r="M716" s="1353"/>
      <c r="N716" s="1353"/>
    </row>
    <row r="717" spans="1:14" x14ac:dyDescent="0.25">
      <c r="A717" s="1353"/>
      <c r="B717" s="1353"/>
      <c r="C717" s="1353"/>
      <c r="D717" s="1353"/>
      <c r="E717" s="1353"/>
      <c r="F717" s="1353"/>
      <c r="G717" s="1353"/>
      <c r="H717" s="1353"/>
      <c r="I717" s="1353"/>
      <c r="J717" s="1353"/>
      <c r="K717" s="1387"/>
      <c r="L717" s="1353"/>
      <c r="M717" s="1353"/>
      <c r="N717" s="1353"/>
    </row>
    <row r="718" spans="1:14" x14ac:dyDescent="0.25">
      <c r="A718" s="1353"/>
      <c r="B718" s="1353"/>
      <c r="C718" s="1353"/>
      <c r="D718" s="1353"/>
      <c r="E718" s="1353"/>
      <c r="F718" s="1353"/>
      <c r="G718" s="1353"/>
      <c r="H718" s="1353"/>
      <c r="I718" s="1353"/>
      <c r="J718" s="1353"/>
      <c r="K718" s="1387"/>
      <c r="L718" s="1353"/>
      <c r="M718" s="1353"/>
      <c r="N718" s="1353"/>
    </row>
    <row r="719" spans="1:14" x14ac:dyDescent="0.25">
      <c r="A719" s="1353"/>
      <c r="B719" s="1353"/>
      <c r="C719" s="1353"/>
      <c r="D719" s="1353"/>
      <c r="E719" s="1353"/>
      <c r="F719" s="1353"/>
      <c r="G719" s="1353"/>
      <c r="H719" s="1353"/>
      <c r="I719" s="1353"/>
      <c r="J719" s="1353"/>
      <c r="K719" s="1387"/>
      <c r="L719" s="1353"/>
      <c r="M719" s="1353"/>
      <c r="N719" s="1353"/>
    </row>
    <row r="720" spans="1:14" x14ac:dyDescent="0.25">
      <c r="A720" s="1353"/>
      <c r="B720" s="1353"/>
      <c r="C720" s="1353"/>
      <c r="D720" s="1353"/>
      <c r="E720" s="1353"/>
      <c r="F720" s="1353"/>
      <c r="G720" s="1353"/>
      <c r="H720" s="1353"/>
      <c r="I720" s="1353"/>
      <c r="J720" s="1353"/>
      <c r="K720" s="1387"/>
      <c r="L720" s="1353"/>
      <c r="M720" s="1353"/>
      <c r="N720" s="1353"/>
    </row>
    <row r="721" spans="1:14" x14ac:dyDescent="0.25">
      <c r="A721" s="1353"/>
      <c r="B721" s="1353"/>
      <c r="C721" s="1353"/>
      <c r="D721" s="1353"/>
      <c r="E721" s="1353"/>
      <c r="F721" s="1353"/>
      <c r="G721" s="1353"/>
      <c r="H721" s="1353"/>
      <c r="I721" s="1353"/>
      <c r="J721" s="1353"/>
      <c r="K721" s="1387"/>
      <c r="L721" s="1353"/>
      <c r="M721" s="1353"/>
      <c r="N721" s="1353"/>
    </row>
    <row r="722" spans="1:14" x14ac:dyDescent="0.25">
      <c r="A722" s="1353"/>
      <c r="B722" s="1353"/>
      <c r="C722" s="1353"/>
      <c r="D722" s="1353"/>
      <c r="E722" s="1353"/>
      <c r="F722" s="1353"/>
      <c r="G722" s="1353"/>
      <c r="H722" s="1353"/>
      <c r="I722" s="1353"/>
      <c r="J722" s="1353"/>
      <c r="K722" s="1387"/>
      <c r="L722" s="1353"/>
      <c r="M722" s="1353"/>
      <c r="N722" s="1353"/>
    </row>
    <row r="723" spans="1:14" x14ac:dyDescent="0.25">
      <c r="A723" s="1353"/>
      <c r="B723" s="1353"/>
      <c r="C723" s="1353"/>
      <c r="D723" s="1353"/>
      <c r="E723" s="1353"/>
      <c r="F723" s="1353"/>
      <c r="G723" s="1353"/>
      <c r="H723" s="1353"/>
      <c r="I723" s="1353"/>
      <c r="J723" s="1353"/>
      <c r="K723" s="1387"/>
      <c r="L723" s="1353"/>
      <c r="M723" s="1353"/>
      <c r="N723" s="1353"/>
    </row>
    <row r="724" spans="1:14" x14ac:dyDescent="0.25">
      <c r="A724" s="1353"/>
      <c r="B724" s="1353"/>
      <c r="C724" s="1353"/>
      <c r="D724" s="1353"/>
      <c r="E724" s="1353"/>
      <c r="F724" s="1353"/>
      <c r="G724" s="1353"/>
      <c r="H724" s="1353"/>
      <c r="I724" s="1353"/>
      <c r="J724" s="1353"/>
      <c r="K724" s="1387"/>
      <c r="L724" s="1353"/>
      <c r="M724" s="1353"/>
      <c r="N724" s="1353"/>
    </row>
    <row r="725" spans="1:14" x14ac:dyDescent="0.25">
      <c r="A725" s="1353"/>
      <c r="B725" s="1353"/>
      <c r="C725" s="1353"/>
      <c r="D725" s="1353"/>
      <c r="E725" s="1353"/>
      <c r="F725" s="1353"/>
      <c r="G725" s="1353"/>
      <c r="H725" s="1353"/>
      <c r="I725" s="1353"/>
      <c r="J725" s="1353"/>
      <c r="K725" s="1387"/>
      <c r="L725" s="1353"/>
      <c r="M725" s="1353"/>
      <c r="N725" s="1353"/>
    </row>
    <row r="726" spans="1:14" x14ac:dyDescent="0.25">
      <c r="A726" s="1353"/>
      <c r="B726" s="1353"/>
      <c r="C726" s="1353"/>
      <c r="D726" s="1353"/>
      <c r="E726" s="1353"/>
      <c r="F726" s="1353"/>
      <c r="G726" s="1353"/>
      <c r="H726" s="1353"/>
      <c r="I726" s="1353"/>
      <c r="J726" s="1353"/>
      <c r="K726" s="1387"/>
      <c r="L726" s="1353"/>
      <c r="M726" s="1353"/>
      <c r="N726" s="1353"/>
    </row>
    <row r="727" spans="1:14" x14ac:dyDescent="0.25">
      <c r="A727" s="1353"/>
      <c r="B727" s="1353"/>
      <c r="C727" s="1353"/>
      <c r="D727" s="1353"/>
      <c r="E727" s="1353"/>
      <c r="F727" s="1353"/>
      <c r="G727" s="1353"/>
      <c r="H727" s="1353"/>
      <c r="I727" s="1353"/>
      <c r="J727" s="1353"/>
      <c r="K727" s="1387"/>
      <c r="L727" s="1353"/>
      <c r="M727" s="1353"/>
      <c r="N727" s="1353"/>
    </row>
    <row r="728" spans="1:14" x14ac:dyDescent="0.25">
      <c r="A728" s="1353"/>
      <c r="B728" s="1353"/>
      <c r="C728" s="1353"/>
      <c r="D728" s="1353"/>
      <c r="E728" s="1353"/>
      <c r="F728" s="1353"/>
      <c r="G728" s="1353"/>
      <c r="H728" s="1353"/>
      <c r="I728" s="1353"/>
      <c r="J728" s="1353"/>
      <c r="K728" s="1387"/>
      <c r="L728" s="1353"/>
      <c r="M728" s="1353"/>
      <c r="N728" s="1353"/>
    </row>
    <row r="729" spans="1:14" x14ac:dyDescent="0.25">
      <c r="A729" s="1353"/>
      <c r="B729" s="1353"/>
      <c r="C729" s="1353"/>
      <c r="D729" s="1353"/>
      <c r="E729" s="1353"/>
      <c r="F729" s="1353"/>
      <c r="G729" s="1353"/>
      <c r="H729" s="1353"/>
      <c r="I729" s="1353"/>
      <c r="J729" s="1353"/>
      <c r="K729" s="1387"/>
      <c r="L729" s="1353"/>
      <c r="M729" s="1353"/>
      <c r="N729" s="1353"/>
    </row>
    <row r="730" spans="1:14" x14ac:dyDescent="0.25">
      <c r="A730" s="1353"/>
      <c r="B730" s="1353"/>
      <c r="C730" s="1353"/>
      <c r="D730" s="1353"/>
      <c r="E730" s="1353"/>
      <c r="F730" s="1353"/>
      <c r="G730" s="1353"/>
      <c r="H730" s="1353"/>
      <c r="I730" s="1353"/>
      <c r="J730" s="1353"/>
      <c r="K730" s="1387"/>
      <c r="L730" s="1353"/>
      <c r="M730" s="1353"/>
      <c r="N730" s="1353"/>
    </row>
    <row r="731" spans="1:14" x14ac:dyDescent="0.25">
      <c r="A731" s="1353"/>
      <c r="B731" s="1353"/>
      <c r="C731" s="1353"/>
      <c r="D731" s="1353"/>
      <c r="E731" s="1353"/>
      <c r="F731" s="1353"/>
      <c r="G731" s="1353"/>
      <c r="H731" s="1353"/>
      <c r="I731" s="1353"/>
      <c r="J731" s="1353"/>
      <c r="K731" s="1387"/>
      <c r="L731" s="1353"/>
      <c r="M731" s="1353"/>
      <c r="N731" s="1353"/>
    </row>
    <row r="732" spans="1:14" x14ac:dyDescent="0.25">
      <c r="A732" s="1353"/>
      <c r="B732" s="1353"/>
      <c r="C732" s="1353"/>
      <c r="D732" s="1353"/>
      <c r="E732" s="1353"/>
      <c r="F732" s="1353"/>
      <c r="G732" s="1353"/>
      <c r="H732" s="1353"/>
      <c r="I732" s="1353"/>
      <c r="J732" s="1353"/>
      <c r="K732" s="1387"/>
      <c r="L732" s="1353"/>
      <c r="M732" s="1353"/>
      <c r="N732" s="1353"/>
    </row>
    <row r="733" spans="1:14" x14ac:dyDescent="0.25">
      <c r="A733" s="1353"/>
      <c r="B733" s="1353"/>
      <c r="C733" s="1353"/>
      <c r="D733" s="1353"/>
      <c r="E733" s="1353"/>
      <c r="F733" s="1353"/>
      <c r="G733" s="1353"/>
      <c r="H733" s="1353"/>
      <c r="I733" s="1353"/>
      <c r="J733" s="1353"/>
      <c r="K733" s="1387"/>
      <c r="L733" s="1353"/>
      <c r="M733" s="1353"/>
      <c r="N733" s="1353"/>
    </row>
    <row r="734" spans="1:14" x14ac:dyDescent="0.25">
      <c r="A734" s="1353"/>
      <c r="B734" s="1353"/>
      <c r="C734" s="1353"/>
      <c r="D734" s="1353"/>
      <c r="E734" s="1353"/>
      <c r="F734" s="1353"/>
      <c r="G734" s="1353"/>
      <c r="H734" s="1353"/>
      <c r="I734" s="1353"/>
      <c r="J734" s="1353"/>
      <c r="K734" s="1387"/>
      <c r="L734" s="1353"/>
      <c r="M734" s="1353"/>
      <c r="N734" s="1353"/>
    </row>
    <row r="735" spans="1:14" x14ac:dyDescent="0.25">
      <c r="A735" s="1353"/>
      <c r="B735" s="1353"/>
      <c r="C735" s="1353"/>
      <c r="D735" s="1353"/>
      <c r="E735" s="1353"/>
      <c r="F735" s="1353"/>
      <c r="G735" s="1353"/>
      <c r="H735" s="1353"/>
      <c r="I735" s="1353"/>
      <c r="J735" s="1353"/>
      <c r="K735" s="1387"/>
      <c r="L735" s="1353"/>
      <c r="M735" s="1353"/>
      <c r="N735" s="1353"/>
    </row>
    <row r="736" spans="1:14" x14ac:dyDescent="0.25">
      <c r="A736" s="1353"/>
      <c r="B736" s="1353"/>
      <c r="C736" s="1353"/>
      <c r="D736" s="1353"/>
      <c r="E736" s="1353"/>
      <c r="F736" s="1353"/>
      <c r="G736" s="1353"/>
      <c r="H736" s="1353"/>
      <c r="I736" s="1353"/>
      <c r="J736" s="1353"/>
      <c r="K736" s="1387"/>
      <c r="L736" s="1353"/>
      <c r="M736" s="1353"/>
      <c r="N736" s="1353"/>
    </row>
    <row r="737" spans="1:14" x14ac:dyDescent="0.25">
      <c r="A737" s="1353"/>
      <c r="B737" s="1353"/>
      <c r="C737" s="1353"/>
      <c r="D737" s="1353"/>
      <c r="E737" s="1353"/>
      <c r="F737" s="1353"/>
      <c r="G737" s="1353"/>
      <c r="H737" s="1353"/>
      <c r="I737" s="1353"/>
      <c r="J737" s="1353"/>
      <c r="K737" s="1387"/>
      <c r="L737" s="1353"/>
      <c r="M737" s="1353"/>
      <c r="N737" s="1353"/>
    </row>
    <row r="738" spans="1:14" x14ac:dyDescent="0.25">
      <c r="A738" s="1353"/>
      <c r="B738" s="1353"/>
      <c r="C738" s="1353"/>
      <c r="D738" s="1353"/>
      <c r="E738" s="1353"/>
      <c r="F738" s="1353"/>
      <c r="G738" s="1353"/>
      <c r="H738" s="1353"/>
      <c r="I738" s="1353"/>
      <c r="J738" s="1353"/>
      <c r="K738" s="1387"/>
      <c r="L738" s="1353"/>
      <c r="M738" s="1353"/>
      <c r="N738" s="1353"/>
    </row>
    <row r="739" spans="1:14" x14ac:dyDescent="0.25">
      <c r="A739" s="1353"/>
      <c r="B739" s="1353"/>
      <c r="C739" s="1353"/>
      <c r="D739" s="1353"/>
      <c r="E739" s="1353"/>
      <c r="F739" s="1353"/>
      <c r="G739" s="1353"/>
      <c r="H739" s="1353"/>
      <c r="I739" s="1353"/>
      <c r="J739" s="1353"/>
      <c r="K739" s="1387"/>
      <c r="L739" s="1353"/>
      <c r="M739" s="1353"/>
      <c r="N739" s="1353"/>
    </row>
    <row r="740" spans="1:14" x14ac:dyDescent="0.25">
      <c r="A740" s="1353"/>
      <c r="B740" s="1353"/>
      <c r="C740" s="1353"/>
      <c r="D740" s="1353"/>
      <c r="E740" s="1353"/>
      <c r="F740" s="1353"/>
      <c r="G740" s="1353"/>
      <c r="H740" s="1353"/>
      <c r="I740" s="1353"/>
      <c r="J740" s="1353"/>
      <c r="K740" s="1387"/>
      <c r="L740" s="1353"/>
      <c r="M740" s="1353"/>
      <c r="N740" s="1353"/>
    </row>
    <row r="741" spans="1:14" x14ac:dyDescent="0.25">
      <c r="A741" s="1353"/>
      <c r="B741" s="1353"/>
      <c r="C741" s="1353"/>
      <c r="D741" s="1353"/>
      <c r="E741" s="1353"/>
      <c r="F741" s="1353"/>
      <c r="G741" s="1353"/>
      <c r="H741" s="1353"/>
      <c r="I741" s="1353"/>
      <c r="J741" s="1353"/>
      <c r="K741" s="1387"/>
      <c r="L741" s="1353"/>
      <c r="M741" s="1353"/>
      <c r="N741" s="1353"/>
    </row>
    <row r="742" spans="1:14" x14ac:dyDescent="0.25">
      <c r="A742" s="1353"/>
      <c r="B742" s="1353"/>
      <c r="C742" s="1353"/>
      <c r="D742" s="1353"/>
      <c r="E742" s="1353"/>
      <c r="F742" s="1353"/>
      <c r="G742" s="1353"/>
      <c r="H742" s="1353"/>
      <c r="I742" s="1353"/>
      <c r="J742" s="1353"/>
      <c r="K742" s="1387"/>
      <c r="L742" s="1353"/>
      <c r="M742" s="1353"/>
      <c r="N742" s="1353"/>
    </row>
    <row r="743" spans="1:14" x14ac:dyDescent="0.25">
      <c r="A743" s="1353"/>
      <c r="B743" s="1353"/>
      <c r="C743" s="1353"/>
      <c r="D743" s="1353"/>
      <c r="E743" s="1353"/>
      <c r="F743" s="1353"/>
      <c r="G743" s="1353"/>
      <c r="H743" s="1353"/>
      <c r="I743" s="1353"/>
      <c r="J743" s="1353"/>
      <c r="K743" s="1387"/>
      <c r="L743" s="1353"/>
      <c r="M743" s="1353"/>
      <c r="N743" s="1353"/>
    </row>
    <row r="744" spans="1:14" x14ac:dyDescent="0.25">
      <c r="A744" s="1353"/>
      <c r="B744" s="1353"/>
      <c r="C744" s="1353"/>
      <c r="D744" s="1353"/>
      <c r="E744" s="1353"/>
      <c r="F744" s="1353"/>
      <c r="G744" s="1353"/>
      <c r="H744" s="1353"/>
      <c r="I744" s="1353"/>
      <c r="J744" s="1353"/>
      <c r="K744" s="1387"/>
      <c r="L744" s="1353"/>
      <c r="M744" s="1353"/>
      <c r="N744" s="1353"/>
    </row>
    <row r="745" spans="1:14" x14ac:dyDescent="0.25">
      <c r="A745" s="1353"/>
      <c r="B745" s="1353"/>
      <c r="C745" s="1353"/>
      <c r="D745" s="1353"/>
      <c r="E745" s="1353"/>
      <c r="F745" s="1353"/>
      <c r="G745" s="1353"/>
      <c r="H745" s="1353"/>
      <c r="I745" s="1353"/>
      <c r="J745" s="1353"/>
      <c r="K745" s="1387"/>
      <c r="L745" s="1353"/>
      <c r="M745" s="1353"/>
      <c r="N745" s="1353"/>
    </row>
    <row r="746" spans="1:14" x14ac:dyDescent="0.25">
      <c r="A746" s="1353"/>
      <c r="B746" s="1353"/>
      <c r="C746" s="1353"/>
      <c r="D746" s="1353"/>
      <c r="E746" s="1353"/>
      <c r="F746" s="1353"/>
      <c r="G746" s="1353"/>
      <c r="H746" s="1353"/>
      <c r="I746" s="1353"/>
      <c r="J746" s="1353"/>
      <c r="K746" s="1387"/>
      <c r="L746" s="1353"/>
      <c r="M746" s="1353"/>
      <c r="N746" s="1353"/>
    </row>
    <row r="747" spans="1:14" x14ac:dyDescent="0.25">
      <c r="A747" s="1353"/>
      <c r="B747" s="1353"/>
      <c r="C747" s="1353"/>
      <c r="D747" s="1353"/>
      <c r="E747" s="1353"/>
      <c r="F747" s="1353"/>
      <c r="G747" s="1353"/>
      <c r="H747" s="1353"/>
      <c r="I747" s="1353"/>
      <c r="J747" s="1353"/>
      <c r="K747" s="1387"/>
      <c r="L747" s="1353"/>
      <c r="M747" s="1353"/>
      <c r="N747" s="1353"/>
    </row>
    <row r="748" spans="1:14" x14ac:dyDescent="0.25">
      <c r="A748" s="1353"/>
      <c r="B748" s="1353"/>
      <c r="C748" s="1353"/>
      <c r="D748" s="1353"/>
      <c r="E748" s="1353"/>
      <c r="F748" s="1353"/>
      <c r="G748" s="1353"/>
      <c r="H748" s="1353"/>
      <c r="I748" s="1353"/>
      <c r="J748" s="1353"/>
      <c r="K748" s="1387"/>
      <c r="L748" s="1353"/>
      <c r="M748" s="1353"/>
      <c r="N748" s="1353"/>
    </row>
    <row r="749" spans="1:14" x14ac:dyDescent="0.25">
      <c r="A749" s="1353"/>
      <c r="B749" s="1353"/>
      <c r="C749" s="1353"/>
      <c r="D749" s="1353"/>
      <c r="E749" s="1353"/>
      <c r="F749" s="1353"/>
      <c r="G749" s="1353"/>
      <c r="H749" s="1353"/>
      <c r="I749" s="1353"/>
      <c r="J749" s="1353"/>
      <c r="K749" s="1387"/>
      <c r="L749" s="1353"/>
      <c r="M749" s="1353"/>
      <c r="N749" s="1353"/>
    </row>
    <row r="750" spans="1:14" x14ac:dyDescent="0.25">
      <c r="A750" s="1353"/>
      <c r="B750" s="1353"/>
      <c r="C750" s="1353"/>
      <c r="D750" s="1353"/>
      <c r="E750" s="1353"/>
      <c r="F750" s="1353"/>
      <c r="G750" s="1353"/>
      <c r="H750" s="1353"/>
      <c r="I750" s="1353"/>
      <c r="J750" s="1353"/>
      <c r="K750" s="1387"/>
      <c r="L750" s="1353"/>
      <c r="M750" s="1353"/>
      <c r="N750" s="1353"/>
    </row>
    <row r="751" spans="1:14" x14ac:dyDescent="0.25">
      <c r="A751" s="1353"/>
      <c r="B751" s="1353"/>
      <c r="C751" s="1353"/>
      <c r="D751" s="1353"/>
      <c r="E751" s="1353"/>
      <c r="F751" s="1353"/>
      <c r="G751" s="1353"/>
      <c r="H751" s="1353"/>
      <c r="I751" s="1353"/>
      <c r="J751" s="1353"/>
      <c r="K751" s="1387"/>
      <c r="L751" s="1353"/>
      <c r="M751" s="1353"/>
      <c r="N751" s="1353"/>
    </row>
    <row r="752" spans="1:14" x14ac:dyDescent="0.25">
      <c r="A752" s="1353"/>
      <c r="B752" s="1353"/>
      <c r="C752" s="1353"/>
      <c r="D752" s="1353"/>
      <c r="E752" s="1353"/>
      <c r="F752" s="1353"/>
      <c r="G752" s="1353"/>
      <c r="H752" s="1353"/>
      <c r="I752" s="1353"/>
      <c r="J752" s="1353"/>
      <c r="K752" s="1387"/>
      <c r="L752" s="1353"/>
      <c r="M752" s="1353"/>
      <c r="N752" s="1353"/>
    </row>
    <row r="753" spans="1:14" x14ac:dyDescent="0.25">
      <c r="A753" s="1353"/>
      <c r="B753" s="1353"/>
      <c r="C753" s="1353"/>
      <c r="D753" s="1353"/>
      <c r="E753" s="1353"/>
      <c r="F753" s="1353"/>
      <c r="G753" s="1353"/>
      <c r="H753" s="1353"/>
      <c r="I753" s="1353"/>
      <c r="J753" s="1353"/>
      <c r="K753" s="1387"/>
      <c r="L753" s="1353"/>
      <c r="M753" s="1353"/>
      <c r="N753" s="1353"/>
    </row>
    <row r="754" spans="1:14" x14ac:dyDescent="0.25">
      <c r="A754" s="1353"/>
      <c r="B754" s="1353"/>
      <c r="C754" s="1353"/>
      <c r="D754" s="1353"/>
      <c r="E754" s="1353"/>
      <c r="F754" s="1353"/>
      <c r="G754" s="1353"/>
      <c r="H754" s="1353"/>
      <c r="I754" s="1353"/>
      <c r="J754" s="1353"/>
      <c r="K754" s="1387"/>
      <c r="L754" s="1353"/>
      <c r="M754" s="1353"/>
      <c r="N754" s="1353"/>
    </row>
    <row r="755" spans="1:14" x14ac:dyDescent="0.25">
      <c r="A755" s="1353"/>
      <c r="B755" s="1353"/>
      <c r="C755" s="1353"/>
      <c r="D755" s="1353"/>
      <c r="E755" s="1353"/>
      <c r="F755" s="1353"/>
      <c r="G755" s="1353"/>
      <c r="H755" s="1353"/>
      <c r="I755" s="1353"/>
      <c r="J755" s="1353"/>
      <c r="K755" s="1387"/>
      <c r="L755" s="1353"/>
      <c r="M755" s="1353"/>
      <c r="N755" s="1353"/>
    </row>
    <row r="756" spans="1:14" x14ac:dyDescent="0.25">
      <c r="A756" s="1353"/>
      <c r="B756" s="1353"/>
      <c r="C756" s="1353"/>
      <c r="D756" s="1353"/>
      <c r="E756" s="1353"/>
      <c r="F756" s="1353"/>
      <c r="G756" s="1353"/>
      <c r="H756" s="1353"/>
      <c r="I756" s="1353"/>
      <c r="J756" s="1353"/>
      <c r="K756" s="1387"/>
      <c r="L756" s="1353"/>
      <c r="M756" s="1353"/>
      <c r="N756" s="1353"/>
    </row>
    <row r="757" spans="1:14" x14ac:dyDescent="0.25">
      <c r="A757" s="1353"/>
      <c r="B757" s="1353"/>
      <c r="C757" s="1353"/>
      <c r="D757" s="1353"/>
      <c r="E757" s="1353"/>
      <c r="F757" s="1353"/>
      <c r="G757" s="1353"/>
      <c r="H757" s="1353"/>
      <c r="I757" s="1353"/>
      <c r="J757" s="1353"/>
      <c r="K757" s="1387"/>
      <c r="L757" s="1353"/>
      <c r="M757" s="1353"/>
      <c r="N757" s="1353"/>
    </row>
    <row r="758" spans="1:14" x14ac:dyDescent="0.25">
      <c r="A758" s="1353"/>
      <c r="B758" s="1353"/>
      <c r="C758" s="1353"/>
      <c r="D758" s="1353"/>
      <c r="E758" s="1353"/>
      <c r="F758" s="1353"/>
      <c r="G758" s="1353"/>
      <c r="H758" s="1353"/>
      <c r="I758" s="1353"/>
      <c r="J758" s="1353"/>
      <c r="K758" s="1387"/>
      <c r="L758" s="1353"/>
      <c r="M758" s="1353"/>
      <c r="N758" s="1353"/>
    </row>
    <row r="759" spans="1:14" x14ac:dyDescent="0.25">
      <c r="A759" s="1353"/>
      <c r="B759" s="1353"/>
      <c r="C759" s="1353"/>
      <c r="D759" s="1353"/>
      <c r="E759" s="1353"/>
      <c r="F759" s="1353"/>
      <c r="G759" s="1353"/>
      <c r="H759" s="1353"/>
      <c r="I759" s="1353"/>
      <c r="J759" s="1353"/>
      <c r="K759" s="1387"/>
      <c r="L759" s="1353"/>
      <c r="M759" s="1353"/>
      <c r="N759" s="1353"/>
    </row>
    <row r="760" spans="1:14" x14ac:dyDescent="0.25">
      <c r="A760" s="1353"/>
      <c r="B760" s="1353"/>
      <c r="C760" s="1353"/>
      <c r="D760" s="1353"/>
      <c r="E760" s="1353"/>
      <c r="F760" s="1353"/>
      <c r="G760" s="1353"/>
      <c r="H760" s="1353"/>
      <c r="I760" s="1353"/>
      <c r="J760" s="1353"/>
      <c r="K760" s="1387"/>
      <c r="L760" s="1353"/>
      <c r="M760" s="1353"/>
      <c r="N760" s="1353"/>
    </row>
    <row r="761" spans="1:14" x14ac:dyDescent="0.25">
      <c r="A761" s="1353"/>
      <c r="B761" s="1353"/>
      <c r="C761" s="1353"/>
      <c r="D761" s="1353"/>
      <c r="E761" s="1353"/>
      <c r="F761" s="1353"/>
      <c r="G761" s="1353"/>
      <c r="H761" s="1353"/>
      <c r="I761" s="1353"/>
      <c r="J761" s="1353"/>
      <c r="K761" s="1387"/>
      <c r="L761" s="1353"/>
      <c r="M761" s="1353"/>
      <c r="N761" s="1353"/>
    </row>
    <row r="762" spans="1:14" x14ac:dyDescent="0.25">
      <c r="A762" s="1353"/>
      <c r="B762" s="1353"/>
      <c r="C762" s="1353"/>
      <c r="D762" s="1353"/>
      <c r="E762" s="1353"/>
      <c r="F762" s="1353"/>
      <c r="G762" s="1353"/>
      <c r="H762" s="1353"/>
      <c r="I762" s="1353"/>
      <c r="J762" s="1353"/>
      <c r="K762" s="1387"/>
      <c r="L762" s="1353"/>
      <c r="M762" s="1353"/>
      <c r="N762" s="1353"/>
    </row>
    <row r="763" spans="1:14" x14ac:dyDescent="0.25">
      <c r="A763" s="1353"/>
      <c r="B763" s="1353"/>
      <c r="C763" s="1353"/>
      <c r="D763" s="1353"/>
      <c r="E763" s="1353"/>
      <c r="F763" s="1353"/>
      <c r="G763" s="1353"/>
      <c r="H763" s="1353"/>
      <c r="I763" s="1353"/>
      <c r="J763" s="1353"/>
      <c r="K763" s="1387"/>
      <c r="L763" s="1353"/>
      <c r="M763" s="1353"/>
      <c r="N763" s="1353"/>
    </row>
    <row r="764" spans="1:14" x14ac:dyDescent="0.25">
      <c r="A764" s="1353"/>
      <c r="B764" s="1353"/>
      <c r="C764" s="1353"/>
      <c r="D764" s="1353"/>
      <c r="E764" s="1353"/>
      <c r="F764" s="1353"/>
      <c r="G764" s="1353"/>
      <c r="H764" s="1353"/>
      <c r="I764" s="1353"/>
      <c r="J764" s="1353"/>
      <c r="K764" s="1387"/>
      <c r="L764" s="1353"/>
      <c r="M764" s="1353"/>
      <c r="N764" s="1353"/>
    </row>
    <row r="765" spans="1:14" x14ac:dyDescent="0.25">
      <c r="A765" s="1353"/>
      <c r="B765" s="1353"/>
      <c r="C765" s="1353"/>
      <c r="D765" s="1353"/>
      <c r="E765" s="1353"/>
      <c r="F765" s="1353"/>
      <c r="G765" s="1353"/>
      <c r="H765" s="1353"/>
      <c r="I765" s="1353"/>
      <c r="J765" s="1353"/>
      <c r="K765" s="1387"/>
      <c r="L765" s="1353"/>
      <c r="M765" s="1353"/>
      <c r="N765" s="1353"/>
    </row>
    <row r="766" spans="1:14" x14ac:dyDescent="0.25">
      <c r="A766" s="1353"/>
      <c r="B766" s="1353"/>
      <c r="C766" s="1353"/>
      <c r="D766" s="1353"/>
      <c r="E766" s="1353"/>
      <c r="F766" s="1353"/>
      <c r="G766" s="1353"/>
      <c r="H766" s="1353"/>
      <c r="I766" s="1353"/>
      <c r="J766" s="1353"/>
      <c r="K766" s="1387"/>
      <c r="L766" s="1353"/>
      <c r="M766" s="1353"/>
      <c r="N766" s="1353"/>
    </row>
    <row r="767" spans="1:14" x14ac:dyDescent="0.25">
      <c r="A767" s="1353"/>
      <c r="B767" s="1353"/>
      <c r="C767" s="1353"/>
      <c r="D767" s="1353"/>
      <c r="E767" s="1353"/>
      <c r="F767" s="1353"/>
      <c r="G767" s="1353"/>
      <c r="H767" s="1353"/>
      <c r="I767" s="1353"/>
      <c r="J767" s="1353"/>
      <c r="K767" s="1387"/>
      <c r="L767" s="1353"/>
      <c r="M767" s="1353"/>
      <c r="N767" s="1353"/>
    </row>
    <row r="768" spans="1:14" x14ac:dyDescent="0.25">
      <c r="A768" s="1353"/>
      <c r="B768" s="1353"/>
      <c r="C768" s="1353"/>
      <c r="D768" s="1353"/>
      <c r="E768" s="1353"/>
      <c r="F768" s="1353"/>
      <c r="G768" s="1353"/>
      <c r="H768" s="1353"/>
      <c r="I768" s="1353"/>
      <c r="J768" s="1353"/>
      <c r="K768" s="1387"/>
      <c r="L768" s="1353"/>
      <c r="M768" s="1353"/>
      <c r="N768" s="1353"/>
    </row>
    <row r="769" spans="1:14" x14ac:dyDescent="0.25">
      <c r="A769" s="1353"/>
      <c r="B769" s="1353"/>
      <c r="C769" s="1353"/>
      <c r="D769" s="1353"/>
      <c r="E769" s="1353"/>
      <c r="F769" s="1353"/>
      <c r="G769" s="1353"/>
      <c r="H769" s="1353"/>
      <c r="I769" s="1353"/>
      <c r="J769" s="1353"/>
      <c r="K769" s="1387"/>
      <c r="L769" s="1353"/>
      <c r="M769" s="1353"/>
      <c r="N769" s="1353"/>
    </row>
    <row r="770" spans="1:14" x14ac:dyDescent="0.25">
      <c r="A770" s="1353"/>
      <c r="B770" s="1353"/>
      <c r="C770" s="1353"/>
      <c r="D770" s="1353"/>
      <c r="E770" s="1353"/>
      <c r="F770" s="1353"/>
      <c r="G770" s="1353"/>
      <c r="H770" s="1353"/>
      <c r="I770" s="1353"/>
      <c r="J770" s="1353"/>
      <c r="K770" s="1387"/>
      <c r="L770" s="1353"/>
      <c r="M770" s="1353"/>
      <c r="N770" s="1353"/>
    </row>
    <row r="771" spans="1:14" x14ac:dyDescent="0.25">
      <c r="A771" s="1353"/>
      <c r="B771" s="1353"/>
      <c r="C771" s="1353"/>
      <c r="D771" s="1353"/>
      <c r="E771" s="1353"/>
      <c r="F771" s="1353"/>
      <c r="G771" s="1353"/>
      <c r="H771" s="1353"/>
      <c r="I771" s="1353"/>
      <c r="J771" s="1353"/>
      <c r="K771" s="1387"/>
      <c r="L771" s="1353"/>
      <c r="M771" s="1353"/>
      <c r="N771" s="1353"/>
    </row>
    <row r="772" spans="1:14" x14ac:dyDescent="0.25">
      <c r="A772" s="1353"/>
      <c r="B772" s="1353"/>
      <c r="C772" s="1353"/>
      <c r="D772" s="1353"/>
      <c r="E772" s="1353"/>
      <c r="F772" s="1353"/>
      <c r="G772" s="1353"/>
      <c r="H772" s="1353"/>
      <c r="I772" s="1353"/>
      <c r="J772" s="1353"/>
      <c r="K772" s="1387"/>
      <c r="L772" s="1353"/>
      <c r="M772" s="1353"/>
      <c r="N772" s="1353"/>
    </row>
    <row r="773" spans="1:14" x14ac:dyDescent="0.25">
      <c r="A773" s="1353"/>
      <c r="B773" s="1353"/>
      <c r="C773" s="1353"/>
      <c r="D773" s="1353"/>
      <c r="E773" s="1353"/>
      <c r="F773" s="1353"/>
      <c r="G773" s="1353"/>
      <c r="H773" s="1353"/>
      <c r="I773" s="1353"/>
      <c r="J773" s="1353"/>
      <c r="K773" s="1387"/>
      <c r="L773" s="1353"/>
      <c r="M773" s="1353"/>
      <c r="N773" s="1353"/>
    </row>
    <row r="774" spans="1:14" x14ac:dyDescent="0.25">
      <c r="A774" s="1353"/>
      <c r="B774" s="1353"/>
      <c r="C774" s="1353"/>
      <c r="D774" s="1353"/>
      <c r="E774" s="1353"/>
      <c r="F774" s="1353"/>
      <c r="G774" s="1353"/>
      <c r="H774" s="1353"/>
      <c r="I774" s="1353"/>
      <c r="J774" s="1353"/>
      <c r="K774" s="1387"/>
      <c r="L774" s="1353"/>
      <c r="M774" s="1353"/>
      <c r="N774" s="1353"/>
    </row>
    <row r="775" spans="1:14" x14ac:dyDescent="0.25">
      <c r="A775" s="1353"/>
      <c r="B775" s="1353"/>
      <c r="C775" s="1353"/>
      <c r="D775" s="1353"/>
      <c r="E775" s="1353"/>
      <c r="F775" s="1353"/>
      <c r="G775" s="1353"/>
      <c r="H775" s="1353"/>
      <c r="I775" s="1353"/>
      <c r="J775" s="1353"/>
      <c r="K775" s="1387"/>
      <c r="L775" s="1353"/>
      <c r="M775" s="1353"/>
      <c r="N775" s="1353"/>
    </row>
    <row r="776" spans="1:14" x14ac:dyDescent="0.25">
      <c r="A776" s="1353"/>
      <c r="B776" s="1353"/>
      <c r="C776" s="1353"/>
      <c r="D776" s="1353"/>
      <c r="E776" s="1353"/>
      <c r="F776" s="1353"/>
      <c r="G776" s="1353"/>
      <c r="H776" s="1353"/>
      <c r="I776" s="1353"/>
      <c r="J776" s="1353"/>
      <c r="K776" s="1387"/>
      <c r="L776" s="1353"/>
      <c r="M776" s="1353"/>
      <c r="N776" s="1353"/>
    </row>
    <row r="777" spans="1:14" x14ac:dyDescent="0.25">
      <c r="A777" s="1353"/>
      <c r="B777" s="1353"/>
      <c r="C777" s="1353"/>
      <c r="D777" s="1353"/>
      <c r="E777" s="1353"/>
      <c r="F777" s="1353"/>
      <c r="G777" s="1353"/>
      <c r="H777" s="1353"/>
      <c r="I777" s="1353"/>
      <c r="J777" s="1353"/>
      <c r="K777" s="1387"/>
      <c r="L777" s="1353"/>
      <c r="M777" s="1353"/>
      <c r="N777" s="1353"/>
    </row>
    <row r="778" spans="1:14" x14ac:dyDescent="0.25">
      <c r="A778" s="1353"/>
      <c r="B778" s="1353"/>
      <c r="C778" s="1353"/>
      <c r="D778" s="1353"/>
      <c r="E778" s="1353"/>
      <c r="F778" s="1353"/>
      <c r="G778" s="1353"/>
      <c r="H778" s="1353"/>
      <c r="I778" s="1353"/>
      <c r="J778" s="1353"/>
      <c r="K778" s="1387"/>
      <c r="L778" s="1353"/>
      <c r="M778" s="1353"/>
      <c r="N778" s="1353"/>
    </row>
    <row r="779" spans="1:14" x14ac:dyDescent="0.25">
      <c r="A779" s="1353"/>
      <c r="B779" s="1353"/>
      <c r="C779" s="1353"/>
      <c r="D779" s="1353"/>
      <c r="E779" s="1353"/>
      <c r="F779" s="1353"/>
      <c r="G779" s="1353"/>
      <c r="H779" s="1353"/>
      <c r="I779" s="1353"/>
      <c r="J779" s="1353"/>
      <c r="K779" s="1387"/>
      <c r="L779" s="1353"/>
      <c r="M779" s="1353"/>
      <c r="N779" s="1353"/>
    </row>
    <row r="780" spans="1:14" x14ac:dyDescent="0.25">
      <c r="A780" s="1353"/>
      <c r="B780" s="1353"/>
      <c r="C780" s="1353"/>
      <c r="D780" s="1353"/>
      <c r="E780" s="1353"/>
      <c r="F780" s="1353"/>
      <c r="G780" s="1353"/>
      <c r="H780" s="1353"/>
      <c r="I780" s="1353"/>
      <c r="J780" s="1353"/>
      <c r="K780" s="1387"/>
      <c r="L780" s="1353"/>
      <c r="M780" s="1353"/>
      <c r="N780" s="1353"/>
    </row>
    <row r="781" spans="1:14" x14ac:dyDescent="0.25">
      <c r="A781" s="1353"/>
      <c r="B781" s="1353"/>
      <c r="C781" s="1353"/>
      <c r="D781" s="1353"/>
      <c r="E781" s="1353"/>
      <c r="F781" s="1353"/>
      <c r="G781" s="1353"/>
      <c r="H781" s="1353"/>
      <c r="I781" s="1353"/>
      <c r="J781" s="1353"/>
      <c r="K781" s="1387"/>
      <c r="L781" s="1353"/>
      <c r="M781" s="1353"/>
      <c r="N781" s="1353"/>
    </row>
    <row r="782" spans="1:14" x14ac:dyDescent="0.25">
      <c r="A782" s="1353"/>
      <c r="B782" s="1353"/>
      <c r="C782" s="1353"/>
      <c r="D782" s="1353"/>
      <c r="E782" s="1353"/>
      <c r="F782" s="1353"/>
      <c r="G782" s="1353"/>
      <c r="H782" s="1353"/>
      <c r="I782" s="1353"/>
      <c r="J782" s="1353"/>
      <c r="K782" s="1387"/>
      <c r="L782" s="1353"/>
      <c r="M782" s="1353"/>
      <c r="N782" s="1353"/>
    </row>
    <row r="783" spans="1:14" x14ac:dyDescent="0.25">
      <c r="A783" s="1353"/>
      <c r="B783" s="1353"/>
      <c r="C783" s="1353"/>
      <c r="D783" s="1353"/>
      <c r="E783" s="1353"/>
      <c r="F783" s="1353"/>
      <c r="G783" s="1353"/>
      <c r="H783" s="1353"/>
      <c r="I783" s="1353"/>
      <c r="J783" s="1353"/>
      <c r="K783" s="1387"/>
      <c r="L783" s="1353"/>
      <c r="M783" s="1353"/>
      <c r="N783" s="1353"/>
    </row>
    <row r="784" spans="1:14" x14ac:dyDescent="0.25">
      <c r="A784" s="1353"/>
      <c r="B784" s="1353"/>
      <c r="C784" s="1353"/>
      <c r="D784" s="1353"/>
      <c r="E784" s="1353"/>
      <c r="F784" s="1353"/>
      <c r="G784" s="1353"/>
      <c r="H784" s="1353"/>
      <c r="I784" s="1353"/>
      <c r="J784" s="1353"/>
      <c r="K784" s="1387"/>
      <c r="L784" s="1353"/>
      <c r="M784" s="1353"/>
      <c r="N784" s="1353"/>
    </row>
    <row r="785" spans="1:14" x14ac:dyDescent="0.25">
      <c r="A785" s="1353"/>
      <c r="B785" s="1353"/>
      <c r="C785" s="1353"/>
      <c r="D785" s="1353"/>
      <c r="E785" s="1353"/>
      <c r="F785" s="1353"/>
      <c r="G785" s="1353"/>
      <c r="H785" s="1353"/>
      <c r="I785" s="1353"/>
      <c r="J785" s="1353"/>
      <c r="K785" s="1387"/>
      <c r="L785" s="1353"/>
      <c r="M785" s="1353"/>
      <c r="N785" s="1353"/>
    </row>
    <row r="786" spans="1:14" x14ac:dyDescent="0.25">
      <c r="A786" s="1353"/>
      <c r="B786" s="1353"/>
      <c r="C786" s="1353"/>
      <c r="D786" s="1353"/>
      <c r="E786" s="1353"/>
      <c r="F786" s="1353"/>
      <c r="G786" s="1353"/>
      <c r="H786" s="1353"/>
      <c r="I786" s="1353"/>
      <c r="J786" s="1353"/>
      <c r="K786" s="1387"/>
      <c r="L786" s="1353"/>
      <c r="M786" s="1353"/>
      <c r="N786" s="1353"/>
    </row>
    <row r="787" spans="1:14" x14ac:dyDescent="0.25">
      <c r="A787" s="1353"/>
      <c r="B787" s="1353"/>
      <c r="C787" s="1353"/>
      <c r="D787" s="1353"/>
      <c r="E787" s="1353"/>
      <c r="F787" s="1353"/>
      <c r="G787" s="1353"/>
      <c r="H787" s="1353"/>
      <c r="I787" s="1353"/>
      <c r="J787" s="1353"/>
      <c r="K787" s="1387"/>
      <c r="L787" s="1353"/>
      <c r="M787" s="1353"/>
      <c r="N787" s="1353"/>
    </row>
    <row r="788" spans="1:14" x14ac:dyDescent="0.25">
      <c r="A788" s="1353"/>
      <c r="B788" s="1353"/>
      <c r="C788" s="1353"/>
      <c r="D788" s="1353"/>
      <c r="E788" s="1353"/>
      <c r="F788" s="1353"/>
      <c r="G788" s="1353"/>
      <c r="H788" s="1353"/>
      <c r="I788" s="1353"/>
      <c r="J788" s="1353"/>
      <c r="K788" s="1387"/>
      <c r="L788" s="1353"/>
      <c r="M788" s="1353"/>
      <c r="N788" s="1353"/>
    </row>
    <row r="789" spans="1:14" x14ac:dyDescent="0.25">
      <c r="A789" s="1353"/>
      <c r="B789" s="1353"/>
      <c r="C789" s="1353"/>
      <c r="D789" s="1353"/>
      <c r="E789" s="1353"/>
      <c r="F789" s="1353"/>
      <c r="G789" s="1353"/>
      <c r="H789" s="1353"/>
      <c r="I789" s="1353"/>
      <c r="J789" s="1353"/>
      <c r="K789" s="1387"/>
      <c r="L789" s="1353"/>
      <c r="M789" s="1353"/>
      <c r="N789" s="1353"/>
    </row>
    <row r="790" spans="1:14" x14ac:dyDescent="0.25">
      <c r="A790" s="1353"/>
      <c r="B790" s="1353"/>
      <c r="C790" s="1353"/>
      <c r="D790" s="1353"/>
      <c r="E790" s="1353"/>
      <c r="F790" s="1353"/>
      <c r="G790" s="1353"/>
      <c r="H790" s="1353"/>
      <c r="I790" s="1353"/>
      <c r="J790" s="1353"/>
      <c r="K790" s="1387"/>
      <c r="L790" s="1353"/>
      <c r="M790" s="1353"/>
      <c r="N790" s="1353"/>
    </row>
    <row r="791" spans="1:14" x14ac:dyDescent="0.25">
      <c r="A791" s="1353"/>
      <c r="B791" s="1353"/>
      <c r="C791" s="1353"/>
      <c r="D791" s="1353"/>
      <c r="E791" s="1353"/>
      <c r="F791" s="1353"/>
      <c r="G791" s="1353"/>
      <c r="H791" s="1353"/>
      <c r="I791" s="1353"/>
      <c r="J791" s="1353"/>
      <c r="K791" s="1387"/>
      <c r="L791" s="1353"/>
      <c r="M791" s="1353"/>
      <c r="N791" s="1353"/>
    </row>
    <row r="792" spans="1:14" x14ac:dyDescent="0.25">
      <c r="A792" s="1353"/>
      <c r="B792" s="1353"/>
      <c r="C792" s="1353"/>
      <c r="D792" s="1353"/>
      <c r="E792" s="1353"/>
      <c r="F792" s="1353"/>
      <c r="G792" s="1353"/>
      <c r="H792" s="1353"/>
      <c r="I792" s="1353"/>
      <c r="J792" s="1353"/>
      <c r="K792" s="1387"/>
      <c r="L792" s="1353"/>
      <c r="M792" s="1353"/>
      <c r="N792" s="1353"/>
    </row>
    <row r="793" spans="1:14" x14ac:dyDescent="0.25">
      <c r="A793" s="1353"/>
      <c r="B793" s="1353"/>
      <c r="C793" s="1353"/>
      <c r="D793" s="1353"/>
      <c r="E793" s="1353"/>
      <c r="F793" s="1353"/>
      <c r="G793" s="1353"/>
      <c r="H793" s="1353"/>
      <c r="I793" s="1353"/>
      <c r="J793" s="1353"/>
      <c r="K793" s="1387"/>
      <c r="L793" s="1353"/>
      <c r="M793" s="1353"/>
      <c r="N793" s="1353"/>
    </row>
    <row r="794" spans="1:14" x14ac:dyDescent="0.25">
      <c r="A794" s="1353"/>
      <c r="B794" s="1353"/>
      <c r="C794" s="1353"/>
      <c r="D794" s="1353"/>
      <c r="E794" s="1353"/>
      <c r="F794" s="1353"/>
      <c r="G794" s="1353"/>
      <c r="H794" s="1353"/>
      <c r="I794" s="1353"/>
      <c r="J794" s="1353"/>
      <c r="K794" s="1387"/>
      <c r="L794" s="1353"/>
      <c r="M794" s="1353"/>
      <c r="N794" s="1353"/>
    </row>
    <row r="795" spans="1:14" x14ac:dyDescent="0.25">
      <c r="A795" s="1353"/>
      <c r="B795" s="1353"/>
      <c r="C795" s="1353"/>
      <c r="D795" s="1353"/>
      <c r="E795" s="1353"/>
      <c r="F795" s="1353"/>
      <c r="G795" s="1353"/>
      <c r="H795" s="1353"/>
      <c r="I795" s="1353"/>
      <c r="J795" s="1353"/>
      <c r="K795" s="1387"/>
      <c r="L795" s="1353"/>
      <c r="M795" s="1353"/>
      <c r="N795" s="1353"/>
    </row>
    <row r="796" spans="1:14" x14ac:dyDescent="0.25">
      <c r="A796" s="1353"/>
      <c r="B796" s="1353"/>
      <c r="C796" s="1353"/>
      <c r="D796" s="1353"/>
      <c r="E796" s="1353"/>
      <c r="F796" s="1353"/>
      <c r="G796" s="1353"/>
      <c r="H796" s="1353"/>
      <c r="I796" s="1353"/>
      <c r="J796" s="1353"/>
      <c r="K796" s="1387"/>
      <c r="L796" s="1353"/>
      <c r="M796" s="1353"/>
      <c r="N796" s="1353"/>
    </row>
    <row r="797" spans="1:14" x14ac:dyDescent="0.25">
      <c r="A797" s="1353"/>
      <c r="B797" s="1353"/>
      <c r="C797" s="1353"/>
      <c r="D797" s="1353"/>
      <c r="E797" s="1353"/>
      <c r="F797" s="1353"/>
      <c r="G797" s="1353"/>
      <c r="H797" s="1353"/>
      <c r="I797" s="1353"/>
      <c r="J797" s="1353"/>
      <c r="K797" s="1387"/>
      <c r="L797" s="1353"/>
      <c r="M797" s="1353"/>
      <c r="N797" s="1353"/>
    </row>
    <row r="798" spans="1:14" x14ac:dyDescent="0.25">
      <c r="A798" s="1353"/>
      <c r="B798" s="1353"/>
      <c r="C798" s="1353"/>
      <c r="D798" s="1353"/>
      <c r="E798" s="1353"/>
      <c r="F798" s="1353"/>
      <c r="G798" s="1353"/>
      <c r="H798" s="1353"/>
      <c r="I798" s="1353"/>
      <c r="J798" s="1353"/>
      <c r="K798" s="1387"/>
      <c r="L798" s="1353"/>
      <c r="M798" s="1353"/>
      <c r="N798" s="1353"/>
    </row>
    <row r="799" spans="1:14" x14ac:dyDescent="0.25">
      <c r="A799" s="1353"/>
      <c r="B799" s="1353"/>
      <c r="C799" s="1353"/>
      <c r="D799" s="1353"/>
      <c r="E799" s="1353"/>
      <c r="F799" s="1353"/>
      <c r="G799" s="1353"/>
      <c r="H799" s="1353"/>
      <c r="I799" s="1353"/>
      <c r="J799" s="1353"/>
      <c r="K799" s="1387"/>
      <c r="L799" s="1353"/>
      <c r="M799" s="1353"/>
      <c r="N799" s="1353"/>
    </row>
    <row r="800" spans="1:14" x14ac:dyDescent="0.25">
      <c r="A800" s="1353"/>
      <c r="B800" s="1353"/>
      <c r="C800" s="1353"/>
      <c r="D800" s="1353"/>
      <c r="E800" s="1353"/>
      <c r="F800" s="1353"/>
      <c r="G800" s="1353"/>
      <c r="H800" s="1353"/>
      <c r="I800" s="1353"/>
      <c r="J800" s="1353"/>
      <c r="K800" s="1387"/>
      <c r="L800" s="1353"/>
      <c r="M800" s="1353"/>
      <c r="N800" s="1353"/>
    </row>
    <row r="801" spans="1:14" x14ac:dyDescent="0.25">
      <c r="A801" s="1353"/>
      <c r="B801" s="1353"/>
      <c r="C801" s="1353"/>
      <c r="D801" s="1353"/>
      <c r="E801" s="1353"/>
      <c r="F801" s="1353"/>
      <c r="G801" s="1353"/>
      <c r="H801" s="1353"/>
      <c r="I801" s="1353"/>
      <c r="J801" s="1353"/>
      <c r="K801" s="1387"/>
      <c r="L801" s="1353"/>
      <c r="M801" s="1353"/>
      <c r="N801" s="1353"/>
    </row>
    <row r="802" spans="1:14" x14ac:dyDescent="0.25">
      <c r="A802" s="1353"/>
      <c r="B802" s="1353"/>
      <c r="C802" s="1353"/>
      <c r="D802" s="1353"/>
      <c r="E802" s="1353"/>
      <c r="F802" s="1353"/>
      <c r="G802" s="1353"/>
      <c r="H802" s="1353"/>
      <c r="I802" s="1353"/>
      <c r="J802" s="1353"/>
      <c r="K802" s="1387"/>
      <c r="L802" s="1353"/>
      <c r="M802" s="1353"/>
      <c r="N802" s="1353"/>
    </row>
    <row r="803" spans="1:14" x14ac:dyDescent="0.25">
      <c r="A803" s="1353"/>
      <c r="B803" s="1353"/>
      <c r="C803" s="1353"/>
      <c r="D803" s="1353"/>
      <c r="E803" s="1353"/>
      <c r="F803" s="1353"/>
      <c r="G803" s="1353"/>
      <c r="H803" s="1353"/>
      <c r="I803" s="1353"/>
      <c r="J803" s="1353"/>
      <c r="K803" s="1387"/>
      <c r="L803" s="1353"/>
      <c r="M803" s="1353"/>
      <c r="N803" s="1353"/>
    </row>
    <row r="804" spans="1:14" x14ac:dyDescent="0.25">
      <c r="A804" s="1353"/>
      <c r="B804" s="1353"/>
      <c r="C804" s="1353"/>
      <c r="D804" s="1353"/>
      <c r="E804" s="1353"/>
      <c r="F804" s="1353"/>
      <c r="G804" s="1353"/>
      <c r="H804" s="1353"/>
      <c r="I804" s="1353"/>
      <c r="J804" s="1353"/>
      <c r="K804" s="1387"/>
      <c r="L804" s="1353"/>
      <c r="M804" s="1353"/>
      <c r="N804" s="1353"/>
    </row>
    <row r="805" spans="1:14" x14ac:dyDescent="0.25">
      <c r="A805" s="1353"/>
      <c r="B805" s="1353"/>
      <c r="C805" s="1353"/>
      <c r="D805" s="1353"/>
      <c r="E805" s="1353"/>
      <c r="F805" s="1353"/>
      <c r="G805" s="1353"/>
      <c r="H805" s="1353"/>
      <c r="I805" s="1353"/>
      <c r="J805" s="1353"/>
      <c r="K805" s="1387"/>
      <c r="L805" s="1353"/>
      <c r="M805" s="1353"/>
      <c r="N805" s="1353"/>
    </row>
    <row r="806" spans="1:14" x14ac:dyDescent="0.25">
      <c r="A806" s="1353"/>
      <c r="B806" s="1353"/>
      <c r="C806" s="1353"/>
      <c r="D806" s="1353"/>
      <c r="E806" s="1353"/>
      <c r="F806" s="1353"/>
      <c r="G806" s="1353"/>
      <c r="H806" s="1353"/>
      <c r="I806" s="1353"/>
      <c r="J806" s="1353"/>
      <c r="K806" s="1387"/>
      <c r="L806" s="1353"/>
      <c r="M806" s="1353"/>
      <c r="N806" s="1353"/>
    </row>
    <row r="807" spans="1:14" x14ac:dyDescent="0.25">
      <c r="A807" s="1353"/>
      <c r="B807" s="1353"/>
      <c r="C807" s="1353"/>
      <c r="D807" s="1353"/>
      <c r="E807" s="1353"/>
      <c r="F807" s="1353"/>
      <c r="G807" s="1353"/>
      <c r="H807" s="1353"/>
      <c r="I807" s="1353"/>
      <c r="J807" s="1353"/>
      <c r="K807" s="1387"/>
      <c r="L807" s="1353"/>
      <c r="M807" s="1353"/>
      <c r="N807" s="1353"/>
    </row>
    <row r="808" spans="1:14" x14ac:dyDescent="0.25">
      <c r="A808" s="1353"/>
      <c r="B808" s="1353"/>
      <c r="C808" s="1353"/>
      <c r="D808" s="1353"/>
      <c r="E808" s="1353"/>
      <c r="F808" s="1353"/>
      <c r="G808" s="1353"/>
      <c r="H808" s="1353"/>
      <c r="I808" s="1353"/>
      <c r="J808" s="1353"/>
      <c r="K808" s="1387"/>
      <c r="L808" s="1353"/>
      <c r="M808" s="1353"/>
      <c r="N808" s="1353"/>
    </row>
    <row r="809" spans="1:14" x14ac:dyDescent="0.25">
      <c r="A809" s="1353"/>
      <c r="B809" s="1353"/>
      <c r="C809" s="1353"/>
      <c r="D809" s="1353"/>
      <c r="E809" s="1353"/>
      <c r="F809" s="1353"/>
      <c r="G809" s="1353"/>
      <c r="H809" s="1353"/>
      <c r="I809" s="1353"/>
      <c r="J809" s="1353"/>
      <c r="K809" s="1387"/>
      <c r="L809" s="1353"/>
      <c r="M809" s="1353"/>
      <c r="N809" s="1353"/>
    </row>
    <row r="810" spans="1:14" x14ac:dyDescent="0.25">
      <c r="A810" s="1353"/>
      <c r="B810" s="1353"/>
      <c r="C810" s="1353"/>
      <c r="D810" s="1353"/>
      <c r="E810" s="1353"/>
      <c r="F810" s="1353"/>
      <c r="G810" s="1353"/>
      <c r="H810" s="1353"/>
      <c r="I810" s="1353"/>
      <c r="J810" s="1353"/>
      <c r="K810" s="1387"/>
      <c r="L810" s="1353"/>
      <c r="M810" s="1353"/>
      <c r="N810" s="1353"/>
    </row>
    <row r="811" spans="1:14" x14ac:dyDescent="0.25">
      <c r="A811" s="1353"/>
      <c r="B811" s="1353"/>
      <c r="C811" s="1353"/>
      <c r="D811" s="1353"/>
      <c r="E811" s="1353"/>
      <c r="F811" s="1353"/>
      <c r="G811" s="1353"/>
      <c r="H811" s="1353"/>
      <c r="I811" s="1353"/>
      <c r="J811" s="1353"/>
      <c r="K811" s="1387"/>
      <c r="L811" s="1353"/>
      <c r="M811" s="1353"/>
      <c r="N811" s="1353"/>
    </row>
    <row r="812" spans="1:14" x14ac:dyDescent="0.25">
      <c r="A812" s="1353"/>
      <c r="B812" s="1353"/>
      <c r="C812" s="1353"/>
      <c r="D812" s="1353"/>
      <c r="E812" s="1353"/>
      <c r="F812" s="1353"/>
      <c r="G812" s="1353"/>
      <c r="H812" s="1353"/>
      <c r="I812" s="1353"/>
      <c r="J812" s="1353"/>
      <c r="K812" s="1387"/>
      <c r="L812" s="1353"/>
      <c r="M812" s="1353"/>
      <c r="N812" s="1353"/>
    </row>
    <row r="813" spans="1:14" x14ac:dyDescent="0.25">
      <c r="A813" s="1353"/>
      <c r="B813" s="1353"/>
      <c r="C813" s="1353"/>
      <c r="D813" s="1353"/>
      <c r="E813" s="1353"/>
      <c r="F813" s="1353"/>
      <c r="G813" s="1353"/>
      <c r="H813" s="1353"/>
      <c r="I813" s="1353"/>
      <c r="J813" s="1353"/>
      <c r="K813" s="1387"/>
      <c r="L813" s="1353"/>
      <c r="M813" s="1353"/>
      <c r="N813" s="1353"/>
    </row>
    <row r="814" spans="1:14" x14ac:dyDescent="0.25">
      <c r="A814" s="1353"/>
      <c r="B814" s="1353"/>
      <c r="C814" s="1353"/>
      <c r="D814" s="1353"/>
      <c r="E814" s="1353"/>
      <c r="F814" s="1353"/>
      <c r="G814" s="1353"/>
      <c r="H814" s="1353"/>
      <c r="I814" s="1353"/>
      <c r="J814" s="1353"/>
      <c r="K814" s="1387"/>
      <c r="L814" s="1353"/>
      <c r="M814" s="1353"/>
      <c r="N814" s="1353"/>
    </row>
    <row r="815" spans="1:14" x14ac:dyDescent="0.25">
      <c r="A815" s="1353"/>
      <c r="B815" s="1353"/>
      <c r="C815" s="1353"/>
      <c r="D815" s="1353"/>
      <c r="E815" s="1353"/>
      <c r="F815" s="1353"/>
      <c r="G815" s="1353"/>
      <c r="H815" s="1353"/>
      <c r="I815" s="1353"/>
      <c r="J815" s="1353"/>
      <c r="K815" s="1387"/>
      <c r="L815" s="1353"/>
      <c r="M815" s="1353"/>
      <c r="N815" s="1353"/>
    </row>
    <row r="816" spans="1:14" x14ac:dyDescent="0.25">
      <c r="A816" s="1353"/>
      <c r="B816" s="1353"/>
      <c r="C816" s="1353"/>
      <c r="D816" s="1353"/>
      <c r="E816" s="1353"/>
      <c r="F816" s="1353"/>
      <c r="G816" s="1353"/>
      <c r="H816" s="1353"/>
      <c r="I816" s="1353"/>
      <c r="J816" s="1353"/>
      <c r="K816" s="1387"/>
      <c r="L816" s="1353"/>
      <c r="M816" s="1353"/>
      <c r="N816" s="1353"/>
    </row>
    <row r="817" spans="1:14" x14ac:dyDescent="0.25">
      <c r="A817" s="1353"/>
      <c r="B817" s="1353"/>
      <c r="C817" s="1353"/>
      <c r="D817" s="1353"/>
      <c r="E817" s="1353"/>
      <c r="F817" s="1353"/>
      <c r="G817" s="1353"/>
      <c r="H817" s="1353"/>
      <c r="I817" s="1353"/>
      <c r="J817" s="1353"/>
      <c r="K817" s="1387"/>
      <c r="L817" s="1353"/>
      <c r="M817" s="1353"/>
      <c r="N817" s="1353"/>
    </row>
    <row r="818" spans="1:14" x14ac:dyDescent="0.25">
      <c r="A818" s="1353"/>
      <c r="B818" s="1353"/>
      <c r="C818" s="1353"/>
      <c r="D818" s="1353"/>
      <c r="E818" s="1353"/>
      <c r="F818" s="1353"/>
      <c r="G818" s="1353"/>
      <c r="H818" s="1353"/>
      <c r="I818" s="1353"/>
      <c r="J818" s="1353"/>
      <c r="K818" s="1387"/>
      <c r="L818" s="1353"/>
      <c r="M818" s="1353"/>
      <c r="N818" s="1353"/>
    </row>
    <row r="819" spans="1:14" x14ac:dyDescent="0.25">
      <c r="A819" s="1353"/>
      <c r="B819" s="1353"/>
      <c r="C819" s="1353"/>
      <c r="D819" s="1353"/>
      <c r="E819" s="1353"/>
      <c r="F819" s="1353"/>
      <c r="G819" s="1353"/>
      <c r="H819" s="1353"/>
      <c r="I819" s="1353"/>
      <c r="J819" s="1353"/>
      <c r="K819" s="1387"/>
      <c r="L819" s="1353"/>
      <c r="M819" s="1353"/>
      <c r="N819" s="1353"/>
    </row>
    <row r="820" spans="1:14" x14ac:dyDescent="0.25">
      <c r="A820" s="1353"/>
      <c r="B820" s="1353"/>
      <c r="C820" s="1353"/>
      <c r="D820" s="1353"/>
      <c r="E820" s="1353"/>
      <c r="F820" s="1353"/>
      <c r="G820" s="1353"/>
      <c r="H820" s="1353"/>
      <c r="I820" s="1353"/>
      <c r="J820" s="1353"/>
      <c r="K820" s="1387"/>
      <c r="L820" s="1353"/>
      <c r="M820" s="1353"/>
      <c r="N820" s="1353"/>
    </row>
    <row r="821" spans="1:14" x14ac:dyDescent="0.25">
      <c r="A821" s="1353"/>
      <c r="B821" s="1353"/>
      <c r="C821" s="1353"/>
      <c r="D821" s="1353"/>
      <c r="E821" s="1353"/>
      <c r="F821" s="1353"/>
      <c r="G821" s="1353"/>
      <c r="H821" s="1353"/>
      <c r="I821" s="1353"/>
      <c r="J821" s="1353"/>
      <c r="K821" s="1387"/>
      <c r="L821" s="1353"/>
      <c r="M821" s="1353"/>
      <c r="N821" s="1353"/>
    </row>
    <row r="822" spans="1:14" x14ac:dyDescent="0.25">
      <c r="A822" s="1353"/>
      <c r="B822" s="1353"/>
      <c r="C822" s="1353"/>
      <c r="D822" s="1353"/>
      <c r="E822" s="1353"/>
      <c r="F822" s="1353"/>
      <c r="G822" s="1353"/>
      <c r="H822" s="1353"/>
      <c r="I822" s="1353"/>
      <c r="J822" s="1353"/>
      <c r="K822" s="1387"/>
      <c r="L822" s="1353"/>
      <c r="M822" s="1353"/>
      <c r="N822" s="1353"/>
    </row>
    <row r="823" spans="1:14" x14ac:dyDescent="0.25">
      <c r="A823" s="1353"/>
      <c r="B823" s="1353"/>
      <c r="C823" s="1353"/>
      <c r="D823" s="1353"/>
      <c r="E823" s="1353"/>
      <c r="F823" s="1353"/>
      <c r="G823" s="1353"/>
      <c r="H823" s="1353"/>
      <c r="I823" s="1353"/>
      <c r="J823" s="1353"/>
      <c r="K823" s="1387"/>
      <c r="L823" s="1353"/>
      <c r="M823" s="1353"/>
      <c r="N823" s="1353"/>
    </row>
    <row r="824" spans="1:14" x14ac:dyDescent="0.25">
      <c r="A824" s="1353"/>
      <c r="B824" s="1353"/>
      <c r="C824" s="1353"/>
      <c r="D824" s="1353"/>
      <c r="E824" s="1353"/>
      <c r="F824" s="1353"/>
      <c r="G824" s="1353"/>
      <c r="H824" s="1353"/>
      <c r="I824" s="1353"/>
      <c r="J824" s="1353"/>
      <c r="K824" s="1387"/>
      <c r="L824" s="1353"/>
      <c r="M824" s="1353"/>
      <c r="N824" s="1353"/>
    </row>
    <row r="825" spans="1:14" x14ac:dyDescent="0.25">
      <c r="A825" s="1353"/>
      <c r="B825" s="1353"/>
      <c r="C825" s="1353"/>
      <c r="D825" s="1353"/>
      <c r="E825" s="1353"/>
      <c r="F825" s="1353"/>
      <c r="G825" s="1353"/>
      <c r="H825" s="1353"/>
      <c r="I825" s="1353"/>
      <c r="J825" s="1353"/>
      <c r="K825" s="1387"/>
      <c r="L825" s="1353"/>
      <c r="M825" s="1353"/>
      <c r="N825" s="1353"/>
    </row>
    <row r="826" spans="1:14" x14ac:dyDescent="0.25">
      <c r="A826" s="1353"/>
      <c r="B826" s="1353"/>
      <c r="C826" s="1353"/>
      <c r="D826" s="1353"/>
      <c r="E826" s="1353"/>
      <c r="F826" s="1353"/>
      <c r="G826" s="1353"/>
      <c r="H826" s="1353"/>
      <c r="I826" s="1353"/>
      <c r="J826" s="1353"/>
      <c r="K826" s="1387"/>
      <c r="L826" s="1353"/>
      <c r="M826" s="1353"/>
      <c r="N826" s="1353"/>
    </row>
    <row r="827" spans="1:14" x14ac:dyDescent="0.25">
      <c r="A827" s="1353"/>
      <c r="B827" s="1353"/>
      <c r="C827" s="1353"/>
      <c r="D827" s="1353"/>
      <c r="E827" s="1353"/>
      <c r="F827" s="1353"/>
      <c r="G827" s="1353"/>
      <c r="H827" s="1353"/>
      <c r="I827" s="1353"/>
      <c r="J827" s="1353"/>
      <c r="K827" s="1387"/>
      <c r="L827" s="1353"/>
      <c r="M827" s="1353"/>
      <c r="N827" s="1353"/>
    </row>
    <row r="828" spans="1:14" x14ac:dyDescent="0.25">
      <c r="A828" s="1353"/>
      <c r="B828" s="1353"/>
      <c r="C828" s="1353"/>
      <c r="D828" s="1353"/>
      <c r="E828" s="1353"/>
      <c r="F828" s="1353"/>
      <c r="G828" s="1353"/>
      <c r="H828" s="1353"/>
      <c r="I828" s="1353"/>
      <c r="J828" s="1353"/>
      <c r="K828" s="1387"/>
      <c r="L828" s="1353"/>
      <c r="M828" s="1353"/>
      <c r="N828" s="1353"/>
    </row>
    <row r="829" spans="1:14" x14ac:dyDescent="0.25">
      <c r="A829" s="1353"/>
      <c r="B829" s="1353"/>
      <c r="C829" s="1353"/>
      <c r="D829" s="1353"/>
      <c r="E829" s="1353"/>
      <c r="F829" s="1353"/>
      <c r="G829" s="1353"/>
      <c r="H829" s="1353"/>
      <c r="I829" s="1353"/>
      <c r="J829" s="1353"/>
      <c r="K829" s="1387"/>
      <c r="L829" s="1353"/>
      <c r="M829" s="1353"/>
      <c r="N829" s="1353"/>
    </row>
    <row r="830" spans="1:14" x14ac:dyDescent="0.25">
      <c r="A830" s="1353"/>
      <c r="B830" s="1353"/>
      <c r="C830" s="1353"/>
      <c r="D830" s="1353"/>
      <c r="E830" s="1353"/>
      <c r="F830" s="1353"/>
      <c r="G830" s="1353"/>
      <c r="H830" s="1353"/>
      <c r="I830" s="1353"/>
      <c r="J830" s="1353"/>
      <c r="K830" s="1387"/>
      <c r="L830" s="1353"/>
      <c r="M830" s="1353"/>
      <c r="N830" s="1353"/>
    </row>
    <row r="831" spans="1:14" x14ac:dyDescent="0.25">
      <c r="A831" s="1353"/>
      <c r="B831" s="1353"/>
      <c r="C831" s="1353"/>
      <c r="D831" s="1353"/>
      <c r="E831" s="1353"/>
      <c r="F831" s="1353"/>
      <c r="G831" s="1353"/>
      <c r="H831" s="1353"/>
      <c r="I831" s="1353"/>
      <c r="J831" s="1353"/>
      <c r="K831" s="1387"/>
      <c r="L831" s="1353"/>
      <c r="M831" s="1353"/>
      <c r="N831" s="1353"/>
    </row>
    <row r="832" spans="1:14" x14ac:dyDescent="0.25">
      <c r="A832" s="1353"/>
      <c r="B832" s="1353"/>
      <c r="C832" s="1353"/>
      <c r="D832" s="1353"/>
      <c r="E832" s="1353"/>
      <c r="F832" s="1353"/>
      <c r="G832" s="1353"/>
      <c r="H832" s="1353"/>
      <c r="I832" s="1353"/>
      <c r="J832" s="1353"/>
      <c r="K832" s="1387"/>
      <c r="L832" s="1353"/>
      <c r="M832" s="1353"/>
      <c r="N832" s="1353"/>
    </row>
    <row r="833" spans="1:14" x14ac:dyDescent="0.25">
      <c r="A833" s="1353"/>
      <c r="B833" s="1353"/>
      <c r="C833" s="1353"/>
      <c r="D833" s="1353"/>
      <c r="E833" s="1353"/>
      <c r="F833" s="1353"/>
      <c r="G833" s="1353"/>
      <c r="H833" s="1353"/>
      <c r="I833" s="1353"/>
      <c r="J833" s="1353"/>
      <c r="K833" s="1387"/>
      <c r="L833" s="1353"/>
      <c r="M833" s="1353"/>
      <c r="N833" s="1353"/>
    </row>
    <row r="834" spans="1:14" x14ac:dyDescent="0.25">
      <c r="A834" s="1353"/>
      <c r="B834" s="1353"/>
      <c r="C834" s="1353"/>
      <c r="D834" s="1353"/>
      <c r="E834" s="1353"/>
      <c r="F834" s="1353"/>
      <c r="G834" s="1353"/>
      <c r="H834" s="1353"/>
      <c r="I834" s="1353"/>
      <c r="J834" s="1353"/>
      <c r="K834" s="1387"/>
      <c r="L834" s="1353"/>
      <c r="M834" s="1353"/>
      <c r="N834" s="1353"/>
    </row>
    <row r="835" spans="1:14" x14ac:dyDescent="0.25">
      <c r="A835" s="1353"/>
      <c r="B835" s="1353"/>
      <c r="C835" s="1353"/>
      <c r="D835" s="1353"/>
      <c r="E835" s="1353"/>
      <c r="F835" s="1353"/>
      <c r="G835" s="1353"/>
      <c r="H835" s="1353"/>
      <c r="I835" s="1353"/>
      <c r="J835" s="1353"/>
      <c r="K835" s="1387"/>
      <c r="L835" s="1353"/>
      <c r="M835" s="1353"/>
      <c r="N835" s="1353"/>
    </row>
    <row r="836" spans="1:14" x14ac:dyDescent="0.25">
      <c r="A836" s="1353"/>
      <c r="B836" s="1353"/>
      <c r="C836" s="1353"/>
      <c r="D836" s="1353"/>
      <c r="E836" s="1353"/>
      <c r="F836" s="1353"/>
      <c r="G836" s="1353"/>
      <c r="H836" s="1353"/>
      <c r="I836" s="1353"/>
      <c r="J836" s="1353"/>
      <c r="K836" s="1387"/>
      <c r="L836" s="1353"/>
      <c r="M836" s="1353"/>
      <c r="N836" s="1353"/>
    </row>
    <row r="837" spans="1:14" x14ac:dyDescent="0.25">
      <c r="A837" s="1353"/>
      <c r="B837" s="1353"/>
      <c r="C837" s="1353"/>
      <c r="D837" s="1353"/>
      <c r="E837" s="1353"/>
      <c r="F837" s="1353"/>
      <c r="G837" s="1353"/>
      <c r="H837" s="1353"/>
      <c r="I837" s="1353"/>
      <c r="J837" s="1353"/>
      <c r="K837" s="1387"/>
      <c r="L837" s="1353"/>
      <c r="M837" s="1353"/>
      <c r="N837" s="1353"/>
    </row>
    <row r="838" spans="1:14" x14ac:dyDescent="0.25">
      <c r="A838" s="1353"/>
      <c r="B838" s="1353"/>
      <c r="C838" s="1353"/>
      <c r="D838" s="1353"/>
      <c r="E838" s="1353"/>
      <c r="F838" s="1353"/>
      <c r="G838" s="1353"/>
      <c r="H838" s="1353"/>
      <c r="I838" s="1353"/>
      <c r="J838" s="1353"/>
      <c r="K838" s="1387"/>
      <c r="L838" s="1353"/>
      <c r="M838" s="1353"/>
      <c r="N838" s="1353"/>
    </row>
    <row r="839" spans="1:14" x14ac:dyDescent="0.25">
      <c r="A839" s="1353"/>
      <c r="B839" s="1353"/>
      <c r="C839" s="1353"/>
      <c r="D839" s="1353"/>
      <c r="E839" s="1353"/>
      <c r="F839" s="1353"/>
      <c r="G839" s="1353"/>
      <c r="H839" s="1353"/>
      <c r="I839" s="1353"/>
      <c r="J839" s="1353"/>
      <c r="K839" s="1387"/>
      <c r="L839" s="1353"/>
      <c r="M839" s="1353"/>
      <c r="N839" s="1353"/>
    </row>
    <row r="840" spans="1:14" x14ac:dyDescent="0.25">
      <c r="A840" s="1353"/>
      <c r="B840" s="1353"/>
      <c r="C840" s="1353"/>
      <c r="D840" s="1353"/>
      <c r="E840" s="1353"/>
      <c r="F840" s="1353"/>
      <c r="G840" s="1353"/>
      <c r="H840" s="1353"/>
      <c r="I840" s="1353"/>
      <c r="J840" s="1353"/>
      <c r="K840" s="1387"/>
      <c r="L840" s="1353"/>
      <c r="M840" s="1353"/>
      <c r="N840" s="1353"/>
    </row>
    <row r="841" spans="1:14" x14ac:dyDescent="0.25">
      <c r="A841" s="1353"/>
      <c r="B841" s="1353"/>
      <c r="C841" s="1353"/>
      <c r="D841" s="1353"/>
      <c r="E841" s="1353"/>
      <c r="F841" s="1353"/>
      <c r="G841" s="1353"/>
      <c r="H841" s="1353"/>
      <c r="I841" s="1353"/>
      <c r="J841" s="1353"/>
      <c r="K841" s="1387"/>
      <c r="L841" s="1353"/>
      <c r="M841" s="1353"/>
      <c r="N841" s="1353"/>
    </row>
    <row r="842" spans="1:14" x14ac:dyDescent="0.25">
      <c r="A842" s="1353"/>
      <c r="B842" s="1353"/>
      <c r="C842" s="1353"/>
      <c r="D842" s="1353"/>
      <c r="E842" s="1353"/>
      <c r="F842" s="1353"/>
      <c r="G842" s="1353"/>
      <c r="H842" s="1353"/>
      <c r="I842" s="1353"/>
      <c r="J842" s="1353"/>
      <c r="K842" s="1387"/>
      <c r="L842" s="1353"/>
      <c r="M842" s="1353"/>
      <c r="N842" s="1353"/>
    </row>
    <row r="843" spans="1:14" x14ac:dyDescent="0.25">
      <c r="A843" s="1353"/>
      <c r="B843" s="1353"/>
      <c r="C843" s="1353"/>
      <c r="D843" s="1353"/>
      <c r="E843" s="1353"/>
      <c r="F843" s="1353"/>
      <c r="G843" s="1353"/>
      <c r="H843" s="1353"/>
      <c r="I843" s="1353"/>
      <c r="J843" s="1353"/>
      <c r="K843" s="1387"/>
      <c r="L843" s="1353"/>
      <c r="M843" s="1353"/>
      <c r="N843" s="1353"/>
    </row>
    <row r="844" spans="1:14" x14ac:dyDescent="0.25">
      <c r="A844" s="1353"/>
      <c r="B844" s="1353"/>
      <c r="C844" s="1353"/>
      <c r="D844" s="1353"/>
      <c r="E844" s="1353"/>
      <c r="F844" s="1353"/>
      <c r="G844" s="1353"/>
      <c r="H844" s="1353"/>
      <c r="I844" s="1353"/>
      <c r="J844" s="1353"/>
      <c r="K844" s="1387"/>
      <c r="L844" s="1353"/>
      <c r="M844" s="1353"/>
      <c r="N844" s="1353"/>
    </row>
    <row r="845" spans="1:14" x14ac:dyDescent="0.25">
      <c r="A845" s="1353"/>
      <c r="B845" s="1353"/>
      <c r="C845" s="1353"/>
      <c r="D845" s="1353"/>
      <c r="E845" s="1353"/>
      <c r="F845" s="1353"/>
      <c r="G845" s="1353"/>
      <c r="H845" s="1353"/>
      <c r="I845" s="1353"/>
      <c r="J845" s="1353"/>
      <c r="K845" s="1387"/>
      <c r="L845" s="1353"/>
      <c r="M845" s="1353"/>
      <c r="N845" s="1353"/>
    </row>
    <row r="846" spans="1:14" x14ac:dyDescent="0.25">
      <c r="A846" s="1353"/>
      <c r="B846" s="1353"/>
      <c r="C846" s="1353"/>
      <c r="D846" s="1353"/>
      <c r="E846" s="1353"/>
      <c r="F846" s="1353"/>
      <c r="G846" s="1353"/>
      <c r="H846" s="1353"/>
      <c r="I846" s="1353"/>
      <c r="J846" s="1353"/>
      <c r="K846" s="1387"/>
      <c r="L846" s="1353"/>
      <c r="M846" s="1353"/>
      <c r="N846" s="1353"/>
    </row>
    <row r="847" spans="1:14" x14ac:dyDescent="0.25">
      <c r="A847" s="1353"/>
      <c r="B847" s="1353"/>
      <c r="C847" s="1353"/>
      <c r="D847" s="1353"/>
      <c r="E847" s="1353"/>
      <c r="F847" s="1353"/>
      <c r="G847" s="1353"/>
      <c r="H847" s="1353"/>
      <c r="I847" s="1353"/>
      <c r="J847" s="1353"/>
      <c r="K847" s="1387"/>
      <c r="L847" s="1353"/>
      <c r="M847" s="1353"/>
      <c r="N847" s="1353"/>
    </row>
    <row r="848" spans="1:14" x14ac:dyDescent="0.25">
      <c r="A848" s="1353"/>
      <c r="B848" s="1353"/>
      <c r="C848" s="1353"/>
      <c r="D848" s="1353"/>
      <c r="E848" s="1353"/>
      <c r="F848" s="1353"/>
      <c r="G848" s="1353"/>
      <c r="H848" s="1353"/>
      <c r="I848" s="1353"/>
      <c r="J848" s="1353"/>
      <c r="K848" s="1387"/>
      <c r="L848" s="1353"/>
      <c r="M848" s="1353"/>
      <c r="N848" s="1353"/>
    </row>
    <row r="849" spans="1:14" x14ac:dyDescent="0.25">
      <c r="A849" s="1353"/>
      <c r="B849" s="1353"/>
      <c r="C849" s="1353"/>
      <c r="D849" s="1353"/>
      <c r="E849" s="1353"/>
      <c r="F849" s="1353"/>
      <c r="G849" s="1353"/>
      <c r="H849" s="1353"/>
      <c r="I849" s="1353"/>
      <c r="J849" s="1353"/>
      <c r="K849" s="1387"/>
      <c r="L849" s="1353"/>
      <c r="M849" s="1353"/>
      <c r="N849" s="1353"/>
    </row>
    <row r="850" spans="1:14" x14ac:dyDescent="0.25">
      <c r="A850" s="1353"/>
      <c r="B850" s="1353"/>
      <c r="C850" s="1353"/>
      <c r="D850" s="1353"/>
      <c r="E850" s="1353"/>
      <c r="F850" s="1353"/>
      <c r="G850" s="1353"/>
      <c r="H850" s="1353"/>
      <c r="I850" s="1353"/>
      <c r="J850" s="1353"/>
      <c r="K850" s="1387"/>
      <c r="L850" s="1353"/>
      <c r="M850" s="1353"/>
      <c r="N850" s="1353"/>
    </row>
    <row r="851" spans="1:14" x14ac:dyDescent="0.25">
      <c r="A851" s="1353"/>
      <c r="B851" s="1353"/>
      <c r="C851" s="1353"/>
      <c r="D851" s="1353"/>
      <c r="E851" s="1353"/>
      <c r="F851" s="1353"/>
      <c r="G851" s="1353"/>
      <c r="H851" s="1353"/>
      <c r="I851" s="1353"/>
      <c r="J851" s="1353"/>
      <c r="K851" s="1387"/>
      <c r="L851" s="1353"/>
      <c r="M851" s="1353"/>
      <c r="N851" s="1353"/>
    </row>
    <row r="852" spans="1:14" x14ac:dyDescent="0.25">
      <c r="A852" s="1353"/>
      <c r="B852" s="1353"/>
      <c r="C852" s="1353"/>
      <c r="D852" s="1353"/>
      <c r="E852" s="1353"/>
      <c r="F852" s="1353"/>
      <c r="G852" s="1353"/>
      <c r="H852" s="1353"/>
      <c r="I852" s="1353"/>
      <c r="J852" s="1353"/>
      <c r="K852" s="1387"/>
      <c r="L852" s="1353"/>
      <c r="M852" s="1353"/>
      <c r="N852" s="1353"/>
    </row>
    <row r="853" spans="1:14" x14ac:dyDescent="0.25">
      <c r="A853" s="1353"/>
      <c r="B853" s="1353"/>
      <c r="C853" s="1353"/>
      <c r="D853" s="1353"/>
      <c r="E853" s="1353"/>
      <c r="F853" s="1353"/>
      <c r="G853" s="1353"/>
      <c r="H853" s="1353"/>
      <c r="I853" s="1353"/>
      <c r="J853" s="1353"/>
      <c r="K853" s="1387"/>
      <c r="L853" s="1353"/>
      <c r="M853" s="1353"/>
      <c r="N853" s="1353"/>
    </row>
    <row r="854" spans="1:14" x14ac:dyDescent="0.25">
      <c r="A854" s="1353"/>
      <c r="B854" s="1353"/>
      <c r="C854" s="1353"/>
      <c r="D854" s="1353"/>
      <c r="E854" s="1353"/>
      <c r="F854" s="1353"/>
      <c r="G854" s="1353"/>
      <c r="H854" s="1353"/>
      <c r="I854" s="1353"/>
      <c r="J854" s="1353"/>
      <c r="K854" s="1387"/>
      <c r="L854" s="1353"/>
      <c r="M854" s="1353"/>
      <c r="N854" s="1353"/>
    </row>
    <row r="855" spans="1:14" x14ac:dyDescent="0.25">
      <c r="A855" s="1353"/>
      <c r="B855" s="1353"/>
      <c r="C855" s="1353"/>
      <c r="D855" s="1353"/>
      <c r="E855" s="1353"/>
      <c r="F855" s="1353"/>
      <c r="G855" s="1353"/>
      <c r="H855" s="1353"/>
      <c r="I855" s="1353"/>
      <c r="J855" s="1353"/>
      <c r="K855" s="1387"/>
      <c r="L855" s="1353"/>
      <c r="M855" s="1353"/>
      <c r="N855" s="1353"/>
    </row>
    <row r="856" spans="1:14" x14ac:dyDescent="0.25">
      <c r="A856" s="1353"/>
      <c r="B856" s="1353"/>
      <c r="C856" s="1353"/>
      <c r="D856" s="1353"/>
      <c r="E856" s="1353"/>
      <c r="F856" s="1353"/>
      <c r="G856" s="1353"/>
      <c r="H856" s="1353"/>
      <c r="I856" s="1353"/>
      <c r="J856" s="1353"/>
      <c r="K856" s="1387"/>
      <c r="L856" s="1353"/>
      <c r="M856" s="1353"/>
      <c r="N856" s="1353"/>
    </row>
    <row r="857" spans="1:14" x14ac:dyDescent="0.25">
      <c r="A857" s="1353"/>
      <c r="B857" s="1353"/>
      <c r="C857" s="1353"/>
      <c r="D857" s="1353"/>
      <c r="E857" s="1353"/>
      <c r="F857" s="1353"/>
      <c r="G857" s="1353"/>
      <c r="H857" s="1353"/>
      <c r="I857" s="1353"/>
      <c r="J857" s="1353"/>
      <c r="K857" s="1387"/>
      <c r="L857" s="1353"/>
      <c r="M857" s="1353"/>
      <c r="N857" s="1353"/>
    </row>
    <row r="858" spans="1:14" x14ac:dyDescent="0.25">
      <c r="A858" s="1353"/>
      <c r="B858" s="1353"/>
      <c r="C858" s="1353"/>
      <c r="D858" s="1353"/>
      <c r="E858" s="1353"/>
      <c r="F858" s="1353"/>
      <c r="G858" s="1353"/>
      <c r="H858" s="1353"/>
      <c r="I858" s="1353"/>
      <c r="J858" s="1353"/>
      <c r="K858" s="1387"/>
      <c r="L858" s="1353"/>
      <c r="M858" s="1353"/>
      <c r="N858" s="1353"/>
    </row>
    <row r="859" spans="1:14" x14ac:dyDescent="0.25">
      <c r="A859" s="1353"/>
      <c r="B859" s="1353"/>
      <c r="C859" s="1353"/>
      <c r="D859" s="1353"/>
      <c r="E859" s="1353"/>
      <c r="F859" s="1353"/>
      <c r="G859" s="1353"/>
      <c r="H859" s="1353"/>
      <c r="I859" s="1353"/>
      <c r="J859" s="1353"/>
      <c r="K859" s="1387"/>
      <c r="L859" s="1353"/>
      <c r="M859" s="1353"/>
      <c r="N859" s="1353"/>
    </row>
    <row r="860" spans="1:14" x14ac:dyDescent="0.25">
      <c r="A860" s="1353"/>
      <c r="B860" s="1353"/>
      <c r="C860" s="1353"/>
      <c r="D860" s="1353"/>
      <c r="E860" s="1353"/>
      <c r="F860" s="1353"/>
      <c r="G860" s="1353"/>
      <c r="H860" s="1353"/>
      <c r="I860" s="1353"/>
      <c r="J860" s="1353"/>
      <c r="K860" s="1387"/>
      <c r="L860" s="1353"/>
      <c r="M860" s="1353"/>
      <c r="N860" s="1353"/>
    </row>
    <row r="861" spans="1:14" x14ac:dyDescent="0.25">
      <c r="A861" s="1353"/>
      <c r="B861" s="1353"/>
      <c r="C861" s="1353"/>
      <c r="D861" s="1353"/>
      <c r="E861" s="1353"/>
      <c r="F861" s="1353"/>
      <c r="G861" s="1353"/>
      <c r="H861" s="1353"/>
      <c r="I861" s="1353"/>
      <c r="J861" s="1353"/>
      <c r="K861" s="1387"/>
      <c r="L861" s="1353"/>
      <c r="M861" s="1353"/>
      <c r="N861" s="1353"/>
    </row>
    <row r="862" spans="1:14" x14ac:dyDescent="0.25">
      <c r="A862" s="1353"/>
      <c r="B862" s="1353"/>
      <c r="C862" s="1353"/>
      <c r="D862" s="1353"/>
      <c r="E862" s="1353"/>
      <c r="F862" s="1353"/>
      <c r="G862" s="1353"/>
      <c r="H862" s="1353"/>
      <c r="I862" s="1353"/>
      <c r="J862" s="1353"/>
      <c r="K862" s="1387"/>
      <c r="L862" s="1353"/>
      <c r="M862" s="1353"/>
      <c r="N862" s="1353"/>
    </row>
    <row r="863" spans="1:14" x14ac:dyDescent="0.25">
      <c r="A863" s="1353"/>
      <c r="B863" s="1353"/>
      <c r="C863" s="1353"/>
      <c r="D863" s="1353"/>
      <c r="E863" s="1353"/>
      <c r="F863" s="1353"/>
      <c r="G863" s="1353"/>
      <c r="H863" s="1353"/>
      <c r="I863" s="1353"/>
      <c r="J863" s="1353"/>
      <c r="K863" s="1387"/>
      <c r="L863" s="1353"/>
      <c r="M863" s="1353"/>
      <c r="N863" s="1353"/>
    </row>
    <row r="864" spans="1:14" x14ac:dyDescent="0.25">
      <c r="A864" s="1353"/>
      <c r="B864" s="1353"/>
      <c r="C864" s="1353"/>
      <c r="D864" s="1353"/>
      <c r="E864" s="1353"/>
      <c r="F864" s="1353"/>
      <c r="G864" s="1353"/>
      <c r="H864" s="1353"/>
      <c r="I864" s="1353"/>
      <c r="J864" s="1353"/>
      <c r="K864" s="1387"/>
      <c r="L864" s="1353"/>
      <c r="M864" s="1353"/>
      <c r="N864" s="1353"/>
    </row>
    <row r="865" spans="1:14" x14ac:dyDescent="0.25">
      <c r="A865" s="1353"/>
      <c r="B865" s="1353"/>
      <c r="C865" s="1353"/>
      <c r="D865" s="1353"/>
      <c r="E865" s="1353"/>
      <c r="F865" s="1353"/>
      <c r="G865" s="1353"/>
      <c r="H865" s="1353"/>
      <c r="I865" s="1353"/>
      <c r="J865" s="1353"/>
      <c r="K865" s="1387"/>
      <c r="L865" s="1353"/>
      <c r="M865" s="1353"/>
      <c r="N865" s="1353"/>
    </row>
    <row r="866" spans="1:14" x14ac:dyDescent="0.25">
      <c r="A866" s="1353"/>
      <c r="B866" s="1353"/>
      <c r="C866" s="1353"/>
      <c r="D866" s="1353"/>
      <c r="E866" s="1353"/>
      <c r="F866" s="1353"/>
      <c r="G866" s="1353"/>
      <c r="H866" s="1353"/>
      <c r="I866" s="1353"/>
      <c r="J866" s="1353"/>
      <c r="K866" s="1387"/>
      <c r="L866" s="1353"/>
      <c r="M866" s="1353"/>
      <c r="N866" s="1353"/>
    </row>
    <row r="867" spans="1:14" x14ac:dyDescent="0.25">
      <c r="A867" s="1353"/>
      <c r="B867" s="1353"/>
      <c r="C867" s="1353"/>
      <c r="D867" s="1353"/>
      <c r="E867" s="1353"/>
      <c r="F867" s="1353"/>
      <c r="G867" s="1353"/>
      <c r="H867" s="1353"/>
      <c r="I867" s="1353"/>
      <c r="J867" s="1353"/>
      <c r="K867" s="1387"/>
      <c r="L867" s="1353"/>
      <c r="M867" s="1353"/>
      <c r="N867" s="1353"/>
    </row>
    <row r="868" spans="1:14" x14ac:dyDescent="0.25">
      <c r="A868" s="1353"/>
      <c r="B868" s="1353"/>
      <c r="C868" s="1353"/>
      <c r="D868" s="1353"/>
      <c r="E868" s="1353"/>
      <c r="F868" s="1353"/>
      <c r="G868" s="1353"/>
      <c r="H868" s="1353"/>
      <c r="I868" s="1353"/>
      <c r="J868" s="1353"/>
      <c r="K868" s="1387"/>
      <c r="L868" s="1353"/>
      <c r="M868" s="1353"/>
      <c r="N868" s="1353"/>
    </row>
    <row r="869" spans="1:14" x14ac:dyDescent="0.25">
      <c r="A869" s="1353"/>
      <c r="B869" s="1353"/>
      <c r="C869" s="1353"/>
      <c r="D869" s="1353"/>
      <c r="E869" s="1353"/>
      <c r="F869" s="1353"/>
      <c r="G869" s="1353"/>
      <c r="H869" s="1353"/>
      <c r="I869" s="1353"/>
      <c r="J869" s="1353"/>
      <c r="K869" s="1387"/>
      <c r="L869" s="1353"/>
      <c r="M869" s="1353"/>
      <c r="N869" s="1353"/>
    </row>
    <row r="870" spans="1:14" x14ac:dyDescent="0.25">
      <c r="A870" s="1353"/>
      <c r="B870" s="1353"/>
      <c r="C870" s="1353"/>
      <c r="D870" s="1353"/>
      <c r="E870" s="1353"/>
      <c r="F870" s="1353"/>
      <c r="G870" s="1353"/>
      <c r="H870" s="1353"/>
      <c r="I870" s="1353"/>
      <c r="J870" s="1353"/>
      <c r="K870" s="1387"/>
      <c r="L870" s="1353"/>
      <c r="M870" s="1353"/>
      <c r="N870" s="1353"/>
    </row>
    <row r="871" spans="1:14" x14ac:dyDescent="0.25">
      <c r="A871" s="1353"/>
      <c r="B871" s="1353"/>
      <c r="C871" s="1353"/>
      <c r="D871" s="1353"/>
      <c r="E871" s="1353"/>
      <c r="F871" s="1353"/>
      <c r="G871" s="1353"/>
      <c r="H871" s="1353"/>
      <c r="I871" s="1353"/>
      <c r="J871" s="1353"/>
      <c r="K871" s="1387"/>
      <c r="L871" s="1353"/>
      <c r="M871" s="1353"/>
      <c r="N871" s="1353"/>
    </row>
    <row r="872" spans="1:14" x14ac:dyDescent="0.25">
      <c r="A872" s="1353"/>
      <c r="B872" s="1353"/>
      <c r="C872" s="1353"/>
      <c r="D872" s="1353"/>
      <c r="E872" s="1353"/>
      <c r="F872" s="1353"/>
      <c r="G872" s="1353"/>
      <c r="H872" s="1353"/>
      <c r="I872" s="1353"/>
      <c r="J872" s="1353"/>
      <c r="K872" s="1387"/>
      <c r="L872" s="1353"/>
      <c r="M872" s="1353"/>
      <c r="N872" s="1353"/>
    </row>
    <row r="873" spans="1:14" x14ac:dyDescent="0.25">
      <c r="A873" s="1353"/>
      <c r="B873" s="1353"/>
      <c r="C873" s="1353"/>
      <c r="D873" s="1353"/>
      <c r="E873" s="1353"/>
      <c r="F873" s="1353"/>
      <c r="G873" s="1353"/>
      <c r="H873" s="1353"/>
      <c r="I873" s="1353"/>
      <c r="J873" s="1353"/>
      <c r="K873" s="1387"/>
      <c r="L873" s="1353"/>
      <c r="M873" s="1353"/>
      <c r="N873" s="1353"/>
    </row>
    <row r="874" spans="1:14" x14ac:dyDescent="0.25">
      <c r="A874" s="1353"/>
      <c r="B874" s="1353"/>
      <c r="C874" s="1353"/>
      <c r="D874" s="1353"/>
      <c r="E874" s="1353"/>
      <c r="F874" s="1353"/>
      <c r="G874" s="1353"/>
      <c r="H874" s="1353"/>
      <c r="I874" s="1353"/>
      <c r="J874" s="1353"/>
      <c r="K874" s="1387"/>
      <c r="L874" s="1353"/>
      <c r="M874" s="1353"/>
      <c r="N874" s="1353"/>
    </row>
    <row r="875" spans="1:14" x14ac:dyDescent="0.25">
      <c r="A875" s="1353"/>
      <c r="B875" s="1353"/>
      <c r="C875" s="1353"/>
      <c r="D875" s="1353"/>
      <c r="E875" s="1353"/>
      <c r="F875" s="1353"/>
      <c r="G875" s="1353"/>
      <c r="H875" s="1353"/>
      <c r="I875" s="1353"/>
      <c r="J875" s="1353"/>
      <c r="K875" s="1387"/>
      <c r="L875" s="1353"/>
      <c r="M875" s="1353"/>
      <c r="N875" s="1353"/>
    </row>
    <row r="876" spans="1:14" x14ac:dyDescent="0.25">
      <c r="A876" s="1353"/>
      <c r="B876" s="1353"/>
      <c r="C876" s="1353"/>
      <c r="D876" s="1353"/>
      <c r="E876" s="1353"/>
      <c r="F876" s="1353"/>
      <c r="G876" s="1353"/>
      <c r="H876" s="1353"/>
      <c r="I876" s="1353"/>
      <c r="J876" s="1353"/>
      <c r="K876" s="1387"/>
      <c r="L876" s="1353"/>
      <c r="M876" s="1353"/>
      <c r="N876" s="1353"/>
    </row>
    <row r="877" spans="1:14" x14ac:dyDescent="0.25">
      <c r="A877" s="1353"/>
      <c r="B877" s="1353"/>
      <c r="C877" s="1353"/>
      <c r="D877" s="1353"/>
      <c r="E877" s="1353"/>
      <c r="F877" s="1353"/>
      <c r="G877" s="1353"/>
      <c r="H877" s="1353"/>
      <c r="I877" s="1353"/>
      <c r="J877" s="1353"/>
      <c r="K877" s="1387"/>
      <c r="L877" s="1353"/>
      <c r="M877" s="1353"/>
      <c r="N877" s="1353"/>
    </row>
    <row r="878" spans="1:14" x14ac:dyDescent="0.25">
      <c r="A878" s="1353"/>
      <c r="B878" s="1353"/>
      <c r="C878" s="1353"/>
      <c r="D878" s="1353"/>
      <c r="E878" s="1353"/>
      <c r="F878" s="1353"/>
      <c r="G878" s="1353"/>
      <c r="H878" s="1353"/>
      <c r="I878" s="1353"/>
      <c r="J878" s="1353"/>
      <c r="K878" s="1387"/>
      <c r="L878" s="1353"/>
      <c r="M878" s="1353"/>
      <c r="N878" s="1353"/>
    </row>
    <row r="879" spans="1:14" x14ac:dyDescent="0.25">
      <c r="A879" s="1353"/>
      <c r="B879" s="1353"/>
      <c r="C879" s="1353"/>
      <c r="D879" s="1353"/>
      <c r="E879" s="1353"/>
      <c r="F879" s="1353"/>
      <c r="G879" s="1353"/>
      <c r="H879" s="1353"/>
      <c r="I879" s="1353"/>
      <c r="J879" s="1353"/>
      <c r="K879" s="1387"/>
      <c r="L879" s="1353"/>
      <c r="M879" s="1353"/>
      <c r="N879" s="1353"/>
    </row>
    <row r="880" spans="1:14" x14ac:dyDescent="0.25">
      <c r="A880" s="1353"/>
      <c r="B880" s="1353"/>
      <c r="C880" s="1353"/>
      <c r="D880" s="1353"/>
      <c r="E880" s="1353"/>
      <c r="F880" s="1353"/>
      <c r="G880" s="1353"/>
      <c r="H880" s="1353"/>
      <c r="I880" s="1353"/>
      <c r="J880" s="1353"/>
      <c r="K880" s="1387"/>
      <c r="L880" s="1353"/>
      <c r="M880" s="1353"/>
      <c r="N880" s="1353"/>
    </row>
    <row r="881" spans="1:14" x14ac:dyDescent="0.25">
      <c r="A881" s="1353"/>
      <c r="B881" s="1353"/>
      <c r="C881" s="1353"/>
      <c r="D881" s="1353"/>
      <c r="E881" s="1353"/>
      <c r="F881" s="1353"/>
      <c r="G881" s="1353"/>
      <c r="H881" s="1353"/>
      <c r="I881" s="1353"/>
      <c r="J881" s="1353"/>
      <c r="K881" s="1387"/>
      <c r="L881" s="1353"/>
      <c r="M881" s="1353"/>
      <c r="N881" s="1353"/>
    </row>
    <row r="882" spans="1:14" x14ac:dyDescent="0.25">
      <c r="A882" s="1353"/>
      <c r="B882" s="1353"/>
      <c r="C882" s="1353"/>
      <c r="D882" s="1353"/>
      <c r="E882" s="1353"/>
      <c r="F882" s="1353"/>
      <c r="G882" s="1353"/>
      <c r="H882" s="1353"/>
      <c r="I882" s="1353"/>
      <c r="J882" s="1353"/>
      <c r="K882" s="1387"/>
      <c r="L882" s="1353"/>
      <c r="M882" s="1353"/>
      <c r="N882" s="1353"/>
    </row>
    <row r="883" spans="1:14" x14ac:dyDescent="0.25">
      <c r="A883" s="1353"/>
      <c r="B883" s="1353"/>
      <c r="C883" s="1353"/>
      <c r="D883" s="1353"/>
      <c r="E883" s="1353"/>
      <c r="F883" s="1353"/>
      <c r="G883" s="1353"/>
      <c r="H883" s="1353"/>
      <c r="I883" s="1353"/>
      <c r="J883" s="1353"/>
      <c r="K883" s="1387"/>
      <c r="L883" s="1353"/>
      <c r="M883" s="1353"/>
      <c r="N883" s="1353"/>
    </row>
    <row r="884" spans="1:14" x14ac:dyDescent="0.25">
      <c r="A884" s="1353"/>
      <c r="B884" s="1353"/>
      <c r="C884" s="1353"/>
      <c r="D884" s="1353"/>
      <c r="E884" s="1353"/>
      <c r="F884" s="1353"/>
      <c r="G884" s="1353"/>
      <c r="H884" s="1353"/>
      <c r="I884" s="1353"/>
      <c r="J884" s="1353"/>
      <c r="K884" s="1387"/>
      <c r="L884" s="1353"/>
      <c r="M884" s="1353"/>
      <c r="N884" s="1353"/>
    </row>
    <row r="885" spans="1:14" x14ac:dyDescent="0.25">
      <c r="A885" s="1353"/>
      <c r="B885" s="1353"/>
      <c r="C885" s="1353"/>
      <c r="D885" s="1353"/>
      <c r="E885" s="1353"/>
      <c r="F885" s="1353"/>
      <c r="G885" s="1353"/>
      <c r="H885" s="1353"/>
      <c r="I885" s="1353"/>
      <c r="J885" s="1353"/>
      <c r="K885" s="1387"/>
      <c r="L885" s="1353"/>
      <c r="M885" s="1353"/>
      <c r="N885" s="1353"/>
    </row>
    <row r="886" spans="1:14" x14ac:dyDescent="0.25">
      <c r="A886" s="1353"/>
      <c r="B886" s="1353"/>
      <c r="C886" s="1353"/>
      <c r="D886" s="1353"/>
      <c r="E886" s="1353"/>
      <c r="F886" s="1353"/>
      <c r="G886" s="1353"/>
      <c r="H886" s="1353"/>
      <c r="I886" s="1353"/>
      <c r="J886" s="1353"/>
      <c r="K886" s="1387"/>
      <c r="L886" s="1353"/>
      <c r="M886" s="1353"/>
      <c r="N886" s="1353"/>
    </row>
    <row r="887" spans="1:14" x14ac:dyDescent="0.25">
      <c r="A887" s="1353"/>
      <c r="B887" s="1353"/>
      <c r="C887" s="1353"/>
      <c r="D887" s="1353"/>
      <c r="E887" s="1353"/>
      <c r="F887" s="1353"/>
      <c r="G887" s="1353"/>
      <c r="H887" s="1353"/>
      <c r="I887" s="1353"/>
      <c r="J887" s="1353"/>
      <c r="K887" s="1387"/>
      <c r="L887" s="1353"/>
      <c r="M887" s="1353"/>
      <c r="N887" s="1353"/>
    </row>
    <row r="888" spans="1:14" x14ac:dyDescent="0.25">
      <c r="A888" s="1353"/>
      <c r="B888" s="1353"/>
      <c r="C888" s="1353"/>
      <c r="D888" s="1353"/>
      <c r="E888" s="1353"/>
      <c r="F888" s="1353"/>
      <c r="G888" s="1353"/>
      <c r="H888" s="1353"/>
      <c r="I888" s="1353"/>
      <c r="J888" s="1353"/>
      <c r="K888" s="1387"/>
      <c r="L888" s="1353"/>
      <c r="M888" s="1353"/>
      <c r="N888" s="1353"/>
    </row>
    <row r="889" spans="1:14" x14ac:dyDescent="0.25">
      <c r="A889" s="1353"/>
      <c r="B889" s="1353"/>
      <c r="C889" s="1353"/>
      <c r="D889" s="1353"/>
      <c r="E889" s="1353"/>
      <c r="F889" s="1353"/>
      <c r="G889" s="1353"/>
      <c r="H889" s="1353"/>
      <c r="I889" s="1353"/>
      <c r="J889" s="1353"/>
      <c r="K889" s="1387"/>
      <c r="L889" s="1353"/>
      <c r="M889" s="1353"/>
      <c r="N889" s="1353"/>
    </row>
    <row r="890" spans="1:14" x14ac:dyDescent="0.25">
      <c r="A890" s="1353"/>
      <c r="B890" s="1353"/>
      <c r="C890" s="1353"/>
      <c r="D890" s="1353"/>
      <c r="E890" s="1353"/>
      <c r="F890" s="1353"/>
      <c r="G890" s="1353"/>
      <c r="H890" s="1353"/>
      <c r="I890" s="1353"/>
      <c r="J890" s="1353"/>
      <c r="K890" s="1387"/>
      <c r="L890" s="1353"/>
      <c r="M890" s="1353"/>
      <c r="N890" s="1353"/>
    </row>
    <row r="891" spans="1:14" x14ac:dyDescent="0.25">
      <c r="A891" s="1353"/>
      <c r="B891" s="1353"/>
      <c r="C891" s="1353"/>
      <c r="D891" s="1353"/>
      <c r="E891" s="1353"/>
      <c r="F891" s="1353"/>
      <c r="G891" s="1353"/>
      <c r="H891" s="1353"/>
      <c r="I891" s="1353"/>
      <c r="J891" s="1353"/>
      <c r="K891" s="1387"/>
      <c r="L891" s="1353"/>
      <c r="M891" s="1353"/>
      <c r="N891" s="1353"/>
    </row>
    <row r="892" spans="1:14" x14ac:dyDescent="0.25">
      <c r="A892" s="1353"/>
      <c r="B892" s="1353"/>
      <c r="C892" s="1353"/>
      <c r="D892" s="1353"/>
      <c r="E892" s="1353"/>
      <c r="F892" s="1353"/>
      <c r="G892" s="1353"/>
      <c r="H892" s="1353"/>
      <c r="I892" s="1353"/>
      <c r="J892" s="1353"/>
      <c r="K892" s="1387"/>
      <c r="L892" s="1353"/>
      <c r="M892" s="1353"/>
      <c r="N892" s="1353"/>
    </row>
    <row r="893" spans="1:14" x14ac:dyDescent="0.25">
      <c r="A893" s="1353"/>
      <c r="B893" s="1353"/>
      <c r="C893" s="1353"/>
      <c r="D893" s="1353"/>
      <c r="E893" s="1353"/>
      <c r="F893" s="1353"/>
      <c r="G893" s="1353"/>
      <c r="H893" s="1353"/>
      <c r="I893" s="1353"/>
      <c r="J893" s="1353"/>
      <c r="K893" s="1387"/>
      <c r="L893" s="1353"/>
      <c r="M893" s="1353"/>
      <c r="N893" s="1353"/>
    </row>
    <row r="894" spans="1:14" x14ac:dyDescent="0.25">
      <c r="A894" s="1353"/>
      <c r="B894" s="1353"/>
      <c r="C894" s="1353"/>
      <c r="D894" s="1353"/>
      <c r="E894" s="1353"/>
      <c r="F894" s="1353"/>
      <c r="G894" s="1353"/>
      <c r="H894" s="1353"/>
      <c r="I894" s="1353"/>
      <c r="J894" s="1353"/>
      <c r="K894" s="1387"/>
      <c r="L894" s="1353"/>
      <c r="M894" s="1353"/>
      <c r="N894" s="1353"/>
    </row>
    <row r="895" spans="1:14" x14ac:dyDescent="0.25">
      <c r="A895" s="1353"/>
      <c r="B895" s="1353"/>
      <c r="C895" s="1353"/>
      <c r="D895" s="1353"/>
      <c r="E895" s="1353"/>
      <c r="F895" s="1353"/>
      <c r="G895" s="1353"/>
      <c r="H895" s="1353"/>
      <c r="I895" s="1353"/>
      <c r="J895" s="1353"/>
      <c r="K895" s="1387"/>
      <c r="L895" s="1353"/>
      <c r="M895" s="1353"/>
      <c r="N895" s="1353"/>
    </row>
    <row r="896" spans="1:14" x14ac:dyDescent="0.25">
      <c r="A896" s="1353"/>
      <c r="B896" s="1353"/>
      <c r="C896" s="1353"/>
      <c r="D896" s="1353"/>
      <c r="E896" s="1353"/>
      <c r="F896" s="1353"/>
      <c r="G896" s="1353"/>
      <c r="H896" s="1353"/>
      <c r="I896" s="1353"/>
      <c r="J896" s="1353"/>
      <c r="K896" s="1387"/>
      <c r="L896" s="1353"/>
      <c r="M896" s="1353"/>
      <c r="N896" s="1353"/>
    </row>
    <row r="897" spans="1:14" x14ac:dyDescent="0.25">
      <c r="A897" s="1353"/>
      <c r="B897" s="1353"/>
      <c r="C897" s="1353"/>
      <c r="D897" s="1353"/>
      <c r="E897" s="1353"/>
      <c r="F897" s="1353"/>
      <c r="G897" s="1353"/>
      <c r="H897" s="1353"/>
      <c r="I897" s="1353"/>
      <c r="J897" s="1353"/>
      <c r="K897" s="1387"/>
      <c r="L897" s="1353"/>
      <c r="M897" s="1353"/>
      <c r="N897" s="1353"/>
    </row>
    <row r="898" spans="1:14" x14ac:dyDescent="0.25">
      <c r="A898" s="1353"/>
      <c r="B898" s="1353"/>
      <c r="C898" s="1353"/>
      <c r="D898" s="1353"/>
      <c r="E898" s="1353"/>
      <c r="F898" s="1353"/>
      <c r="G898" s="1353"/>
      <c r="H898" s="1353"/>
      <c r="I898" s="1353"/>
      <c r="J898" s="1353"/>
      <c r="K898" s="1387"/>
      <c r="L898" s="1353"/>
      <c r="M898" s="1353"/>
      <c r="N898" s="1353"/>
    </row>
    <row r="899" spans="1:14" x14ac:dyDescent="0.25">
      <c r="A899" s="1353"/>
      <c r="B899" s="1353"/>
      <c r="C899" s="1353"/>
      <c r="D899" s="1353"/>
      <c r="E899" s="1353"/>
      <c r="F899" s="1353"/>
      <c r="G899" s="1353"/>
      <c r="H899" s="1353"/>
      <c r="I899" s="1353"/>
      <c r="J899" s="1353"/>
      <c r="K899" s="1387"/>
      <c r="L899" s="1353"/>
      <c r="M899" s="1353"/>
      <c r="N899" s="1353"/>
    </row>
    <row r="900" spans="1:14" x14ac:dyDescent="0.25">
      <c r="A900" s="1353"/>
      <c r="B900" s="1353"/>
      <c r="C900" s="1353"/>
      <c r="D900" s="1353"/>
      <c r="E900" s="1353"/>
      <c r="F900" s="1353"/>
      <c r="G900" s="1353"/>
      <c r="H900" s="1353"/>
      <c r="I900" s="1353"/>
      <c r="J900" s="1353"/>
      <c r="K900" s="1387"/>
      <c r="L900" s="1353"/>
      <c r="M900" s="1353"/>
      <c r="N900" s="1353"/>
    </row>
    <row r="901" spans="1:14" x14ac:dyDescent="0.25">
      <c r="A901" s="1353"/>
      <c r="B901" s="1353"/>
      <c r="C901" s="1353"/>
      <c r="D901" s="1353"/>
      <c r="E901" s="1353"/>
      <c r="F901" s="1353"/>
      <c r="G901" s="1353"/>
      <c r="H901" s="1353"/>
      <c r="I901" s="1353"/>
      <c r="J901" s="1353"/>
      <c r="K901" s="1387"/>
      <c r="L901" s="1353"/>
      <c r="M901" s="1353"/>
      <c r="N901" s="1353"/>
    </row>
    <row r="902" spans="1:14" x14ac:dyDescent="0.25">
      <c r="A902" s="1353"/>
      <c r="B902" s="1353"/>
      <c r="C902" s="1353"/>
      <c r="D902" s="1353"/>
      <c r="E902" s="1353"/>
      <c r="F902" s="1353"/>
      <c r="G902" s="1353"/>
      <c r="H902" s="1353"/>
      <c r="I902" s="1353"/>
      <c r="J902" s="1353"/>
      <c r="K902" s="1387"/>
      <c r="L902" s="1353"/>
      <c r="M902" s="1353"/>
      <c r="N902" s="1353"/>
    </row>
    <row r="903" spans="1:14" x14ac:dyDescent="0.25">
      <c r="A903" s="1353"/>
      <c r="B903" s="1353"/>
      <c r="C903" s="1353"/>
      <c r="D903" s="1353"/>
      <c r="E903" s="1353"/>
      <c r="F903" s="1353"/>
      <c r="G903" s="1353"/>
      <c r="H903" s="1353"/>
      <c r="I903" s="1353"/>
      <c r="J903" s="1353"/>
      <c r="K903" s="1387"/>
      <c r="L903" s="1353"/>
      <c r="M903" s="1353"/>
      <c r="N903" s="1353"/>
    </row>
    <row r="904" spans="1:14" x14ac:dyDescent="0.25">
      <c r="A904" s="1353"/>
      <c r="B904" s="1353"/>
      <c r="C904" s="1353"/>
      <c r="D904" s="1353"/>
      <c r="E904" s="1353"/>
      <c r="F904" s="1353"/>
      <c r="G904" s="1353"/>
      <c r="H904" s="1353"/>
      <c r="I904" s="1353"/>
      <c r="J904" s="1353"/>
      <c r="K904" s="1387"/>
      <c r="L904" s="1353"/>
      <c r="M904" s="1353"/>
      <c r="N904" s="1353"/>
    </row>
    <row r="905" spans="1:14" x14ac:dyDescent="0.25">
      <c r="A905" s="1353"/>
      <c r="B905" s="1353"/>
      <c r="C905" s="1353"/>
      <c r="D905" s="1353"/>
      <c r="E905" s="1353"/>
      <c r="F905" s="1353"/>
      <c r="G905" s="1353"/>
      <c r="H905" s="1353"/>
      <c r="I905" s="1353"/>
      <c r="J905" s="1353"/>
      <c r="K905" s="1387"/>
      <c r="L905" s="1353"/>
      <c r="M905" s="1353"/>
      <c r="N905" s="1353"/>
    </row>
    <row r="906" spans="1:14" x14ac:dyDescent="0.25">
      <c r="A906" s="1353"/>
      <c r="B906" s="1353"/>
      <c r="C906" s="1353"/>
      <c r="D906" s="1353"/>
      <c r="E906" s="1353"/>
      <c r="F906" s="1353"/>
      <c r="G906" s="1353"/>
      <c r="H906" s="1353"/>
      <c r="I906" s="1353"/>
      <c r="J906" s="1353"/>
      <c r="K906" s="1387"/>
      <c r="L906" s="1353"/>
      <c r="M906" s="1353"/>
      <c r="N906" s="1353"/>
    </row>
    <row r="907" spans="1:14" x14ac:dyDescent="0.25">
      <c r="A907" s="1353"/>
      <c r="B907" s="1353"/>
      <c r="C907" s="1353"/>
      <c r="D907" s="1353"/>
      <c r="E907" s="1353"/>
      <c r="F907" s="1353"/>
      <c r="G907" s="1353"/>
      <c r="H907" s="1353"/>
      <c r="I907" s="1353"/>
      <c r="J907" s="1353"/>
      <c r="K907" s="1387"/>
      <c r="L907" s="1353"/>
      <c r="M907" s="1353"/>
      <c r="N907" s="1353"/>
    </row>
    <row r="908" spans="1:14" x14ac:dyDescent="0.25">
      <c r="A908" s="1353"/>
      <c r="B908" s="1353"/>
      <c r="C908" s="1353"/>
      <c r="D908" s="1353"/>
      <c r="E908" s="1353"/>
      <c r="F908" s="1353"/>
      <c r="G908" s="1353"/>
      <c r="H908" s="1353"/>
      <c r="I908" s="1353"/>
      <c r="J908" s="1353"/>
      <c r="K908" s="1387"/>
      <c r="L908" s="1353"/>
      <c r="M908" s="1353"/>
      <c r="N908" s="1353"/>
    </row>
    <row r="909" spans="1:14" x14ac:dyDescent="0.25">
      <c r="A909" s="1353"/>
      <c r="B909" s="1353"/>
      <c r="C909" s="1353"/>
      <c r="D909" s="1353"/>
      <c r="E909" s="1353"/>
      <c r="F909" s="1353"/>
      <c r="G909" s="1353"/>
      <c r="H909" s="1353"/>
      <c r="I909" s="1353"/>
      <c r="J909" s="1353"/>
      <c r="K909" s="1387"/>
      <c r="L909" s="1353"/>
      <c r="M909" s="1353"/>
      <c r="N909" s="1353"/>
    </row>
    <row r="910" spans="1:14" x14ac:dyDescent="0.25">
      <c r="A910" s="1353"/>
      <c r="B910" s="1353"/>
      <c r="C910" s="1353"/>
      <c r="D910" s="1353"/>
      <c r="E910" s="1353"/>
      <c r="F910" s="1353"/>
      <c r="G910" s="1353"/>
      <c r="H910" s="1353"/>
      <c r="I910" s="1353"/>
      <c r="J910" s="1353"/>
      <c r="K910" s="1387"/>
      <c r="L910" s="1353"/>
      <c r="M910" s="1353"/>
      <c r="N910" s="1353"/>
    </row>
    <row r="911" spans="1:14" x14ac:dyDescent="0.25">
      <c r="A911" s="1353"/>
      <c r="B911" s="1353"/>
      <c r="C911" s="1353"/>
      <c r="D911" s="1353"/>
      <c r="E911" s="1353"/>
      <c r="F911" s="1353"/>
      <c r="G911" s="1353"/>
      <c r="H911" s="1353"/>
      <c r="I911" s="1353"/>
      <c r="J911" s="1353"/>
      <c r="K911" s="1387"/>
      <c r="L911" s="1353"/>
      <c r="M911" s="1353"/>
      <c r="N911" s="1353"/>
    </row>
    <row r="912" spans="1:14" x14ac:dyDescent="0.25">
      <c r="A912" s="1353"/>
      <c r="B912" s="1353"/>
      <c r="C912" s="1353"/>
      <c r="D912" s="1353"/>
      <c r="E912" s="1353"/>
      <c r="F912" s="1353"/>
      <c r="G912" s="1353"/>
      <c r="H912" s="1353"/>
      <c r="I912" s="1353"/>
      <c r="J912" s="1353"/>
      <c r="K912" s="1387"/>
      <c r="L912" s="1353"/>
      <c r="M912" s="1353"/>
      <c r="N912" s="1353"/>
    </row>
    <row r="913" spans="1:14" x14ac:dyDescent="0.25">
      <c r="A913" s="1353"/>
      <c r="B913" s="1353"/>
      <c r="C913" s="1353"/>
      <c r="D913" s="1353"/>
      <c r="E913" s="1353"/>
      <c r="F913" s="1353"/>
      <c r="G913" s="1353"/>
      <c r="H913" s="1353"/>
      <c r="I913" s="1353"/>
      <c r="J913" s="1353"/>
      <c r="K913" s="1387"/>
      <c r="L913" s="1353"/>
      <c r="M913" s="1353"/>
      <c r="N913" s="1353"/>
    </row>
    <row r="914" spans="1:14" x14ac:dyDescent="0.25">
      <c r="A914" s="1353"/>
      <c r="B914" s="1353"/>
      <c r="C914" s="1353"/>
      <c r="D914" s="1353"/>
      <c r="E914" s="1353"/>
      <c r="F914" s="1353"/>
      <c r="G914" s="1353"/>
      <c r="H914" s="1353"/>
      <c r="I914" s="1353"/>
      <c r="J914" s="1353"/>
      <c r="K914" s="1387"/>
      <c r="L914" s="1353"/>
      <c r="M914" s="1353"/>
      <c r="N914" s="1353"/>
    </row>
    <row r="915" spans="1:14" x14ac:dyDescent="0.25">
      <c r="A915" s="1353"/>
      <c r="B915" s="1353"/>
      <c r="C915" s="1353"/>
      <c r="D915" s="1353"/>
      <c r="E915" s="1353"/>
      <c r="F915" s="1353"/>
      <c r="G915" s="1353"/>
      <c r="H915" s="1353"/>
      <c r="I915" s="1353"/>
      <c r="J915" s="1353"/>
      <c r="K915" s="1387"/>
      <c r="L915" s="1353"/>
      <c r="M915" s="1353"/>
      <c r="N915" s="1353"/>
    </row>
    <row r="916" spans="1:14" x14ac:dyDescent="0.25">
      <c r="A916" s="1353"/>
      <c r="B916" s="1353"/>
      <c r="C916" s="1353"/>
      <c r="D916" s="1353"/>
      <c r="E916" s="1353"/>
      <c r="F916" s="1353"/>
      <c r="G916" s="1353"/>
      <c r="H916" s="1353"/>
      <c r="I916" s="1353"/>
      <c r="J916" s="1353"/>
      <c r="K916" s="1387"/>
      <c r="L916" s="1353"/>
      <c r="M916" s="1353"/>
      <c r="N916" s="1353"/>
    </row>
    <row r="917" spans="1:14" x14ac:dyDescent="0.25">
      <c r="A917" s="1353"/>
      <c r="B917" s="1353"/>
      <c r="C917" s="1353"/>
      <c r="D917" s="1353"/>
      <c r="E917" s="1353"/>
      <c r="F917" s="1353"/>
      <c r="G917" s="1353"/>
      <c r="H917" s="1353"/>
      <c r="I917" s="1353"/>
      <c r="J917" s="1353"/>
      <c r="K917" s="1387"/>
      <c r="L917" s="1353"/>
      <c r="M917" s="1353"/>
      <c r="N917" s="1353"/>
    </row>
    <row r="918" spans="1:14" x14ac:dyDescent="0.25">
      <c r="A918" s="1353"/>
      <c r="B918" s="1353"/>
      <c r="C918" s="1353"/>
      <c r="D918" s="1353"/>
      <c r="E918" s="1353"/>
      <c r="F918" s="1353"/>
      <c r="G918" s="1353"/>
      <c r="H918" s="1353"/>
      <c r="I918" s="1353"/>
      <c r="J918" s="1353"/>
      <c r="K918" s="1387"/>
      <c r="L918" s="1353"/>
      <c r="M918" s="1353"/>
      <c r="N918" s="1353"/>
    </row>
    <row r="919" spans="1:14" x14ac:dyDescent="0.25">
      <c r="A919" s="1353"/>
      <c r="B919" s="1353"/>
      <c r="C919" s="1353"/>
      <c r="D919" s="1353"/>
      <c r="E919" s="1353"/>
      <c r="F919" s="1353"/>
      <c r="G919" s="1353"/>
      <c r="H919" s="1353"/>
      <c r="I919" s="1353"/>
      <c r="J919" s="1353"/>
      <c r="K919" s="1387"/>
      <c r="L919" s="1353"/>
      <c r="M919" s="1353"/>
      <c r="N919" s="1353"/>
    </row>
    <row r="920" spans="1:14" x14ac:dyDescent="0.25">
      <c r="A920" s="1353"/>
      <c r="B920" s="1353"/>
      <c r="C920" s="1353"/>
      <c r="D920" s="1353"/>
      <c r="E920" s="1353"/>
      <c r="F920" s="1353"/>
      <c r="G920" s="1353"/>
      <c r="H920" s="1353"/>
      <c r="I920" s="1353"/>
      <c r="J920" s="1353"/>
      <c r="K920" s="1387"/>
      <c r="L920" s="1353"/>
      <c r="M920" s="1353"/>
      <c r="N920" s="1353"/>
    </row>
    <row r="921" spans="1:14" x14ac:dyDescent="0.25">
      <c r="A921" s="1353"/>
      <c r="B921" s="1353"/>
      <c r="C921" s="1353"/>
      <c r="D921" s="1353"/>
      <c r="E921" s="1353"/>
      <c r="F921" s="1353"/>
      <c r="G921" s="1353"/>
      <c r="H921" s="1353"/>
      <c r="I921" s="1353"/>
      <c r="J921" s="1353"/>
      <c r="K921" s="1387"/>
      <c r="L921" s="1353"/>
      <c r="M921" s="1353"/>
      <c r="N921" s="1353"/>
    </row>
    <row r="922" spans="1:14" x14ac:dyDescent="0.25">
      <c r="A922" s="1353"/>
      <c r="B922" s="1353"/>
      <c r="C922" s="1353"/>
      <c r="D922" s="1353"/>
      <c r="E922" s="1353"/>
      <c r="F922" s="1353"/>
      <c r="G922" s="1353"/>
      <c r="H922" s="1353"/>
      <c r="I922" s="1353"/>
      <c r="J922" s="1353"/>
      <c r="K922" s="1387"/>
      <c r="L922" s="1353"/>
      <c r="M922" s="1353"/>
      <c r="N922" s="1353"/>
    </row>
    <row r="923" spans="1:14" x14ac:dyDescent="0.25">
      <c r="A923" s="1353"/>
      <c r="B923" s="1353"/>
      <c r="C923" s="1353"/>
      <c r="D923" s="1353"/>
      <c r="E923" s="1353"/>
      <c r="F923" s="1353"/>
      <c r="G923" s="1353"/>
      <c r="H923" s="1353"/>
      <c r="I923" s="1353"/>
      <c r="J923" s="1353"/>
      <c r="K923" s="1387"/>
      <c r="L923" s="1353"/>
      <c r="M923" s="1353"/>
      <c r="N923" s="1353"/>
    </row>
    <row r="924" spans="1:14" x14ac:dyDescent="0.25">
      <c r="A924" s="1353"/>
      <c r="B924" s="1353"/>
      <c r="C924" s="1353"/>
      <c r="D924" s="1353"/>
      <c r="E924" s="1353"/>
      <c r="F924" s="1353"/>
      <c r="G924" s="1353"/>
      <c r="H924" s="1353"/>
      <c r="I924" s="1353"/>
      <c r="J924" s="1353"/>
      <c r="K924" s="1387"/>
      <c r="L924" s="1353"/>
      <c r="M924" s="1353"/>
      <c r="N924" s="1353"/>
    </row>
    <row r="925" spans="1:14" x14ac:dyDescent="0.25">
      <c r="A925" s="1353"/>
      <c r="B925" s="1353"/>
      <c r="C925" s="1353"/>
      <c r="D925" s="1353"/>
      <c r="E925" s="1353"/>
      <c r="F925" s="1353"/>
      <c r="G925" s="1353"/>
      <c r="H925" s="1353"/>
      <c r="I925" s="1353"/>
      <c r="J925" s="1353"/>
      <c r="K925" s="1387"/>
      <c r="L925" s="1353"/>
      <c r="M925" s="1353"/>
      <c r="N925" s="1353"/>
    </row>
    <row r="926" spans="1:14" x14ac:dyDescent="0.25">
      <c r="A926" s="1353"/>
      <c r="B926" s="1353"/>
      <c r="C926" s="1353"/>
      <c r="D926" s="1353"/>
      <c r="E926" s="1353"/>
      <c r="F926" s="1353"/>
      <c r="G926" s="1353"/>
      <c r="H926" s="1353"/>
      <c r="I926" s="1353"/>
      <c r="J926" s="1353"/>
      <c r="K926" s="1387"/>
      <c r="L926" s="1353"/>
      <c r="M926" s="1353"/>
      <c r="N926" s="1353"/>
    </row>
    <row r="927" spans="1:14" x14ac:dyDescent="0.25">
      <c r="A927" s="1353"/>
      <c r="B927" s="1353"/>
      <c r="C927" s="1353"/>
      <c r="D927" s="1353"/>
      <c r="E927" s="1353"/>
      <c r="F927" s="1353"/>
      <c r="G927" s="1353"/>
      <c r="H927" s="1353"/>
      <c r="I927" s="1353"/>
      <c r="J927" s="1353"/>
      <c r="K927" s="1387"/>
      <c r="L927" s="1353"/>
      <c r="M927" s="1353"/>
      <c r="N927" s="1353"/>
    </row>
    <row r="928" spans="1:14" x14ac:dyDescent="0.25">
      <c r="A928" s="1353"/>
      <c r="B928" s="1353"/>
      <c r="C928" s="1353"/>
      <c r="D928" s="1353"/>
      <c r="E928" s="1353"/>
      <c r="F928" s="1353"/>
      <c r="G928" s="1353"/>
      <c r="H928" s="1353"/>
      <c r="I928" s="1353"/>
      <c r="J928" s="1353"/>
      <c r="K928" s="1387"/>
      <c r="L928" s="1353"/>
      <c r="M928" s="1353"/>
      <c r="N928" s="1353"/>
    </row>
    <row r="929" spans="1:14" x14ac:dyDescent="0.25">
      <c r="A929" s="1353"/>
      <c r="B929" s="1353"/>
      <c r="C929" s="1353"/>
      <c r="D929" s="1353"/>
      <c r="E929" s="1353"/>
      <c r="F929" s="1353"/>
      <c r="G929" s="1353"/>
      <c r="H929" s="1353"/>
      <c r="I929" s="1353"/>
      <c r="J929" s="1353"/>
      <c r="K929" s="1387"/>
      <c r="L929" s="1353"/>
      <c r="M929" s="1353"/>
      <c r="N929" s="1353"/>
    </row>
    <row r="930" spans="1:14" x14ac:dyDescent="0.25">
      <c r="A930" s="1353"/>
      <c r="B930" s="1353"/>
      <c r="C930" s="1353"/>
      <c r="D930" s="1353"/>
      <c r="E930" s="1353"/>
      <c r="F930" s="1353"/>
      <c r="G930" s="1353"/>
      <c r="H930" s="1353"/>
      <c r="I930" s="1353"/>
      <c r="J930" s="1353"/>
      <c r="K930" s="1387"/>
      <c r="L930" s="1353"/>
      <c r="M930" s="1353"/>
      <c r="N930" s="1353"/>
    </row>
    <row r="931" spans="1:14" x14ac:dyDescent="0.25">
      <c r="A931" s="1353"/>
      <c r="B931" s="1353"/>
      <c r="C931" s="1353"/>
      <c r="D931" s="1353"/>
      <c r="E931" s="1353"/>
      <c r="F931" s="1353"/>
      <c r="G931" s="1353"/>
      <c r="H931" s="1353"/>
      <c r="I931" s="1353"/>
      <c r="J931" s="1353"/>
      <c r="K931" s="1387"/>
      <c r="L931" s="1353"/>
      <c r="M931" s="1353"/>
      <c r="N931" s="1353"/>
    </row>
    <row r="932" spans="1:14" x14ac:dyDescent="0.25">
      <c r="A932" s="1353"/>
      <c r="B932" s="1353"/>
      <c r="C932" s="1353"/>
      <c r="D932" s="1353"/>
      <c r="E932" s="1353"/>
      <c r="F932" s="1353"/>
      <c r="G932" s="1353"/>
      <c r="H932" s="1353"/>
      <c r="I932" s="1353"/>
      <c r="J932" s="1353"/>
      <c r="K932" s="1387"/>
      <c r="L932" s="1353"/>
      <c r="M932" s="1353"/>
      <c r="N932" s="1353"/>
    </row>
    <row r="933" spans="1:14" x14ac:dyDescent="0.25">
      <c r="A933" s="1353"/>
      <c r="B933" s="1353"/>
      <c r="C933" s="1353"/>
      <c r="D933" s="1353"/>
      <c r="E933" s="1353"/>
      <c r="F933" s="1353"/>
      <c r="G933" s="1353"/>
      <c r="H933" s="1353"/>
      <c r="I933" s="1353"/>
      <c r="J933" s="1353"/>
      <c r="K933" s="1387"/>
      <c r="L933" s="1353"/>
      <c r="M933" s="1353"/>
      <c r="N933" s="1353"/>
    </row>
    <row r="934" spans="1:14" x14ac:dyDescent="0.25">
      <c r="A934" s="1353"/>
      <c r="B934" s="1353"/>
      <c r="C934" s="1353"/>
      <c r="D934" s="1353"/>
      <c r="E934" s="1353"/>
      <c r="F934" s="1353"/>
      <c r="G934" s="1353"/>
      <c r="H934" s="1353"/>
      <c r="I934" s="1353"/>
      <c r="J934" s="1353"/>
      <c r="K934" s="1387"/>
      <c r="L934" s="1353"/>
      <c r="M934" s="1353"/>
      <c r="N934" s="1353"/>
    </row>
    <row r="935" spans="1:14" x14ac:dyDescent="0.25">
      <c r="A935" s="1353"/>
      <c r="B935" s="1353"/>
      <c r="C935" s="1353"/>
      <c r="D935" s="1353"/>
      <c r="E935" s="1353"/>
      <c r="F935" s="1353"/>
      <c r="G935" s="1353"/>
      <c r="H935" s="1353"/>
      <c r="I935" s="1353"/>
      <c r="J935" s="1353"/>
      <c r="K935" s="1387"/>
      <c r="L935" s="1353"/>
      <c r="M935" s="1353"/>
      <c r="N935" s="1353"/>
    </row>
    <row r="936" spans="1:14" x14ac:dyDescent="0.25">
      <c r="A936" s="1353"/>
      <c r="B936" s="1353"/>
      <c r="C936" s="1353"/>
      <c r="D936" s="1353"/>
      <c r="E936" s="1353"/>
      <c r="F936" s="1353"/>
      <c r="G936" s="1353"/>
      <c r="H936" s="1353"/>
      <c r="I936" s="1353"/>
      <c r="J936" s="1353"/>
      <c r="K936" s="1387"/>
      <c r="L936" s="1353"/>
      <c r="M936" s="1353"/>
      <c r="N936" s="1353"/>
    </row>
    <row r="937" spans="1:14" x14ac:dyDescent="0.25">
      <c r="A937" s="1353"/>
      <c r="B937" s="1353"/>
      <c r="C937" s="1353"/>
      <c r="D937" s="1353"/>
      <c r="E937" s="1353"/>
      <c r="F937" s="1353"/>
      <c r="G937" s="1353"/>
      <c r="H937" s="1353"/>
      <c r="I937" s="1353"/>
      <c r="J937" s="1353"/>
      <c r="K937" s="1387"/>
      <c r="L937" s="1353"/>
      <c r="M937" s="1353"/>
      <c r="N937" s="1353"/>
    </row>
    <row r="938" spans="1:14" x14ac:dyDescent="0.25">
      <c r="A938" s="1353"/>
      <c r="B938" s="1353"/>
      <c r="C938" s="1353"/>
      <c r="D938" s="1353"/>
      <c r="E938" s="1353"/>
      <c r="F938" s="1353"/>
      <c r="G938" s="1353"/>
      <c r="H938" s="1353"/>
      <c r="I938" s="1353"/>
      <c r="J938" s="1353"/>
      <c r="K938" s="1387"/>
      <c r="L938" s="1353"/>
      <c r="M938" s="1353"/>
      <c r="N938" s="1353"/>
    </row>
    <row r="939" spans="1:14" x14ac:dyDescent="0.25">
      <c r="A939" s="1353"/>
      <c r="B939" s="1353"/>
      <c r="C939" s="1353"/>
      <c r="D939" s="1353"/>
      <c r="E939" s="1353"/>
      <c r="F939" s="1353"/>
      <c r="G939" s="1353"/>
      <c r="H939" s="1353"/>
      <c r="I939" s="1353"/>
      <c r="J939" s="1353"/>
      <c r="K939" s="1387"/>
      <c r="L939" s="1353"/>
      <c r="M939" s="1353"/>
      <c r="N939" s="1353"/>
    </row>
    <row r="940" spans="1:14" x14ac:dyDescent="0.25">
      <c r="A940" s="1353"/>
      <c r="B940" s="1353"/>
      <c r="C940" s="1353"/>
      <c r="D940" s="1353"/>
      <c r="E940" s="1353"/>
      <c r="F940" s="1353"/>
      <c r="G940" s="1353"/>
      <c r="H940" s="1353"/>
      <c r="I940" s="1353"/>
      <c r="J940" s="1353"/>
      <c r="K940" s="1387"/>
      <c r="L940" s="1353"/>
      <c r="M940" s="1353"/>
      <c r="N940" s="1353"/>
    </row>
    <row r="941" spans="1:14" x14ac:dyDescent="0.25">
      <c r="A941" s="1353"/>
      <c r="B941" s="1353"/>
      <c r="C941" s="1353"/>
      <c r="D941" s="1353"/>
      <c r="E941" s="1353"/>
      <c r="F941" s="1353"/>
      <c r="G941" s="1353"/>
      <c r="H941" s="1353"/>
      <c r="I941" s="1353"/>
      <c r="J941" s="1353"/>
      <c r="K941" s="1387"/>
      <c r="L941" s="1353"/>
      <c r="M941" s="1353"/>
      <c r="N941" s="1353"/>
    </row>
    <row r="942" spans="1:14" x14ac:dyDescent="0.25">
      <c r="A942" s="1353"/>
      <c r="B942" s="1353"/>
      <c r="C942" s="1353"/>
      <c r="D942" s="1353"/>
      <c r="E942" s="1353"/>
      <c r="F942" s="1353"/>
      <c r="G942" s="1353"/>
      <c r="H942" s="1353"/>
      <c r="I942" s="1353"/>
      <c r="J942" s="1353"/>
      <c r="K942" s="1387"/>
      <c r="L942" s="1353"/>
      <c r="M942" s="1353"/>
      <c r="N942" s="1353"/>
    </row>
    <row r="943" spans="1:14" x14ac:dyDescent="0.25">
      <c r="A943" s="1353"/>
      <c r="B943" s="1353"/>
      <c r="C943" s="1353"/>
      <c r="D943" s="1353"/>
      <c r="E943" s="1353"/>
      <c r="F943" s="1353"/>
      <c r="G943" s="1353"/>
      <c r="H943" s="1353"/>
      <c r="I943" s="1353"/>
      <c r="J943" s="1353"/>
      <c r="K943" s="1387"/>
      <c r="L943" s="1353"/>
      <c r="M943" s="1353"/>
      <c r="N943" s="1353"/>
    </row>
    <row r="944" spans="1:14" x14ac:dyDescent="0.25">
      <c r="A944" s="1353"/>
      <c r="B944" s="1353"/>
      <c r="C944" s="1353"/>
      <c r="D944" s="1353"/>
      <c r="E944" s="1353"/>
      <c r="F944" s="1353"/>
      <c r="G944" s="1353"/>
      <c r="H944" s="1353"/>
      <c r="I944" s="1353"/>
      <c r="J944" s="1353"/>
      <c r="K944" s="1387"/>
      <c r="L944" s="1353"/>
      <c r="M944" s="1353"/>
      <c r="N944" s="1353"/>
    </row>
    <row r="945" spans="1:14" x14ac:dyDescent="0.25">
      <c r="A945" s="1353"/>
      <c r="B945" s="1353"/>
      <c r="C945" s="1353"/>
      <c r="D945" s="1353"/>
      <c r="E945" s="1353"/>
      <c r="F945" s="1353"/>
      <c r="G945" s="1353"/>
      <c r="H945" s="1353"/>
      <c r="I945" s="1353"/>
      <c r="J945" s="1353"/>
      <c r="K945" s="1387"/>
      <c r="L945" s="1353"/>
      <c r="M945" s="1353"/>
      <c r="N945" s="1353"/>
    </row>
    <row r="946" spans="1:14" x14ac:dyDescent="0.25">
      <c r="A946" s="1353"/>
      <c r="B946" s="1353"/>
      <c r="C946" s="1353"/>
      <c r="D946" s="1353"/>
      <c r="E946" s="1353"/>
      <c r="F946" s="1353"/>
      <c r="G946" s="1353"/>
      <c r="H946" s="1353"/>
      <c r="I946" s="1353"/>
      <c r="J946" s="1353"/>
      <c r="K946" s="1387"/>
      <c r="L946" s="1353"/>
      <c r="M946" s="1353"/>
      <c r="N946" s="1353"/>
    </row>
    <row r="947" spans="1:14" x14ac:dyDescent="0.25">
      <c r="A947" s="1353"/>
      <c r="B947" s="1353"/>
      <c r="C947" s="1353"/>
      <c r="D947" s="1353"/>
      <c r="E947" s="1353"/>
      <c r="F947" s="1353"/>
      <c r="G947" s="1353"/>
      <c r="H947" s="1353"/>
      <c r="I947" s="1353"/>
      <c r="J947" s="1353"/>
      <c r="K947" s="1387"/>
      <c r="L947" s="1353"/>
      <c r="M947" s="1353"/>
      <c r="N947" s="1353"/>
    </row>
    <row r="948" spans="1:14" x14ac:dyDescent="0.25">
      <c r="A948" s="1353"/>
      <c r="B948" s="1353"/>
      <c r="C948" s="1353"/>
      <c r="D948" s="1353"/>
      <c r="E948" s="1353"/>
      <c r="F948" s="1353"/>
      <c r="G948" s="1353"/>
      <c r="H948" s="1353"/>
      <c r="I948" s="1353"/>
      <c r="J948" s="1353"/>
      <c r="K948" s="1387"/>
      <c r="L948" s="1353"/>
      <c r="M948" s="1353"/>
      <c r="N948" s="1353"/>
    </row>
    <row r="949" spans="1:14" x14ac:dyDescent="0.25">
      <c r="A949" s="1353"/>
      <c r="B949" s="1353"/>
      <c r="C949" s="1353"/>
      <c r="D949" s="1353"/>
      <c r="E949" s="1353"/>
      <c r="F949" s="1353"/>
      <c r="G949" s="1353"/>
      <c r="H949" s="1353"/>
      <c r="I949" s="1353"/>
      <c r="J949" s="1353"/>
      <c r="K949" s="1387"/>
      <c r="L949" s="1353"/>
      <c r="M949" s="1353"/>
      <c r="N949" s="1353"/>
    </row>
    <row r="950" spans="1:14" x14ac:dyDescent="0.25">
      <c r="A950" s="1353"/>
      <c r="B950" s="1353"/>
      <c r="C950" s="1353"/>
      <c r="D950" s="1353"/>
      <c r="E950" s="1353"/>
      <c r="F950" s="1353"/>
      <c r="G950" s="1353"/>
      <c r="H950" s="1353"/>
      <c r="I950" s="1353"/>
      <c r="J950" s="1353"/>
      <c r="K950" s="1387"/>
      <c r="L950" s="1353"/>
      <c r="M950" s="1353"/>
      <c r="N950" s="1353"/>
    </row>
    <row r="951" spans="1:14" x14ac:dyDescent="0.25">
      <c r="A951" s="1353"/>
      <c r="B951" s="1353"/>
      <c r="C951" s="1353"/>
      <c r="D951" s="1353"/>
      <c r="E951" s="1353"/>
      <c r="F951" s="1353"/>
      <c r="G951" s="1353"/>
      <c r="H951" s="1353"/>
      <c r="I951" s="1353"/>
      <c r="J951" s="1353"/>
      <c r="K951" s="1387"/>
      <c r="L951" s="1353"/>
      <c r="M951" s="1353"/>
      <c r="N951" s="1353"/>
    </row>
    <row r="952" spans="1:14" x14ac:dyDescent="0.25">
      <c r="A952" s="1353"/>
      <c r="B952" s="1353"/>
      <c r="C952" s="1353"/>
      <c r="D952" s="1353"/>
      <c r="E952" s="1353"/>
      <c r="F952" s="1353"/>
      <c r="G952" s="1353"/>
      <c r="H952" s="1353"/>
      <c r="I952" s="1353"/>
      <c r="J952" s="1353"/>
      <c r="K952" s="1387"/>
      <c r="L952" s="1353"/>
      <c r="M952" s="1353"/>
      <c r="N952" s="1353"/>
    </row>
    <row r="953" spans="1:14" x14ac:dyDescent="0.25">
      <c r="A953" s="1353"/>
      <c r="B953" s="1353"/>
      <c r="C953" s="1353"/>
      <c r="D953" s="1353"/>
      <c r="E953" s="1353"/>
      <c r="F953" s="1353"/>
      <c r="G953" s="1353"/>
      <c r="H953" s="1353"/>
      <c r="I953" s="1353"/>
      <c r="J953" s="1353"/>
      <c r="K953" s="1387"/>
      <c r="L953" s="1353"/>
      <c r="M953" s="1353"/>
      <c r="N953" s="1353"/>
    </row>
    <row r="954" spans="1:14" x14ac:dyDescent="0.25">
      <c r="A954" s="1353"/>
      <c r="B954" s="1353"/>
      <c r="C954" s="1353"/>
      <c r="D954" s="1353"/>
      <c r="E954" s="1353"/>
      <c r="F954" s="1353"/>
      <c r="G954" s="1353"/>
      <c r="H954" s="1353"/>
      <c r="I954" s="1353"/>
      <c r="J954" s="1353"/>
      <c r="K954" s="1387"/>
      <c r="L954" s="1353"/>
      <c r="M954" s="1353"/>
      <c r="N954" s="1353"/>
    </row>
    <row r="955" spans="1:14" x14ac:dyDescent="0.25">
      <c r="A955" s="1353"/>
      <c r="B955" s="1353"/>
      <c r="C955" s="1353"/>
      <c r="D955" s="1353"/>
      <c r="E955" s="1353"/>
      <c r="F955" s="1353"/>
      <c r="G955" s="1353"/>
      <c r="H955" s="1353"/>
      <c r="I955" s="1353"/>
      <c r="J955" s="1353"/>
      <c r="K955" s="1387"/>
      <c r="L955" s="1353"/>
      <c r="M955" s="1353"/>
      <c r="N955" s="1353"/>
    </row>
    <row r="956" spans="1:14" x14ac:dyDescent="0.25">
      <c r="A956" s="1353"/>
      <c r="B956" s="1353"/>
      <c r="C956" s="1353"/>
      <c r="D956" s="1353"/>
      <c r="E956" s="1353"/>
      <c r="F956" s="1353"/>
      <c r="G956" s="1353"/>
      <c r="H956" s="1353"/>
      <c r="I956" s="1353"/>
      <c r="J956" s="1353"/>
      <c r="K956" s="1387"/>
      <c r="L956" s="1353"/>
      <c r="M956" s="1353"/>
      <c r="N956" s="1353"/>
    </row>
    <row r="957" spans="1:14" x14ac:dyDescent="0.25">
      <c r="A957" s="1353"/>
      <c r="B957" s="1353"/>
      <c r="C957" s="1353"/>
      <c r="D957" s="1353"/>
      <c r="E957" s="1353"/>
      <c r="F957" s="1353"/>
      <c r="G957" s="1353"/>
      <c r="H957" s="1353"/>
      <c r="I957" s="1353"/>
      <c r="J957" s="1353"/>
      <c r="K957" s="1387"/>
      <c r="L957" s="1353"/>
      <c r="M957" s="1353"/>
      <c r="N957" s="1353"/>
    </row>
    <row r="958" spans="1:14" x14ac:dyDescent="0.25">
      <c r="A958" s="1353"/>
      <c r="B958" s="1353"/>
      <c r="C958" s="1353"/>
      <c r="D958" s="1353"/>
      <c r="E958" s="1353"/>
      <c r="F958" s="1353"/>
      <c r="G958" s="1353"/>
      <c r="H958" s="1353"/>
      <c r="I958" s="1353"/>
      <c r="J958" s="1353"/>
      <c r="K958" s="1387"/>
      <c r="L958" s="1353"/>
      <c r="M958" s="1353"/>
      <c r="N958" s="1353"/>
    </row>
    <row r="959" spans="1:14" x14ac:dyDescent="0.25">
      <c r="A959" s="1353"/>
      <c r="B959" s="1353"/>
      <c r="C959" s="1353"/>
      <c r="D959" s="1353"/>
      <c r="E959" s="1353"/>
      <c r="F959" s="1353"/>
      <c r="G959" s="1353"/>
      <c r="H959" s="1353"/>
      <c r="I959" s="1353"/>
      <c r="J959" s="1353"/>
      <c r="K959" s="1387"/>
      <c r="L959" s="1353"/>
      <c r="M959" s="1353"/>
      <c r="N959" s="1353"/>
    </row>
    <row r="960" spans="1:14" x14ac:dyDescent="0.25">
      <c r="A960" s="1353"/>
      <c r="B960" s="1353"/>
      <c r="C960" s="1353"/>
      <c r="D960" s="1353"/>
      <c r="E960" s="1353"/>
      <c r="F960" s="1353"/>
      <c r="G960" s="1353"/>
      <c r="H960" s="1353"/>
      <c r="I960" s="1353"/>
      <c r="J960" s="1353"/>
      <c r="K960" s="1387"/>
      <c r="L960" s="1353"/>
      <c r="M960" s="1353"/>
      <c r="N960" s="1353"/>
    </row>
    <row r="961" spans="1:14" x14ac:dyDescent="0.25">
      <c r="A961" s="1353"/>
      <c r="B961" s="1353"/>
      <c r="C961" s="1353"/>
      <c r="D961" s="1353"/>
      <c r="E961" s="1353"/>
      <c r="F961" s="1353"/>
      <c r="G961" s="1353"/>
      <c r="H961" s="1353"/>
      <c r="I961" s="1353"/>
      <c r="J961" s="1353"/>
      <c r="K961" s="1387"/>
      <c r="L961" s="1353"/>
      <c r="M961" s="1353"/>
      <c r="N961" s="1353"/>
    </row>
    <row r="962" spans="1:14" x14ac:dyDescent="0.25">
      <c r="A962" s="1353"/>
      <c r="B962" s="1353"/>
      <c r="C962" s="1353"/>
      <c r="D962" s="1353"/>
      <c r="E962" s="1353"/>
      <c r="F962" s="1353"/>
      <c r="G962" s="1353"/>
      <c r="H962" s="1353"/>
      <c r="I962" s="1353"/>
      <c r="J962" s="1353"/>
      <c r="K962" s="1387"/>
      <c r="L962" s="1353"/>
      <c r="M962" s="1353"/>
      <c r="N962" s="1353"/>
    </row>
    <row r="963" spans="1:14" x14ac:dyDescent="0.25">
      <c r="A963" s="1353"/>
      <c r="B963" s="1353"/>
      <c r="C963" s="1353"/>
      <c r="D963" s="1353"/>
      <c r="E963" s="1353"/>
      <c r="F963" s="1353"/>
      <c r="G963" s="1353"/>
      <c r="H963" s="1353"/>
      <c r="I963" s="1353"/>
      <c r="J963" s="1353"/>
      <c r="K963" s="1387"/>
      <c r="L963" s="1353"/>
      <c r="M963" s="1353"/>
      <c r="N963" s="1353"/>
    </row>
    <row r="964" spans="1:14" x14ac:dyDescent="0.25">
      <c r="A964" s="1353"/>
      <c r="B964" s="1353"/>
      <c r="C964" s="1353"/>
      <c r="D964" s="1353"/>
      <c r="E964" s="1353"/>
      <c r="F964" s="1353"/>
      <c r="G964" s="1353"/>
      <c r="H964" s="1353"/>
      <c r="I964" s="1353"/>
      <c r="J964" s="1353"/>
      <c r="K964" s="1387"/>
      <c r="L964" s="1353"/>
      <c r="M964" s="1353"/>
      <c r="N964" s="1353"/>
    </row>
    <row r="965" spans="1:14" x14ac:dyDescent="0.25">
      <c r="A965" s="1353"/>
      <c r="B965" s="1353"/>
      <c r="C965" s="1353"/>
      <c r="D965" s="1353"/>
      <c r="E965" s="1353"/>
      <c r="F965" s="1353"/>
      <c r="G965" s="1353"/>
      <c r="H965" s="1353"/>
      <c r="I965" s="1353"/>
      <c r="J965" s="1353"/>
      <c r="K965" s="1387"/>
      <c r="L965" s="1353"/>
      <c r="M965" s="1353"/>
      <c r="N965" s="1353"/>
    </row>
    <row r="966" spans="1:14" x14ac:dyDescent="0.25">
      <c r="A966" s="1353"/>
      <c r="B966" s="1353"/>
      <c r="C966" s="1353"/>
      <c r="D966" s="1353"/>
      <c r="E966" s="1353"/>
      <c r="F966" s="1353"/>
      <c r="G966" s="1353"/>
      <c r="H966" s="1353"/>
      <c r="I966" s="1353"/>
      <c r="J966" s="1353"/>
      <c r="K966" s="1387"/>
      <c r="L966" s="1353"/>
      <c r="M966" s="1353"/>
      <c r="N966" s="1353"/>
    </row>
    <row r="967" spans="1:14" x14ac:dyDescent="0.25">
      <c r="A967" s="1353"/>
      <c r="B967" s="1353"/>
      <c r="C967" s="1353"/>
      <c r="D967" s="1353"/>
      <c r="E967" s="1353"/>
      <c r="F967" s="1353"/>
      <c r="G967" s="1353"/>
      <c r="H967" s="1353"/>
      <c r="I967" s="1353"/>
      <c r="J967" s="1353"/>
      <c r="K967" s="1387"/>
      <c r="L967" s="1353"/>
      <c r="M967" s="1353"/>
      <c r="N967" s="1353"/>
    </row>
    <row r="968" spans="1:14" x14ac:dyDescent="0.25">
      <c r="A968" s="1353"/>
      <c r="B968" s="1353"/>
      <c r="C968" s="1353"/>
      <c r="D968" s="1353"/>
      <c r="E968" s="1353"/>
      <c r="F968" s="1353"/>
      <c r="G968" s="1353"/>
      <c r="H968" s="1353"/>
      <c r="I968" s="1353"/>
      <c r="J968" s="1353"/>
      <c r="K968" s="1387"/>
      <c r="L968" s="1353"/>
      <c r="M968" s="1353"/>
      <c r="N968" s="1353"/>
    </row>
    <row r="969" spans="1:14" x14ac:dyDescent="0.25">
      <c r="A969" s="1353"/>
      <c r="B969" s="1353"/>
      <c r="C969" s="1353"/>
      <c r="D969" s="1353"/>
      <c r="E969" s="1353"/>
      <c r="F969" s="1353"/>
      <c r="G969" s="1353"/>
      <c r="H969" s="1353"/>
      <c r="I969" s="1353"/>
      <c r="J969" s="1353"/>
      <c r="K969" s="1387"/>
      <c r="L969" s="1353"/>
      <c r="M969" s="1353"/>
      <c r="N969" s="1353"/>
    </row>
    <row r="970" spans="1:14" x14ac:dyDescent="0.25">
      <c r="A970" s="1353"/>
      <c r="B970" s="1353"/>
      <c r="C970" s="1353"/>
      <c r="D970" s="1353"/>
      <c r="E970" s="1353"/>
      <c r="F970" s="1353"/>
      <c r="G970" s="1353"/>
      <c r="H970" s="1353"/>
      <c r="I970" s="1353"/>
      <c r="J970" s="1353"/>
      <c r="K970" s="1387"/>
      <c r="L970" s="1353"/>
      <c r="M970" s="1353"/>
      <c r="N970" s="1353"/>
    </row>
    <row r="971" spans="1:14" x14ac:dyDescent="0.25">
      <c r="A971" s="1353"/>
      <c r="B971" s="1353"/>
      <c r="C971" s="1353"/>
      <c r="D971" s="1353"/>
      <c r="E971" s="1353"/>
      <c r="F971" s="1353"/>
      <c r="G971" s="1353"/>
      <c r="H971" s="1353"/>
      <c r="I971" s="1353"/>
      <c r="J971" s="1353"/>
      <c r="K971" s="1387"/>
      <c r="L971" s="1353"/>
      <c r="M971" s="1353"/>
      <c r="N971" s="1353"/>
    </row>
    <row r="972" spans="1:14" x14ac:dyDescent="0.25">
      <c r="A972" s="1353"/>
      <c r="B972" s="1353"/>
      <c r="C972" s="1353"/>
      <c r="D972" s="1353"/>
      <c r="E972" s="1353"/>
      <c r="F972" s="1353"/>
      <c r="G972" s="1353"/>
      <c r="H972" s="1353"/>
      <c r="I972" s="1353"/>
      <c r="J972" s="1353"/>
      <c r="K972" s="1387"/>
      <c r="L972" s="1353"/>
      <c r="M972" s="1353"/>
      <c r="N972" s="1353"/>
    </row>
    <row r="973" spans="1:14" x14ac:dyDescent="0.25">
      <c r="A973" s="1353"/>
      <c r="B973" s="1353"/>
      <c r="C973" s="1353"/>
      <c r="D973" s="1353"/>
      <c r="E973" s="1353"/>
      <c r="F973" s="1353"/>
      <c r="G973" s="1353"/>
      <c r="H973" s="1353"/>
      <c r="I973" s="1353"/>
      <c r="J973" s="1353"/>
      <c r="K973" s="1387"/>
      <c r="L973" s="1353"/>
      <c r="M973" s="1353"/>
      <c r="N973" s="1353"/>
    </row>
    <row r="974" spans="1:14" x14ac:dyDescent="0.25">
      <c r="A974" s="1353"/>
      <c r="B974" s="1353"/>
      <c r="C974" s="1353"/>
      <c r="D974" s="1353"/>
      <c r="E974" s="1353"/>
      <c r="F974" s="1353"/>
      <c r="G974" s="1353"/>
      <c r="H974" s="1353"/>
      <c r="I974" s="1353"/>
      <c r="J974" s="1353"/>
      <c r="K974" s="1387"/>
      <c r="L974" s="1353"/>
      <c r="M974" s="1353"/>
      <c r="N974" s="1353"/>
    </row>
    <row r="975" spans="1:14" x14ac:dyDescent="0.25">
      <c r="A975" s="1353"/>
      <c r="B975" s="1353"/>
      <c r="C975" s="1353"/>
      <c r="D975" s="1353"/>
      <c r="E975" s="1353"/>
      <c r="F975" s="1353"/>
      <c r="G975" s="1353"/>
      <c r="H975" s="1353"/>
      <c r="I975" s="1353"/>
      <c r="J975" s="1353"/>
      <c r="K975" s="1387"/>
      <c r="L975" s="1353"/>
      <c r="M975" s="1353"/>
      <c r="N975" s="1353"/>
    </row>
    <row r="976" spans="1:14" x14ac:dyDescent="0.25">
      <c r="A976" s="1353"/>
      <c r="B976" s="1353"/>
      <c r="C976" s="1353"/>
      <c r="D976" s="1353"/>
      <c r="E976" s="1353"/>
      <c r="F976" s="1353"/>
      <c r="G976" s="1353"/>
      <c r="H976" s="1353"/>
      <c r="I976" s="1353"/>
      <c r="J976" s="1353"/>
      <c r="K976" s="1387"/>
      <c r="L976" s="1353"/>
      <c r="M976" s="1353"/>
      <c r="N976" s="1353"/>
    </row>
    <row r="977" spans="1:14" x14ac:dyDescent="0.25">
      <c r="A977" s="1353"/>
      <c r="B977" s="1353"/>
      <c r="C977" s="1353"/>
      <c r="D977" s="1353"/>
      <c r="E977" s="1353"/>
      <c r="F977" s="1353"/>
      <c r="G977" s="1353"/>
      <c r="H977" s="1353"/>
      <c r="I977" s="1353"/>
      <c r="J977" s="1353"/>
      <c r="K977" s="1387"/>
      <c r="L977" s="1353"/>
      <c r="M977" s="1353"/>
      <c r="N977" s="1353"/>
    </row>
    <row r="978" spans="1:14" x14ac:dyDescent="0.25">
      <c r="A978" s="1353"/>
      <c r="B978" s="1353"/>
      <c r="C978" s="1353"/>
      <c r="D978" s="1353"/>
      <c r="E978" s="1353"/>
      <c r="F978" s="1353"/>
      <c r="G978" s="1353"/>
      <c r="H978" s="1353"/>
      <c r="I978" s="1353"/>
      <c r="J978" s="1353"/>
      <c r="K978" s="1387"/>
      <c r="L978" s="1353"/>
      <c r="M978" s="1353"/>
      <c r="N978" s="1353"/>
    </row>
    <row r="979" spans="1:14" x14ac:dyDescent="0.25">
      <c r="A979" s="1353"/>
      <c r="B979" s="1353"/>
      <c r="C979" s="1353"/>
      <c r="D979" s="1353"/>
      <c r="E979" s="1353"/>
      <c r="F979" s="1353"/>
      <c r="G979" s="1353"/>
      <c r="H979" s="1353"/>
      <c r="I979" s="1353"/>
      <c r="J979" s="1353"/>
      <c r="K979" s="1387"/>
      <c r="L979" s="1353"/>
      <c r="M979" s="1353"/>
      <c r="N979" s="1353"/>
    </row>
    <row r="980" spans="1:14" x14ac:dyDescent="0.25">
      <c r="A980" s="1353"/>
      <c r="B980" s="1353"/>
      <c r="C980" s="1353"/>
      <c r="D980" s="1353"/>
      <c r="E980" s="1353"/>
      <c r="F980" s="1353"/>
      <c r="G980" s="1353"/>
      <c r="H980" s="1353"/>
      <c r="I980" s="1353"/>
      <c r="J980" s="1353"/>
      <c r="K980" s="1387"/>
      <c r="L980" s="1353"/>
      <c r="M980" s="1353"/>
      <c r="N980" s="1353"/>
    </row>
    <row r="981" spans="1:14" x14ac:dyDescent="0.25">
      <c r="A981" s="1353"/>
      <c r="B981" s="1353"/>
      <c r="C981" s="1353"/>
      <c r="D981" s="1353"/>
      <c r="E981" s="1353"/>
      <c r="F981" s="1353"/>
      <c r="G981" s="1353"/>
      <c r="H981" s="1353"/>
      <c r="I981" s="1353"/>
      <c r="J981" s="1353"/>
      <c r="K981" s="1387"/>
      <c r="L981" s="1353"/>
      <c r="M981" s="1353"/>
      <c r="N981" s="1353"/>
    </row>
    <row r="982" spans="1:14" x14ac:dyDescent="0.25">
      <c r="A982" s="1353"/>
      <c r="B982" s="1353"/>
      <c r="C982" s="1353"/>
      <c r="D982" s="1353"/>
      <c r="E982" s="1353"/>
      <c r="F982" s="1353"/>
      <c r="G982" s="1353"/>
      <c r="H982" s="1353"/>
      <c r="I982" s="1353"/>
      <c r="J982" s="1353"/>
      <c r="K982" s="1387"/>
      <c r="L982" s="1353"/>
      <c r="M982" s="1353"/>
      <c r="N982" s="1353"/>
    </row>
    <row r="983" spans="1:14" x14ac:dyDescent="0.25">
      <c r="A983" s="1353"/>
      <c r="B983" s="1353"/>
      <c r="C983" s="1353"/>
      <c r="D983" s="1353"/>
      <c r="E983" s="1353"/>
      <c r="F983" s="1353"/>
      <c r="G983" s="1353"/>
      <c r="H983" s="1353"/>
      <c r="I983" s="1353"/>
      <c r="J983" s="1353"/>
      <c r="K983" s="1387"/>
      <c r="L983" s="1353"/>
      <c r="M983" s="1353"/>
      <c r="N983" s="1353"/>
    </row>
    <row r="984" spans="1:14" x14ac:dyDescent="0.25">
      <c r="A984" s="1353"/>
      <c r="B984" s="1353"/>
      <c r="C984" s="1353"/>
      <c r="D984" s="1353"/>
      <c r="E984" s="1353"/>
      <c r="F984" s="1353"/>
      <c r="G984" s="1353"/>
      <c r="H984" s="1353"/>
      <c r="I984" s="1353"/>
      <c r="J984" s="1353"/>
      <c r="K984" s="1387"/>
      <c r="L984" s="1353"/>
      <c r="M984" s="1353"/>
      <c r="N984" s="1353"/>
    </row>
    <row r="985" spans="1:14" x14ac:dyDescent="0.25">
      <c r="A985" s="1353"/>
      <c r="B985" s="1353"/>
      <c r="C985" s="1353"/>
      <c r="D985" s="1353"/>
      <c r="E985" s="1353"/>
      <c r="F985" s="1353"/>
      <c r="G985" s="1353"/>
      <c r="H985" s="1353"/>
      <c r="I985" s="1353"/>
      <c r="J985" s="1353"/>
      <c r="K985" s="1387"/>
      <c r="L985" s="1353"/>
      <c r="M985" s="1353"/>
      <c r="N985" s="1353"/>
    </row>
    <row r="986" spans="1:14" x14ac:dyDescent="0.25">
      <c r="A986" s="1353"/>
      <c r="B986" s="1353"/>
      <c r="C986" s="1353"/>
      <c r="D986" s="1353"/>
      <c r="E986" s="1353"/>
      <c r="F986" s="1353"/>
      <c r="G986" s="1353"/>
      <c r="H986" s="1353"/>
      <c r="I986" s="1353"/>
      <c r="J986" s="1353"/>
      <c r="K986" s="1387"/>
      <c r="L986" s="1353"/>
      <c r="M986" s="1353"/>
      <c r="N986" s="1353"/>
    </row>
    <row r="987" spans="1:14" x14ac:dyDescent="0.25">
      <c r="A987" s="1353"/>
      <c r="B987" s="1353"/>
      <c r="C987" s="1353"/>
      <c r="D987" s="1353"/>
      <c r="E987" s="1353"/>
      <c r="F987" s="1353"/>
      <c r="G987" s="1353"/>
      <c r="H987" s="1353"/>
      <c r="I987" s="1353"/>
      <c r="J987" s="1353"/>
      <c r="K987" s="1387"/>
      <c r="L987" s="1353"/>
      <c r="M987" s="1353"/>
      <c r="N987" s="1353"/>
    </row>
    <row r="988" spans="1:14" x14ac:dyDescent="0.25">
      <c r="A988" s="1353"/>
      <c r="B988" s="1353"/>
      <c r="C988" s="1353"/>
      <c r="D988" s="1353"/>
      <c r="E988" s="1353"/>
      <c r="F988" s="1353"/>
      <c r="G988" s="1353"/>
      <c r="H988" s="1353"/>
      <c r="I988" s="1353"/>
      <c r="J988" s="1353"/>
      <c r="K988" s="1387"/>
      <c r="L988" s="1353"/>
      <c r="M988" s="1353"/>
      <c r="N988" s="1353"/>
    </row>
    <row r="989" spans="1:14" x14ac:dyDescent="0.25">
      <c r="A989" s="1353"/>
      <c r="B989" s="1353"/>
      <c r="C989" s="1353"/>
      <c r="D989" s="1353"/>
      <c r="E989" s="1353"/>
      <c r="F989" s="1353"/>
      <c r="G989" s="1353"/>
      <c r="H989" s="1353"/>
      <c r="I989" s="1353"/>
      <c r="J989" s="1353"/>
      <c r="K989" s="1387"/>
      <c r="L989" s="1353"/>
      <c r="M989" s="1353"/>
      <c r="N989" s="1353"/>
    </row>
    <row r="990" spans="1:14" x14ac:dyDescent="0.25">
      <c r="A990" s="1353"/>
      <c r="B990" s="1353"/>
      <c r="C990" s="1353"/>
      <c r="D990" s="1353"/>
      <c r="E990" s="1353"/>
      <c r="F990" s="1353"/>
      <c r="G990" s="1353"/>
      <c r="H990" s="1353"/>
      <c r="I990" s="1353"/>
      <c r="J990" s="1353"/>
      <c r="K990" s="1387"/>
      <c r="L990" s="1353"/>
      <c r="M990" s="1353"/>
      <c r="N990" s="1353"/>
    </row>
    <row r="991" spans="1:14" x14ac:dyDescent="0.25">
      <c r="A991" s="1353"/>
      <c r="B991" s="1353"/>
      <c r="C991" s="1353"/>
      <c r="D991" s="1353"/>
      <c r="E991" s="1353"/>
      <c r="F991" s="1353"/>
      <c r="G991" s="1353"/>
      <c r="H991" s="1353"/>
      <c r="I991" s="1353"/>
      <c r="J991" s="1353"/>
      <c r="K991" s="1387"/>
      <c r="L991" s="1353"/>
      <c r="M991" s="1353"/>
      <c r="N991" s="1353"/>
    </row>
    <row r="992" spans="1:14" x14ac:dyDescent="0.25">
      <c r="A992" s="1353"/>
      <c r="B992" s="1353"/>
      <c r="C992" s="1353"/>
      <c r="D992" s="1353"/>
      <c r="E992" s="1353"/>
      <c r="F992" s="1353"/>
      <c r="G992" s="1353"/>
      <c r="H992" s="1353"/>
      <c r="I992" s="1353"/>
      <c r="J992" s="1353"/>
      <c r="K992" s="1387"/>
      <c r="L992" s="1353"/>
      <c r="M992" s="1353"/>
      <c r="N992" s="1353"/>
    </row>
    <row r="993" spans="1:14" x14ac:dyDescent="0.25">
      <c r="A993" s="1353"/>
      <c r="B993" s="1353"/>
      <c r="C993" s="1353"/>
      <c r="D993" s="1353"/>
      <c r="E993" s="1353"/>
      <c r="F993" s="1353"/>
      <c r="G993" s="1353"/>
      <c r="H993" s="1353"/>
      <c r="I993" s="1353"/>
      <c r="J993" s="1353"/>
      <c r="K993" s="1387"/>
      <c r="L993" s="1353"/>
      <c r="M993" s="1353"/>
      <c r="N993" s="1353"/>
    </row>
    <row r="994" spans="1:14" x14ac:dyDescent="0.25">
      <c r="A994" s="1353"/>
      <c r="B994" s="1353"/>
      <c r="C994" s="1353"/>
      <c r="D994" s="1353"/>
      <c r="E994" s="1353"/>
      <c r="F994" s="1353"/>
      <c r="G994" s="1353"/>
      <c r="H994" s="1353"/>
      <c r="I994" s="1353"/>
      <c r="J994" s="1353"/>
      <c r="K994" s="1387"/>
      <c r="L994" s="1353"/>
      <c r="M994" s="1353"/>
      <c r="N994" s="1353"/>
    </row>
    <row r="995" spans="1:14" x14ac:dyDescent="0.25">
      <c r="A995" s="1353"/>
      <c r="B995" s="1353"/>
      <c r="C995" s="1353"/>
      <c r="D995" s="1353"/>
      <c r="E995" s="1353"/>
      <c r="F995" s="1353"/>
      <c r="G995" s="1353"/>
      <c r="H995" s="1353"/>
      <c r="I995" s="1353"/>
      <c r="J995" s="1353"/>
      <c r="K995" s="1387"/>
      <c r="L995" s="1353"/>
      <c r="M995" s="1353"/>
      <c r="N995" s="1353"/>
    </row>
    <row r="996" spans="1:14" x14ac:dyDescent="0.25">
      <c r="A996" s="1353"/>
      <c r="B996" s="1353"/>
      <c r="C996" s="1353"/>
      <c r="D996" s="1353"/>
      <c r="E996" s="1353"/>
      <c r="F996" s="1353"/>
      <c r="G996" s="1353"/>
      <c r="H996" s="1353"/>
      <c r="I996" s="1353"/>
      <c r="J996" s="1353"/>
      <c r="K996" s="1387"/>
      <c r="L996" s="1353"/>
      <c r="M996" s="1353"/>
      <c r="N996" s="1353"/>
    </row>
    <row r="997" spans="1:14" x14ac:dyDescent="0.25">
      <c r="A997" s="1353"/>
      <c r="B997" s="1353"/>
      <c r="C997" s="1353"/>
      <c r="D997" s="1353"/>
      <c r="E997" s="1353"/>
      <c r="F997" s="1353"/>
      <c r="G997" s="1353"/>
      <c r="H997" s="1353"/>
      <c r="I997" s="1353"/>
      <c r="J997" s="1353"/>
      <c r="K997" s="1387"/>
      <c r="L997" s="1353"/>
      <c r="M997" s="1353"/>
      <c r="N997" s="1353"/>
    </row>
    <row r="998" spans="1:14" x14ac:dyDescent="0.25">
      <c r="A998" s="1353"/>
      <c r="B998" s="1353"/>
      <c r="C998" s="1353"/>
      <c r="D998" s="1353"/>
      <c r="E998" s="1353"/>
      <c r="F998" s="1353"/>
      <c r="G998" s="1353"/>
      <c r="H998" s="1353"/>
      <c r="I998" s="1353"/>
      <c r="J998" s="1353"/>
      <c r="K998" s="1387"/>
      <c r="L998" s="1353"/>
      <c r="M998" s="1353"/>
      <c r="N998" s="1353"/>
    </row>
    <row r="999" spans="1:14" x14ac:dyDescent="0.25">
      <c r="A999" s="1353"/>
      <c r="B999" s="1353"/>
      <c r="C999" s="1353"/>
      <c r="D999" s="1353"/>
      <c r="E999" s="1353"/>
      <c r="F999" s="1353"/>
      <c r="G999" s="1353"/>
      <c r="H999" s="1353"/>
      <c r="I999" s="1353"/>
      <c r="J999" s="1353"/>
      <c r="K999" s="1387"/>
      <c r="L999" s="1353"/>
      <c r="M999" s="1353"/>
      <c r="N999" s="1353"/>
    </row>
    <row r="1000" spans="1:14" x14ac:dyDescent="0.25">
      <c r="A1000" s="1353"/>
      <c r="B1000" s="1353"/>
      <c r="C1000" s="1353"/>
      <c r="D1000" s="1353"/>
      <c r="E1000" s="1353"/>
      <c r="F1000" s="1353"/>
      <c r="G1000" s="1353"/>
      <c r="H1000" s="1353"/>
      <c r="I1000" s="1353"/>
      <c r="J1000" s="1353"/>
      <c r="K1000" s="1387"/>
      <c r="L1000" s="1353"/>
      <c r="M1000" s="1353"/>
      <c r="N1000" s="1353"/>
    </row>
    <row r="1001" spans="1:14" x14ac:dyDescent="0.25">
      <c r="A1001" s="1353"/>
      <c r="B1001" s="1353"/>
      <c r="C1001" s="1353"/>
      <c r="D1001" s="1353"/>
      <c r="E1001" s="1353"/>
      <c r="F1001" s="1353"/>
      <c r="G1001" s="1353"/>
      <c r="H1001" s="1353"/>
      <c r="I1001" s="1353"/>
      <c r="J1001" s="1353"/>
      <c r="K1001" s="1387"/>
      <c r="L1001" s="1353"/>
      <c r="M1001" s="1353"/>
      <c r="N1001" s="1353"/>
    </row>
    <row r="1002" spans="1:14" x14ac:dyDescent="0.25">
      <c r="A1002" s="1353"/>
      <c r="B1002" s="1353"/>
      <c r="C1002" s="1353"/>
      <c r="D1002" s="1353"/>
      <c r="E1002" s="1353"/>
      <c r="F1002" s="1353"/>
      <c r="G1002" s="1353"/>
      <c r="H1002" s="1353"/>
      <c r="I1002" s="1353"/>
      <c r="J1002" s="1353"/>
      <c r="K1002" s="1387"/>
      <c r="L1002" s="1353"/>
      <c r="M1002" s="1353"/>
      <c r="N1002" s="1353"/>
    </row>
    <row r="1003" spans="1:14" x14ac:dyDescent="0.25">
      <c r="A1003" s="1353"/>
      <c r="B1003" s="1353"/>
      <c r="C1003" s="1353"/>
      <c r="D1003" s="1353"/>
      <c r="E1003" s="1353"/>
      <c r="F1003" s="1353"/>
      <c r="G1003" s="1353"/>
      <c r="H1003" s="1353"/>
      <c r="I1003" s="1353"/>
      <c r="J1003" s="1353"/>
      <c r="K1003" s="1387"/>
      <c r="L1003" s="1353"/>
      <c r="M1003" s="1353"/>
      <c r="N1003" s="1353"/>
    </row>
    <row r="1004" spans="1:14" x14ac:dyDescent="0.25">
      <c r="A1004" s="1353"/>
      <c r="B1004" s="1353"/>
      <c r="C1004" s="1353"/>
      <c r="D1004" s="1353"/>
      <c r="E1004" s="1353"/>
      <c r="F1004" s="1353"/>
      <c r="G1004" s="1353"/>
      <c r="H1004" s="1353"/>
      <c r="I1004" s="1353"/>
      <c r="J1004" s="1353"/>
      <c r="K1004" s="1387"/>
      <c r="L1004" s="1353"/>
      <c r="M1004" s="1353"/>
      <c r="N1004" s="1353"/>
    </row>
    <row r="1005" spans="1:14" x14ac:dyDescent="0.25">
      <c r="A1005" s="1353"/>
      <c r="B1005" s="1353"/>
      <c r="C1005" s="1353"/>
      <c r="D1005" s="1353"/>
      <c r="E1005" s="1353"/>
      <c r="F1005" s="1353"/>
      <c r="G1005" s="1353"/>
      <c r="H1005" s="1353"/>
      <c r="I1005" s="1353"/>
      <c r="J1005" s="1353"/>
      <c r="K1005" s="1387"/>
      <c r="L1005" s="1353"/>
      <c r="M1005" s="1353"/>
      <c r="N1005" s="1353"/>
    </row>
    <row r="1006" spans="1:14" x14ac:dyDescent="0.25">
      <c r="A1006" s="1353"/>
      <c r="B1006" s="1353"/>
      <c r="C1006" s="1353"/>
      <c r="D1006" s="1353"/>
      <c r="E1006" s="1353"/>
      <c r="F1006" s="1353"/>
      <c r="G1006" s="1353"/>
      <c r="H1006" s="1353"/>
      <c r="I1006" s="1353"/>
      <c r="J1006" s="1353"/>
      <c r="K1006" s="1387"/>
      <c r="L1006" s="1353"/>
      <c r="M1006" s="1353"/>
      <c r="N1006" s="1353"/>
    </row>
    <row r="1007" spans="1:14" x14ac:dyDescent="0.25">
      <c r="A1007" s="1353"/>
      <c r="B1007" s="1353"/>
      <c r="C1007" s="1353"/>
      <c r="D1007" s="1353"/>
      <c r="E1007" s="1353"/>
      <c r="F1007" s="1353"/>
      <c r="G1007" s="1353"/>
      <c r="H1007" s="1353"/>
      <c r="I1007" s="1353"/>
      <c r="J1007" s="1353"/>
      <c r="K1007" s="1387"/>
      <c r="L1007" s="1353"/>
      <c r="M1007" s="1353"/>
      <c r="N1007" s="1353"/>
    </row>
    <row r="1008" spans="1:14" x14ac:dyDescent="0.25">
      <c r="A1008" s="1353"/>
      <c r="B1008" s="1353"/>
      <c r="C1008" s="1353"/>
      <c r="D1008" s="1353"/>
      <c r="E1008" s="1353"/>
      <c r="F1008" s="1353"/>
      <c r="G1008" s="1353"/>
      <c r="H1008" s="1353"/>
      <c r="I1008" s="1353"/>
      <c r="J1008" s="1353"/>
      <c r="K1008" s="1387"/>
      <c r="L1008" s="1353"/>
      <c r="M1008" s="1353"/>
      <c r="N1008" s="1353"/>
    </row>
    <row r="1009" spans="1:14" x14ac:dyDescent="0.25">
      <c r="A1009" s="1353"/>
      <c r="B1009" s="1353"/>
      <c r="C1009" s="1353"/>
      <c r="D1009" s="1353"/>
      <c r="E1009" s="1353"/>
      <c r="F1009" s="1353"/>
      <c r="G1009" s="1353"/>
      <c r="H1009" s="1353"/>
      <c r="I1009" s="1353"/>
      <c r="J1009" s="1353"/>
      <c r="K1009" s="1387"/>
      <c r="L1009" s="1353"/>
      <c r="M1009" s="1353"/>
      <c r="N1009" s="1353"/>
    </row>
    <row r="1010" spans="1:14" x14ac:dyDescent="0.25">
      <c r="A1010" s="1353"/>
      <c r="B1010" s="1353"/>
      <c r="C1010" s="1353"/>
      <c r="D1010" s="1353"/>
      <c r="E1010" s="1353"/>
      <c r="F1010" s="1353"/>
      <c r="G1010" s="1353"/>
      <c r="H1010" s="1353"/>
      <c r="I1010" s="1353"/>
      <c r="J1010" s="1353"/>
      <c r="K1010" s="1387"/>
      <c r="L1010" s="1353"/>
      <c r="M1010" s="1353"/>
      <c r="N1010" s="1353"/>
    </row>
    <row r="1011" spans="1:14" x14ac:dyDescent="0.25">
      <c r="A1011" s="1353"/>
      <c r="B1011" s="1353"/>
      <c r="C1011" s="1353"/>
      <c r="D1011" s="1353"/>
      <c r="E1011" s="1353"/>
      <c r="F1011" s="1353"/>
      <c r="G1011" s="1353"/>
      <c r="H1011" s="1353"/>
      <c r="I1011" s="1353"/>
      <c r="J1011" s="1353"/>
      <c r="K1011" s="1387"/>
      <c r="L1011" s="1353"/>
      <c r="M1011" s="1353"/>
      <c r="N1011" s="1353"/>
    </row>
    <row r="1012" spans="1:14" x14ac:dyDescent="0.25">
      <c r="A1012" s="1353"/>
      <c r="B1012" s="1353"/>
      <c r="C1012" s="1353"/>
      <c r="D1012" s="1353"/>
      <c r="E1012" s="1353"/>
      <c r="F1012" s="1353"/>
      <c r="G1012" s="1353"/>
      <c r="H1012" s="1353"/>
      <c r="I1012" s="1353"/>
      <c r="J1012" s="1353"/>
      <c r="K1012" s="1387"/>
      <c r="L1012" s="1353"/>
      <c r="M1012" s="1353"/>
      <c r="N1012" s="1353"/>
    </row>
    <row r="1013" spans="1:14" x14ac:dyDescent="0.25">
      <c r="A1013" s="1353"/>
      <c r="B1013" s="1353"/>
      <c r="C1013" s="1353"/>
      <c r="D1013" s="1353"/>
      <c r="E1013" s="1353"/>
      <c r="F1013" s="1353"/>
      <c r="G1013" s="1353"/>
      <c r="H1013" s="1353"/>
      <c r="I1013" s="1353"/>
      <c r="J1013" s="1353"/>
      <c r="K1013" s="1387"/>
      <c r="L1013" s="1353"/>
      <c r="M1013" s="1353"/>
      <c r="N1013" s="1353"/>
    </row>
    <row r="1014" spans="1:14" x14ac:dyDescent="0.25">
      <c r="A1014" s="1353"/>
      <c r="B1014" s="1353"/>
      <c r="C1014" s="1353"/>
      <c r="D1014" s="1353"/>
      <c r="E1014" s="1353"/>
      <c r="F1014" s="1353"/>
      <c r="G1014" s="1353"/>
      <c r="H1014" s="1353"/>
      <c r="I1014" s="1353"/>
      <c r="J1014" s="1353"/>
      <c r="K1014" s="1387"/>
      <c r="L1014" s="1353"/>
      <c r="M1014" s="1353"/>
      <c r="N1014" s="1353"/>
    </row>
    <row r="1015" spans="1:14" x14ac:dyDescent="0.25">
      <c r="A1015" s="1353"/>
      <c r="B1015" s="1353"/>
      <c r="C1015" s="1353"/>
      <c r="D1015" s="1353"/>
      <c r="E1015" s="1353"/>
      <c r="F1015" s="1353"/>
      <c r="G1015" s="1353"/>
      <c r="H1015" s="1353"/>
      <c r="I1015" s="1353"/>
      <c r="J1015" s="1353"/>
      <c r="K1015" s="1387"/>
      <c r="L1015" s="1353"/>
      <c r="M1015" s="1353"/>
      <c r="N1015" s="1353"/>
    </row>
    <row r="1016" spans="1:14" x14ac:dyDescent="0.25">
      <c r="A1016" s="1353"/>
      <c r="B1016" s="1353"/>
      <c r="C1016" s="1353"/>
      <c r="D1016" s="1353"/>
      <c r="E1016" s="1353"/>
      <c r="F1016" s="1353"/>
      <c r="G1016" s="1353"/>
      <c r="H1016" s="1353"/>
      <c r="I1016" s="1353"/>
      <c r="J1016" s="1353"/>
      <c r="K1016" s="1387"/>
      <c r="L1016" s="1353"/>
      <c r="M1016" s="1353"/>
      <c r="N1016" s="1353"/>
    </row>
    <row r="1017" spans="1:14" x14ac:dyDescent="0.25">
      <c r="A1017" s="1353"/>
      <c r="B1017" s="1353"/>
      <c r="C1017" s="1353"/>
      <c r="D1017" s="1353"/>
      <c r="E1017" s="1353"/>
      <c r="F1017" s="1353"/>
      <c r="G1017" s="1353"/>
      <c r="H1017" s="1353"/>
      <c r="I1017" s="1353"/>
      <c r="J1017" s="1353"/>
      <c r="K1017" s="1387"/>
      <c r="L1017" s="1353"/>
      <c r="M1017" s="1353"/>
      <c r="N1017" s="1353"/>
    </row>
    <row r="1018" spans="1:14" x14ac:dyDescent="0.25">
      <c r="A1018" s="1353"/>
      <c r="B1018" s="1353"/>
      <c r="C1018" s="1353"/>
      <c r="D1018" s="1353"/>
      <c r="E1018" s="1353"/>
      <c r="F1018" s="1353"/>
      <c r="G1018" s="1353"/>
      <c r="H1018" s="1353"/>
      <c r="I1018" s="1353"/>
      <c r="J1018" s="1353"/>
      <c r="K1018" s="1387"/>
      <c r="L1018" s="1353"/>
      <c r="M1018" s="1353"/>
      <c r="N1018" s="1353"/>
    </row>
    <row r="1019" spans="1:14" x14ac:dyDescent="0.25">
      <c r="A1019" s="1353"/>
      <c r="B1019" s="1353"/>
      <c r="C1019" s="1353"/>
      <c r="D1019" s="1353"/>
      <c r="E1019" s="1353"/>
      <c r="F1019" s="1353"/>
      <c r="G1019" s="1353"/>
      <c r="H1019" s="1353"/>
      <c r="I1019" s="1353"/>
      <c r="J1019" s="1353"/>
      <c r="K1019" s="1387"/>
      <c r="L1019" s="1353"/>
      <c r="M1019" s="1353"/>
      <c r="N1019" s="1353"/>
    </row>
    <row r="1020" spans="1:14" x14ac:dyDescent="0.25">
      <c r="A1020" s="1353"/>
      <c r="B1020" s="1353"/>
      <c r="C1020" s="1353"/>
      <c r="D1020" s="1353"/>
      <c r="E1020" s="1353"/>
      <c r="F1020" s="1353"/>
      <c r="G1020" s="1353"/>
      <c r="H1020" s="1353"/>
      <c r="I1020" s="1353"/>
      <c r="J1020" s="1353"/>
      <c r="K1020" s="1387"/>
      <c r="L1020" s="1353"/>
      <c r="M1020" s="1353"/>
      <c r="N1020" s="1353"/>
    </row>
    <row r="1021" spans="1:14" x14ac:dyDescent="0.25">
      <c r="A1021" s="1353"/>
      <c r="B1021" s="1353"/>
      <c r="C1021" s="1353"/>
      <c r="D1021" s="1353"/>
      <c r="E1021" s="1353"/>
      <c r="F1021" s="1353"/>
      <c r="G1021" s="1353"/>
      <c r="H1021" s="1353"/>
      <c r="I1021" s="1353"/>
      <c r="J1021" s="1353"/>
      <c r="K1021" s="1387"/>
      <c r="L1021" s="1353"/>
      <c r="M1021" s="1353"/>
      <c r="N1021" s="1353"/>
    </row>
    <row r="1022" spans="1:14" x14ac:dyDescent="0.25">
      <c r="A1022" s="1353"/>
      <c r="B1022" s="1353"/>
      <c r="C1022" s="1353"/>
      <c r="D1022" s="1353"/>
      <c r="E1022" s="1353"/>
      <c r="F1022" s="1353"/>
      <c r="G1022" s="1353"/>
      <c r="H1022" s="1353"/>
      <c r="I1022" s="1353"/>
      <c r="J1022" s="1353"/>
      <c r="K1022" s="1387"/>
      <c r="L1022" s="1353"/>
      <c r="M1022" s="1353"/>
      <c r="N1022" s="1353"/>
    </row>
    <row r="1023" spans="1:14" x14ac:dyDescent="0.25">
      <c r="A1023" s="1353"/>
      <c r="B1023" s="1353"/>
      <c r="C1023" s="1353"/>
      <c r="D1023" s="1353"/>
      <c r="E1023" s="1353"/>
      <c r="F1023" s="1353"/>
      <c r="G1023" s="1353"/>
      <c r="H1023" s="1353"/>
      <c r="I1023" s="1353"/>
      <c r="J1023" s="1353"/>
      <c r="K1023" s="1387"/>
      <c r="L1023" s="1353"/>
      <c r="M1023" s="1353"/>
      <c r="N1023" s="1353"/>
    </row>
    <row r="1024" spans="1:14" x14ac:dyDescent="0.25">
      <c r="A1024" s="1353"/>
      <c r="B1024" s="1353"/>
      <c r="C1024" s="1353"/>
      <c r="D1024" s="1353"/>
      <c r="E1024" s="1353"/>
      <c r="F1024" s="1353"/>
      <c r="G1024" s="1353"/>
      <c r="H1024" s="1353"/>
      <c r="I1024" s="1353"/>
      <c r="J1024" s="1353"/>
      <c r="K1024" s="1387"/>
      <c r="L1024" s="1353"/>
      <c r="M1024" s="1353"/>
      <c r="N1024" s="1353"/>
    </row>
    <row r="1025" spans="1:14" x14ac:dyDescent="0.25">
      <c r="A1025" s="1353"/>
      <c r="B1025" s="1353"/>
      <c r="C1025" s="1353"/>
      <c r="D1025" s="1353"/>
      <c r="E1025" s="1353"/>
      <c r="F1025" s="1353"/>
      <c r="G1025" s="1353"/>
      <c r="H1025" s="1353"/>
      <c r="I1025" s="1353"/>
      <c r="J1025" s="1353"/>
      <c r="K1025" s="1387"/>
      <c r="L1025" s="1353"/>
      <c r="M1025" s="1353"/>
      <c r="N1025" s="1353"/>
    </row>
    <row r="1026" spans="1:14" x14ac:dyDescent="0.25">
      <c r="A1026" s="1353"/>
      <c r="B1026" s="1353"/>
      <c r="C1026" s="1353"/>
      <c r="D1026" s="1353"/>
      <c r="E1026" s="1353"/>
      <c r="F1026" s="1353"/>
      <c r="G1026" s="1353"/>
      <c r="H1026" s="1353"/>
      <c r="I1026" s="1353"/>
      <c r="J1026" s="1353"/>
      <c r="K1026" s="1387"/>
      <c r="L1026" s="1353"/>
      <c r="M1026" s="1353"/>
      <c r="N1026" s="1353"/>
    </row>
    <row r="1027" spans="1:14" x14ac:dyDescent="0.25">
      <c r="A1027" s="1353"/>
      <c r="B1027" s="1353"/>
      <c r="C1027" s="1353"/>
      <c r="D1027" s="1353"/>
      <c r="E1027" s="1353"/>
      <c r="F1027" s="1353"/>
      <c r="G1027" s="1353"/>
      <c r="H1027" s="1353"/>
      <c r="I1027" s="1353"/>
      <c r="J1027" s="1353"/>
      <c r="K1027" s="1387"/>
      <c r="L1027" s="1353"/>
      <c r="M1027" s="1353"/>
      <c r="N1027" s="1353"/>
    </row>
    <row r="1028" spans="1:14" x14ac:dyDescent="0.25">
      <c r="A1028" s="1353"/>
      <c r="B1028" s="1353"/>
      <c r="C1028" s="1353"/>
      <c r="D1028" s="1353"/>
      <c r="E1028" s="1353"/>
      <c r="F1028" s="1353"/>
      <c r="G1028" s="1353"/>
      <c r="H1028" s="1353"/>
      <c r="I1028" s="1353"/>
      <c r="J1028" s="1353"/>
      <c r="K1028" s="1387"/>
      <c r="L1028" s="1353"/>
      <c r="M1028" s="1353"/>
      <c r="N1028" s="1353"/>
    </row>
    <row r="1029" spans="1:14" x14ac:dyDescent="0.25">
      <c r="A1029" s="1353"/>
      <c r="B1029" s="1353"/>
      <c r="C1029" s="1353"/>
      <c r="D1029" s="1353"/>
      <c r="E1029" s="1353"/>
      <c r="F1029" s="1353"/>
      <c r="G1029" s="1353"/>
      <c r="H1029" s="1353"/>
      <c r="I1029" s="1353"/>
      <c r="J1029" s="1353"/>
      <c r="K1029" s="1387"/>
      <c r="L1029" s="1353"/>
      <c r="M1029" s="1353"/>
      <c r="N1029" s="1353"/>
    </row>
    <row r="1030" spans="1:14" x14ac:dyDescent="0.25">
      <c r="A1030" s="1353"/>
      <c r="B1030" s="1353"/>
      <c r="C1030" s="1353"/>
      <c r="D1030" s="1353"/>
      <c r="E1030" s="1353"/>
      <c r="F1030" s="1353"/>
      <c r="G1030" s="1353"/>
      <c r="H1030" s="1353"/>
      <c r="I1030" s="1353"/>
      <c r="J1030" s="1353"/>
      <c r="K1030" s="1387"/>
      <c r="L1030" s="1353"/>
      <c r="M1030" s="1353"/>
      <c r="N1030" s="1353"/>
    </row>
    <row r="1031" spans="1:14" x14ac:dyDescent="0.25">
      <c r="A1031" s="1353"/>
      <c r="B1031" s="1353"/>
      <c r="C1031" s="1353"/>
      <c r="D1031" s="1353"/>
      <c r="E1031" s="1353"/>
      <c r="F1031" s="1353"/>
      <c r="G1031" s="1353"/>
      <c r="H1031" s="1353"/>
      <c r="I1031" s="1353"/>
      <c r="J1031" s="1353"/>
      <c r="K1031" s="1387"/>
      <c r="L1031" s="1353"/>
      <c r="M1031" s="1353"/>
      <c r="N1031" s="1353"/>
    </row>
    <row r="1032" spans="1:14" x14ac:dyDescent="0.25">
      <c r="A1032" s="1353"/>
      <c r="B1032" s="1353"/>
      <c r="C1032" s="1353"/>
      <c r="D1032" s="1353"/>
      <c r="E1032" s="1353"/>
      <c r="F1032" s="1353"/>
      <c r="G1032" s="1353"/>
      <c r="H1032" s="1353"/>
      <c r="I1032" s="1353"/>
      <c r="J1032" s="1353"/>
      <c r="K1032" s="1387"/>
      <c r="L1032" s="1353"/>
      <c r="M1032" s="1353"/>
      <c r="N1032" s="1353"/>
    </row>
    <row r="1033" spans="1:14" x14ac:dyDescent="0.25">
      <c r="A1033" s="1353"/>
      <c r="B1033" s="1353"/>
      <c r="C1033" s="1353"/>
      <c r="D1033" s="1353"/>
      <c r="E1033" s="1353"/>
      <c r="F1033" s="1353"/>
      <c r="G1033" s="1353"/>
      <c r="H1033" s="1353"/>
      <c r="I1033" s="1353"/>
      <c r="J1033" s="1353"/>
      <c r="K1033" s="1387"/>
      <c r="L1033" s="1353"/>
      <c r="M1033" s="1353"/>
      <c r="N1033" s="1353"/>
    </row>
    <row r="1034" spans="1:14" x14ac:dyDescent="0.25">
      <c r="A1034" s="1353"/>
      <c r="B1034" s="1353"/>
      <c r="C1034" s="1353"/>
      <c r="D1034" s="1353"/>
      <c r="E1034" s="1353"/>
      <c r="F1034" s="1353"/>
      <c r="G1034" s="1353"/>
      <c r="H1034" s="1353"/>
      <c r="I1034" s="1353"/>
      <c r="J1034" s="1353"/>
      <c r="K1034" s="1387"/>
      <c r="L1034" s="1353"/>
      <c r="M1034" s="1353"/>
      <c r="N1034" s="1353"/>
    </row>
    <row r="1035" spans="1:14" x14ac:dyDescent="0.25">
      <c r="A1035" s="1353"/>
      <c r="B1035" s="1353"/>
      <c r="C1035" s="1353"/>
      <c r="D1035" s="1353"/>
      <c r="E1035" s="1353"/>
      <c r="F1035" s="1353"/>
      <c r="G1035" s="1353"/>
      <c r="H1035" s="1353"/>
      <c r="I1035" s="1353"/>
      <c r="J1035" s="1353"/>
      <c r="K1035" s="1387"/>
      <c r="L1035" s="1353"/>
      <c r="M1035" s="1353"/>
      <c r="N1035" s="1353"/>
    </row>
    <row r="1036" spans="1:14" x14ac:dyDescent="0.25">
      <c r="A1036" s="1353"/>
      <c r="B1036" s="1353"/>
      <c r="C1036" s="1353"/>
      <c r="D1036" s="1353"/>
      <c r="E1036" s="1353"/>
      <c r="F1036" s="1353"/>
      <c r="G1036" s="1353"/>
      <c r="H1036" s="1353"/>
      <c r="I1036" s="1353"/>
      <c r="J1036" s="1353"/>
      <c r="K1036" s="1387"/>
      <c r="L1036" s="1353"/>
      <c r="M1036" s="1353"/>
      <c r="N1036" s="1353"/>
    </row>
    <row r="1037" spans="1:14" x14ac:dyDescent="0.25">
      <c r="A1037" s="1353"/>
      <c r="B1037" s="1353"/>
      <c r="C1037" s="1353"/>
      <c r="D1037" s="1353"/>
      <c r="E1037" s="1353"/>
      <c r="F1037" s="1353"/>
      <c r="G1037" s="1353"/>
      <c r="H1037" s="1353"/>
      <c r="I1037" s="1353"/>
      <c r="J1037" s="1353"/>
      <c r="K1037" s="1387"/>
      <c r="L1037" s="1353"/>
      <c r="M1037" s="1353"/>
      <c r="N1037" s="1353"/>
    </row>
    <row r="1038" spans="1:14" x14ac:dyDescent="0.25">
      <c r="A1038" s="1353"/>
      <c r="B1038" s="1353"/>
      <c r="C1038" s="1353"/>
      <c r="D1038" s="1353"/>
      <c r="E1038" s="1353"/>
      <c r="F1038" s="1353"/>
      <c r="G1038" s="1353"/>
      <c r="H1038" s="1353"/>
      <c r="I1038" s="1353"/>
      <c r="J1038" s="1353"/>
      <c r="K1038" s="1387"/>
      <c r="L1038" s="1353"/>
      <c r="M1038" s="1353"/>
      <c r="N1038" s="1353"/>
    </row>
    <row r="1039" spans="1:14" x14ac:dyDescent="0.25">
      <c r="A1039" s="1353"/>
      <c r="B1039" s="1353"/>
      <c r="C1039" s="1353"/>
      <c r="D1039" s="1353"/>
      <c r="E1039" s="1353"/>
      <c r="F1039" s="1353"/>
      <c r="G1039" s="1353"/>
      <c r="H1039" s="1353"/>
      <c r="I1039" s="1353"/>
      <c r="J1039" s="1353"/>
      <c r="K1039" s="1387"/>
      <c r="L1039" s="1353"/>
      <c r="M1039" s="1353"/>
      <c r="N1039" s="1353"/>
    </row>
    <row r="1040" spans="1:14" x14ac:dyDescent="0.25">
      <c r="A1040" s="1353"/>
      <c r="B1040" s="1353"/>
      <c r="C1040" s="1353"/>
      <c r="D1040" s="1353"/>
      <c r="E1040" s="1353"/>
      <c r="F1040" s="1353"/>
      <c r="G1040" s="1353"/>
      <c r="H1040" s="1353"/>
      <c r="I1040" s="1353"/>
      <c r="J1040" s="1353"/>
      <c r="K1040" s="1387"/>
      <c r="L1040" s="1353"/>
      <c r="M1040" s="1353"/>
      <c r="N1040" s="1353"/>
    </row>
    <row r="1041" spans="1:14" x14ac:dyDescent="0.25">
      <c r="A1041" s="1353"/>
      <c r="B1041" s="1353"/>
      <c r="C1041" s="1353"/>
      <c r="D1041" s="1353"/>
      <c r="E1041" s="1353"/>
      <c r="F1041" s="1353"/>
      <c r="G1041" s="1353"/>
      <c r="H1041" s="1353"/>
      <c r="I1041" s="1353"/>
      <c r="J1041" s="1353"/>
      <c r="K1041" s="1387"/>
      <c r="L1041" s="1353"/>
      <c r="M1041" s="1353"/>
      <c r="N1041" s="1353"/>
    </row>
    <row r="1042" spans="1:14" x14ac:dyDescent="0.25">
      <c r="A1042" s="1353"/>
      <c r="B1042" s="1353"/>
      <c r="C1042" s="1353"/>
      <c r="D1042" s="1353"/>
      <c r="E1042" s="1353"/>
      <c r="F1042" s="1353"/>
      <c r="G1042" s="1353"/>
      <c r="H1042" s="1353"/>
      <c r="I1042" s="1353"/>
      <c r="J1042" s="1353"/>
      <c r="K1042" s="1387"/>
      <c r="L1042" s="1353"/>
      <c r="M1042" s="1353"/>
      <c r="N1042" s="1353"/>
    </row>
    <row r="1043" spans="1:14" x14ac:dyDescent="0.25">
      <c r="A1043" s="1353"/>
      <c r="B1043" s="1353"/>
      <c r="C1043" s="1353"/>
      <c r="D1043" s="1353"/>
      <c r="E1043" s="1353"/>
      <c r="F1043" s="1353"/>
      <c r="G1043" s="1353"/>
      <c r="H1043" s="1353"/>
      <c r="I1043" s="1353"/>
      <c r="J1043" s="1353"/>
      <c r="K1043" s="1387"/>
      <c r="L1043" s="1353"/>
      <c r="M1043" s="1353"/>
      <c r="N1043" s="1353"/>
    </row>
    <row r="1044" spans="1:14" x14ac:dyDescent="0.25">
      <c r="A1044" s="1353"/>
      <c r="B1044" s="1353"/>
      <c r="C1044" s="1353"/>
      <c r="D1044" s="1353"/>
      <c r="E1044" s="1353"/>
      <c r="F1044" s="1353"/>
      <c r="G1044" s="1353"/>
      <c r="H1044" s="1353"/>
      <c r="I1044" s="1353"/>
      <c r="J1044" s="1353"/>
      <c r="K1044" s="1387"/>
      <c r="L1044" s="1353"/>
      <c r="M1044" s="1353"/>
      <c r="N1044" s="1353"/>
    </row>
    <row r="1045" spans="1:14" x14ac:dyDescent="0.25">
      <c r="A1045" s="1353"/>
      <c r="B1045" s="1353"/>
      <c r="C1045" s="1353"/>
      <c r="D1045" s="1353"/>
      <c r="E1045" s="1353"/>
      <c r="F1045" s="1353"/>
      <c r="G1045" s="1353"/>
      <c r="H1045" s="1353"/>
      <c r="I1045" s="1353"/>
      <c r="J1045" s="1353"/>
      <c r="K1045" s="1387"/>
      <c r="L1045" s="1353"/>
      <c r="M1045" s="1353"/>
      <c r="N1045" s="1353"/>
    </row>
    <row r="1046" spans="1:14" x14ac:dyDescent="0.25">
      <c r="A1046" s="1353"/>
      <c r="B1046" s="1353"/>
      <c r="C1046" s="1353"/>
      <c r="D1046" s="1353"/>
      <c r="E1046" s="1353"/>
      <c r="F1046" s="1353"/>
      <c r="G1046" s="1353"/>
      <c r="H1046" s="1353"/>
      <c r="I1046" s="1353"/>
      <c r="J1046" s="1353"/>
      <c r="K1046" s="1387"/>
      <c r="L1046" s="1353"/>
      <c r="M1046" s="1353"/>
      <c r="N1046" s="1353"/>
    </row>
    <row r="1047" spans="1:14" x14ac:dyDescent="0.25">
      <c r="A1047" s="1353"/>
      <c r="B1047" s="1353"/>
      <c r="C1047" s="1353"/>
      <c r="D1047" s="1353"/>
      <c r="E1047" s="1353"/>
      <c r="F1047" s="1353"/>
      <c r="G1047" s="1353"/>
      <c r="H1047" s="1353"/>
      <c r="I1047" s="1353"/>
      <c r="J1047" s="1353"/>
      <c r="K1047" s="1387"/>
      <c r="L1047" s="1353"/>
      <c r="M1047" s="1353"/>
      <c r="N1047" s="1353"/>
    </row>
    <row r="1048" spans="1:14" x14ac:dyDescent="0.25">
      <c r="A1048" s="1353"/>
      <c r="B1048" s="1353"/>
      <c r="C1048" s="1353"/>
      <c r="D1048" s="1353"/>
      <c r="E1048" s="1353"/>
      <c r="F1048" s="1353"/>
      <c r="G1048" s="1353"/>
      <c r="H1048" s="1353"/>
      <c r="I1048" s="1353"/>
      <c r="J1048" s="1353"/>
      <c r="K1048" s="1387"/>
      <c r="L1048" s="1353"/>
      <c r="M1048" s="1353"/>
      <c r="N1048" s="1353"/>
    </row>
    <row r="1049" spans="1:14" x14ac:dyDescent="0.25">
      <c r="A1049" s="1353"/>
      <c r="B1049" s="1353"/>
      <c r="C1049" s="1353"/>
      <c r="D1049" s="1353"/>
      <c r="E1049" s="1353"/>
      <c r="F1049" s="1353"/>
      <c r="G1049" s="1353"/>
      <c r="H1049" s="1353"/>
      <c r="I1049" s="1353"/>
      <c r="J1049" s="1353"/>
      <c r="K1049" s="1387"/>
      <c r="L1049" s="1353"/>
      <c r="M1049" s="1353"/>
      <c r="N1049" s="1353"/>
    </row>
    <row r="1050" spans="1:14" x14ac:dyDescent="0.25">
      <c r="A1050" s="1353"/>
      <c r="B1050" s="1353"/>
      <c r="C1050" s="1353"/>
      <c r="D1050" s="1353"/>
      <c r="E1050" s="1353"/>
      <c r="F1050" s="1353"/>
      <c r="G1050" s="1353"/>
      <c r="H1050" s="1353"/>
      <c r="I1050" s="1353"/>
      <c r="J1050" s="1353"/>
      <c r="K1050" s="1387"/>
      <c r="L1050" s="1353"/>
      <c r="M1050" s="1353"/>
      <c r="N1050" s="1353"/>
    </row>
    <row r="1051" spans="1:14" x14ac:dyDescent="0.25">
      <c r="A1051" s="1353"/>
      <c r="B1051" s="1353"/>
      <c r="C1051" s="1353"/>
      <c r="D1051" s="1353"/>
      <c r="E1051" s="1353"/>
      <c r="F1051" s="1353"/>
      <c r="G1051" s="1353"/>
      <c r="H1051" s="1353"/>
      <c r="I1051" s="1353"/>
      <c r="J1051" s="1353"/>
      <c r="K1051" s="1387"/>
      <c r="L1051" s="1353"/>
      <c r="M1051" s="1353"/>
      <c r="N1051" s="1353"/>
    </row>
    <row r="1052" spans="1:14" x14ac:dyDescent="0.25">
      <c r="A1052" s="1353"/>
      <c r="B1052" s="1353"/>
      <c r="C1052" s="1353"/>
      <c r="D1052" s="1353"/>
      <c r="E1052" s="1353"/>
      <c r="F1052" s="1353"/>
      <c r="G1052" s="1353"/>
      <c r="H1052" s="1353"/>
      <c r="I1052" s="1353"/>
      <c r="J1052" s="1353"/>
      <c r="K1052" s="1387"/>
      <c r="L1052" s="1353"/>
      <c r="M1052" s="1353"/>
      <c r="N1052" s="1353"/>
    </row>
    <row r="1053" spans="1:14" x14ac:dyDescent="0.25">
      <c r="A1053" s="1353"/>
      <c r="B1053" s="1353"/>
      <c r="C1053" s="1353"/>
      <c r="D1053" s="1353"/>
      <c r="E1053" s="1353"/>
      <c r="F1053" s="1353"/>
      <c r="G1053" s="1353"/>
      <c r="H1053" s="1353"/>
      <c r="I1053" s="1353"/>
      <c r="J1053" s="1353"/>
      <c r="K1053" s="1387"/>
      <c r="L1053" s="1353"/>
      <c r="M1053" s="1353"/>
      <c r="N1053" s="1353"/>
    </row>
    <row r="1054" spans="1:14" x14ac:dyDescent="0.25">
      <c r="A1054" s="1353"/>
      <c r="B1054" s="1353"/>
      <c r="C1054" s="1353"/>
      <c r="D1054" s="1353"/>
      <c r="E1054" s="1353"/>
      <c r="F1054" s="1353"/>
      <c r="G1054" s="1353"/>
      <c r="H1054" s="1353"/>
      <c r="I1054" s="1353"/>
      <c r="J1054" s="1353"/>
      <c r="K1054" s="1387"/>
      <c r="L1054" s="1353"/>
      <c r="M1054" s="1353"/>
      <c r="N1054" s="1353"/>
    </row>
    <row r="1055" spans="1:14" x14ac:dyDescent="0.25">
      <c r="A1055" s="1353"/>
      <c r="B1055" s="1353"/>
      <c r="C1055" s="1353"/>
      <c r="D1055" s="1353"/>
      <c r="E1055" s="1353"/>
      <c r="F1055" s="1353"/>
      <c r="G1055" s="1353"/>
      <c r="H1055" s="1353"/>
      <c r="I1055" s="1353"/>
      <c r="J1055" s="1353"/>
      <c r="K1055" s="1387"/>
      <c r="L1055" s="1353"/>
      <c r="M1055" s="1353"/>
      <c r="N1055" s="1353"/>
    </row>
    <row r="1056" spans="1:14" x14ac:dyDescent="0.25">
      <c r="A1056" s="1353"/>
      <c r="B1056" s="1353"/>
      <c r="C1056" s="1353"/>
      <c r="D1056" s="1353"/>
      <c r="E1056" s="1353"/>
      <c r="F1056" s="1353"/>
      <c r="G1056" s="1353"/>
      <c r="H1056" s="1353"/>
      <c r="I1056" s="1353"/>
      <c r="J1056" s="1353"/>
      <c r="K1056" s="1387"/>
      <c r="L1056" s="1353"/>
      <c r="M1056" s="1353"/>
      <c r="N1056" s="1353"/>
    </row>
    <row r="1057" spans="1:14" x14ac:dyDescent="0.25">
      <c r="A1057" s="1353"/>
      <c r="B1057" s="1353"/>
      <c r="C1057" s="1353"/>
      <c r="D1057" s="1353"/>
      <c r="E1057" s="1353"/>
      <c r="F1057" s="1353"/>
      <c r="G1057" s="1353"/>
      <c r="H1057" s="1353"/>
      <c r="I1057" s="1353"/>
      <c r="J1057" s="1353"/>
      <c r="K1057" s="1387"/>
      <c r="L1057" s="1353"/>
      <c r="M1057" s="1353"/>
      <c r="N1057" s="1353"/>
    </row>
    <row r="1058" spans="1:14" x14ac:dyDescent="0.25">
      <c r="A1058" s="1353"/>
      <c r="B1058" s="1353"/>
      <c r="C1058" s="1353"/>
      <c r="D1058" s="1353"/>
      <c r="E1058" s="1353"/>
      <c r="F1058" s="1353"/>
      <c r="G1058" s="1353"/>
      <c r="H1058" s="1353"/>
      <c r="I1058" s="1353"/>
      <c r="J1058" s="1353"/>
      <c r="K1058" s="1387"/>
      <c r="L1058" s="1353"/>
      <c r="M1058" s="1353"/>
      <c r="N1058" s="1353"/>
    </row>
    <row r="1059" spans="1:14" x14ac:dyDescent="0.25">
      <c r="A1059" s="1353"/>
      <c r="B1059" s="1353"/>
      <c r="C1059" s="1353"/>
      <c r="D1059" s="1353"/>
      <c r="E1059" s="1353"/>
      <c r="F1059" s="1353"/>
      <c r="G1059" s="1353"/>
      <c r="H1059" s="1353"/>
      <c r="I1059" s="1353"/>
      <c r="J1059" s="1353"/>
      <c r="K1059" s="1387"/>
      <c r="L1059" s="1353"/>
      <c r="M1059" s="1353"/>
      <c r="N1059" s="1353"/>
    </row>
    <row r="1060" spans="1:14" x14ac:dyDescent="0.25">
      <c r="A1060" s="1353"/>
      <c r="B1060" s="1353"/>
      <c r="C1060" s="1353"/>
      <c r="D1060" s="1353"/>
      <c r="E1060" s="1353"/>
      <c r="F1060" s="1353"/>
      <c r="G1060" s="1353"/>
      <c r="H1060" s="1353"/>
      <c r="I1060" s="1353"/>
      <c r="J1060" s="1353"/>
      <c r="K1060" s="1387"/>
      <c r="L1060" s="1353"/>
      <c r="M1060" s="1353"/>
      <c r="N1060" s="1353"/>
    </row>
    <row r="1061" spans="1:14" x14ac:dyDescent="0.25">
      <c r="A1061" s="1353"/>
      <c r="B1061" s="1353"/>
      <c r="C1061" s="1353"/>
      <c r="D1061" s="1353"/>
      <c r="E1061" s="1353"/>
      <c r="F1061" s="1353"/>
      <c r="G1061" s="1353"/>
      <c r="H1061" s="1353"/>
      <c r="I1061" s="1353"/>
      <c r="J1061" s="1353"/>
      <c r="K1061" s="1387"/>
      <c r="L1061" s="1353"/>
      <c r="M1061" s="1353"/>
      <c r="N1061" s="1353"/>
    </row>
    <row r="1062" spans="1:14" x14ac:dyDescent="0.25">
      <c r="A1062" s="1353"/>
      <c r="B1062" s="1353"/>
      <c r="C1062" s="1353"/>
      <c r="D1062" s="1353"/>
      <c r="E1062" s="1353"/>
      <c r="F1062" s="1353"/>
      <c r="G1062" s="1353"/>
      <c r="H1062" s="1353"/>
      <c r="I1062" s="1353"/>
      <c r="J1062" s="1353"/>
      <c r="K1062" s="1387"/>
      <c r="L1062" s="1353"/>
      <c r="M1062" s="1353"/>
      <c r="N1062" s="1353"/>
    </row>
    <row r="1063" spans="1:14" x14ac:dyDescent="0.25">
      <c r="A1063" s="1353"/>
      <c r="B1063" s="1353"/>
      <c r="C1063" s="1353"/>
      <c r="D1063" s="1353"/>
      <c r="E1063" s="1353"/>
      <c r="F1063" s="1353"/>
      <c r="G1063" s="1353"/>
      <c r="H1063" s="1353"/>
      <c r="I1063" s="1353"/>
      <c r="J1063" s="1353"/>
      <c r="K1063" s="1387"/>
      <c r="L1063" s="1353"/>
      <c r="M1063" s="1353"/>
      <c r="N1063" s="1353"/>
    </row>
    <row r="1064" spans="1:14" x14ac:dyDescent="0.25">
      <c r="A1064" s="1353"/>
      <c r="B1064" s="1353"/>
      <c r="C1064" s="1353"/>
      <c r="D1064" s="1353"/>
      <c r="E1064" s="1353"/>
      <c r="F1064" s="1353"/>
      <c r="G1064" s="1353"/>
      <c r="H1064" s="1353"/>
      <c r="I1064" s="1353"/>
      <c r="J1064" s="1353"/>
      <c r="K1064" s="1387"/>
      <c r="L1064" s="1353"/>
      <c r="M1064" s="1353"/>
      <c r="N1064" s="1353"/>
    </row>
    <row r="1065" spans="1:14" x14ac:dyDescent="0.25">
      <c r="A1065" s="1353"/>
      <c r="B1065" s="1353"/>
      <c r="C1065" s="1353"/>
      <c r="D1065" s="1353"/>
      <c r="E1065" s="1353"/>
      <c r="F1065" s="1353"/>
      <c r="G1065" s="1353"/>
      <c r="H1065" s="1353"/>
      <c r="I1065" s="1353"/>
      <c r="J1065" s="1353"/>
      <c r="K1065" s="1387"/>
      <c r="L1065" s="1353"/>
      <c r="M1065" s="1353"/>
      <c r="N1065" s="1353"/>
    </row>
    <row r="1066" spans="1:14" x14ac:dyDescent="0.25">
      <c r="A1066" s="1353"/>
      <c r="B1066" s="1353"/>
      <c r="C1066" s="1353"/>
      <c r="D1066" s="1353"/>
      <c r="E1066" s="1353"/>
      <c r="F1066" s="1353"/>
      <c r="G1066" s="1353"/>
      <c r="H1066" s="1353"/>
      <c r="I1066" s="1353"/>
      <c r="J1066" s="1353"/>
      <c r="K1066" s="1387"/>
      <c r="L1066" s="1353"/>
      <c r="M1066" s="1353"/>
      <c r="N1066" s="1353"/>
    </row>
    <row r="1067" spans="1:14" x14ac:dyDescent="0.25">
      <c r="A1067" s="1353"/>
      <c r="B1067" s="1353"/>
      <c r="C1067" s="1353"/>
      <c r="D1067" s="1353"/>
      <c r="E1067" s="1353"/>
      <c r="F1067" s="1353"/>
      <c r="G1067" s="1353"/>
      <c r="H1067" s="1353"/>
      <c r="I1067" s="1353"/>
      <c r="J1067" s="1353"/>
      <c r="K1067" s="1387"/>
      <c r="L1067" s="1353"/>
      <c r="M1067" s="1353"/>
      <c r="N1067" s="1353"/>
    </row>
    <row r="1068" spans="1:14" x14ac:dyDescent="0.25">
      <c r="A1068" s="1353"/>
      <c r="B1068" s="1353"/>
      <c r="C1068" s="1353"/>
      <c r="D1068" s="1353"/>
      <c r="E1068" s="1353"/>
      <c r="F1068" s="1353"/>
      <c r="G1068" s="1353"/>
      <c r="H1068" s="1353"/>
      <c r="I1068" s="1353"/>
      <c r="J1068" s="1353"/>
      <c r="K1068" s="1387"/>
      <c r="L1068" s="1353"/>
      <c r="M1068" s="1353"/>
      <c r="N1068" s="1353"/>
    </row>
    <row r="1069" spans="1:14" x14ac:dyDescent="0.25">
      <c r="A1069" s="1353"/>
      <c r="B1069" s="1353"/>
      <c r="C1069" s="1353"/>
      <c r="D1069" s="1353"/>
      <c r="E1069" s="1353"/>
      <c r="F1069" s="1353"/>
      <c r="G1069" s="1353"/>
      <c r="H1069" s="1353"/>
      <c r="I1069" s="1353"/>
      <c r="J1069" s="1353"/>
      <c r="K1069" s="1387"/>
      <c r="L1069" s="1353"/>
      <c r="M1069" s="1353"/>
      <c r="N1069" s="1353"/>
    </row>
    <row r="1070" spans="1:14" x14ac:dyDescent="0.25">
      <c r="A1070" s="1353"/>
      <c r="B1070" s="1353"/>
      <c r="C1070" s="1353"/>
      <c r="D1070" s="1353"/>
      <c r="E1070" s="1353"/>
      <c r="F1070" s="1353"/>
      <c r="G1070" s="1353"/>
      <c r="H1070" s="1353"/>
      <c r="I1070" s="1353"/>
      <c r="J1070" s="1353"/>
      <c r="K1070" s="1387"/>
      <c r="L1070" s="1353"/>
      <c r="M1070" s="1353"/>
      <c r="N1070" s="1353"/>
    </row>
    <row r="1071" spans="1:14" x14ac:dyDescent="0.25">
      <c r="A1071" s="1353"/>
      <c r="B1071" s="1353"/>
      <c r="C1071" s="1353"/>
      <c r="D1071" s="1353"/>
      <c r="E1071" s="1353"/>
      <c r="F1071" s="1353"/>
      <c r="G1071" s="1353"/>
      <c r="H1071" s="1353"/>
      <c r="I1071" s="1353"/>
      <c r="J1071" s="1353"/>
      <c r="K1071" s="1387"/>
      <c r="L1071" s="1353"/>
      <c r="M1071" s="1353"/>
      <c r="N1071" s="1353"/>
    </row>
    <row r="1072" spans="1:14" x14ac:dyDescent="0.25">
      <c r="A1072" s="1353"/>
      <c r="B1072" s="1353"/>
      <c r="C1072" s="1353"/>
      <c r="D1072" s="1353"/>
      <c r="E1072" s="1353"/>
      <c r="F1072" s="1353"/>
      <c r="G1072" s="1353"/>
      <c r="H1072" s="1353"/>
      <c r="I1072" s="1353"/>
      <c r="J1072" s="1353"/>
      <c r="K1072" s="1387"/>
      <c r="L1072" s="1353"/>
      <c r="M1072" s="1353"/>
      <c r="N1072" s="1353"/>
    </row>
    <row r="1073" spans="1:14" x14ac:dyDescent="0.25">
      <c r="A1073" s="1353"/>
      <c r="B1073" s="1353"/>
      <c r="C1073" s="1353"/>
      <c r="D1073" s="1353"/>
      <c r="E1073" s="1353"/>
      <c r="F1073" s="1353"/>
      <c r="G1073" s="1353"/>
      <c r="H1073" s="1353"/>
      <c r="I1073" s="1353"/>
      <c r="J1073" s="1353"/>
      <c r="K1073" s="1387"/>
      <c r="L1073" s="1353"/>
      <c r="M1073" s="1353"/>
      <c r="N1073" s="1353"/>
    </row>
    <row r="1074" spans="1:14" x14ac:dyDescent="0.25">
      <c r="A1074" s="1353"/>
      <c r="B1074" s="1353"/>
      <c r="C1074" s="1353"/>
      <c r="D1074" s="1353"/>
      <c r="E1074" s="1353"/>
      <c r="F1074" s="1353"/>
      <c r="G1074" s="1353"/>
      <c r="H1074" s="1353"/>
      <c r="I1074" s="1353"/>
      <c r="J1074" s="1353"/>
      <c r="K1074" s="1387"/>
      <c r="L1074" s="1353"/>
      <c r="M1074" s="1353"/>
      <c r="N1074" s="1353"/>
    </row>
    <row r="1075" spans="1:14" x14ac:dyDescent="0.25">
      <c r="A1075" s="1353"/>
      <c r="B1075" s="1353"/>
      <c r="C1075" s="1353"/>
      <c r="D1075" s="1353"/>
      <c r="E1075" s="1353"/>
      <c r="F1075" s="1353"/>
      <c r="G1075" s="1353"/>
      <c r="H1075" s="1353"/>
      <c r="I1075" s="1353"/>
      <c r="J1075" s="1353"/>
      <c r="K1075" s="1387"/>
      <c r="L1075" s="1353"/>
      <c r="M1075" s="1353"/>
      <c r="N1075" s="1353"/>
    </row>
    <row r="1076" spans="1:14" x14ac:dyDescent="0.25">
      <c r="A1076" s="1353"/>
      <c r="B1076" s="1353"/>
      <c r="C1076" s="1353"/>
      <c r="D1076" s="1353"/>
      <c r="E1076" s="1353"/>
      <c r="F1076" s="1353"/>
      <c r="G1076" s="1353"/>
      <c r="H1076" s="1353"/>
      <c r="I1076" s="1353"/>
      <c r="J1076" s="1353"/>
      <c r="K1076" s="1387"/>
      <c r="L1076" s="1353"/>
      <c r="M1076" s="1353"/>
      <c r="N1076" s="1353"/>
    </row>
    <row r="1077" spans="1:14" x14ac:dyDescent="0.25">
      <c r="A1077" s="1353"/>
      <c r="B1077" s="1353"/>
      <c r="C1077" s="1353"/>
      <c r="D1077" s="1353"/>
      <c r="E1077" s="1353"/>
      <c r="F1077" s="1353"/>
      <c r="G1077" s="1353"/>
      <c r="H1077" s="1353"/>
      <c r="I1077" s="1353"/>
      <c r="J1077" s="1353"/>
      <c r="K1077" s="1387"/>
      <c r="L1077" s="1353"/>
      <c r="M1077" s="1353"/>
      <c r="N1077" s="1353"/>
    </row>
    <row r="1078" spans="1:14" x14ac:dyDescent="0.25">
      <c r="A1078" s="1353"/>
      <c r="B1078" s="1353"/>
      <c r="C1078" s="1353"/>
      <c r="D1078" s="1353"/>
      <c r="E1078" s="1353"/>
      <c r="F1078" s="1353"/>
      <c r="G1078" s="1353"/>
      <c r="H1078" s="1353"/>
      <c r="I1078" s="1353"/>
      <c r="J1078" s="1353"/>
      <c r="K1078" s="1387"/>
      <c r="L1078" s="1353"/>
      <c r="M1078" s="1353"/>
      <c r="N1078" s="1353"/>
    </row>
    <row r="1079" spans="1:14" x14ac:dyDescent="0.25">
      <c r="A1079" s="1353"/>
      <c r="B1079" s="1353"/>
      <c r="C1079" s="1353"/>
      <c r="D1079" s="1353"/>
      <c r="E1079" s="1353"/>
      <c r="F1079" s="1353"/>
      <c r="G1079" s="1353"/>
      <c r="H1079" s="1353"/>
      <c r="I1079" s="1353"/>
      <c r="J1079" s="1353"/>
      <c r="K1079" s="1387"/>
      <c r="L1079" s="1353"/>
      <c r="M1079" s="1353"/>
      <c r="N1079" s="1353"/>
    </row>
    <row r="1080" spans="1:14" x14ac:dyDescent="0.25">
      <c r="A1080" s="1353"/>
      <c r="B1080" s="1353"/>
      <c r="C1080" s="1353"/>
      <c r="D1080" s="1353"/>
      <c r="E1080" s="1353"/>
      <c r="F1080" s="1353"/>
      <c r="G1080" s="1353"/>
      <c r="H1080" s="1353"/>
      <c r="I1080" s="1353"/>
      <c r="J1080" s="1353"/>
      <c r="K1080" s="1387"/>
      <c r="L1080" s="1353"/>
      <c r="M1080" s="1353"/>
      <c r="N1080" s="1353"/>
    </row>
    <row r="1081" spans="1:14" x14ac:dyDescent="0.25">
      <c r="A1081" s="1353"/>
      <c r="B1081" s="1353"/>
      <c r="C1081" s="1353"/>
      <c r="D1081" s="1353"/>
      <c r="E1081" s="1353"/>
      <c r="F1081" s="1353"/>
      <c r="G1081" s="1353"/>
      <c r="H1081" s="1353"/>
      <c r="I1081" s="1353"/>
      <c r="J1081" s="1353"/>
      <c r="K1081" s="1387"/>
      <c r="L1081" s="1353"/>
      <c r="M1081" s="1353"/>
      <c r="N1081" s="1353"/>
    </row>
    <row r="1082" spans="1:14" x14ac:dyDescent="0.25">
      <c r="A1082" s="1353"/>
      <c r="B1082" s="1353"/>
      <c r="C1082" s="1353"/>
      <c r="D1082" s="1353"/>
      <c r="E1082" s="1353"/>
      <c r="F1082" s="1353"/>
      <c r="G1082" s="1353"/>
      <c r="H1082" s="1353"/>
      <c r="I1082" s="1353"/>
      <c r="J1082" s="1353"/>
      <c r="K1082" s="1387"/>
      <c r="L1082" s="1353"/>
      <c r="M1082" s="1353"/>
      <c r="N1082" s="1353"/>
    </row>
    <row r="1083" spans="1:14" x14ac:dyDescent="0.25">
      <c r="A1083" s="1353"/>
      <c r="B1083" s="1353"/>
      <c r="C1083" s="1353"/>
      <c r="D1083" s="1353"/>
      <c r="E1083" s="1353"/>
      <c r="F1083" s="1353"/>
      <c r="G1083" s="1353"/>
      <c r="H1083" s="1353"/>
      <c r="I1083" s="1353"/>
      <c r="J1083" s="1353"/>
      <c r="K1083" s="1387"/>
      <c r="L1083" s="1353"/>
      <c r="M1083" s="1353"/>
      <c r="N1083" s="1353"/>
    </row>
    <row r="1084" spans="1:14" x14ac:dyDescent="0.25">
      <c r="A1084" s="1353"/>
      <c r="B1084" s="1353"/>
      <c r="C1084" s="1353"/>
      <c r="D1084" s="1353"/>
      <c r="E1084" s="1353"/>
      <c r="F1084" s="1353"/>
      <c r="G1084" s="1353"/>
      <c r="H1084" s="1353"/>
      <c r="I1084" s="1353"/>
      <c r="J1084" s="1353"/>
      <c r="K1084" s="1387"/>
      <c r="L1084" s="1353"/>
      <c r="M1084" s="1353"/>
      <c r="N1084" s="1353"/>
    </row>
    <row r="1085" spans="1:14" x14ac:dyDescent="0.25">
      <c r="A1085" s="1353"/>
      <c r="B1085" s="1353"/>
      <c r="C1085" s="1353"/>
      <c r="D1085" s="1353"/>
      <c r="E1085" s="1353"/>
      <c r="F1085" s="1353"/>
      <c r="G1085" s="1353"/>
      <c r="H1085" s="1353"/>
      <c r="I1085" s="1353"/>
      <c r="J1085" s="1353"/>
      <c r="K1085" s="1387"/>
      <c r="L1085" s="1353"/>
      <c r="M1085" s="1353"/>
      <c r="N1085" s="1353"/>
    </row>
    <row r="1086" spans="1:14" x14ac:dyDescent="0.25">
      <c r="A1086" s="1353"/>
      <c r="B1086" s="1353"/>
      <c r="C1086" s="1353"/>
      <c r="D1086" s="1353"/>
      <c r="E1086" s="1353"/>
      <c r="F1086" s="1353"/>
      <c r="G1086" s="1353"/>
      <c r="H1086" s="1353"/>
      <c r="I1086" s="1353"/>
      <c r="J1086" s="1353"/>
      <c r="K1086" s="1387"/>
      <c r="L1086" s="1353"/>
      <c r="M1086" s="1353"/>
      <c r="N1086" s="1353"/>
    </row>
    <row r="1087" spans="1:14" x14ac:dyDescent="0.25">
      <c r="A1087" s="1353"/>
      <c r="B1087" s="1353"/>
      <c r="C1087" s="1353"/>
      <c r="D1087" s="1353"/>
      <c r="E1087" s="1353"/>
      <c r="F1087" s="1353"/>
      <c r="G1087" s="1353"/>
      <c r="H1087" s="1353"/>
      <c r="I1087" s="1353"/>
      <c r="J1087" s="1353"/>
      <c r="K1087" s="1387"/>
      <c r="L1087" s="1353"/>
      <c r="M1087" s="1353"/>
      <c r="N1087" s="1353"/>
    </row>
    <row r="1088" spans="1:14" x14ac:dyDescent="0.25">
      <c r="A1088" s="1353"/>
      <c r="B1088" s="1353"/>
      <c r="C1088" s="1353"/>
      <c r="D1088" s="1353"/>
      <c r="E1088" s="1353"/>
      <c r="F1088" s="1353"/>
      <c r="G1088" s="1353"/>
      <c r="H1088" s="1353"/>
      <c r="I1088" s="1353"/>
      <c r="J1088" s="1353"/>
      <c r="K1088" s="1387"/>
      <c r="L1088" s="1353"/>
      <c r="M1088" s="1353"/>
      <c r="N1088" s="1353"/>
    </row>
    <row r="1089" spans="1:14" x14ac:dyDescent="0.25">
      <c r="A1089" s="1353"/>
      <c r="B1089" s="1353"/>
      <c r="C1089" s="1353"/>
      <c r="D1089" s="1353"/>
      <c r="E1089" s="1353"/>
      <c r="F1089" s="1353"/>
      <c r="G1089" s="1353"/>
      <c r="H1089" s="1353"/>
      <c r="I1089" s="1353"/>
      <c r="J1089" s="1353"/>
      <c r="K1089" s="1387"/>
      <c r="L1089" s="1353"/>
      <c r="M1089" s="1353"/>
      <c r="N1089" s="1353"/>
    </row>
    <row r="1090" spans="1:14" x14ac:dyDescent="0.25">
      <c r="A1090" s="1353"/>
      <c r="B1090" s="1353"/>
      <c r="C1090" s="1353"/>
      <c r="D1090" s="1353"/>
      <c r="E1090" s="1353"/>
      <c r="F1090" s="1353"/>
      <c r="G1090" s="1353"/>
      <c r="H1090" s="1353"/>
      <c r="I1090" s="1353"/>
      <c r="J1090" s="1353"/>
      <c r="K1090" s="1387"/>
      <c r="L1090" s="1353"/>
      <c r="M1090" s="1353"/>
      <c r="N1090" s="1353"/>
    </row>
    <row r="1091" spans="1:14" x14ac:dyDescent="0.25">
      <c r="A1091" s="1353"/>
      <c r="B1091" s="1353"/>
      <c r="C1091" s="1353"/>
      <c r="D1091" s="1353"/>
      <c r="E1091" s="1353"/>
      <c r="F1091" s="1353"/>
      <c r="G1091" s="1353"/>
      <c r="H1091" s="1353"/>
      <c r="I1091" s="1353"/>
      <c r="J1091" s="1353"/>
      <c r="K1091" s="1387"/>
      <c r="L1091" s="1353"/>
      <c r="M1091" s="1353"/>
      <c r="N1091" s="1353"/>
    </row>
    <row r="1092" spans="1:14" x14ac:dyDescent="0.25">
      <c r="A1092" s="1353"/>
      <c r="B1092" s="1353"/>
      <c r="C1092" s="1353"/>
      <c r="D1092" s="1353"/>
      <c r="E1092" s="1353"/>
      <c r="F1092" s="1353"/>
      <c r="G1092" s="1353"/>
      <c r="H1092" s="1353"/>
      <c r="I1092" s="1353"/>
      <c r="J1092" s="1353"/>
      <c r="K1092" s="1387"/>
      <c r="L1092" s="1353"/>
      <c r="M1092" s="1353"/>
      <c r="N1092" s="1353"/>
    </row>
    <row r="1093" spans="1:14" x14ac:dyDescent="0.25">
      <c r="A1093" s="1353"/>
      <c r="B1093" s="1353"/>
      <c r="C1093" s="1353"/>
      <c r="D1093" s="1353"/>
      <c r="E1093" s="1353"/>
      <c r="F1093" s="1353"/>
      <c r="G1093" s="1353"/>
      <c r="H1093" s="1353"/>
      <c r="I1093" s="1353"/>
      <c r="J1093" s="1353"/>
      <c r="K1093" s="1387"/>
      <c r="L1093" s="1353"/>
      <c r="M1093" s="1353"/>
      <c r="N1093" s="1353"/>
    </row>
    <row r="1094" spans="1:14" x14ac:dyDescent="0.25">
      <c r="A1094" s="1353"/>
      <c r="B1094" s="1353"/>
      <c r="C1094" s="1353"/>
      <c r="D1094" s="1353"/>
      <c r="E1094" s="1353"/>
      <c r="F1094" s="1353"/>
      <c r="G1094" s="1353"/>
      <c r="H1094" s="1353"/>
      <c r="I1094" s="1353"/>
      <c r="J1094" s="1353"/>
      <c r="K1094" s="1387"/>
      <c r="L1094" s="1353"/>
      <c r="M1094" s="1353"/>
      <c r="N1094" s="1353"/>
    </row>
    <row r="1095" spans="1:14" x14ac:dyDescent="0.25">
      <c r="A1095" s="1353"/>
      <c r="B1095" s="1353"/>
      <c r="C1095" s="1353"/>
      <c r="D1095" s="1353"/>
      <c r="E1095" s="1353"/>
      <c r="F1095" s="1353"/>
      <c r="G1095" s="1353"/>
      <c r="H1095" s="1353"/>
      <c r="I1095" s="1353"/>
      <c r="J1095" s="1353"/>
      <c r="K1095" s="1387"/>
      <c r="L1095" s="1353"/>
      <c r="M1095" s="1353"/>
      <c r="N1095" s="1353"/>
    </row>
    <row r="1096" spans="1:14" x14ac:dyDescent="0.25">
      <c r="A1096" s="1353"/>
      <c r="B1096" s="1353"/>
      <c r="C1096" s="1353"/>
      <c r="D1096" s="1353"/>
      <c r="E1096" s="1353"/>
      <c r="F1096" s="1353"/>
      <c r="G1096" s="1353"/>
      <c r="H1096" s="1353"/>
      <c r="I1096" s="1353"/>
      <c r="J1096" s="1353"/>
      <c r="K1096" s="1387"/>
      <c r="L1096" s="1353"/>
      <c r="M1096" s="1353"/>
      <c r="N1096" s="1353"/>
    </row>
    <row r="1097" spans="1:14" x14ac:dyDescent="0.25">
      <c r="A1097" s="1353"/>
      <c r="B1097" s="1353"/>
      <c r="C1097" s="1353"/>
      <c r="D1097" s="1353"/>
      <c r="E1097" s="1353"/>
      <c r="F1097" s="1353"/>
      <c r="G1097" s="1353"/>
      <c r="H1097" s="1353"/>
      <c r="I1097" s="1353"/>
      <c r="J1097" s="1353"/>
      <c r="K1097" s="1387"/>
      <c r="L1097" s="1353"/>
      <c r="M1097" s="1353"/>
      <c r="N1097" s="1353"/>
    </row>
    <row r="1098" spans="1:14" x14ac:dyDescent="0.25">
      <c r="A1098" s="1353"/>
      <c r="B1098" s="1353"/>
      <c r="C1098" s="1353"/>
      <c r="D1098" s="1353"/>
      <c r="E1098" s="1353"/>
      <c r="F1098" s="1353"/>
      <c r="G1098" s="1353"/>
      <c r="H1098" s="1353"/>
      <c r="I1098" s="1353"/>
      <c r="J1098" s="1353"/>
      <c r="K1098" s="1387"/>
      <c r="L1098" s="1353"/>
      <c r="M1098" s="1353"/>
      <c r="N1098" s="1353"/>
    </row>
    <row r="1099" spans="1:14" x14ac:dyDescent="0.25">
      <c r="A1099" s="1353"/>
      <c r="B1099" s="1353"/>
      <c r="C1099" s="1353"/>
      <c r="D1099" s="1353"/>
      <c r="E1099" s="1353"/>
      <c r="F1099" s="1353"/>
      <c r="G1099" s="1353"/>
      <c r="H1099" s="1353"/>
      <c r="I1099" s="1353"/>
      <c r="J1099" s="1353"/>
      <c r="K1099" s="1387"/>
      <c r="L1099" s="1353"/>
      <c r="M1099" s="1353"/>
      <c r="N1099" s="1353"/>
    </row>
    <row r="1100" spans="1:14" x14ac:dyDescent="0.25">
      <c r="A1100" s="1353"/>
      <c r="B1100" s="1353"/>
      <c r="C1100" s="1353"/>
      <c r="D1100" s="1353"/>
      <c r="E1100" s="1353"/>
      <c r="F1100" s="1353"/>
      <c r="G1100" s="1353"/>
      <c r="H1100" s="1353"/>
      <c r="I1100" s="1353"/>
      <c r="J1100" s="1353"/>
      <c r="K1100" s="1387"/>
      <c r="L1100" s="1353"/>
      <c r="M1100" s="1353"/>
      <c r="N1100" s="1353"/>
    </row>
    <row r="1101" spans="1:14" x14ac:dyDescent="0.25">
      <c r="A1101" s="1353"/>
      <c r="B1101" s="1353"/>
      <c r="C1101" s="1353"/>
      <c r="D1101" s="1353"/>
      <c r="E1101" s="1353"/>
      <c r="F1101" s="1353"/>
      <c r="G1101" s="1353"/>
      <c r="H1101" s="1353"/>
      <c r="I1101" s="1353"/>
      <c r="J1101" s="1353"/>
      <c r="K1101" s="1387"/>
      <c r="L1101" s="1353"/>
      <c r="M1101" s="1353"/>
      <c r="N1101" s="1353"/>
    </row>
    <row r="1102" spans="1:14" x14ac:dyDescent="0.25">
      <c r="A1102" s="1353"/>
      <c r="B1102" s="1353"/>
      <c r="C1102" s="1353"/>
      <c r="D1102" s="1353"/>
      <c r="E1102" s="1353"/>
      <c r="F1102" s="1353"/>
      <c r="G1102" s="1353"/>
      <c r="H1102" s="1353"/>
      <c r="I1102" s="1353"/>
      <c r="J1102" s="1353"/>
      <c r="K1102" s="1387"/>
      <c r="L1102" s="1353"/>
      <c r="M1102" s="1353"/>
      <c r="N1102" s="1353"/>
    </row>
    <row r="1103" spans="1:14" x14ac:dyDescent="0.25">
      <c r="A1103" s="1353"/>
      <c r="B1103" s="1353"/>
      <c r="C1103" s="1353"/>
      <c r="D1103" s="1353"/>
      <c r="E1103" s="1353"/>
      <c r="F1103" s="1353"/>
      <c r="G1103" s="1353"/>
      <c r="H1103" s="1353"/>
      <c r="I1103" s="1353"/>
      <c r="J1103" s="1353"/>
      <c r="K1103" s="1387"/>
      <c r="L1103" s="1353"/>
      <c r="M1103" s="1353"/>
      <c r="N1103" s="1353"/>
    </row>
    <row r="1104" spans="1:14" x14ac:dyDescent="0.25">
      <c r="A1104" s="1353"/>
      <c r="B1104" s="1353"/>
      <c r="C1104" s="1353"/>
      <c r="D1104" s="1353"/>
      <c r="E1104" s="1353"/>
      <c r="F1104" s="1353"/>
      <c r="G1104" s="1353"/>
      <c r="H1104" s="1353"/>
      <c r="I1104" s="1353"/>
      <c r="J1104" s="1353"/>
      <c r="K1104" s="1387"/>
      <c r="L1104" s="1353"/>
      <c r="M1104" s="1353"/>
      <c r="N1104" s="1353"/>
    </row>
    <row r="1105" spans="1:14" x14ac:dyDescent="0.25">
      <c r="A1105" s="1353"/>
      <c r="B1105" s="1353"/>
      <c r="C1105" s="1353"/>
      <c r="D1105" s="1353"/>
      <c r="E1105" s="1353"/>
      <c r="F1105" s="1353"/>
      <c r="G1105" s="1353"/>
      <c r="H1105" s="1353"/>
      <c r="I1105" s="1353"/>
      <c r="J1105" s="1353"/>
      <c r="K1105" s="1387"/>
      <c r="L1105" s="1353"/>
      <c r="M1105" s="1353"/>
      <c r="N1105" s="1353"/>
    </row>
    <row r="1106" spans="1:14" x14ac:dyDescent="0.25">
      <c r="A1106" s="1353"/>
      <c r="B1106" s="1353"/>
      <c r="C1106" s="1353"/>
      <c r="D1106" s="1353"/>
      <c r="E1106" s="1353"/>
      <c r="F1106" s="1353"/>
      <c r="G1106" s="1353"/>
      <c r="H1106" s="1353"/>
      <c r="I1106" s="1353"/>
      <c r="J1106" s="1353"/>
      <c r="K1106" s="1387"/>
      <c r="L1106" s="1353"/>
      <c r="M1106" s="1353"/>
      <c r="N1106" s="1353"/>
    </row>
    <row r="1107" spans="1:14" x14ac:dyDescent="0.25">
      <c r="A1107" s="1353"/>
      <c r="B1107" s="1353"/>
      <c r="C1107" s="1353"/>
      <c r="D1107" s="1353"/>
      <c r="E1107" s="1353"/>
      <c r="F1107" s="1353"/>
      <c r="G1107" s="1353"/>
      <c r="H1107" s="1353"/>
      <c r="I1107" s="1353"/>
      <c r="J1107" s="1353"/>
      <c r="K1107" s="1387"/>
      <c r="L1107" s="1353"/>
      <c r="M1107" s="1353"/>
      <c r="N1107" s="1353"/>
    </row>
    <row r="1108" spans="1:14" x14ac:dyDescent="0.25">
      <c r="A1108" s="1353"/>
      <c r="B1108" s="1353"/>
      <c r="C1108" s="1353"/>
      <c r="D1108" s="1353"/>
      <c r="E1108" s="1353"/>
      <c r="F1108" s="1353"/>
      <c r="G1108" s="1353"/>
      <c r="H1108" s="1353"/>
      <c r="I1108" s="1353"/>
      <c r="J1108" s="1353"/>
      <c r="K1108" s="1387"/>
      <c r="L1108" s="1353"/>
      <c r="M1108" s="1353"/>
      <c r="N1108" s="1353"/>
    </row>
    <row r="1109" spans="1:14" x14ac:dyDescent="0.25">
      <c r="A1109" s="1353"/>
      <c r="B1109" s="1353"/>
      <c r="C1109" s="1353"/>
      <c r="D1109" s="1353"/>
      <c r="E1109" s="1353"/>
      <c r="F1109" s="1353"/>
      <c r="G1109" s="1353"/>
      <c r="H1109" s="1353"/>
      <c r="I1109" s="1353"/>
      <c r="J1109" s="1353"/>
      <c r="K1109" s="1387"/>
      <c r="L1109" s="1353"/>
      <c r="M1109" s="1353"/>
      <c r="N1109" s="1353"/>
    </row>
    <row r="1110" spans="1:14" x14ac:dyDescent="0.25">
      <c r="A1110" s="1353"/>
      <c r="B1110" s="1353"/>
      <c r="C1110" s="1353"/>
      <c r="D1110" s="1353"/>
      <c r="E1110" s="1353"/>
      <c r="F1110" s="1353"/>
      <c r="G1110" s="1353"/>
      <c r="H1110" s="1353"/>
      <c r="I1110" s="1353"/>
      <c r="J1110" s="1353"/>
      <c r="K1110" s="1387"/>
      <c r="L1110" s="1353"/>
      <c r="M1110" s="1353"/>
      <c r="N1110" s="1353"/>
    </row>
    <row r="1111" spans="1:14" x14ac:dyDescent="0.25">
      <c r="A1111" s="1353"/>
      <c r="B1111" s="1353"/>
      <c r="C1111" s="1353"/>
      <c r="D1111" s="1353"/>
      <c r="E1111" s="1353"/>
      <c r="F1111" s="1353"/>
      <c r="G1111" s="1353"/>
      <c r="H1111" s="1353"/>
      <c r="I1111" s="1353"/>
      <c r="J1111" s="1353"/>
      <c r="K1111" s="1387"/>
      <c r="L1111" s="1353"/>
      <c r="M1111" s="1353"/>
      <c r="N1111" s="1353"/>
    </row>
    <row r="1112" spans="1:14" x14ac:dyDescent="0.25">
      <c r="A1112" s="1353"/>
      <c r="B1112" s="1353"/>
      <c r="C1112" s="1353"/>
      <c r="D1112" s="1353"/>
      <c r="E1112" s="1353"/>
      <c r="F1112" s="1353"/>
      <c r="G1112" s="1353"/>
      <c r="H1112" s="1353"/>
      <c r="I1112" s="1353"/>
      <c r="J1112" s="1353"/>
      <c r="K1112" s="1387"/>
      <c r="L1112" s="1353"/>
      <c r="M1112" s="1353"/>
      <c r="N1112" s="1353"/>
    </row>
    <row r="1113" spans="1:14" x14ac:dyDescent="0.25">
      <c r="A1113" s="1353"/>
      <c r="B1113" s="1353"/>
      <c r="C1113" s="1353"/>
      <c r="D1113" s="1353"/>
      <c r="E1113" s="1353"/>
      <c r="F1113" s="1353"/>
      <c r="G1113" s="1353"/>
      <c r="H1113" s="1353"/>
      <c r="I1113" s="1353"/>
      <c r="J1113" s="1353"/>
      <c r="K1113" s="1387"/>
      <c r="L1113" s="1353"/>
      <c r="M1113" s="1353"/>
      <c r="N1113" s="1353"/>
    </row>
    <row r="1114" spans="1:14" x14ac:dyDescent="0.25">
      <c r="A1114" s="1353"/>
      <c r="B1114" s="1353"/>
      <c r="C1114" s="1353"/>
      <c r="D1114" s="1353"/>
      <c r="E1114" s="1353"/>
      <c r="F1114" s="1353"/>
      <c r="G1114" s="1353"/>
      <c r="H1114" s="1353"/>
      <c r="I1114" s="1353"/>
      <c r="J1114" s="1353"/>
      <c r="K1114" s="1387"/>
      <c r="L1114" s="1353"/>
      <c r="M1114" s="1353"/>
      <c r="N1114" s="1353"/>
    </row>
    <row r="1115" spans="1:14" x14ac:dyDescent="0.25">
      <c r="A1115" s="1353"/>
      <c r="B1115" s="1353"/>
      <c r="C1115" s="1353"/>
      <c r="D1115" s="1353"/>
      <c r="E1115" s="1353"/>
      <c r="F1115" s="1353"/>
      <c r="G1115" s="1353"/>
      <c r="H1115" s="1353"/>
      <c r="I1115" s="1353"/>
      <c r="J1115" s="1353"/>
      <c r="K1115" s="1387"/>
      <c r="L1115" s="1353"/>
      <c r="M1115" s="1353"/>
      <c r="N1115" s="1353"/>
    </row>
    <row r="1116" spans="1:14" x14ac:dyDescent="0.25">
      <c r="A1116" s="1353"/>
      <c r="B1116" s="1353"/>
      <c r="C1116" s="1353"/>
      <c r="D1116" s="1353"/>
      <c r="E1116" s="1353"/>
      <c r="F1116" s="1353"/>
      <c r="G1116" s="1353"/>
      <c r="H1116" s="1353"/>
      <c r="I1116" s="1353"/>
      <c r="J1116" s="1353"/>
      <c r="K1116" s="1387"/>
      <c r="L1116" s="1353"/>
      <c r="M1116" s="1353"/>
      <c r="N1116" s="1353"/>
    </row>
    <row r="1117" spans="1:14" x14ac:dyDescent="0.25">
      <c r="A1117" s="1353"/>
      <c r="B1117" s="1353"/>
      <c r="C1117" s="1353"/>
      <c r="D1117" s="1353"/>
      <c r="E1117" s="1353"/>
      <c r="F1117" s="1353"/>
      <c r="G1117" s="1353"/>
      <c r="H1117" s="1353"/>
      <c r="I1117" s="1353"/>
      <c r="J1117" s="1353"/>
      <c r="K1117" s="1387"/>
      <c r="L1117" s="1353"/>
      <c r="M1117" s="1353"/>
      <c r="N1117" s="1353"/>
    </row>
    <row r="1118" spans="1:14" x14ac:dyDescent="0.25">
      <c r="A1118" s="1353"/>
      <c r="B1118" s="1353"/>
      <c r="C1118" s="1353"/>
      <c r="D1118" s="1353"/>
      <c r="E1118" s="1353"/>
      <c r="F1118" s="1353"/>
      <c r="G1118" s="1353"/>
      <c r="H1118" s="1353"/>
      <c r="I1118" s="1353"/>
      <c r="J1118" s="1353"/>
      <c r="K1118" s="1387"/>
      <c r="L1118" s="1353"/>
      <c r="M1118" s="1353"/>
      <c r="N1118" s="1353"/>
    </row>
    <row r="1119" spans="1:14" x14ac:dyDescent="0.25">
      <c r="A1119" s="1353"/>
      <c r="B1119" s="1353"/>
      <c r="C1119" s="1353"/>
      <c r="D1119" s="1353"/>
      <c r="E1119" s="1353"/>
      <c r="F1119" s="1353"/>
      <c r="G1119" s="1353"/>
      <c r="H1119" s="1353"/>
      <c r="I1119" s="1353"/>
      <c r="J1119" s="1353"/>
      <c r="K1119" s="1387"/>
      <c r="L1119" s="1353"/>
      <c r="M1119" s="1353"/>
      <c r="N1119" s="1353"/>
    </row>
    <row r="1120" spans="1:14" x14ac:dyDescent="0.25">
      <c r="A1120" s="1353"/>
      <c r="B1120" s="1353"/>
      <c r="C1120" s="1353"/>
      <c r="D1120" s="1353"/>
      <c r="E1120" s="1353"/>
      <c r="F1120" s="1353"/>
      <c r="G1120" s="1353"/>
      <c r="H1120" s="1353"/>
      <c r="I1120" s="1353"/>
      <c r="J1120" s="1353"/>
      <c r="K1120" s="1387"/>
      <c r="L1120" s="1353"/>
      <c r="M1120" s="1353"/>
      <c r="N1120" s="1353"/>
    </row>
    <row r="1121" spans="1:14" x14ac:dyDescent="0.25">
      <c r="A1121" s="1353"/>
      <c r="B1121" s="1353"/>
      <c r="C1121" s="1353"/>
      <c r="D1121" s="1353"/>
      <c r="E1121" s="1353"/>
      <c r="F1121" s="1353"/>
      <c r="G1121" s="1353"/>
      <c r="H1121" s="1353"/>
      <c r="I1121" s="1353"/>
      <c r="J1121" s="1353"/>
      <c r="K1121" s="1387"/>
      <c r="L1121" s="1353"/>
      <c r="M1121" s="1353"/>
      <c r="N1121" s="1353"/>
    </row>
    <row r="1122" spans="1:14" x14ac:dyDescent="0.25">
      <c r="A1122" s="1353"/>
      <c r="B1122" s="1353"/>
      <c r="C1122" s="1353"/>
      <c r="D1122" s="1353"/>
      <c r="E1122" s="1353"/>
      <c r="F1122" s="1353"/>
      <c r="G1122" s="1353"/>
      <c r="H1122" s="1353"/>
      <c r="I1122" s="1353"/>
      <c r="J1122" s="1353"/>
      <c r="K1122" s="1387"/>
      <c r="L1122" s="1353"/>
      <c r="M1122" s="1353"/>
      <c r="N1122" s="1353"/>
    </row>
    <row r="1123" spans="1:14" x14ac:dyDescent="0.25">
      <c r="A1123" s="1353"/>
      <c r="B1123" s="1353"/>
      <c r="C1123" s="1353"/>
      <c r="D1123" s="1353"/>
      <c r="E1123" s="1353"/>
      <c r="F1123" s="1353"/>
      <c r="G1123" s="1353"/>
      <c r="H1123" s="1353"/>
      <c r="I1123" s="1353"/>
      <c r="J1123" s="1353"/>
      <c r="K1123" s="1387"/>
      <c r="L1123" s="1353"/>
      <c r="M1123" s="1353"/>
      <c r="N1123" s="1353"/>
    </row>
    <row r="1124" spans="1:14" x14ac:dyDescent="0.25">
      <c r="A1124" s="1353"/>
      <c r="B1124" s="1353"/>
      <c r="C1124" s="1353"/>
      <c r="D1124" s="1353"/>
      <c r="E1124" s="1353"/>
      <c r="F1124" s="1353"/>
      <c r="G1124" s="1353"/>
      <c r="H1124" s="1353"/>
      <c r="I1124" s="1353"/>
      <c r="J1124" s="1353"/>
      <c r="K1124" s="1387"/>
      <c r="L1124" s="1353"/>
      <c r="M1124" s="1353"/>
      <c r="N1124" s="1353"/>
    </row>
    <row r="1125" spans="1:14" x14ac:dyDescent="0.25">
      <c r="A1125" s="1353"/>
      <c r="B1125" s="1353"/>
      <c r="C1125" s="1353"/>
      <c r="D1125" s="1353"/>
      <c r="E1125" s="1353"/>
      <c r="F1125" s="1353"/>
      <c r="G1125" s="1353"/>
      <c r="H1125" s="1353"/>
      <c r="I1125" s="1353"/>
      <c r="J1125" s="1353"/>
      <c r="K1125" s="1387"/>
      <c r="L1125" s="1353"/>
      <c r="M1125" s="1353"/>
      <c r="N1125" s="1353"/>
    </row>
    <row r="1126" spans="1:14" x14ac:dyDescent="0.25">
      <c r="A1126" s="1353"/>
      <c r="B1126" s="1353"/>
      <c r="C1126" s="1353"/>
      <c r="D1126" s="1353"/>
      <c r="E1126" s="1353"/>
      <c r="F1126" s="1353"/>
      <c r="G1126" s="1353"/>
      <c r="H1126" s="1353"/>
      <c r="I1126" s="1353"/>
      <c r="J1126" s="1353"/>
      <c r="K1126" s="1387"/>
      <c r="L1126" s="1353"/>
      <c r="M1126" s="1353"/>
      <c r="N1126" s="1353"/>
    </row>
    <row r="1127" spans="1:14" x14ac:dyDescent="0.25">
      <c r="A1127" s="1353"/>
      <c r="B1127" s="1353"/>
      <c r="C1127" s="1353"/>
      <c r="D1127" s="1353"/>
      <c r="E1127" s="1353"/>
      <c r="F1127" s="1353"/>
      <c r="G1127" s="1353"/>
      <c r="H1127" s="1353"/>
      <c r="I1127" s="1353"/>
      <c r="J1127" s="1353"/>
      <c r="K1127" s="1387"/>
      <c r="L1127" s="1353"/>
      <c r="M1127" s="1353"/>
      <c r="N1127" s="1353"/>
    </row>
    <row r="1128" spans="1:14" x14ac:dyDescent="0.25">
      <c r="A1128" s="1353"/>
      <c r="B1128" s="1353"/>
      <c r="C1128" s="1353"/>
      <c r="D1128" s="1353"/>
      <c r="E1128" s="1353"/>
      <c r="F1128" s="1353"/>
      <c r="G1128" s="1353"/>
      <c r="H1128" s="1353"/>
      <c r="I1128" s="1353"/>
      <c r="J1128" s="1353"/>
      <c r="K1128" s="1387"/>
      <c r="L1128" s="1353"/>
      <c r="M1128" s="1353"/>
      <c r="N1128" s="1353"/>
    </row>
    <row r="1129" spans="1:14" x14ac:dyDescent="0.25">
      <c r="A1129" s="1353"/>
      <c r="B1129" s="1353"/>
      <c r="C1129" s="1353"/>
      <c r="D1129" s="1353"/>
      <c r="E1129" s="1353"/>
      <c r="F1129" s="1353"/>
      <c r="G1129" s="1353"/>
      <c r="H1129" s="1353"/>
      <c r="I1129" s="1353"/>
      <c r="J1129" s="1353"/>
      <c r="K1129" s="1387"/>
      <c r="L1129" s="1353"/>
      <c r="M1129" s="1353"/>
      <c r="N1129" s="1353"/>
    </row>
    <row r="1130" spans="1:14" x14ac:dyDescent="0.25">
      <c r="A1130" s="1353"/>
      <c r="B1130" s="1353"/>
      <c r="C1130" s="1353"/>
      <c r="D1130" s="1353"/>
      <c r="E1130" s="1353"/>
      <c r="F1130" s="1353"/>
      <c r="G1130" s="1353"/>
      <c r="H1130" s="1353"/>
      <c r="I1130" s="1353"/>
      <c r="J1130" s="1353"/>
      <c r="K1130" s="1387"/>
      <c r="L1130" s="1353"/>
      <c r="M1130" s="1353"/>
      <c r="N1130" s="1353"/>
    </row>
    <row r="1131" spans="1:14" x14ac:dyDescent="0.25">
      <c r="A1131" s="1353"/>
      <c r="B1131" s="1353"/>
      <c r="C1131" s="1353"/>
      <c r="D1131" s="1353"/>
      <c r="E1131" s="1353"/>
      <c r="F1131" s="1353"/>
      <c r="G1131" s="1353"/>
      <c r="H1131" s="1353"/>
      <c r="I1131" s="1353"/>
      <c r="J1131" s="1353"/>
      <c r="K1131" s="1387"/>
      <c r="L1131" s="1353"/>
      <c r="M1131" s="1353"/>
      <c r="N1131" s="1353"/>
    </row>
    <row r="1132" spans="1:14" x14ac:dyDescent="0.25">
      <c r="A1132" s="1353"/>
      <c r="B1132" s="1353"/>
      <c r="C1132" s="1353"/>
      <c r="D1132" s="1353"/>
      <c r="E1132" s="1353"/>
      <c r="F1132" s="1353"/>
      <c r="G1132" s="1353"/>
      <c r="H1132" s="1353"/>
      <c r="I1132" s="1353"/>
      <c r="J1132" s="1353"/>
      <c r="K1132" s="1387"/>
      <c r="L1132" s="1353"/>
      <c r="M1132" s="1353"/>
      <c r="N1132" s="1353"/>
    </row>
    <row r="1133" spans="1:14" x14ac:dyDescent="0.25">
      <c r="A1133" s="1353"/>
      <c r="B1133" s="1353"/>
      <c r="C1133" s="1353"/>
      <c r="D1133" s="1353"/>
      <c r="E1133" s="1353"/>
      <c r="F1133" s="1353"/>
      <c r="G1133" s="1353"/>
      <c r="H1133" s="1353"/>
      <c r="I1133" s="1353"/>
      <c r="J1133" s="1353"/>
      <c r="K1133" s="1387"/>
      <c r="L1133" s="1353"/>
      <c r="M1133" s="1353"/>
      <c r="N1133" s="1353"/>
    </row>
    <row r="1134" spans="1:14" x14ac:dyDescent="0.25">
      <c r="A1134" s="1353"/>
      <c r="B1134" s="1353"/>
      <c r="C1134" s="1353"/>
      <c r="D1134" s="1353"/>
      <c r="E1134" s="1353"/>
      <c r="F1134" s="1353"/>
      <c r="G1134" s="1353"/>
      <c r="H1134" s="1353"/>
      <c r="I1134" s="1353"/>
      <c r="J1134" s="1353"/>
      <c r="K1134" s="1387"/>
      <c r="L1134" s="1353"/>
      <c r="M1134" s="1353"/>
      <c r="N1134" s="1353"/>
    </row>
    <row r="1135" spans="1:14" x14ac:dyDescent="0.25">
      <c r="A1135" s="1353"/>
      <c r="B1135" s="1353"/>
      <c r="C1135" s="1353"/>
      <c r="D1135" s="1353"/>
      <c r="E1135" s="1353"/>
      <c r="F1135" s="1353"/>
      <c r="G1135" s="1353"/>
      <c r="H1135" s="1353"/>
      <c r="I1135" s="1353"/>
      <c r="J1135" s="1353"/>
      <c r="K1135" s="1387"/>
      <c r="L1135" s="1353"/>
      <c r="M1135" s="1353"/>
      <c r="N1135" s="1353"/>
    </row>
    <row r="1136" spans="1:14" x14ac:dyDescent="0.25">
      <c r="A1136" s="1353"/>
      <c r="B1136" s="1353"/>
      <c r="C1136" s="1353"/>
      <c r="D1136" s="1353"/>
      <c r="E1136" s="1353"/>
      <c r="F1136" s="1353"/>
      <c r="G1136" s="1353"/>
      <c r="H1136" s="1353"/>
      <c r="I1136" s="1353"/>
      <c r="J1136" s="1353"/>
      <c r="K1136" s="1387"/>
      <c r="L1136" s="1353"/>
      <c r="M1136" s="1353"/>
      <c r="N1136" s="1353"/>
    </row>
    <row r="1137" spans="1:14" x14ac:dyDescent="0.25">
      <c r="A1137" s="1353"/>
      <c r="B1137" s="1353"/>
      <c r="C1137" s="1353"/>
      <c r="D1137" s="1353"/>
      <c r="E1137" s="1353"/>
      <c r="F1137" s="1353"/>
      <c r="G1137" s="1353"/>
      <c r="H1137" s="1353"/>
      <c r="I1137" s="1353"/>
      <c r="J1137" s="1353"/>
      <c r="K1137" s="1387"/>
      <c r="L1137" s="1353"/>
      <c r="M1137" s="1353"/>
      <c r="N1137" s="1353"/>
    </row>
    <row r="1138" spans="1:14" x14ac:dyDescent="0.25">
      <c r="A1138" s="1353"/>
      <c r="B1138" s="1353"/>
      <c r="C1138" s="1353"/>
      <c r="D1138" s="1353"/>
      <c r="E1138" s="1353"/>
      <c r="F1138" s="1353"/>
      <c r="G1138" s="1353"/>
      <c r="H1138" s="1353"/>
      <c r="I1138" s="1353"/>
      <c r="J1138" s="1353"/>
      <c r="K1138" s="1387"/>
      <c r="L1138" s="1353"/>
      <c r="M1138" s="1353"/>
      <c r="N1138" s="1353"/>
    </row>
    <row r="1139" spans="1:14" x14ac:dyDescent="0.25">
      <c r="A1139" s="1353"/>
      <c r="B1139" s="1353"/>
      <c r="C1139" s="1353"/>
      <c r="D1139" s="1353"/>
      <c r="E1139" s="1353"/>
      <c r="F1139" s="1353"/>
      <c r="G1139" s="1353"/>
      <c r="H1139" s="1353"/>
      <c r="I1139" s="1353"/>
      <c r="J1139" s="1353"/>
      <c r="K1139" s="1387"/>
      <c r="L1139" s="1353"/>
      <c r="M1139" s="1353"/>
      <c r="N1139" s="1353"/>
    </row>
    <row r="1140" spans="1:14" x14ac:dyDescent="0.25">
      <c r="A1140" s="1353"/>
      <c r="B1140" s="1353"/>
      <c r="C1140" s="1353"/>
      <c r="D1140" s="1353"/>
      <c r="E1140" s="1353"/>
      <c r="F1140" s="1353"/>
      <c r="G1140" s="1353"/>
      <c r="H1140" s="1353"/>
      <c r="I1140" s="1353"/>
      <c r="J1140" s="1353"/>
      <c r="K1140" s="1387"/>
      <c r="L1140" s="1353"/>
      <c r="M1140" s="1353"/>
      <c r="N1140" s="1353"/>
    </row>
    <row r="1141" spans="1:14" x14ac:dyDescent="0.25">
      <c r="A1141" s="1353"/>
      <c r="B1141" s="1353"/>
      <c r="C1141" s="1353"/>
      <c r="D1141" s="1353"/>
      <c r="E1141" s="1353"/>
      <c r="F1141" s="1353"/>
      <c r="G1141" s="1353"/>
      <c r="H1141" s="1353"/>
      <c r="I1141" s="1353"/>
      <c r="J1141" s="1353"/>
      <c r="K1141" s="1387"/>
      <c r="L1141" s="1353"/>
      <c r="M1141" s="1353"/>
      <c r="N1141" s="1353"/>
    </row>
    <row r="1142" spans="1:14" x14ac:dyDescent="0.25">
      <c r="A1142" s="1353"/>
      <c r="B1142" s="1353"/>
      <c r="C1142" s="1353"/>
      <c r="D1142" s="1353"/>
      <c r="E1142" s="1353"/>
      <c r="F1142" s="1353"/>
      <c r="G1142" s="1353"/>
      <c r="H1142" s="1353"/>
      <c r="I1142" s="1353"/>
      <c r="J1142" s="1353"/>
      <c r="K1142" s="1387"/>
      <c r="L1142" s="1353"/>
      <c r="M1142" s="1353"/>
      <c r="N1142" s="1353"/>
    </row>
    <row r="1143" spans="1:14" x14ac:dyDescent="0.25">
      <c r="A1143" s="1353"/>
      <c r="B1143" s="1353"/>
      <c r="C1143" s="1353"/>
      <c r="D1143" s="1353"/>
      <c r="E1143" s="1353"/>
      <c r="F1143" s="1353"/>
      <c r="G1143" s="1353"/>
      <c r="H1143" s="1353"/>
      <c r="I1143" s="1353"/>
      <c r="J1143" s="1353"/>
      <c r="K1143" s="1387"/>
      <c r="L1143" s="1353"/>
      <c r="M1143" s="1353"/>
      <c r="N1143" s="1353"/>
    </row>
    <row r="1144" spans="1:14" x14ac:dyDescent="0.25">
      <c r="A1144" s="1353"/>
      <c r="B1144" s="1353"/>
      <c r="C1144" s="1353"/>
      <c r="D1144" s="1353"/>
      <c r="E1144" s="1353"/>
      <c r="F1144" s="1353"/>
      <c r="G1144" s="1353"/>
      <c r="H1144" s="1353"/>
      <c r="I1144" s="1353"/>
      <c r="J1144" s="1353"/>
      <c r="K1144" s="1387"/>
      <c r="L1144" s="1353"/>
      <c r="M1144" s="1353"/>
      <c r="N1144" s="1353"/>
    </row>
    <row r="1145" spans="1:14" x14ac:dyDescent="0.25">
      <c r="A1145" s="1353"/>
      <c r="B1145" s="1353"/>
      <c r="C1145" s="1353"/>
      <c r="D1145" s="1353"/>
      <c r="E1145" s="1353"/>
      <c r="F1145" s="1353"/>
      <c r="G1145" s="1353"/>
      <c r="H1145" s="1353"/>
      <c r="I1145" s="1353"/>
      <c r="J1145" s="1353"/>
      <c r="K1145" s="1387"/>
      <c r="L1145" s="1353"/>
      <c r="M1145" s="1353"/>
      <c r="N1145" s="1353"/>
    </row>
    <row r="1146" spans="1:14" x14ac:dyDescent="0.25">
      <c r="A1146" s="1353"/>
      <c r="B1146" s="1353"/>
      <c r="C1146" s="1353"/>
      <c r="D1146" s="1353"/>
      <c r="E1146" s="1353"/>
      <c r="F1146" s="1353"/>
      <c r="G1146" s="1353"/>
      <c r="H1146" s="1353"/>
      <c r="I1146" s="1353"/>
      <c r="J1146" s="1353"/>
      <c r="K1146" s="1387"/>
      <c r="L1146" s="1353"/>
      <c r="M1146" s="1353"/>
      <c r="N1146" s="1353"/>
    </row>
    <row r="1147" spans="1:14" x14ac:dyDescent="0.25">
      <c r="A1147" s="1353"/>
      <c r="B1147" s="1353"/>
      <c r="C1147" s="1353"/>
      <c r="D1147" s="1353"/>
      <c r="E1147" s="1353"/>
      <c r="F1147" s="1353"/>
      <c r="G1147" s="1353"/>
      <c r="H1147" s="1353"/>
      <c r="I1147" s="1353"/>
      <c r="J1147" s="1353"/>
      <c r="K1147" s="1387"/>
      <c r="L1147" s="1353"/>
      <c r="M1147" s="1353"/>
      <c r="N1147" s="1353"/>
    </row>
    <row r="1148" spans="1:14" x14ac:dyDescent="0.25">
      <c r="A1148" s="1353"/>
      <c r="B1148" s="1353"/>
      <c r="C1148" s="1353"/>
      <c r="D1148" s="1353"/>
      <c r="E1148" s="1353"/>
      <c r="F1148" s="1353"/>
      <c r="G1148" s="1353"/>
      <c r="H1148" s="1353"/>
      <c r="I1148" s="1353"/>
      <c r="J1148" s="1353"/>
      <c r="K1148" s="1387"/>
      <c r="L1148" s="1353"/>
      <c r="M1148" s="1353"/>
      <c r="N1148" s="1353"/>
    </row>
    <row r="1149" spans="1:14" x14ac:dyDescent="0.25">
      <c r="A1149" s="1353"/>
      <c r="B1149" s="1353"/>
      <c r="C1149" s="1353"/>
      <c r="D1149" s="1353"/>
      <c r="E1149" s="1353"/>
      <c r="F1149" s="1353"/>
      <c r="G1149" s="1353"/>
      <c r="H1149" s="1353"/>
      <c r="I1149" s="1353"/>
      <c r="J1149" s="1353"/>
      <c r="K1149" s="1387"/>
      <c r="L1149" s="1353"/>
      <c r="M1149" s="1353"/>
      <c r="N1149" s="1353"/>
    </row>
    <row r="1150" spans="1:14" x14ac:dyDescent="0.25">
      <c r="A1150" s="1353"/>
      <c r="B1150" s="1353"/>
      <c r="C1150" s="1353"/>
      <c r="D1150" s="1353"/>
      <c r="E1150" s="1353"/>
      <c r="F1150" s="1353"/>
      <c r="G1150" s="1353"/>
      <c r="H1150" s="1353"/>
      <c r="I1150" s="1353"/>
      <c r="J1150" s="1353"/>
      <c r="K1150" s="1387"/>
      <c r="L1150" s="1353"/>
      <c r="M1150" s="1353"/>
      <c r="N1150" s="1353"/>
    </row>
    <row r="1151" spans="1:14" x14ac:dyDescent="0.25">
      <c r="A1151" s="1353"/>
      <c r="B1151" s="1353"/>
      <c r="C1151" s="1353"/>
      <c r="D1151" s="1353"/>
      <c r="E1151" s="1353"/>
      <c r="F1151" s="1353"/>
      <c r="G1151" s="1353"/>
      <c r="H1151" s="1353"/>
      <c r="I1151" s="1353"/>
      <c r="J1151" s="1353"/>
      <c r="K1151" s="1387"/>
      <c r="L1151" s="1353"/>
      <c r="M1151" s="1353"/>
      <c r="N1151" s="1353"/>
    </row>
    <row r="1152" spans="1:14" x14ac:dyDescent="0.25">
      <c r="A1152" s="1353"/>
      <c r="B1152" s="1353"/>
      <c r="C1152" s="1353"/>
      <c r="D1152" s="1353"/>
      <c r="E1152" s="1353"/>
      <c r="F1152" s="1353"/>
      <c r="G1152" s="1353"/>
      <c r="H1152" s="1353"/>
      <c r="I1152" s="1353"/>
      <c r="J1152" s="1353"/>
      <c r="K1152" s="1387"/>
      <c r="L1152" s="1353"/>
      <c r="M1152" s="1353"/>
      <c r="N1152" s="1353"/>
    </row>
    <row r="1153" spans="1:14" x14ac:dyDescent="0.25">
      <c r="A1153" s="1353"/>
      <c r="B1153" s="1353"/>
      <c r="C1153" s="1353"/>
      <c r="D1153" s="1353"/>
      <c r="E1153" s="1353"/>
      <c r="F1153" s="1353"/>
      <c r="G1153" s="1353"/>
      <c r="H1153" s="1353"/>
      <c r="I1153" s="1353"/>
      <c r="J1153" s="1353"/>
      <c r="K1153" s="1387"/>
      <c r="L1153" s="1353"/>
      <c r="M1153" s="1353"/>
      <c r="N1153" s="1353"/>
    </row>
    <row r="1154" spans="1:14" x14ac:dyDescent="0.25">
      <c r="A1154" s="1353"/>
      <c r="B1154" s="1353"/>
      <c r="C1154" s="1353"/>
      <c r="D1154" s="1353"/>
      <c r="E1154" s="1353"/>
      <c r="F1154" s="1353"/>
      <c r="G1154" s="1353"/>
      <c r="H1154" s="1353"/>
      <c r="I1154" s="1353"/>
      <c r="J1154" s="1353"/>
      <c r="K1154" s="1387"/>
      <c r="L1154" s="1353"/>
      <c r="M1154" s="1353"/>
      <c r="N1154" s="1353"/>
    </row>
    <row r="1155" spans="1:14" x14ac:dyDescent="0.25">
      <c r="A1155" s="1353"/>
      <c r="B1155" s="1353"/>
      <c r="C1155" s="1353"/>
      <c r="D1155" s="1353"/>
      <c r="E1155" s="1353"/>
      <c r="F1155" s="1353"/>
      <c r="G1155" s="1353"/>
      <c r="H1155" s="1353"/>
      <c r="I1155" s="1353"/>
      <c r="J1155" s="1353"/>
      <c r="K1155" s="1387"/>
      <c r="L1155" s="1353"/>
      <c r="M1155" s="1353"/>
      <c r="N1155" s="1353"/>
    </row>
    <row r="1156" spans="1:14" x14ac:dyDescent="0.25">
      <c r="A1156" s="1353"/>
      <c r="B1156" s="1353"/>
      <c r="C1156" s="1353"/>
      <c r="D1156" s="1353"/>
      <c r="E1156" s="1353"/>
      <c r="F1156" s="1353"/>
      <c r="G1156" s="1353"/>
      <c r="H1156" s="1353"/>
      <c r="I1156" s="1353"/>
      <c r="J1156" s="1353"/>
      <c r="K1156" s="1387"/>
      <c r="L1156" s="1353"/>
      <c r="M1156" s="1353"/>
      <c r="N1156" s="1353"/>
    </row>
    <row r="1157" spans="1:14" x14ac:dyDescent="0.25">
      <c r="A1157" s="1353"/>
      <c r="B1157" s="1353"/>
      <c r="C1157" s="1353"/>
      <c r="D1157" s="1353"/>
      <c r="E1157" s="1353"/>
      <c r="F1157" s="1353"/>
      <c r="G1157" s="1353"/>
      <c r="H1157" s="1353"/>
      <c r="I1157" s="1353"/>
      <c r="J1157" s="1353"/>
      <c r="K1157" s="1387"/>
      <c r="L1157" s="1353"/>
      <c r="M1157" s="1353"/>
      <c r="N1157" s="1353"/>
    </row>
    <row r="1158" spans="1:14" x14ac:dyDescent="0.25">
      <c r="A1158" s="1353"/>
      <c r="B1158" s="1353"/>
      <c r="C1158" s="1353"/>
      <c r="D1158" s="1353"/>
      <c r="E1158" s="1353"/>
      <c r="F1158" s="1353"/>
      <c r="G1158" s="1353"/>
      <c r="H1158" s="1353"/>
      <c r="I1158" s="1353"/>
      <c r="J1158" s="1353"/>
      <c r="K1158" s="1387"/>
      <c r="L1158" s="1353"/>
      <c r="M1158" s="1353"/>
      <c r="N1158" s="1353"/>
    </row>
    <row r="1159" spans="1:14" x14ac:dyDescent="0.25">
      <c r="A1159" s="1353"/>
      <c r="B1159" s="1353"/>
      <c r="C1159" s="1353"/>
      <c r="D1159" s="1353"/>
      <c r="E1159" s="1353"/>
      <c r="F1159" s="1353"/>
      <c r="G1159" s="1353"/>
      <c r="H1159" s="1353"/>
      <c r="I1159" s="1353"/>
      <c r="J1159" s="1353"/>
      <c r="K1159" s="1387"/>
      <c r="L1159" s="1353"/>
      <c r="M1159" s="1353"/>
      <c r="N1159" s="1353"/>
    </row>
    <row r="1160" spans="1:14" x14ac:dyDescent="0.25">
      <c r="A1160" s="1353"/>
      <c r="B1160" s="1353"/>
      <c r="C1160" s="1353"/>
      <c r="D1160" s="1353"/>
      <c r="E1160" s="1353"/>
      <c r="F1160" s="1353"/>
      <c r="G1160" s="1353"/>
      <c r="H1160" s="1353"/>
      <c r="I1160" s="1353"/>
      <c r="J1160" s="1353"/>
      <c r="K1160" s="1387"/>
      <c r="L1160" s="1353"/>
      <c r="M1160" s="1353"/>
      <c r="N1160" s="1353"/>
    </row>
    <row r="1161" spans="1:14" x14ac:dyDescent="0.25">
      <c r="A1161" s="1353"/>
      <c r="B1161" s="1353"/>
      <c r="C1161" s="1353"/>
      <c r="D1161" s="1353"/>
      <c r="E1161" s="1353"/>
      <c r="F1161" s="1353"/>
      <c r="G1161" s="1353"/>
      <c r="H1161" s="1353"/>
      <c r="I1161" s="1353"/>
      <c r="J1161" s="1353"/>
      <c r="K1161" s="1387"/>
      <c r="L1161" s="1353"/>
      <c r="M1161" s="1353"/>
      <c r="N1161" s="1353"/>
    </row>
    <row r="1162" spans="1:14" x14ac:dyDescent="0.25">
      <c r="A1162" s="1353"/>
      <c r="B1162" s="1353"/>
      <c r="C1162" s="1353"/>
      <c r="D1162" s="1353"/>
      <c r="E1162" s="1353"/>
      <c r="F1162" s="1353"/>
      <c r="G1162" s="1353"/>
      <c r="H1162" s="1353"/>
      <c r="I1162" s="1353"/>
      <c r="J1162" s="1353"/>
      <c r="K1162" s="1387"/>
      <c r="L1162" s="1353"/>
      <c r="M1162" s="1353"/>
      <c r="N1162" s="1353"/>
    </row>
    <row r="1163" spans="1:14" x14ac:dyDescent="0.25">
      <c r="A1163" s="1353"/>
      <c r="B1163" s="1353"/>
      <c r="C1163" s="1353"/>
      <c r="D1163" s="1353"/>
      <c r="E1163" s="1353"/>
      <c r="F1163" s="1353"/>
      <c r="G1163" s="1353"/>
      <c r="H1163" s="1353"/>
      <c r="I1163" s="1353"/>
      <c r="J1163" s="1353"/>
      <c r="K1163" s="1387"/>
      <c r="L1163" s="1353"/>
      <c r="M1163" s="1353"/>
      <c r="N1163" s="1353"/>
    </row>
    <row r="1164" spans="1:14" x14ac:dyDescent="0.25">
      <c r="A1164" s="1353"/>
      <c r="B1164" s="1353"/>
      <c r="C1164" s="1353"/>
      <c r="D1164" s="1353"/>
      <c r="E1164" s="1353"/>
      <c r="F1164" s="1353"/>
      <c r="G1164" s="1353"/>
      <c r="H1164" s="1353"/>
      <c r="I1164" s="1353"/>
      <c r="J1164" s="1353"/>
      <c r="K1164" s="1387"/>
      <c r="L1164" s="1353"/>
      <c r="M1164" s="1353"/>
      <c r="N1164" s="1353"/>
    </row>
    <row r="1165" spans="1:14" x14ac:dyDescent="0.25">
      <c r="A1165" s="1353"/>
      <c r="B1165" s="1353"/>
      <c r="C1165" s="1353"/>
      <c r="D1165" s="1353"/>
      <c r="E1165" s="1353"/>
      <c r="F1165" s="1353"/>
      <c r="G1165" s="1353"/>
      <c r="H1165" s="1353"/>
      <c r="I1165" s="1353"/>
      <c r="J1165" s="1353"/>
      <c r="K1165" s="1387"/>
      <c r="L1165" s="1353"/>
      <c r="M1165" s="1353"/>
      <c r="N1165" s="1353"/>
    </row>
    <row r="1166" spans="1:14" x14ac:dyDescent="0.25">
      <c r="A1166" s="1353"/>
      <c r="B1166" s="1353"/>
      <c r="C1166" s="1353"/>
      <c r="D1166" s="1353"/>
      <c r="E1166" s="1353"/>
      <c r="F1166" s="1353"/>
      <c r="G1166" s="1353"/>
      <c r="H1166" s="1353"/>
      <c r="I1166" s="1353"/>
      <c r="J1166" s="1353"/>
      <c r="K1166" s="1387"/>
      <c r="L1166" s="1353"/>
      <c r="M1166" s="1353"/>
      <c r="N1166" s="1353"/>
    </row>
    <row r="1167" spans="1:14" x14ac:dyDescent="0.25">
      <c r="A1167" s="1353"/>
      <c r="B1167" s="1353"/>
      <c r="C1167" s="1353"/>
      <c r="D1167" s="1353"/>
      <c r="E1167" s="1353"/>
      <c r="F1167" s="1353"/>
      <c r="G1167" s="1353"/>
      <c r="H1167" s="1353"/>
      <c r="I1167" s="1353"/>
      <c r="J1167" s="1353"/>
      <c r="K1167" s="1387"/>
      <c r="L1167" s="1353"/>
      <c r="M1167" s="1353"/>
      <c r="N1167" s="1353"/>
    </row>
    <row r="1168" spans="1:14" x14ac:dyDescent="0.25">
      <c r="A1168" s="1353"/>
      <c r="B1168" s="1353"/>
      <c r="C1168" s="1353"/>
      <c r="D1168" s="1353"/>
      <c r="E1168" s="1353"/>
      <c r="F1168" s="1353"/>
      <c r="G1168" s="1353"/>
      <c r="H1168" s="1353"/>
      <c r="I1168" s="1353"/>
      <c r="J1168" s="1353"/>
      <c r="K1168" s="1387"/>
      <c r="L1168" s="1353"/>
      <c r="M1168" s="1353"/>
      <c r="N1168" s="1353"/>
    </row>
    <row r="1169" spans="1:14" x14ac:dyDescent="0.25">
      <c r="A1169" s="1353"/>
      <c r="B1169" s="1353"/>
      <c r="C1169" s="1353"/>
      <c r="D1169" s="1353"/>
      <c r="E1169" s="1353"/>
      <c r="F1169" s="1353"/>
      <c r="G1169" s="1353"/>
      <c r="H1169" s="1353"/>
      <c r="I1169" s="1353"/>
      <c r="J1169" s="1353"/>
      <c r="K1169" s="1387"/>
      <c r="L1169" s="1353"/>
      <c r="M1169" s="1353"/>
      <c r="N1169" s="1353"/>
    </row>
    <row r="1170" spans="1:14" x14ac:dyDescent="0.25">
      <c r="A1170" s="1353"/>
      <c r="B1170" s="1353"/>
      <c r="C1170" s="1353"/>
      <c r="D1170" s="1353"/>
      <c r="E1170" s="1353"/>
      <c r="F1170" s="1353"/>
      <c r="G1170" s="1353"/>
      <c r="H1170" s="1353"/>
      <c r="I1170" s="1353"/>
      <c r="J1170" s="1353"/>
      <c r="K1170" s="1387"/>
      <c r="L1170" s="1353"/>
      <c r="M1170" s="1353"/>
      <c r="N1170" s="1353"/>
    </row>
    <row r="1171" spans="1:14" x14ac:dyDescent="0.25">
      <c r="A1171" s="1353"/>
      <c r="B1171" s="1353"/>
      <c r="C1171" s="1353"/>
      <c r="D1171" s="1353"/>
      <c r="E1171" s="1353"/>
      <c r="F1171" s="1353"/>
      <c r="G1171" s="1353"/>
      <c r="H1171" s="1353"/>
      <c r="I1171" s="1353"/>
      <c r="J1171" s="1353"/>
      <c r="K1171" s="1387"/>
      <c r="L1171" s="1353"/>
      <c r="M1171" s="1353"/>
      <c r="N1171" s="1353"/>
    </row>
    <row r="1172" spans="1:14" x14ac:dyDescent="0.25">
      <c r="A1172" s="1353"/>
      <c r="B1172" s="1353"/>
      <c r="C1172" s="1353"/>
      <c r="D1172" s="1353"/>
      <c r="E1172" s="1353"/>
      <c r="F1172" s="1353"/>
      <c r="G1172" s="1353"/>
      <c r="H1172" s="1353"/>
      <c r="I1172" s="1353"/>
      <c r="J1172" s="1353"/>
      <c r="K1172" s="1387"/>
      <c r="L1172" s="1353"/>
      <c r="M1172" s="1353"/>
      <c r="N1172" s="1353"/>
    </row>
    <row r="1173" spans="1:14" x14ac:dyDescent="0.25">
      <c r="A1173" s="1353"/>
      <c r="B1173" s="1353"/>
      <c r="C1173" s="1353"/>
      <c r="D1173" s="1353"/>
      <c r="E1173" s="1353"/>
      <c r="F1173" s="1353"/>
      <c r="G1173" s="1353"/>
      <c r="H1173" s="1353"/>
      <c r="I1173" s="1353"/>
      <c r="J1173" s="1353"/>
      <c r="K1173" s="1387"/>
      <c r="L1173" s="1353"/>
      <c r="M1173" s="1353"/>
      <c r="N1173" s="1353"/>
    </row>
    <row r="1174" spans="1:14" x14ac:dyDescent="0.25">
      <c r="A1174" s="1353"/>
      <c r="B1174" s="1353"/>
      <c r="C1174" s="1353"/>
      <c r="D1174" s="1353"/>
      <c r="E1174" s="1353"/>
      <c r="F1174" s="1353"/>
      <c r="G1174" s="1353"/>
      <c r="H1174" s="1353"/>
      <c r="I1174" s="1353"/>
      <c r="J1174" s="1353"/>
      <c r="K1174" s="1387"/>
      <c r="L1174" s="1353"/>
      <c r="M1174" s="1353"/>
      <c r="N1174" s="1353"/>
    </row>
    <row r="1175" spans="1:14" x14ac:dyDescent="0.25">
      <c r="A1175" s="1353"/>
      <c r="B1175" s="1353"/>
      <c r="C1175" s="1353"/>
      <c r="D1175" s="1353"/>
      <c r="E1175" s="1353"/>
      <c r="F1175" s="1353"/>
      <c r="G1175" s="1353"/>
      <c r="H1175" s="1353"/>
      <c r="I1175" s="1353"/>
      <c r="J1175" s="1353"/>
      <c r="K1175" s="1387"/>
      <c r="L1175" s="1353"/>
      <c r="M1175" s="1353"/>
      <c r="N1175" s="1353"/>
    </row>
  </sheetData>
  <sheetProtection sheet="1" objects="1" scenarios="1" selectLockedCells="1"/>
  <mergeCells count="6">
    <mergeCell ref="C3:K3"/>
    <mergeCell ref="S5:U5"/>
    <mergeCell ref="C5:F5"/>
    <mergeCell ref="G5:H5"/>
    <mergeCell ref="I5:J5"/>
    <mergeCell ref="P5:Q5"/>
  </mergeCells>
  <dataValidations count="8">
    <dataValidation type="whole" allowBlank="1" showInputMessage="1" showErrorMessage="1" sqref="I7:I33 G7:G34">
      <formula1>1</formula1>
      <formula2>108</formula2>
    </dataValidation>
    <dataValidation type="date" showInputMessage="1" showErrorMessage="1" sqref="E7:E33">
      <formula1>25569</formula1>
      <formula2>TODAY()</formula2>
    </dataValidation>
    <dataValidation type="whole" showInputMessage="1" showErrorMessage="1" sqref="D7:D33">
      <formula1>1</formula1>
      <formula2>9</formula2>
    </dataValidation>
    <dataValidation type="whole" allowBlank="1" showInputMessage="1" showErrorMessage="1" sqref="C7:C33">
      <formula1>999999</formula1>
      <formula2>99999999</formula2>
    </dataValidation>
    <dataValidation type="list" showInputMessage="1" showErrorMessage="1" sqref="H7:H33 J7:J33">
      <formula1>NaturezaFaltas.Codigo</formula1>
    </dataValidation>
    <dataValidation type="list" showInputMessage="1" showErrorMessage="1" sqref="F7:F33">
      <formula1>TiposFalta.Codigo</formula1>
    </dataValidation>
    <dataValidation type="date" showInputMessage="1" showErrorMessage="1" sqref="K6">
      <formula1>E7</formula1>
      <formula2>TODAY()</formula2>
    </dataValidation>
    <dataValidation type="date" showInputMessage="1" showErrorMessage="1" sqref="K7:K33">
      <formula1>E7</formula1>
      <formula2>TODAY()</formula2>
    </dataValidation>
  </dataValidations>
  <pageMargins left="0.25" right="0.25" top="0.75" bottom="0.75" header="0.3" footer="0.3"/>
  <pageSetup paperSize="9" orientation="landscape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FaltasConsolidadas"/>
  <dimension ref="A1:BQ1175"/>
  <sheetViews>
    <sheetView showGridLines="0" showRowColHeaders="0" zoomScaleNormal="100" workbookViewId="0">
      <selection activeCell="C7" sqref="C7"/>
    </sheetView>
  </sheetViews>
  <sheetFormatPr defaultColWidth="9.140625" defaultRowHeight="15.75" x14ac:dyDescent="0.25"/>
  <cols>
    <col min="1" max="1" width="2.7109375" style="1358" customWidth="1"/>
    <col min="2" max="2" width="5.7109375" style="1358" customWidth="1"/>
    <col min="3" max="3" width="10.5703125" style="1358" customWidth="1"/>
    <col min="4" max="4" width="9.140625" style="1358" customWidth="1"/>
    <col min="5" max="5" width="20.140625" style="1358" customWidth="1"/>
    <col min="6" max="6" width="9.140625" style="1358" customWidth="1"/>
    <col min="7" max="7" width="11.5703125" style="1358" customWidth="1"/>
    <col min="8" max="8" width="11.140625" style="1358" customWidth="1"/>
    <col min="9" max="9" width="15" style="1358" customWidth="1"/>
    <col min="10" max="10" width="11.5703125" style="1358" customWidth="1"/>
    <col min="11" max="11" width="3.85546875" style="1393" customWidth="1"/>
    <col min="12" max="13" width="9.140625" style="1358" customWidth="1"/>
    <col min="14" max="14" width="3.28515625" style="1358" customWidth="1"/>
    <col min="15" max="15" width="9.28515625" style="1358" customWidth="1"/>
    <col min="16" max="16" width="39.42578125" style="1358" customWidth="1"/>
    <col min="17" max="17" width="4.140625" style="1358" customWidth="1"/>
    <col min="18" max="18" width="9.140625" style="1358" customWidth="1"/>
    <col min="19" max="19" width="64.42578125" style="1358" customWidth="1"/>
    <col min="20" max="20" width="13" style="1358" customWidth="1"/>
    <col min="21" max="21" width="9.140625" style="1358" customWidth="1"/>
    <col min="22" max="25" width="9.140625" style="1358"/>
    <col min="26" max="26" width="5.85546875" style="1358" customWidth="1"/>
    <col min="27" max="27" width="50" style="1358" customWidth="1"/>
    <col min="28" max="28" width="10.42578125" style="1358" customWidth="1"/>
    <col min="29" max="29" width="9.140625" style="1358"/>
    <col min="30" max="30" width="12.7109375" style="1358" customWidth="1"/>
    <col min="31" max="31" width="9.85546875" style="1358" customWidth="1"/>
    <col min="32" max="32" width="11.5703125" style="1358" customWidth="1"/>
    <col min="33" max="33" width="10.7109375" style="1358" customWidth="1"/>
    <col min="34" max="34" width="8.5703125" style="1358" customWidth="1"/>
    <col min="35" max="35" width="11.28515625" style="1358" customWidth="1"/>
    <col min="36" max="16384" width="9.140625" style="1358"/>
  </cols>
  <sheetData>
    <row r="1" spans="1:35" s="1374" customFormat="1" ht="16.5" thickBot="1" x14ac:dyDescent="0.3">
      <c r="A1" s="1353"/>
      <c r="B1" s="1353"/>
      <c r="C1" s="1353"/>
      <c r="D1" s="1353"/>
      <c r="E1" s="1353"/>
      <c r="F1" s="1353"/>
      <c r="G1" s="1353"/>
      <c r="H1" s="1353"/>
      <c r="I1" s="1353"/>
      <c r="J1" s="1353"/>
      <c r="K1" s="1387"/>
      <c r="L1" s="1353"/>
      <c r="M1" s="1353"/>
      <c r="N1" s="1353"/>
      <c r="O1" s="1354"/>
      <c r="P1" s="1354"/>
      <c r="Q1" s="1354"/>
      <c r="R1" s="1354"/>
      <c r="S1" s="1354"/>
      <c r="T1" s="1354"/>
      <c r="U1" s="1354"/>
    </row>
    <row r="2" spans="1:35" s="1374" customFormat="1" ht="17.25" thickTop="1" thickBot="1" x14ac:dyDescent="0.3">
      <c r="A2" s="1353"/>
      <c r="B2" s="1383"/>
      <c r="C2" s="1382"/>
      <c r="D2" s="1382"/>
      <c r="E2" s="1382"/>
      <c r="F2" s="1382"/>
      <c r="G2" s="1382"/>
      <c r="H2" s="1382"/>
      <c r="I2" s="1382"/>
      <c r="J2" s="1382"/>
      <c r="K2" s="1388"/>
      <c r="L2" s="1353"/>
      <c r="M2" s="1353"/>
      <c r="N2" s="1353"/>
      <c r="O2" s="1354"/>
      <c r="P2" s="1354"/>
      <c r="Q2" s="1354"/>
      <c r="R2" s="1354"/>
      <c r="S2" s="1354"/>
      <c r="T2" s="1354"/>
      <c r="U2" s="1354"/>
    </row>
    <row r="3" spans="1:35" s="1374" customFormat="1" ht="18.75" thickBot="1" x14ac:dyDescent="0.3">
      <c r="A3" s="1353"/>
      <c r="B3" s="1355"/>
      <c r="C3" s="2657" t="s">
        <v>9772</v>
      </c>
      <c r="D3" s="2658"/>
      <c r="E3" s="2658"/>
      <c r="F3" s="2658"/>
      <c r="G3" s="2658"/>
      <c r="H3" s="2658"/>
      <c r="I3" s="2658"/>
      <c r="J3" s="2658"/>
      <c r="K3" s="2659"/>
      <c r="L3" s="1353"/>
      <c r="M3" s="1353"/>
      <c r="N3" s="1353"/>
      <c r="O3" s="1377"/>
      <c r="P3" s="1377"/>
      <c r="Q3" s="1377"/>
      <c r="R3" s="1377"/>
      <c r="S3" s="1377"/>
      <c r="T3" s="1378"/>
      <c r="U3" s="1354"/>
    </row>
    <row r="4" spans="1:35" s="1374" customFormat="1" ht="8.25" customHeight="1" thickBot="1" x14ac:dyDescent="0.3">
      <c r="A4" s="1353"/>
      <c r="B4" s="1355"/>
      <c r="C4" s="1357"/>
      <c r="D4" s="1357"/>
      <c r="E4" s="1357"/>
      <c r="F4" s="1357"/>
      <c r="G4" s="1357"/>
      <c r="H4" s="1357"/>
      <c r="I4" s="1357"/>
      <c r="J4" s="1357"/>
      <c r="K4" s="1389"/>
      <c r="L4" s="1353"/>
      <c r="M4" s="1353"/>
      <c r="N4" s="1353"/>
      <c r="O4" s="1375"/>
      <c r="P4" s="1375"/>
      <c r="Q4" s="1375"/>
      <c r="R4" s="1375"/>
      <c r="S4" s="1375"/>
      <c r="T4" s="1379"/>
      <c r="U4" s="1354"/>
    </row>
    <row r="5" spans="1:35" s="1374" customFormat="1" ht="16.5" thickBot="1" x14ac:dyDescent="0.3">
      <c r="A5" s="1353"/>
      <c r="B5" s="1355"/>
      <c r="C5" s="2663" t="s">
        <v>9724</v>
      </c>
      <c r="D5" s="2664"/>
      <c r="E5" s="2664"/>
      <c r="F5" s="2664"/>
      <c r="G5" s="2664" t="s">
        <v>9721</v>
      </c>
      <c r="H5" s="2664"/>
      <c r="I5" s="2664" t="s">
        <v>9723</v>
      </c>
      <c r="J5" s="2667"/>
      <c r="K5" s="1389"/>
      <c r="L5" s="1353"/>
      <c r="M5" s="1353"/>
      <c r="N5" s="1353"/>
      <c r="O5" s="2665" t="s">
        <v>9760</v>
      </c>
      <c r="P5" s="2666"/>
      <c r="Q5" s="1375"/>
      <c r="R5" s="2660" t="s">
        <v>9761</v>
      </c>
      <c r="S5" s="2661"/>
      <c r="T5" s="2662"/>
      <c r="U5" s="1354"/>
    </row>
    <row r="6" spans="1:35" s="1374" customFormat="1" ht="34.5" customHeight="1" x14ac:dyDescent="0.25">
      <c r="A6" s="1353"/>
      <c r="B6" s="1355"/>
      <c r="C6" s="1373" t="s">
        <v>9704</v>
      </c>
      <c r="D6" s="1373" t="s">
        <v>9705</v>
      </c>
      <c r="E6" s="1373" t="s">
        <v>9708</v>
      </c>
      <c r="F6" s="1373" t="s">
        <v>9706</v>
      </c>
      <c r="G6" s="1373" t="s">
        <v>9720</v>
      </c>
      <c r="H6" s="1373" t="s">
        <v>9707</v>
      </c>
      <c r="I6" s="1373" t="s">
        <v>9709</v>
      </c>
      <c r="J6" s="1373" t="s">
        <v>9722</v>
      </c>
      <c r="K6" s="1390"/>
      <c r="L6" s="1353"/>
      <c r="M6" s="1353"/>
      <c r="N6" s="1353"/>
      <c r="O6" s="1376" t="s">
        <v>9725</v>
      </c>
      <c r="P6" s="1376" t="s">
        <v>9726</v>
      </c>
      <c r="Q6" s="1375"/>
      <c r="R6" s="1376" t="s">
        <v>9474</v>
      </c>
      <c r="S6" s="1376" t="s">
        <v>9726</v>
      </c>
      <c r="T6" s="1386" t="s">
        <v>9448</v>
      </c>
      <c r="U6" s="1354"/>
      <c r="AA6" s="1394" t="s">
        <v>411</v>
      </c>
      <c r="AB6" s="1394" t="s">
        <v>9704</v>
      </c>
      <c r="AC6" s="1394" t="s">
        <v>9705</v>
      </c>
      <c r="AD6" s="1394" t="s">
        <v>9708</v>
      </c>
      <c r="AE6" s="1394" t="s">
        <v>9706</v>
      </c>
      <c r="AF6" s="1394" t="s">
        <v>9720</v>
      </c>
      <c r="AG6" s="1394" t="s">
        <v>9707</v>
      </c>
      <c r="AH6" s="1394" t="s">
        <v>9709</v>
      </c>
      <c r="AI6" s="1394" t="s">
        <v>9722</v>
      </c>
    </row>
    <row r="7" spans="1:35" s="1374" customFormat="1" x14ac:dyDescent="0.25">
      <c r="A7" s="1353"/>
      <c r="B7" s="1355"/>
      <c r="C7" s="1384"/>
      <c r="D7" s="1362"/>
      <c r="E7" s="1385">
        <v>43191</v>
      </c>
      <c r="F7" s="1362"/>
      <c r="G7" s="1362"/>
      <c r="H7" s="1362"/>
      <c r="I7" s="1362"/>
      <c r="J7" s="1362"/>
      <c r="K7" s="1391"/>
      <c r="L7" s="1353"/>
      <c r="M7" s="1353"/>
      <c r="N7" s="1353"/>
      <c r="O7" s="1376">
        <v>1</v>
      </c>
      <c r="P7" s="1376" t="s">
        <v>9727</v>
      </c>
      <c r="Q7" s="1375"/>
      <c r="R7" s="1376">
        <v>5001</v>
      </c>
      <c r="S7" s="1376" t="s">
        <v>9744</v>
      </c>
      <c r="T7" s="1386" t="s">
        <v>9763</v>
      </c>
      <c r="U7" s="1354"/>
      <c r="AA7" s="1394"/>
      <c r="AB7" s="1394"/>
      <c r="AC7" s="1394"/>
      <c r="AD7" s="1395"/>
      <c r="AE7" s="1394"/>
      <c r="AF7" s="1394"/>
      <c r="AG7" s="1394"/>
      <c r="AH7" s="1394"/>
      <c r="AI7" s="1394"/>
    </row>
    <row r="8" spans="1:35" s="1374" customFormat="1" x14ac:dyDescent="0.25">
      <c r="A8" s="1353"/>
      <c r="B8" s="1355"/>
      <c r="C8" s="1384"/>
      <c r="D8" s="1362"/>
      <c r="E8" s="1385">
        <v>43191</v>
      </c>
      <c r="F8" s="1362"/>
      <c r="G8" s="1362"/>
      <c r="H8" s="1362"/>
      <c r="I8" s="1362"/>
      <c r="J8" s="1362"/>
      <c r="K8" s="1391"/>
      <c r="L8" s="1353"/>
      <c r="M8" s="1353"/>
      <c r="N8" s="1353"/>
      <c r="O8" s="1376">
        <v>2</v>
      </c>
      <c r="P8" s="1376" t="s">
        <v>9728</v>
      </c>
      <c r="Q8" s="1375"/>
      <c r="R8" s="1376">
        <v>5002</v>
      </c>
      <c r="S8" s="1376" t="s">
        <v>9745</v>
      </c>
      <c r="T8" s="1386" t="s">
        <v>9762</v>
      </c>
      <c r="U8" s="1354"/>
    </row>
    <row r="9" spans="1:35" s="1374" customFormat="1" x14ac:dyDescent="0.25">
      <c r="A9" s="1353"/>
      <c r="B9" s="1355"/>
      <c r="C9" s="1384"/>
      <c r="D9" s="1362"/>
      <c r="E9" s="1385">
        <v>43191</v>
      </c>
      <c r="F9" s="1362"/>
      <c r="G9" s="1362"/>
      <c r="H9" s="1362"/>
      <c r="I9" s="1362"/>
      <c r="J9" s="1362"/>
      <c r="K9" s="1391"/>
      <c r="L9" s="1353"/>
      <c r="M9" s="1353"/>
      <c r="N9" s="1353"/>
      <c r="O9" s="1376">
        <v>3</v>
      </c>
      <c r="P9" s="1376" t="s">
        <v>9729</v>
      </c>
      <c r="Q9" s="1375"/>
      <c r="R9" s="1376">
        <v>5003</v>
      </c>
      <c r="S9" s="1376" t="s">
        <v>9746</v>
      </c>
      <c r="T9" s="1386" t="s">
        <v>9762</v>
      </c>
      <c r="U9" s="1354"/>
    </row>
    <row r="10" spans="1:35" s="1374" customFormat="1" x14ac:dyDescent="0.25">
      <c r="A10" s="1353"/>
      <c r="B10" s="1355"/>
      <c r="C10" s="1384"/>
      <c r="D10" s="1362"/>
      <c r="E10" s="1385">
        <v>43191</v>
      </c>
      <c r="F10" s="1362"/>
      <c r="G10" s="1362"/>
      <c r="H10" s="1362"/>
      <c r="I10" s="1362"/>
      <c r="J10" s="1362"/>
      <c r="K10" s="1391"/>
      <c r="L10" s="1353"/>
      <c r="M10" s="1353"/>
      <c r="N10" s="1353"/>
      <c r="O10" s="1376">
        <v>4</v>
      </c>
      <c r="P10" s="1376" t="s">
        <v>9730</v>
      </c>
      <c r="Q10" s="1375"/>
      <c r="R10" s="1376">
        <v>5004</v>
      </c>
      <c r="S10" s="1376" t="s">
        <v>9747</v>
      </c>
      <c r="T10" s="1386" t="s">
        <v>9762</v>
      </c>
      <c r="U10" s="1354"/>
    </row>
    <row r="11" spans="1:35" s="1374" customFormat="1" x14ac:dyDescent="0.25">
      <c r="A11" s="1353"/>
      <c r="B11" s="1355"/>
      <c r="C11" s="1384"/>
      <c r="D11" s="1362"/>
      <c r="E11" s="1385">
        <v>43191</v>
      </c>
      <c r="F11" s="1362"/>
      <c r="G11" s="1362"/>
      <c r="H11" s="1362"/>
      <c r="I11" s="1362"/>
      <c r="J11" s="1362"/>
      <c r="K11" s="1391"/>
      <c r="L11" s="1353"/>
      <c r="M11" s="1353"/>
      <c r="N11" s="1353"/>
      <c r="O11" s="1376">
        <v>5</v>
      </c>
      <c r="P11" s="1376" t="s">
        <v>9731</v>
      </c>
      <c r="Q11" s="1375"/>
      <c r="R11" s="1376">
        <v>5005</v>
      </c>
      <c r="S11" s="1376" t="s">
        <v>9748</v>
      </c>
      <c r="T11" s="1386" t="s">
        <v>9762</v>
      </c>
      <c r="U11" s="1354"/>
    </row>
    <row r="12" spans="1:35" s="1374" customFormat="1" x14ac:dyDescent="0.25">
      <c r="A12" s="1353"/>
      <c r="B12" s="1355"/>
      <c r="C12" s="1384"/>
      <c r="D12" s="1362"/>
      <c r="E12" s="1385">
        <v>43191</v>
      </c>
      <c r="F12" s="1362"/>
      <c r="G12" s="1362"/>
      <c r="H12" s="1362"/>
      <c r="I12" s="1362"/>
      <c r="J12" s="1362"/>
      <c r="K12" s="1391"/>
      <c r="L12" s="1353"/>
      <c r="M12" s="1353"/>
      <c r="N12" s="1353"/>
      <c r="O12" s="1376">
        <v>6</v>
      </c>
      <c r="P12" s="1376" t="s">
        <v>9732</v>
      </c>
      <c r="Q12" s="1375"/>
      <c r="R12" s="1376">
        <v>5006</v>
      </c>
      <c r="S12" s="1376" t="s">
        <v>9749</v>
      </c>
      <c r="T12" s="1386" t="s">
        <v>9763</v>
      </c>
      <c r="U12" s="1354"/>
    </row>
    <row r="13" spans="1:35" s="1374" customFormat="1" x14ac:dyDescent="0.25">
      <c r="A13" s="1353"/>
      <c r="B13" s="1355"/>
      <c r="C13" s="1384"/>
      <c r="D13" s="1362"/>
      <c r="E13" s="1385">
        <v>43191</v>
      </c>
      <c r="F13" s="1362"/>
      <c r="G13" s="1362"/>
      <c r="H13" s="1362"/>
      <c r="I13" s="1362"/>
      <c r="J13" s="1362"/>
      <c r="K13" s="1391"/>
      <c r="L13" s="1353"/>
      <c r="M13" s="1353"/>
      <c r="N13" s="1353"/>
      <c r="O13" s="1376">
        <v>8</v>
      </c>
      <c r="P13" s="1376" t="s">
        <v>9733</v>
      </c>
      <c r="Q13" s="1375"/>
      <c r="R13" s="1376">
        <v>5007</v>
      </c>
      <c r="S13" s="1376" t="s">
        <v>9750</v>
      </c>
      <c r="T13" s="1386" t="s">
        <v>9762</v>
      </c>
      <c r="U13" s="1354"/>
    </row>
    <row r="14" spans="1:35" s="1374" customFormat="1" x14ac:dyDescent="0.25">
      <c r="A14" s="1353"/>
      <c r="B14" s="1355"/>
      <c r="C14" s="1384"/>
      <c r="D14" s="1362"/>
      <c r="E14" s="1385">
        <v>43191</v>
      </c>
      <c r="F14" s="1362"/>
      <c r="G14" s="1362"/>
      <c r="H14" s="1362"/>
      <c r="I14" s="1362"/>
      <c r="J14" s="1362"/>
      <c r="K14" s="1391"/>
      <c r="L14" s="1353"/>
      <c r="M14" s="1353"/>
      <c r="N14" s="1353"/>
      <c r="O14" s="1376">
        <v>9</v>
      </c>
      <c r="P14" s="1376" t="s">
        <v>9734</v>
      </c>
      <c r="Q14" s="1375"/>
      <c r="R14" s="1376">
        <v>5008</v>
      </c>
      <c r="S14" s="1376" t="s">
        <v>9751</v>
      </c>
      <c r="T14" s="1386" t="s">
        <v>9762</v>
      </c>
      <c r="U14" s="1354"/>
    </row>
    <row r="15" spans="1:35" s="1374" customFormat="1" x14ac:dyDescent="0.25">
      <c r="A15" s="1353"/>
      <c r="B15" s="1355"/>
      <c r="C15" s="1384"/>
      <c r="D15" s="1362"/>
      <c r="E15" s="1385">
        <v>43191</v>
      </c>
      <c r="F15" s="1362"/>
      <c r="G15" s="1362"/>
      <c r="H15" s="1362"/>
      <c r="I15" s="1362"/>
      <c r="J15" s="1362"/>
      <c r="K15" s="1391"/>
      <c r="L15" s="1353"/>
      <c r="M15" s="1353"/>
      <c r="N15" s="1353"/>
      <c r="O15" s="1376">
        <v>11</v>
      </c>
      <c r="P15" s="1376" t="s">
        <v>9735</v>
      </c>
      <c r="Q15" s="1375"/>
      <c r="R15" s="1376">
        <v>5009</v>
      </c>
      <c r="S15" s="1376" t="s">
        <v>9752</v>
      </c>
      <c r="T15" s="1386" t="s">
        <v>9762</v>
      </c>
      <c r="U15" s="1354"/>
    </row>
    <row r="16" spans="1:35" s="1374" customFormat="1" x14ac:dyDescent="0.25">
      <c r="A16" s="1353"/>
      <c r="B16" s="1355"/>
      <c r="C16" s="1384"/>
      <c r="D16" s="1362"/>
      <c r="E16" s="1385">
        <v>43191</v>
      </c>
      <c r="F16" s="1362"/>
      <c r="G16" s="1362"/>
      <c r="H16" s="1362"/>
      <c r="I16" s="1362"/>
      <c r="J16" s="1362"/>
      <c r="K16" s="1391"/>
      <c r="L16" s="1353"/>
      <c r="M16" s="1353"/>
      <c r="N16" s="1353"/>
      <c r="O16" s="1376">
        <v>12</v>
      </c>
      <c r="P16" s="1376" t="s">
        <v>9736</v>
      </c>
      <c r="Q16" s="1375"/>
      <c r="R16" s="1376">
        <v>5010</v>
      </c>
      <c r="S16" s="1376" t="s">
        <v>9753</v>
      </c>
      <c r="T16" s="1386" t="s">
        <v>9762</v>
      </c>
      <c r="U16" s="1354"/>
    </row>
    <row r="17" spans="1:69" s="1374" customFormat="1" x14ac:dyDescent="0.25">
      <c r="A17" s="1353"/>
      <c r="B17" s="1355"/>
      <c r="C17" s="1384"/>
      <c r="D17" s="1362"/>
      <c r="E17" s="1385">
        <v>43191</v>
      </c>
      <c r="F17" s="1362"/>
      <c r="G17" s="1362"/>
      <c r="H17" s="1362"/>
      <c r="I17" s="1362"/>
      <c r="J17" s="1362"/>
      <c r="K17" s="1391"/>
      <c r="L17" s="1353"/>
      <c r="M17" s="1353"/>
      <c r="N17" s="1353"/>
      <c r="O17" s="1376">
        <v>13</v>
      </c>
      <c r="P17" s="1376" t="s">
        <v>9737</v>
      </c>
      <c r="Q17" s="1375"/>
      <c r="R17" s="1376">
        <v>5011</v>
      </c>
      <c r="S17" s="1376" t="s">
        <v>9754</v>
      </c>
      <c r="T17" s="1386" t="s">
        <v>9762</v>
      </c>
      <c r="U17" s="1354"/>
    </row>
    <row r="18" spans="1:69" s="1374" customFormat="1" x14ac:dyDescent="0.25">
      <c r="A18" s="1353"/>
      <c r="B18" s="1355"/>
      <c r="C18" s="1384"/>
      <c r="D18" s="1362"/>
      <c r="E18" s="1385">
        <v>43191</v>
      </c>
      <c r="F18" s="1362"/>
      <c r="G18" s="1362"/>
      <c r="H18" s="1362"/>
      <c r="I18" s="1362"/>
      <c r="J18" s="1362"/>
      <c r="K18" s="1391"/>
      <c r="L18" s="1353"/>
      <c r="M18" s="1353"/>
      <c r="N18" s="1353"/>
      <c r="O18" s="1376">
        <v>20</v>
      </c>
      <c r="P18" s="1376" t="s">
        <v>9738</v>
      </c>
      <c r="Q18" s="1375"/>
      <c r="R18" s="1376">
        <v>5012</v>
      </c>
      <c r="S18" s="1376" t="s">
        <v>9755</v>
      </c>
      <c r="T18" s="1386" t="s">
        <v>9762</v>
      </c>
      <c r="U18" s="1354"/>
    </row>
    <row r="19" spans="1:69" s="1374" customFormat="1" x14ac:dyDescent="0.25">
      <c r="A19" s="1353"/>
      <c r="B19" s="1355"/>
      <c r="C19" s="1384"/>
      <c r="D19" s="1362"/>
      <c r="E19" s="1385">
        <v>43191</v>
      </c>
      <c r="F19" s="1362"/>
      <c r="G19" s="1362"/>
      <c r="H19" s="1362"/>
      <c r="I19" s="1362"/>
      <c r="J19" s="1362"/>
      <c r="K19" s="1391"/>
      <c r="L19" s="1353"/>
      <c r="M19" s="1353"/>
      <c r="N19" s="1353"/>
      <c r="O19" s="1376">
        <v>21</v>
      </c>
      <c r="P19" s="1376" t="s">
        <v>9739</v>
      </c>
      <c r="Q19" s="1375"/>
      <c r="R19" s="1376">
        <v>5013</v>
      </c>
      <c r="S19" s="1376" t="s">
        <v>9756</v>
      </c>
      <c r="T19" s="1386" t="s">
        <v>9762</v>
      </c>
      <c r="U19" s="1354"/>
    </row>
    <row r="20" spans="1:69" s="1374" customFormat="1" x14ac:dyDescent="0.25">
      <c r="A20" s="1353"/>
      <c r="B20" s="1355"/>
      <c r="C20" s="1384"/>
      <c r="D20" s="1362"/>
      <c r="E20" s="1385">
        <v>43191</v>
      </c>
      <c r="F20" s="1362"/>
      <c r="G20" s="1362"/>
      <c r="H20" s="1362"/>
      <c r="I20" s="1362"/>
      <c r="J20" s="1362"/>
      <c r="K20" s="1391"/>
      <c r="L20" s="1353"/>
      <c r="M20" s="1353"/>
      <c r="N20" s="1353"/>
      <c r="O20" s="1376">
        <v>22</v>
      </c>
      <c r="P20" s="1376" t="s">
        <v>9740</v>
      </c>
      <c r="Q20" s="1375"/>
      <c r="R20" s="1376">
        <v>5014</v>
      </c>
      <c r="S20" s="1376" t="s">
        <v>9757</v>
      </c>
      <c r="T20" s="1386" t="s">
        <v>9762</v>
      </c>
      <c r="U20" s="1354"/>
    </row>
    <row r="21" spans="1:69" s="1374" customFormat="1" x14ac:dyDescent="0.25">
      <c r="A21" s="1353"/>
      <c r="B21" s="1355"/>
      <c r="C21" s="1384"/>
      <c r="D21" s="1362"/>
      <c r="E21" s="1385">
        <v>43191</v>
      </c>
      <c r="F21" s="1362"/>
      <c r="G21" s="1362"/>
      <c r="H21" s="1362"/>
      <c r="I21" s="1362"/>
      <c r="J21" s="1362"/>
      <c r="K21" s="1391"/>
      <c r="L21" s="1353"/>
      <c r="M21" s="1353"/>
      <c r="N21" s="1353"/>
      <c r="O21" s="1376">
        <v>23</v>
      </c>
      <c r="P21" s="1376" t="s">
        <v>9741</v>
      </c>
      <c r="Q21" s="1375"/>
      <c r="R21" s="1376">
        <v>5101</v>
      </c>
      <c r="S21" s="1376" t="s">
        <v>9758</v>
      </c>
      <c r="T21" s="1386" t="s">
        <v>9763</v>
      </c>
      <c r="U21" s="1354"/>
    </row>
    <row r="22" spans="1:69" s="1374" customFormat="1" x14ac:dyDescent="0.25">
      <c r="A22" s="1353"/>
      <c r="B22" s="1355"/>
      <c r="C22" s="1384"/>
      <c r="D22" s="1362"/>
      <c r="E22" s="1385">
        <v>43191</v>
      </c>
      <c r="F22" s="1362"/>
      <c r="G22" s="1362"/>
      <c r="H22" s="1362"/>
      <c r="I22" s="1362"/>
      <c r="J22" s="1362"/>
      <c r="K22" s="1391"/>
      <c r="L22" s="1353"/>
      <c r="M22" s="1353"/>
      <c r="N22" s="1353"/>
      <c r="O22" s="1376">
        <v>24</v>
      </c>
      <c r="P22" s="1376" t="s">
        <v>9742</v>
      </c>
      <c r="Q22" s="1375"/>
      <c r="R22" s="1376">
        <v>5102</v>
      </c>
      <c r="S22" s="1376" t="s">
        <v>9759</v>
      </c>
      <c r="T22" s="1386" t="s">
        <v>9763</v>
      </c>
      <c r="U22" s="1354"/>
    </row>
    <row r="23" spans="1:69" s="1374" customFormat="1" x14ac:dyDescent="0.25">
      <c r="A23" s="1353"/>
      <c r="B23" s="1355"/>
      <c r="C23" s="1384"/>
      <c r="D23" s="1362"/>
      <c r="E23" s="1385">
        <v>43191</v>
      </c>
      <c r="F23" s="1362"/>
      <c r="G23" s="1362"/>
      <c r="H23" s="1362"/>
      <c r="I23" s="1362"/>
      <c r="J23" s="1362"/>
      <c r="K23" s="1391"/>
      <c r="L23" s="1353"/>
      <c r="M23" s="1353"/>
      <c r="N23" s="1353"/>
      <c r="O23" s="1376">
        <v>25</v>
      </c>
      <c r="P23" s="1376" t="s">
        <v>9743</v>
      </c>
      <c r="Q23" s="1375"/>
      <c r="R23" s="1375"/>
      <c r="S23" s="1375"/>
      <c r="T23" s="1379"/>
      <c r="U23" s="1354"/>
    </row>
    <row r="24" spans="1:69" s="1374" customFormat="1" ht="16.5" thickBot="1" x14ac:dyDescent="0.3">
      <c r="A24" s="1353"/>
      <c r="B24" s="1355"/>
      <c r="C24" s="1384"/>
      <c r="D24" s="1362"/>
      <c r="E24" s="1385">
        <v>43191</v>
      </c>
      <c r="F24" s="1362"/>
      <c r="G24" s="1362"/>
      <c r="H24" s="1362"/>
      <c r="I24" s="1362"/>
      <c r="J24" s="1362"/>
      <c r="K24" s="1391"/>
      <c r="L24" s="1353"/>
      <c r="M24" s="1353"/>
      <c r="N24" s="1353"/>
      <c r="O24" s="1380"/>
      <c r="P24" s="1380"/>
      <c r="Q24" s="1380"/>
      <c r="R24" s="1380"/>
      <c r="S24" s="1380"/>
      <c r="T24" s="1381"/>
      <c r="U24" s="1354"/>
    </row>
    <row r="25" spans="1:69" s="1374" customFormat="1" x14ac:dyDescent="0.25">
      <c r="A25" s="1353"/>
      <c r="B25" s="1355"/>
      <c r="C25" s="1384"/>
      <c r="D25" s="1362"/>
      <c r="E25" s="1385">
        <v>43191</v>
      </c>
      <c r="F25" s="1362"/>
      <c r="G25" s="1362"/>
      <c r="H25" s="1362"/>
      <c r="I25" s="1362"/>
      <c r="J25" s="1362"/>
      <c r="K25" s="1391"/>
      <c r="L25" s="1353"/>
      <c r="M25" s="1353"/>
      <c r="N25" s="1353"/>
      <c r="O25" s="1354"/>
      <c r="P25" s="1354"/>
      <c r="Q25" s="1354"/>
      <c r="R25" s="1354"/>
      <c r="S25" s="1354"/>
      <c r="T25" s="1354"/>
      <c r="U25" s="1354"/>
    </row>
    <row r="26" spans="1:69" s="1374" customFormat="1" x14ac:dyDescent="0.25">
      <c r="A26" s="1353"/>
      <c r="B26" s="1355"/>
      <c r="C26" s="1384"/>
      <c r="D26" s="1362"/>
      <c r="E26" s="1385">
        <v>43191</v>
      </c>
      <c r="F26" s="1362"/>
      <c r="G26" s="1362"/>
      <c r="H26" s="1362"/>
      <c r="I26" s="1362"/>
      <c r="J26" s="1362"/>
      <c r="K26" s="1391"/>
      <c r="L26" s="1353"/>
      <c r="M26" s="1353"/>
      <c r="N26" s="1353"/>
      <c r="O26" s="1354"/>
      <c r="P26" s="1354"/>
      <c r="Q26" s="1354"/>
      <c r="R26" s="1354"/>
      <c r="S26" s="1354"/>
      <c r="T26" s="1354"/>
      <c r="U26" s="1354"/>
    </row>
    <row r="27" spans="1:69" s="1374" customFormat="1" x14ac:dyDescent="0.25">
      <c r="A27" s="1353"/>
      <c r="B27" s="1355"/>
      <c r="C27" s="1384"/>
      <c r="D27" s="1362"/>
      <c r="E27" s="1385">
        <v>43191</v>
      </c>
      <c r="F27" s="1362"/>
      <c r="G27" s="1362"/>
      <c r="H27" s="1362"/>
      <c r="I27" s="1362"/>
      <c r="J27" s="1362"/>
      <c r="K27" s="1391"/>
      <c r="L27" s="1353"/>
      <c r="M27" s="1353"/>
      <c r="N27" s="1353"/>
      <c r="O27" s="1354"/>
      <c r="P27" s="1354"/>
      <c r="Q27" s="1354"/>
      <c r="R27" s="1354"/>
      <c r="S27" s="1354"/>
      <c r="T27" s="1354"/>
      <c r="U27" s="1354"/>
      <c r="AA27" s="1358"/>
      <c r="AB27" s="1358"/>
      <c r="AC27" s="1358"/>
      <c r="AD27" s="1358"/>
      <c r="AE27" s="1358"/>
      <c r="AF27" s="1358"/>
      <c r="AG27" s="1358"/>
      <c r="AH27" s="1358"/>
      <c r="AI27" s="1358"/>
    </row>
    <row r="28" spans="1:69" s="1374" customFormat="1" x14ac:dyDescent="0.25">
      <c r="A28" s="1353"/>
      <c r="B28" s="1355"/>
      <c r="C28" s="1384"/>
      <c r="D28" s="1362"/>
      <c r="E28" s="1385">
        <v>43191</v>
      </c>
      <c r="F28" s="1362"/>
      <c r="G28" s="1362"/>
      <c r="H28" s="1362"/>
      <c r="I28" s="1362"/>
      <c r="J28" s="1362"/>
      <c r="K28" s="1391"/>
      <c r="L28" s="1353"/>
      <c r="M28" s="1353"/>
      <c r="N28" s="1353"/>
      <c r="O28" s="1354"/>
      <c r="P28" s="1354"/>
      <c r="Q28" s="1354"/>
      <c r="R28" s="1354"/>
      <c r="S28" s="1354"/>
      <c r="T28" s="1354"/>
      <c r="U28" s="1354"/>
      <c r="AA28" s="1358"/>
      <c r="AB28" s="1358"/>
      <c r="AC28" s="1358"/>
      <c r="AD28" s="1358"/>
      <c r="AE28" s="1358"/>
      <c r="AF28" s="1358"/>
      <c r="AG28" s="1358"/>
      <c r="AH28" s="1358"/>
      <c r="AI28" s="1358"/>
    </row>
    <row r="29" spans="1:69" s="1374" customFormat="1" x14ac:dyDescent="0.25">
      <c r="A29" s="1353"/>
      <c r="B29" s="1355"/>
      <c r="C29" s="1384"/>
      <c r="D29" s="1362"/>
      <c r="E29" s="1385">
        <v>43191</v>
      </c>
      <c r="F29" s="1362"/>
      <c r="G29" s="1362"/>
      <c r="H29" s="1362"/>
      <c r="I29" s="1362"/>
      <c r="J29" s="1362"/>
      <c r="K29" s="1391"/>
      <c r="L29" s="1353"/>
      <c r="M29" s="1353"/>
      <c r="N29" s="1353"/>
      <c r="O29" s="1354"/>
      <c r="P29" s="1354"/>
      <c r="Q29" s="1354"/>
      <c r="R29" s="1354"/>
      <c r="S29" s="1354"/>
      <c r="T29" s="1354"/>
      <c r="U29" s="1354"/>
      <c r="AA29" s="1358"/>
      <c r="AB29" s="1358"/>
      <c r="AC29" s="1358"/>
      <c r="AD29" s="1358"/>
      <c r="AE29" s="1358"/>
      <c r="AF29" s="1358"/>
      <c r="AG29" s="1358"/>
      <c r="AH29" s="1358"/>
      <c r="AI29" s="1358"/>
    </row>
    <row r="30" spans="1:69" s="1374" customFormat="1" x14ac:dyDescent="0.25">
      <c r="A30" s="1353"/>
      <c r="B30" s="1355"/>
      <c r="C30" s="1384"/>
      <c r="D30" s="1362"/>
      <c r="E30" s="1385">
        <v>43191</v>
      </c>
      <c r="F30" s="1362"/>
      <c r="G30" s="1362"/>
      <c r="H30" s="1362"/>
      <c r="I30" s="1362"/>
      <c r="J30" s="1362"/>
      <c r="K30" s="1391"/>
      <c r="L30" s="1353"/>
      <c r="M30" s="1353"/>
      <c r="N30" s="1353"/>
      <c r="O30" s="1354"/>
      <c r="P30" s="1354"/>
      <c r="Q30" s="1354"/>
      <c r="R30" s="1354"/>
      <c r="S30" s="1354"/>
      <c r="T30" s="1354"/>
      <c r="U30" s="1354"/>
      <c r="AA30" s="1358"/>
      <c r="AB30" s="1358"/>
      <c r="AC30" s="1358"/>
      <c r="AD30" s="1358"/>
      <c r="AE30" s="1358"/>
      <c r="AF30" s="1358"/>
      <c r="AG30" s="1358"/>
      <c r="AH30" s="1358"/>
      <c r="AI30" s="1358"/>
    </row>
    <row r="31" spans="1:69" s="1374" customFormat="1" x14ac:dyDescent="0.25">
      <c r="A31" s="1353"/>
      <c r="B31" s="1355"/>
      <c r="C31" s="1384"/>
      <c r="D31" s="1362"/>
      <c r="E31" s="1385">
        <v>43191</v>
      </c>
      <c r="F31" s="1362"/>
      <c r="G31" s="1362"/>
      <c r="H31" s="1362"/>
      <c r="I31" s="1362"/>
      <c r="J31" s="1362"/>
      <c r="K31" s="1391"/>
      <c r="L31" s="1353"/>
      <c r="M31" s="1353"/>
      <c r="N31" s="1353"/>
      <c r="O31" s="1354"/>
      <c r="P31" s="1354"/>
      <c r="Q31" s="1354"/>
      <c r="R31" s="1354"/>
      <c r="S31" s="1354"/>
      <c r="T31" s="1354"/>
      <c r="U31" s="1354"/>
      <c r="AA31" s="1358"/>
      <c r="AB31" s="1358"/>
      <c r="AC31" s="1358"/>
      <c r="AD31" s="1358"/>
      <c r="AE31" s="1358"/>
      <c r="AF31" s="1358"/>
      <c r="AG31" s="1358"/>
      <c r="AH31" s="1358"/>
      <c r="AI31" s="1358"/>
    </row>
    <row r="32" spans="1:69" s="1374" customFormat="1" x14ac:dyDescent="0.25">
      <c r="A32" s="1353"/>
      <c r="B32" s="1355"/>
      <c r="C32" s="1384"/>
      <c r="D32" s="1362"/>
      <c r="E32" s="1385">
        <v>43191</v>
      </c>
      <c r="F32" s="1362"/>
      <c r="G32" s="1362"/>
      <c r="H32" s="1362"/>
      <c r="I32" s="1362"/>
      <c r="J32" s="1362"/>
      <c r="K32" s="1391"/>
      <c r="L32" s="1353"/>
      <c r="M32" s="1353"/>
      <c r="N32" s="1353"/>
      <c r="O32" s="1354"/>
      <c r="P32" s="1354"/>
      <c r="Q32" s="1354"/>
      <c r="R32" s="1354"/>
      <c r="S32" s="1354"/>
      <c r="T32" s="1354"/>
      <c r="U32" s="1354"/>
      <c r="AA32" s="1358"/>
      <c r="AB32" s="1358"/>
      <c r="AC32" s="1358"/>
      <c r="AD32" s="1358"/>
      <c r="AE32" s="1358"/>
      <c r="AF32" s="1358"/>
      <c r="AG32" s="1358"/>
      <c r="AH32" s="1358"/>
      <c r="AI32" s="1358"/>
      <c r="AJ32" s="1358"/>
      <c r="AK32" s="1358"/>
      <c r="AL32" s="1358"/>
      <c r="AM32" s="1358"/>
      <c r="AN32" s="1358"/>
      <c r="AO32" s="1358"/>
      <c r="AP32" s="1358"/>
      <c r="AQ32" s="1358"/>
      <c r="AR32" s="1358"/>
      <c r="AS32" s="1358"/>
      <c r="AT32" s="1358"/>
      <c r="AU32" s="1358"/>
      <c r="AV32" s="1358"/>
      <c r="AW32" s="1358"/>
      <c r="AX32" s="1358"/>
      <c r="AY32" s="1358"/>
      <c r="AZ32" s="1358"/>
      <c r="BA32" s="1358"/>
      <c r="BB32" s="1358"/>
      <c r="BC32" s="1358"/>
      <c r="BD32" s="1358"/>
      <c r="BE32" s="1358"/>
      <c r="BF32" s="1358"/>
      <c r="BG32" s="1358"/>
      <c r="BH32" s="1358"/>
      <c r="BI32" s="1358"/>
      <c r="BJ32" s="1358"/>
      <c r="BK32" s="1358"/>
      <c r="BL32" s="1358"/>
      <c r="BM32" s="1358"/>
      <c r="BN32" s="1358"/>
      <c r="BO32" s="1358"/>
      <c r="BP32" s="1358"/>
      <c r="BQ32" s="1358"/>
    </row>
    <row r="33" spans="1:69" s="1374" customFormat="1" x14ac:dyDescent="0.25">
      <c r="A33" s="1353"/>
      <c r="B33" s="1355"/>
      <c r="C33" s="1384"/>
      <c r="D33" s="1362"/>
      <c r="E33" s="1385">
        <v>43191</v>
      </c>
      <c r="F33" s="1362"/>
      <c r="G33" s="1362"/>
      <c r="H33" s="1362"/>
      <c r="I33" s="1362"/>
      <c r="J33" s="1362"/>
      <c r="K33" s="1389"/>
      <c r="L33" s="1353"/>
      <c r="M33" s="1353"/>
      <c r="N33" s="1353"/>
      <c r="O33" s="1354"/>
      <c r="P33" s="1354"/>
      <c r="Q33" s="1354"/>
      <c r="R33" s="1354"/>
      <c r="S33" s="1354"/>
      <c r="T33" s="1354"/>
      <c r="U33" s="1354"/>
      <c r="AA33" s="1358"/>
      <c r="AB33" s="1358"/>
      <c r="AC33" s="1358"/>
      <c r="AD33" s="1358"/>
      <c r="AE33" s="1358"/>
      <c r="AF33" s="1358"/>
      <c r="AG33" s="1358"/>
      <c r="AH33" s="1358"/>
      <c r="AI33" s="1358"/>
      <c r="AJ33" s="1358"/>
      <c r="AK33" s="1358"/>
      <c r="AL33" s="1358"/>
      <c r="AM33" s="1358"/>
      <c r="AN33" s="1358"/>
      <c r="AO33" s="1358"/>
      <c r="AP33" s="1358"/>
      <c r="AQ33" s="1358"/>
      <c r="AR33" s="1358"/>
      <c r="AS33" s="1358"/>
      <c r="AT33" s="1358"/>
      <c r="AU33" s="1358"/>
      <c r="AV33" s="1358"/>
      <c r="AW33" s="1358"/>
      <c r="AX33" s="1358"/>
      <c r="AY33" s="1358"/>
      <c r="AZ33" s="1358"/>
      <c r="BA33" s="1358"/>
      <c r="BB33" s="1358"/>
      <c r="BC33" s="1358"/>
      <c r="BD33" s="1358"/>
      <c r="BE33" s="1358"/>
      <c r="BF33" s="1358"/>
      <c r="BG33" s="1358"/>
      <c r="BH33" s="1358"/>
      <c r="BI33" s="1358"/>
      <c r="BJ33" s="1358"/>
      <c r="BK33" s="1358"/>
      <c r="BL33" s="1358"/>
      <c r="BM33" s="1358"/>
      <c r="BN33" s="1358"/>
      <c r="BO33" s="1358"/>
      <c r="BP33" s="1358"/>
      <c r="BQ33" s="1358"/>
    </row>
    <row r="34" spans="1:69" s="1374" customFormat="1" ht="16.5" thickBot="1" x14ac:dyDescent="0.3">
      <c r="A34" s="1353"/>
      <c r="B34" s="1359"/>
      <c r="C34" s="1360"/>
      <c r="D34" s="1360"/>
      <c r="E34" s="1360"/>
      <c r="F34" s="1360"/>
      <c r="G34" s="1360"/>
      <c r="H34" s="1360"/>
      <c r="I34" s="1360"/>
      <c r="J34" s="1360"/>
      <c r="K34" s="1392"/>
      <c r="L34" s="1353"/>
      <c r="M34" s="1353"/>
      <c r="N34" s="1353"/>
      <c r="O34" s="1354"/>
      <c r="P34" s="1354"/>
      <c r="Q34" s="1354"/>
      <c r="R34" s="1354"/>
      <c r="S34" s="1354"/>
      <c r="T34" s="1354"/>
      <c r="U34" s="1354"/>
      <c r="AA34" s="1358"/>
      <c r="AB34" s="1358"/>
      <c r="AC34" s="1358"/>
      <c r="AD34" s="1358"/>
      <c r="AE34" s="1358"/>
      <c r="AF34" s="1358"/>
      <c r="AG34" s="1358"/>
      <c r="AH34" s="1358"/>
      <c r="AI34" s="1358"/>
      <c r="AJ34" s="1358"/>
      <c r="AK34" s="1358"/>
      <c r="AL34" s="1358"/>
      <c r="AM34" s="1358"/>
      <c r="AN34" s="1358"/>
      <c r="AO34" s="1358"/>
      <c r="AP34" s="1358"/>
      <c r="AQ34" s="1358"/>
      <c r="AR34" s="1358"/>
      <c r="AS34" s="1358"/>
      <c r="AT34" s="1358"/>
      <c r="AU34" s="1358"/>
      <c r="AV34" s="1358"/>
      <c r="AW34" s="1358"/>
      <c r="AX34" s="1358"/>
      <c r="AY34" s="1358"/>
      <c r="AZ34" s="1358"/>
      <c r="BA34" s="1358"/>
      <c r="BB34" s="1358"/>
      <c r="BC34" s="1358"/>
      <c r="BD34" s="1358"/>
      <c r="BE34" s="1358"/>
      <c r="BF34" s="1358"/>
      <c r="BG34" s="1358"/>
      <c r="BH34" s="1358"/>
      <c r="BI34" s="1358"/>
      <c r="BJ34" s="1358"/>
      <c r="BK34" s="1358"/>
      <c r="BL34" s="1358"/>
      <c r="BM34" s="1358"/>
      <c r="BN34" s="1358"/>
      <c r="BO34" s="1358"/>
      <c r="BP34" s="1358"/>
      <c r="BQ34" s="1358"/>
    </row>
    <row r="35" spans="1:69" s="1374" customFormat="1" ht="16.5" thickTop="1" x14ac:dyDescent="0.25">
      <c r="A35" s="1353"/>
      <c r="B35" s="1353"/>
      <c r="C35" s="1353"/>
      <c r="D35" s="1353"/>
      <c r="E35" s="1353"/>
      <c r="F35" s="1353"/>
      <c r="G35" s="1353"/>
      <c r="H35" s="1353"/>
      <c r="I35" s="1353"/>
      <c r="J35" s="1353"/>
      <c r="K35" s="1387"/>
      <c r="L35" s="1353"/>
      <c r="M35" s="1353"/>
      <c r="N35" s="1353"/>
      <c r="O35" s="1354"/>
      <c r="P35" s="1354"/>
      <c r="Q35" s="1354"/>
      <c r="R35" s="1354"/>
      <c r="S35" s="1354"/>
      <c r="T35" s="1354"/>
      <c r="U35" s="1354"/>
      <c r="AA35" s="1358"/>
      <c r="AB35" s="1358"/>
      <c r="AC35" s="1358"/>
      <c r="AD35" s="1358"/>
      <c r="AE35" s="1358"/>
      <c r="AF35" s="1358"/>
      <c r="AG35" s="1358"/>
      <c r="AH35" s="1358"/>
      <c r="AI35" s="1358"/>
      <c r="AJ35" s="1358"/>
      <c r="AK35" s="1358"/>
      <c r="AL35" s="1358"/>
      <c r="AM35" s="1358"/>
      <c r="AN35" s="1358"/>
      <c r="AO35" s="1358"/>
      <c r="AP35" s="1358"/>
      <c r="AQ35" s="1358"/>
      <c r="AR35" s="1358"/>
      <c r="AS35" s="1358"/>
      <c r="AT35" s="1358"/>
      <c r="AU35" s="1358"/>
      <c r="AV35" s="1358"/>
      <c r="AW35" s="1358"/>
      <c r="AX35" s="1358"/>
      <c r="AY35" s="1358"/>
      <c r="AZ35" s="1358"/>
      <c r="BA35" s="1358"/>
      <c r="BB35" s="1358"/>
      <c r="BC35" s="1358"/>
      <c r="BD35" s="1358"/>
      <c r="BE35" s="1358"/>
      <c r="BF35" s="1358"/>
      <c r="BG35" s="1358"/>
      <c r="BH35" s="1358"/>
      <c r="BI35" s="1358"/>
      <c r="BJ35" s="1358"/>
      <c r="BK35" s="1358"/>
      <c r="BL35" s="1358"/>
      <c r="BM35" s="1358"/>
      <c r="BN35" s="1358"/>
      <c r="BO35" s="1358"/>
      <c r="BP35" s="1358"/>
      <c r="BQ35" s="1358"/>
    </row>
    <row r="36" spans="1:69" s="1374" customFormat="1" x14ac:dyDescent="0.25">
      <c r="A36" s="1353"/>
      <c r="B36" s="1353"/>
      <c r="C36" s="1353"/>
      <c r="D36" s="1353"/>
      <c r="E36" s="1353"/>
      <c r="F36" s="1353"/>
      <c r="G36" s="1353"/>
      <c r="H36" s="1353"/>
      <c r="I36" s="1353"/>
      <c r="J36" s="1353"/>
      <c r="K36" s="1387"/>
      <c r="L36" s="1353"/>
      <c r="M36" s="1353"/>
      <c r="N36" s="1353"/>
      <c r="O36" s="1354"/>
      <c r="P36" s="1354"/>
      <c r="Q36" s="1354"/>
      <c r="R36" s="1354"/>
      <c r="S36" s="1354"/>
      <c r="T36" s="1354"/>
      <c r="U36" s="1354"/>
      <c r="AA36" s="1358"/>
      <c r="AB36" s="1358"/>
      <c r="AC36" s="1358"/>
      <c r="AD36" s="1358"/>
      <c r="AE36" s="1358"/>
      <c r="AF36" s="1358"/>
      <c r="AG36" s="1358"/>
      <c r="AH36" s="1358"/>
      <c r="AI36" s="1358"/>
      <c r="AJ36" s="1358"/>
      <c r="AK36" s="1358"/>
      <c r="AL36" s="1358"/>
      <c r="AM36" s="1358"/>
      <c r="AN36" s="1358"/>
      <c r="AO36" s="1358"/>
      <c r="AP36" s="1358"/>
      <c r="AQ36" s="1358"/>
      <c r="AR36" s="1358"/>
      <c r="AS36" s="1358"/>
      <c r="AT36" s="1358"/>
      <c r="AU36" s="1358"/>
      <c r="AV36" s="1358"/>
      <c r="AW36" s="1358"/>
      <c r="AX36" s="1358"/>
      <c r="AY36" s="1358"/>
      <c r="AZ36" s="1358"/>
      <c r="BA36" s="1358"/>
      <c r="BB36" s="1358"/>
      <c r="BC36" s="1358"/>
      <c r="BD36" s="1358"/>
      <c r="BE36" s="1358"/>
      <c r="BF36" s="1358"/>
      <c r="BG36" s="1358"/>
      <c r="BH36" s="1358"/>
      <c r="BI36" s="1358"/>
      <c r="BJ36" s="1358"/>
      <c r="BK36" s="1358"/>
      <c r="BL36" s="1358"/>
      <c r="BM36" s="1358"/>
      <c r="BN36" s="1358"/>
      <c r="BO36" s="1358"/>
      <c r="BP36" s="1358"/>
      <c r="BQ36" s="1358"/>
    </row>
    <row r="37" spans="1:69" s="1374" customFormat="1" x14ac:dyDescent="0.25">
      <c r="A37" s="1353"/>
      <c r="B37" s="1353"/>
      <c r="C37" s="1353"/>
      <c r="D37" s="1353"/>
      <c r="E37" s="1353"/>
      <c r="F37" s="1353"/>
      <c r="G37" s="1353"/>
      <c r="H37" s="1353"/>
      <c r="I37" s="1353"/>
      <c r="J37" s="1353"/>
      <c r="K37" s="1387"/>
      <c r="L37" s="1353"/>
      <c r="M37" s="1353"/>
      <c r="N37" s="1353"/>
      <c r="O37" s="1354"/>
      <c r="P37" s="1354"/>
      <c r="Q37" s="1354"/>
      <c r="R37" s="1354"/>
      <c r="S37" s="1354"/>
      <c r="T37" s="1354"/>
      <c r="U37" s="1354"/>
      <c r="V37" s="1358"/>
      <c r="W37" s="1358"/>
      <c r="X37" s="1358"/>
      <c r="Y37" s="1358"/>
      <c r="Z37" s="1358"/>
      <c r="AA37" s="1358"/>
      <c r="AB37" s="1358"/>
      <c r="AC37" s="1358"/>
      <c r="AD37" s="1358"/>
      <c r="AE37" s="1358"/>
      <c r="AF37" s="1358"/>
      <c r="AG37" s="1358"/>
      <c r="AH37" s="1358"/>
      <c r="AI37" s="1358"/>
      <c r="AJ37" s="1358"/>
      <c r="AK37" s="1358"/>
      <c r="AL37" s="1358"/>
      <c r="AM37" s="1358"/>
      <c r="AN37" s="1358"/>
      <c r="AO37" s="1358"/>
      <c r="AP37" s="1358"/>
      <c r="AQ37" s="1358"/>
      <c r="AR37" s="1358"/>
      <c r="AS37" s="1358"/>
      <c r="AT37" s="1358"/>
      <c r="AU37" s="1358"/>
      <c r="AV37" s="1358"/>
      <c r="AW37" s="1358"/>
      <c r="AX37" s="1358"/>
      <c r="AY37" s="1358"/>
      <c r="AZ37" s="1358"/>
      <c r="BA37" s="1358"/>
      <c r="BB37" s="1358"/>
      <c r="BC37" s="1358"/>
      <c r="BD37" s="1358"/>
      <c r="BE37" s="1358"/>
      <c r="BF37" s="1358"/>
      <c r="BG37" s="1358"/>
      <c r="BH37" s="1358"/>
      <c r="BI37" s="1358"/>
      <c r="BJ37" s="1358"/>
      <c r="BK37" s="1358"/>
      <c r="BL37" s="1358"/>
      <c r="BM37" s="1358"/>
      <c r="BN37" s="1358"/>
      <c r="BO37" s="1358"/>
      <c r="BP37" s="1358"/>
      <c r="BQ37" s="1358"/>
    </row>
    <row r="38" spans="1:69" s="1354" customFormat="1" x14ac:dyDescent="0.25">
      <c r="A38" s="1353"/>
      <c r="B38" s="1353"/>
      <c r="C38" s="1353"/>
      <c r="D38" s="1353"/>
      <c r="E38" s="1353"/>
      <c r="F38" s="1353"/>
      <c r="G38" s="1353"/>
      <c r="H38" s="1353"/>
      <c r="I38" s="1353"/>
      <c r="J38" s="1353"/>
      <c r="K38" s="1387"/>
      <c r="L38" s="1353"/>
      <c r="M38" s="1353"/>
      <c r="N38" s="1353"/>
      <c r="V38" s="1358"/>
      <c r="W38" s="1358"/>
      <c r="X38" s="1358"/>
      <c r="Y38" s="1358"/>
      <c r="Z38" s="1358"/>
      <c r="AA38" s="1358"/>
      <c r="AB38" s="1358"/>
      <c r="AC38" s="1358"/>
      <c r="AD38" s="1358"/>
      <c r="AE38" s="1358"/>
      <c r="AF38" s="1358"/>
      <c r="AG38" s="1358"/>
      <c r="AH38" s="1358"/>
      <c r="AI38" s="1358"/>
      <c r="AJ38" s="1358"/>
      <c r="AK38" s="1358"/>
      <c r="AL38" s="1358"/>
      <c r="AM38" s="1358"/>
      <c r="AN38" s="1358"/>
      <c r="AO38" s="1358"/>
      <c r="AP38" s="1358"/>
      <c r="AQ38" s="1358"/>
      <c r="AR38" s="1358"/>
      <c r="AS38" s="1358"/>
      <c r="AT38" s="1358"/>
      <c r="AU38" s="1358"/>
      <c r="AV38" s="1358"/>
      <c r="AW38" s="1358"/>
      <c r="AX38" s="1358"/>
      <c r="AY38" s="1358"/>
      <c r="AZ38" s="1358"/>
      <c r="BA38" s="1358"/>
      <c r="BB38" s="1358"/>
      <c r="BC38" s="1358"/>
      <c r="BD38" s="1358"/>
      <c r="BE38" s="1358"/>
      <c r="BF38" s="1358"/>
      <c r="BG38" s="1358"/>
      <c r="BH38" s="1358"/>
      <c r="BI38" s="1358"/>
      <c r="BJ38" s="1358"/>
      <c r="BK38" s="1358"/>
      <c r="BL38" s="1358"/>
      <c r="BM38" s="1358"/>
      <c r="BN38" s="1358"/>
      <c r="BO38" s="1358"/>
      <c r="BP38" s="1358"/>
      <c r="BQ38" s="1358"/>
    </row>
    <row r="39" spans="1:69" s="1354" customFormat="1" x14ac:dyDescent="0.25">
      <c r="A39" s="1353"/>
      <c r="B39" s="1353"/>
      <c r="C39" s="1353"/>
      <c r="D39" s="1353"/>
      <c r="E39" s="1353"/>
      <c r="F39" s="1353"/>
      <c r="G39" s="1353"/>
      <c r="H39" s="1353"/>
      <c r="I39" s="1353"/>
      <c r="J39" s="1353"/>
      <c r="K39" s="1387"/>
      <c r="L39" s="1353"/>
      <c r="M39" s="1353"/>
      <c r="N39" s="1353"/>
      <c r="V39" s="1358"/>
      <c r="W39" s="1358"/>
      <c r="X39" s="1358"/>
      <c r="Y39" s="1358"/>
      <c r="Z39" s="1358"/>
      <c r="AA39" s="1358"/>
      <c r="AB39" s="1358"/>
      <c r="AC39" s="1358"/>
      <c r="AD39" s="1358"/>
      <c r="AE39" s="1358"/>
      <c r="AF39" s="1358"/>
      <c r="AG39" s="1358"/>
      <c r="AH39" s="1358"/>
      <c r="AI39" s="1358"/>
      <c r="AJ39" s="1358"/>
      <c r="AK39" s="1358"/>
      <c r="AL39" s="1358"/>
      <c r="AM39" s="1358"/>
      <c r="AN39" s="1358"/>
      <c r="AO39" s="1358"/>
      <c r="AP39" s="1358"/>
      <c r="AQ39" s="1358"/>
      <c r="AR39" s="1358"/>
      <c r="AS39" s="1358"/>
      <c r="AT39" s="1358"/>
      <c r="AU39" s="1358"/>
      <c r="AV39" s="1358"/>
      <c r="AW39" s="1358"/>
      <c r="AX39" s="1358"/>
      <c r="AY39" s="1358"/>
      <c r="AZ39" s="1358"/>
      <c r="BA39" s="1358"/>
      <c r="BB39" s="1358"/>
      <c r="BC39" s="1358"/>
      <c r="BD39" s="1358"/>
      <c r="BE39" s="1358"/>
      <c r="BF39" s="1358"/>
      <c r="BG39" s="1358"/>
      <c r="BH39" s="1358"/>
      <c r="BI39" s="1358"/>
      <c r="BJ39" s="1358"/>
      <c r="BK39" s="1358"/>
      <c r="BL39" s="1358"/>
      <c r="BM39" s="1358"/>
      <c r="BN39" s="1358"/>
      <c r="BO39" s="1358"/>
      <c r="BP39" s="1358"/>
      <c r="BQ39" s="1358"/>
    </row>
    <row r="40" spans="1:69" s="1354" customFormat="1" x14ac:dyDescent="0.25">
      <c r="A40" s="1353"/>
      <c r="B40" s="1353"/>
      <c r="C40" s="1353"/>
      <c r="D40" s="1353"/>
      <c r="E40" s="1353"/>
      <c r="F40" s="1353"/>
      <c r="G40" s="1353"/>
      <c r="H40" s="1353"/>
      <c r="I40" s="1353"/>
      <c r="J40" s="1353"/>
      <c r="K40" s="1387"/>
      <c r="L40" s="1353"/>
      <c r="M40" s="1353"/>
      <c r="N40" s="1353"/>
      <c r="V40" s="1358"/>
      <c r="W40" s="1358"/>
      <c r="X40" s="1358"/>
      <c r="Y40" s="1358"/>
      <c r="Z40" s="1358"/>
      <c r="AA40" s="1358"/>
      <c r="AB40" s="1358"/>
      <c r="AC40" s="1358"/>
      <c r="AD40" s="1358"/>
      <c r="AE40" s="1358"/>
      <c r="AF40" s="1358"/>
      <c r="AG40" s="1358"/>
      <c r="AH40" s="1358"/>
      <c r="AI40" s="1358"/>
      <c r="AJ40" s="1358"/>
      <c r="AK40" s="1358"/>
      <c r="AL40" s="1358"/>
      <c r="AM40" s="1358"/>
      <c r="AN40" s="1358"/>
      <c r="AO40" s="1358"/>
      <c r="AP40" s="1358"/>
      <c r="AQ40" s="1358"/>
      <c r="AR40" s="1358"/>
      <c r="AS40" s="1358"/>
      <c r="AT40" s="1358"/>
      <c r="AU40" s="1358"/>
      <c r="AV40" s="1358"/>
      <c r="AW40" s="1358"/>
      <c r="AX40" s="1358"/>
      <c r="AY40" s="1358"/>
      <c r="AZ40" s="1358"/>
      <c r="BA40" s="1358"/>
      <c r="BB40" s="1358"/>
      <c r="BC40" s="1358"/>
      <c r="BD40" s="1358"/>
      <c r="BE40" s="1358"/>
      <c r="BF40" s="1358"/>
      <c r="BG40" s="1358"/>
      <c r="BH40" s="1358"/>
      <c r="BI40" s="1358"/>
      <c r="BJ40" s="1358"/>
      <c r="BK40" s="1358"/>
      <c r="BL40" s="1358"/>
      <c r="BM40" s="1358"/>
      <c r="BN40" s="1358"/>
      <c r="BO40" s="1358"/>
      <c r="BP40" s="1358"/>
      <c r="BQ40" s="1358"/>
    </row>
    <row r="41" spans="1:69" s="1354" customFormat="1" x14ac:dyDescent="0.25">
      <c r="A41" s="1353"/>
      <c r="B41" s="1353"/>
      <c r="C41" s="1353"/>
      <c r="D41" s="1353"/>
      <c r="E41" s="1353"/>
      <c r="F41" s="1353"/>
      <c r="G41" s="1353"/>
      <c r="H41" s="1353"/>
      <c r="I41" s="1353"/>
      <c r="J41" s="1353"/>
      <c r="K41" s="1387"/>
      <c r="L41" s="1353"/>
      <c r="M41" s="1353"/>
      <c r="N41" s="1353"/>
      <c r="V41" s="1358"/>
      <c r="W41" s="1358"/>
      <c r="X41" s="1358"/>
      <c r="Y41" s="1358"/>
      <c r="Z41" s="1358"/>
      <c r="AA41" s="1358"/>
      <c r="AB41" s="1358"/>
      <c r="AC41" s="1358"/>
      <c r="AD41" s="1358"/>
      <c r="AE41" s="1358"/>
      <c r="AF41" s="1358"/>
      <c r="AG41" s="1358"/>
      <c r="AH41" s="1358"/>
      <c r="AI41" s="1358"/>
      <c r="AJ41" s="1358"/>
      <c r="AK41" s="1358"/>
      <c r="AL41" s="1358"/>
      <c r="AM41" s="1358"/>
      <c r="AN41" s="1358"/>
      <c r="AO41" s="1358"/>
      <c r="AP41" s="1358"/>
      <c r="AQ41" s="1358"/>
      <c r="AR41" s="1358"/>
      <c r="AS41" s="1358"/>
      <c r="AT41" s="1358"/>
      <c r="AU41" s="1358"/>
      <c r="AV41" s="1358"/>
      <c r="AW41" s="1358"/>
      <c r="AX41" s="1358"/>
      <c r="AY41" s="1358"/>
      <c r="AZ41" s="1358"/>
      <c r="BA41" s="1358"/>
      <c r="BB41" s="1358"/>
      <c r="BC41" s="1358"/>
      <c r="BD41" s="1358"/>
      <c r="BE41" s="1358"/>
      <c r="BF41" s="1358"/>
      <c r="BG41" s="1358"/>
      <c r="BH41" s="1358"/>
      <c r="BI41" s="1358"/>
      <c r="BJ41" s="1358"/>
      <c r="BK41" s="1358"/>
      <c r="BL41" s="1358"/>
      <c r="BM41" s="1358"/>
      <c r="BN41" s="1358"/>
      <c r="BO41" s="1358"/>
      <c r="BP41" s="1358"/>
      <c r="BQ41" s="1358"/>
    </row>
    <row r="42" spans="1:69" s="1354" customFormat="1" x14ac:dyDescent="0.25">
      <c r="A42" s="1353"/>
      <c r="B42" s="1353"/>
      <c r="C42" s="1353"/>
      <c r="D42" s="1353"/>
      <c r="E42" s="1353"/>
      <c r="F42" s="1353"/>
      <c r="G42" s="1353"/>
      <c r="H42" s="1353"/>
      <c r="I42" s="1353"/>
      <c r="J42" s="1353"/>
      <c r="K42" s="1387"/>
      <c r="L42" s="1353"/>
      <c r="M42" s="1353"/>
      <c r="N42" s="1353"/>
      <c r="V42" s="1358"/>
      <c r="W42" s="1358"/>
      <c r="X42" s="1358"/>
      <c r="Y42" s="1358"/>
      <c r="Z42" s="1358"/>
      <c r="AA42" s="1358"/>
      <c r="AB42" s="1358"/>
      <c r="AC42" s="1358"/>
      <c r="AD42" s="1358"/>
      <c r="AE42" s="1358"/>
      <c r="AF42" s="1358"/>
      <c r="AG42" s="1358"/>
      <c r="AH42" s="1358"/>
      <c r="AI42" s="1358"/>
      <c r="AJ42" s="1358"/>
      <c r="AK42" s="1358"/>
      <c r="AL42" s="1358"/>
      <c r="AM42" s="1358"/>
      <c r="AN42" s="1358"/>
      <c r="AO42" s="1358"/>
      <c r="AP42" s="1358"/>
      <c r="AQ42" s="1358"/>
      <c r="AR42" s="1358"/>
      <c r="AS42" s="1358"/>
      <c r="AT42" s="1358"/>
      <c r="AU42" s="1358"/>
      <c r="AV42" s="1358"/>
      <c r="AW42" s="1358"/>
      <c r="AX42" s="1358"/>
      <c r="AY42" s="1358"/>
      <c r="AZ42" s="1358"/>
      <c r="BA42" s="1358"/>
      <c r="BB42" s="1358"/>
      <c r="BC42" s="1358"/>
      <c r="BD42" s="1358"/>
      <c r="BE42" s="1358"/>
      <c r="BF42" s="1358"/>
      <c r="BG42" s="1358"/>
      <c r="BH42" s="1358"/>
      <c r="BI42" s="1358"/>
      <c r="BJ42" s="1358"/>
      <c r="BK42" s="1358"/>
      <c r="BL42" s="1358"/>
      <c r="BM42" s="1358"/>
      <c r="BN42" s="1358"/>
      <c r="BO42" s="1358"/>
      <c r="BP42" s="1358"/>
      <c r="BQ42" s="1358"/>
    </row>
    <row r="43" spans="1:69" s="1354" customFormat="1" x14ac:dyDescent="0.25">
      <c r="A43" s="1353"/>
      <c r="B43" s="1353"/>
      <c r="C43" s="1353"/>
      <c r="D43" s="1353"/>
      <c r="E43" s="1353"/>
      <c r="F43" s="1353"/>
      <c r="G43" s="1353"/>
      <c r="H43" s="1353"/>
      <c r="I43" s="1353"/>
      <c r="J43" s="1353"/>
      <c r="K43" s="1387"/>
      <c r="L43" s="1353"/>
      <c r="M43" s="1353"/>
      <c r="N43" s="1353"/>
      <c r="V43" s="1358"/>
      <c r="W43" s="1358"/>
      <c r="X43" s="1358"/>
      <c r="Y43" s="1358"/>
      <c r="Z43" s="1358"/>
      <c r="AA43" s="1358"/>
      <c r="AB43" s="1358"/>
      <c r="AC43" s="1358"/>
      <c r="AD43" s="1358"/>
      <c r="AE43" s="1358"/>
      <c r="AF43" s="1358"/>
      <c r="AG43" s="1358"/>
      <c r="AH43" s="1358"/>
      <c r="AI43" s="1358"/>
      <c r="AJ43" s="1358"/>
      <c r="AK43" s="1358"/>
      <c r="AL43" s="1358"/>
      <c r="AM43" s="1358"/>
      <c r="AN43" s="1358"/>
      <c r="AO43" s="1358"/>
      <c r="AP43" s="1358"/>
      <c r="AQ43" s="1358"/>
      <c r="AR43" s="1358"/>
      <c r="AS43" s="1358"/>
      <c r="AT43" s="1358"/>
      <c r="AU43" s="1358"/>
      <c r="AV43" s="1358"/>
      <c r="AW43" s="1358"/>
      <c r="AX43" s="1358"/>
      <c r="AY43" s="1358"/>
      <c r="AZ43" s="1358"/>
      <c r="BA43" s="1358"/>
      <c r="BB43" s="1358"/>
      <c r="BC43" s="1358"/>
      <c r="BD43" s="1358"/>
      <c r="BE43" s="1358"/>
      <c r="BF43" s="1358"/>
      <c r="BG43" s="1358"/>
      <c r="BH43" s="1358"/>
      <c r="BI43" s="1358"/>
      <c r="BJ43" s="1358"/>
      <c r="BK43" s="1358"/>
      <c r="BL43" s="1358"/>
      <c r="BM43" s="1358"/>
      <c r="BN43" s="1358"/>
      <c r="BO43" s="1358"/>
      <c r="BP43" s="1358"/>
      <c r="BQ43" s="1358"/>
    </row>
    <row r="44" spans="1:69" s="1354" customFormat="1" x14ac:dyDescent="0.25">
      <c r="A44" s="1353"/>
      <c r="B44" s="1353"/>
      <c r="C44" s="1353"/>
      <c r="D44" s="1353"/>
      <c r="E44" s="1353"/>
      <c r="F44" s="1353"/>
      <c r="G44" s="1353"/>
      <c r="H44" s="1353"/>
      <c r="I44" s="1353"/>
      <c r="J44" s="1353"/>
      <c r="K44" s="1387"/>
      <c r="L44" s="1353"/>
      <c r="M44" s="1353"/>
      <c r="N44" s="1353"/>
      <c r="V44" s="1358"/>
      <c r="W44" s="1358"/>
      <c r="X44" s="1358"/>
      <c r="Y44" s="1358"/>
      <c r="Z44" s="1358"/>
      <c r="AA44" s="1358"/>
      <c r="AB44" s="1358"/>
      <c r="AC44" s="1358"/>
      <c r="AD44" s="1358"/>
      <c r="AE44" s="1358"/>
      <c r="AF44" s="1358"/>
      <c r="AG44" s="1358"/>
      <c r="AH44" s="1358"/>
      <c r="AI44" s="1358"/>
      <c r="AJ44" s="1358"/>
      <c r="AK44" s="1358"/>
      <c r="AL44" s="1358"/>
      <c r="AM44" s="1358"/>
      <c r="AN44" s="1358"/>
      <c r="AO44" s="1358"/>
      <c r="AP44" s="1358"/>
      <c r="AQ44" s="1358"/>
      <c r="AR44" s="1358"/>
      <c r="AS44" s="1358"/>
      <c r="AT44" s="1358"/>
      <c r="AU44" s="1358"/>
      <c r="AV44" s="1358"/>
      <c r="AW44" s="1358"/>
      <c r="AX44" s="1358"/>
      <c r="AY44" s="1358"/>
      <c r="AZ44" s="1358"/>
      <c r="BA44" s="1358"/>
      <c r="BB44" s="1358"/>
      <c r="BC44" s="1358"/>
      <c r="BD44" s="1358"/>
      <c r="BE44" s="1358"/>
      <c r="BF44" s="1358"/>
      <c r="BG44" s="1358"/>
      <c r="BH44" s="1358"/>
      <c r="BI44" s="1358"/>
      <c r="BJ44" s="1358"/>
      <c r="BK44" s="1358"/>
      <c r="BL44" s="1358"/>
      <c r="BM44" s="1358"/>
      <c r="BN44" s="1358"/>
      <c r="BO44" s="1358"/>
      <c r="BP44" s="1358"/>
      <c r="BQ44" s="1358"/>
    </row>
    <row r="45" spans="1:69" s="1354" customFormat="1" x14ac:dyDescent="0.25">
      <c r="A45" s="1353"/>
      <c r="B45" s="1353"/>
      <c r="C45" s="1353"/>
      <c r="D45" s="1353"/>
      <c r="E45" s="1353"/>
      <c r="F45" s="1353"/>
      <c r="G45" s="1353"/>
      <c r="H45" s="1353"/>
      <c r="I45" s="1353"/>
      <c r="J45" s="1353"/>
      <c r="K45" s="1387"/>
      <c r="L45" s="1353"/>
      <c r="M45" s="1353"/>
      <c r="N45" s="1353"/>
      <c r="V45" s="1358"/>
      <c r="W45" s="1358"/>
      <c r="X45" s="1358"/>
      <c r="Y45" s="1358"/>
      <c r="Z45" s="1358"/>
      <c r="AA45" s="1358"/>
      <c r="AB45" s="1358"/>
      <c r="AC45" s="1358"/>
      <c r="AD45" s="1358"/>
      <c r="AE45" s="1358"/>
      <c r="AF45" s="1358"/>
      <c r="AG45" s="1358"/>
      <c r="AH45" s="1358"/>
      <c r="AI45" s="1358"/>
      <c r="AJ45" s="1358"/>
      <c r="AK45" s="1358"/>
      <c r="AL45" s="1358"/>
      <c r="AM45" s="1358"/>
      <c r="AN45" s="1358"/>
      <c r="AO45" s="1358"/>
      <c r="AP45" s="1358"/>
      <c r="AQ45" s="1358"/>
      <c r="AR45" s="1358"/>
      <c r="AS45" s="1358"/>
      <c r="AT45" s="1358"/>
      <c r="AU45" s="1358"/>
      <c r="AV45" s="1358"/>
      <c r="AW45" s="1358"/>
      <c r="AX45" s="1358"/>
      <c r="AY45" s="1358"/>
      <c r="AZ45" s="1358"/>
      <c r="BA45" s="1358"/>
      <c r="BB45" s="1358"/>
      <c r="BC45" s="1358"/>
      <c r="BD45" s="1358"/>
      <c r="BE45" s="1358"/>
      <c r="BF45" s="1358"/>
      <c r="BG45" s="1358"/>
      <c r="BH45" s="1358"/>
      <c r="BI45" s="1358"/>
      <c r="BJ45" s="1358"/>
      <c r="BK45" s="1358"/>
      <c r="BL45" s="1358"/>
      <c r="BM45" s="1358"/>
      <c r="BN45" s="1358"/>
      <c r="BO45" s="1358"/>
      <c r="BP45" s="1358"/>
      <c r="BQ45" s="1358"/>
    </row>
    <row r="46" spans="1:69" s="1354" customFormat="1" x14ac:dyDescent="0.25">
      <c r="A46" s="1353"/>
      <c r="B46" s="1353"/>
      <c r="C46" s="1353"/>
      <c r="D46" s="1353"/>
      <c r="E46" s="1353"/>
      <c r="F46" s="1353"/>
      <c r="G46" s="1353"/>
      <c r="H46" s="1353"/>
      <c r="I46" s="1353"/>
      <c r="J46" s="1353"/>
      <c r="K46" s="1387"/>
      <c r="L46" s="1353"/>
      <c r="M46" s="1353"/>
      <c r="N46" s="1353"/>
      <c r="V46" s="1358"/>
      <c r="W46" s="1358"/>
      <c r="X46" s="1358"/>
      <c r="Y46" s="1358"/>
      <c r="Z46" s="1358"/>
      <c r="AA46" s="1358"/>
      <c r="AB46" s="1358"/>
      <c r="AC46" s="1358"/>
      <c r="AD46" s="1358"/>
      <c r="AE46" s="1358"/>
      <c r="AF46" s="1358"/>
      <c r="AG46" s="1358"/>
      <c r="AH46" s="1358"/>
      <c r="AI46" s="1358"/>
      <c r="AJ46" s="1358"/>
      <c r="AK46" s="1358"/>
      <c r="AL46" s="1358"/>
      <c r="AM46" s="1358"/>
      <c r="AN46" s="1358"/>
      <c r="AO46" s="1358"/>
      <c r="AP46" s="1358"/>
      <c r="AQ46" s="1358"/>
      <c r="AR46" s="1358"/>
      <c r="AS46" s="1358"/>
      <c r="AT46" s="1358"/>
      <c r="AU46" s="1358"/>
      <c r="AV46" s="1358"/>
      <c r="AW46" s="1358"/>
      <c r="AX46" s="1358"/>
      <c r="AY46" s="1358"/>
      <c r="AZ46" s="1358"/>
      <c r="BA46" s="1358"/>
      <c r="BB46" s="1358"/>
      <c r="BC46" s="1358"/>
      <c r="BD46" s="1358"/>
      <c r="BE46" s="1358"/>
      <c r="BF46" s="1358"/>
      <c r="BG46" s="1358"/>
      <c r="BH46" s="1358"/>
      <c r="BI46" s="1358"/>
      <c r="BJ46" s="1358"/>
      <c r="BK46" s="1358"/>
      <c r="BL46" s="1358"/>
      <c r="BM46" s="1358"/>
      <c r="BN46" s="1358"/>
      <c r="BO46" s="1358"/>
      <c r="BP46" s="1358"/>
      <c r="BQ46" s="1358"/>
    </row>
    <row r="47" spans="1:69" s="1354" customFormat="1" x14ac:dyDescent="0.25">
      <c r="A47" s="1353"/>
      <c r="B47" s="1353"/>
      <c r="C47" s="1353"/>
      <c r="D47" s="1353"/>
      <c r="E47" s="1353"/>
      <c r="F47" s="1353"/>
      <c r="G47" s="1353"/>
      <c r="H47" s="1353"/>
      <c r="I47" s="1353"/>
      <c r="J47" s="1353"/>
      <c r="K47" s="1387"/>
      <c r="L47" s="1353"/>
      <c r="M47" s="1353"/>
      <c r="N47" s="1353"/>
      <c r="V47" s="1358"/>
      <c r="W47" s="1358"/>
      <c r="X47" s="1358"/>
      <c r="Y47" s="1358"/>
      <c r="Z47" s="1358"/>
      <c r="AA47" s="1358"/>
      <c r="AB47" s="1358"/>
      <c r="AC47" s="1358"/>
      <c r="AD47" s="1358"/>
      <c r="AE47" s="1358"/>
      <c r="AF47" s="1358"/>
      <c r="AG47" s="1358"/>
      <c r="AH47" s="1358"/>
      <c r="AI47" s="1358"/>
      <c r="AJ47" s="1358"/>
      <c r="AK47" s="1358"/>
      <c r="AL47" s="1358"/>
      <c r="AM47" s="1358"/>
      <c r="AN47" s="1358"/>
      <c r="AO47" s="1358"/>
      <c r="AP47" s="1358"/>
      <c r="AQ47" s="1358"/>
      <c r="AR47" s="1358"/>
      <c r="AS47" s="1358"/>
      <c r="AT47" s="1358"/>
      <c r="AU47" s="1358"/>
      <c r="AV47" s="1358"/>
      <c r="AW47" s="1358"/>
      <c r="AX47" s="1358"/>
      <c r="AY47" s="1358"/>
      <c r="AZ47" s="1358"/>
      <c r="BA47" s="1358"/>
      <c r="BB47" s="1358"/>
      <c r="BC47" s="1358"/>
      <c r="BD47" s="1358"/>
      <c r="BE47" s="1358"/>
      <c r="BF47" s="1358"/>
      <c r="BG47" s="1358"/>
      <c r="BH47" s="1358"/>
      <c r="BI47" s="1358"/>
      <c r="BJ47" s="1358"/>
      <c r="BK47" s="1358"/>
      <c r="BL47" s="1358"/>
      <c r="BM47" s="1358"/>
      <c r="BN47" s="1358"/>
      <c r="BO47" s="1358"/>
      <c r="BP47" s="1358"/>
      <c r="BQ47" s="1358"/>
    </row>
    <row r="48" spans="1:69" s="1354" customFormat="1" x14ac:dyDescent="0.25">
      <c r="A48" s="1353"/>
      <c r="B48" s="1353"/>
      <c r="C48" s="1353"/>
      <c r="D48" s="1353"/>
      <c r="E48" s="1353"/>
      <c r="F48" s="1353"/>
      <c r="G48" s="1353"/>
      <c r="H48" s="1353"/>
      <c r="I48" s="1353"/>
      <c r="J48" s="1353"/>
      <c r="K48" s="1387"/>
      <c r="L48" s="1353"/>
      <c r="M48" s="1353"/>
      <c r="N48" s="1353"/>
      <c r="V48" s="1358"/>
      <c r="W48" s="1358"/>
      <c r="X48" s="1358"/>
      <c r="Y48" s="1358"/>
      <c r="Z48" s="1358"/>
      <c r="AA48" s="1358"/>
      <c r="AB48" s="1358"/>
      <c r="AC48" s="1358"/>
      <c r="AD48" s="1358"/>
      <c r="AE48" s="1358"/>
      <c r="AF48" s="1358"/>
      <c r="AG48" s="1358"/>
      <c r="AH48" s="1358"/>
      <c r="AI48" s="1358"/>
      <c r="AJ48" s="1358"/>
      <c r="AK48" s="1358"/>
      <c r="AL48" s="1358"/>
      <c r="AM48" s="1358"/>
      <c r="AN48" s="1358"/>
      <c r="AO48" s="1358"/>
      <c r="AP48" s="1358"/>
      <c r="AQ48" s="1358"/>
      <c r="AR48" s="1358"/>
      <c r="AS48" s="1358"/>
      <c r="AT48" s="1358"/>
      <c r="AU48" s="1358"/>
      <c r="AV48" s="1358"/>
      <c r="AW48" s="1358"/>
      <c r="AX48" s="1358"/>
      <c r="AY48" s="1358"/>
      <c r="AZ48" s="1358"/>
      <c r="BA48" s="1358"/>
      <c r="BB48" s="1358"/>
      <c r="BC48" s="1358"/>
      <c r="BD48" s="1358"/>
      <c r="BE48" s="1358"/>
      <c r="BF48" s="1358"/>
      <c r="BG48" s="1358"/>
      <c r="BH48" s="1358"/>
      <c r="BI48" s="1358"/>
      <c r="BJ48" s="1358"/>
      <c r="BK48" s="1358"/>
      <c r="BL48" s="1358"/>
      <c r="BM48" s="1358"/>
      <c r="BN48" s="1358"/>
      <c r="BO48" s="1358"/>
      <c r="BP48" s="1358"/>
      <c r="BQ48" s="1358"/>
    </row>
    <row r="49" spans="1:69" s="1354" customFormat="1" x14ac:dyDescent="0.25">
      <c r="A49" s="1353"/>
      <c r="B49" s="1353"/>
      <c r="C49" s="1353"/>
      <c r="D49" s="1353"/>
      <c r="E49" s="1353"/>
      <c r="F49" s="1353"/>
      <c r="G49" s="1353"/>
      <c r="H49" s="1353"/>
      <c r="I49" s="1353"/>
      <c r="J49" s="1353"/>
      <c r="K49" s="1387"/>
      <c r="L49" s="1353"/>
      <c r="M49" s="1353"/>
      <c r="N49" s="1353"/>
      <c r="V49" s="1358"/>
      <c r="W49" s="1358"/>
      <c r="X49" s="1358"/>
      <c r="Y49" s="1358"/>
      <c r="Z49" s="1358"/>
      <c r="AA49" s="1358"/>
      <c r="AB49" s="1358"/>
      <c r="AC49" s="1358"/>
      <c r="AD49" s="1358"/>
      <c r="AE49" s="1358"/>
      <c r="AF49" s="1358"/>
      <c r="AG49" s="1358"/>
      <c r="AH49" s="1358"/>
      <c r="AI49" s="1358"/>
      <c r="AJ49" s="1358"/>
      <c r="AK49" s="1358"/>
      <c r="AL49" s="1358"/>
      <c r="AM49" s="1358"/>
      <c r="AN49" s="1358"/>
      <c r="AO49" s="1358"/>
      <c r="AP49" s="1358"/>
      <c r="AQ49" s="1358"/>
      <c r="AR49" s="1358"/>
      <c r="AS49" s="1358"/>
      <c r="AT49" s="1358"/>
      <c r="AU49" s="1358"/>
      <c r="AV49" s="1358"/>
      <c r="AW49" s="1358"/>
      <c r="AX49" s="1358"/>
      <c r="AY49" s="1358"/>
      <c r="AZ49" s="1358"/>
      <c r="BA49" s="1358"/>
      <c r="BB49" s="1358"/>
      <c r="BC49" s="1358"/>
      <c r="BD49" s="1358"/>
      <c r="BE49" s="1358"/>
      <c r="BF49" s="1358"/>
      <c r="BG49" s="1358"/>
      <c r="BH49" s="1358"/>
      <c r="BI49" s="1358"/>
      <c r="BJ49" s="1358"/>
      <c r="BK49" s="1358"/>
      <c r="BL49" s="1358"/>
      <c r="BM49" s="1358"/>
      <c r="BN49" s="1358"/>
      <c r="BO49" s="1358"/>
      <c r="BP49" s="1358"/>
      <c r="BQ49" s="1358"/>
    </row>
    <row r="50" spans="1:69" s="1354" customFormat="1" x14ac:dyDescent="0.25">
      <c r="A50" s="1353"/>
      <c r="B50" s="1353"/>
      <c r="C50" s="1353"/>
      <c r="D50" s="1353"/>
      <c r="E50" s="1353"/>
      <c r="F50" s="1353"/>
      <c r="G50" s="1353"/>
      <c r="H50" s="1353"/>
      <c r="I50" s="1353"/>
      <c r="J50" s="1353"/>
      <c r="K50" s="1387"/>
      <c r="L50" s="1353"/>
      <c r="M50" s="1353"/>
      <c r="N50" s="1353"/>
      <c r="V50" s="1358"/>
      <c r="W50" s="1358"/>
      <c r="X50" s="1358"/>
      <c r="Y50" s="1358"/>
      <c r="Z50" s="1358"/>
      <c r="AA50" s="1358"/>
      <c r="AB50" s="1358"/>
      <c r="AC50" s="1358"/>
      <c r="AD50" s="1358"/>
      <c r="AE50" s="1358"/>
      <c r="AF50" s="1358"/>
      <c r="AG50" s="1358"/>
      <c r="AH50" s="1358"/>
      <c r="AI50" s="1358"/>
      <c r="AJ50" s="1358"/>
      <c r="AK50" s="1358"/>
      <c r="AL50" s="1358"/>
      <c r="AM50" s="1358"/>
      <c r="AN50" s="1358"/>
      <c r="AO50" s="1358"/>
      <c r="AP50" s="1358"/>
      <c r="AQ50" s="1358"/>
      <c r="AR50" s="1358"/>
      <c r="AS50" s="1358"/>
      <c r="AT50" s="1358"/>
      <c r="AU50" s="1358"/>
      <c r="AV50" s="1358"/>
      <c r="AW50" s="1358"/>
      <c r="AX50" s="1358"/>
      <c r="AY50" s="1358"/>
      <c r="AZ50" s="1358"/>
      <c r="BA50" s="1358"/>
      <c r="BB50" s="1358"/>
      <c r="BC50" s="1358"/>
      <c r="BD50" s="1358"/>
      <c r="BE50" s="1358"/>
      <c r="BF50" s="1358"/>
      <c r="BG50" s="1358"/>
      <c r="BH50" s="1358"/>
      <c r="BI50" s="1358"/>
      <c r="BJ50" s="1358"/>
      <c r="BK50" s="1358"/>
      <c r="BL50" s="1358"/>
      <c r="BM50" s="1358"/>
      <c r="BN50" s="1358"/>
      <c r="BO50" s="1358"/>
      <c r="BP50" s="1358"/>
      <c r="BQ50" s="1358"/>
    </row>
    <row r="51" spans="1:69" s="1354" customFormat="1" x14ac:dyDescent="0.25">
      <c r="A51" s="1353"/>
      <c r="B51" s="1353"/>
      <c r="C51" s="1353"/>
      <c r="D51" s="1353"/>
      <c r="E51" s="1353"/>
      <c r="F51" s="1353"/>
      <c r="G51" s="1353"/>
      <c r="H51" s="1353"/>
      <c r="I51" s="1353"/>
      <c r="J51" s="1353"/>
      <c r="K51" s="1387"/>
      <c r="L51" s="1353"/>
      <c r="M51" s="1353"/>
      <c r="N51" s="1353"/>
      <c r="V51" s="1358"/>
      <c r="W51" s="1358"/>
      <c r="X51" s="1358"/>
      <c r="Y51" s="1358"/>
      <c r="Z51" s="1358"/>
      <c r="AA51" s="1358"/>
      <c r="AB51" s="1358"/>
      <c r="AC51" s="1358"/>
      <c r="AD51" s="1358"/>
      <c r="AE51" s="1358"/>
      <c r="AF51" s="1358"/>
      <c r="AG51" s="1358"/>
      <c r="AH51" s="1358"/>
      <c r="AI51" s="1358"/>
      <c r="AJ51" s="1358"/>
      <c r="AK51" s="1358"/>
      <c r="AL51" s="1358"/>
      <c r="AM51" s="1358"/>
      <c r="AN51" s="1358"/>
      <c r="AO51" s="1358"/>
      <c r="AP51" s="1358"/>
      <c r="AQ51" s="1358"/>
      <c r="AR51" s="1358"/>
      <c r="AS51" s="1358"/>
      <c r="AT51" s="1358"/>
      <c r="AU51" s="1358"/>
      <c r="AV51" s="1358"/>
      <c r="AW51" s="1358"/>
      <c r="AX51" s="1358"/>
      <c r="AY51" s="1358"/>
      <c r="AZ51" s="1358"/>
      <c r="BA51" s="1358"/>
      <c r="BB51" s="1358"/>
      <c r="BC51" s="1358"/>
      <c r="BD51" s="1358"/>
      <c r="BE51" s="1358"/>
      <c r="BF51" s="1358"/>
      <c r="BG51" s="1358"/>
      <c r="BH51" s="1358"/>
      <c r="BI51" s="1358"/>
      <c r="BJ51" s="1358"/>
      <c r="BK51" s="1358"/>
      <c r="BL51" s="1358"/>
      <c r="BM51" s="1358"/>
      <c r="BN51" s="1358"/>
      <c r="BO51" s="1358"/>
      <c r="BP51" s="1358"/>
      <c r="BQ51" s="1358"/>
    </row>
    <row r="52" spans="1:69" s="1354" customFormat="1" x14ac:dyDescent="0.25">
      <c r="A52" s="1353"/>
      <c r="B52" s="1353"/>
      <c r="C52" s="1353"/>
      <c r="D52" s="1353"/>
      <c r="E52" s="1353"/>
      <c r="F52" s="1353"/>
      <c r="G52" s="1353"/>
      <c r="H52" s="1353"/>
      <c r="I52" s="1353"/>
      <c r="J52" s="1353"/>
      <c r="K52" s="1387"/>
      <c r="L52" s="1353"/>
      <c r="M52" s="1353"/>
      <c r="N52" s="1353"/>
      <c r="V52" s="1358"/>
      <c r="W52" s="1358"/>
      <c r="X52" s="1358"/>
      <c r="Y52" s="1358"/>
      <c r="Z52" s="1358"/>
      <c r="AA52" s="1358"/>
      <c r="AB52" s="1358"/>
      <c r="AC52" s="1358"/>
      <c r="AD52" s="1358"/>
      <c r="AE52" s="1358"/>
      <c r="AF52" s="1358"/>
      <c r="AG52" s="1358"/>
      <c r="AH52" s="1358"/>
      <c r="AI52" s="1358"/>
      <c r="AJ52" s="1358"/>
      <c r="AK52" s="1358"/>
      <c r="AL52" s="1358"/>
      <c r="AM52" s="1358"/>
      <c r="AN52" s="1358"/>
      <c r="AO52" s="1358"/>
      <c r="AP52" s="1358"/>
      <c r="AQ52" s="1358"/>
      <c r="AR52" s="1358"/>
      <c r="AS52" s="1358"/>
      <c r="AT52" s="1358"/>
      <c r="AU52" s="1358"/>
      <c r="AV52" s="1358"/>
      <c r="AW52" s="1358"/>
      <c r="AX52" s="1358"/>
      <c r="AY52" s="1358"/>
      <c r="AZ52" s="1358"/>
      <c r="BA52" s="1358"/>
      <c r="BB52" s="1358"/>
      <c r="BC52" s="1358"/>
      <c r="BD52" s="1358"/>
      <c r="BE52" s="1358"/>
      <c r="BF52" s="1358"/>
      <c r="BG52" s="1358"/>
      <c r="BH52" s="1358"/>
      <c r="BI52" s="1358"/>
      <c r="BJ52" s="1358"/>
      <c r="BK52" s="1358"/>
      <c r="BL52" s="1358"/>
      <c r="BM52" s="1358"/>
      <c r="BN52" s="1358"/>
      <c r="BO52" s="1358"/>
      <c r="BP52" s="1358"/>
      <c r="BQ52" s="1358"/>
    </row>
    <row r="53" spans="1:69" s="1354" customFormat="1" x14ac:dyDescent="0.25">
      <c r="A53" s="1353"/>
      <c r="B53" s="1353"/>
      <c r="C53" s="1353"/>
      <c r="D53" s="1353"/>
      <c r="E53" s="1353"/>
      <c r="F53" s="1353"/>
      <c r="G53" s="1353"/>
      <c r="H53" s="1353"/>
      <c r="I53" s="1353"/>
      <c r="J53" s="1353"/>
      <c r="K53" s="1387"/>
      <c r="L53" s="1353"/>
      <c r="M53" s="1353"/>
      <c r="N53" s="1353"/>
      <c r="V53" s="1358"/>
      <c r="W53" s="1358"/>
      <c r="X53" s="1358"/>
      <c r="Y53" s="1358"/>
      <c r="Z53" s="1358"/>
      <c r="AA53" s="1358"/>
      <c r="AB53" s="1358"/>
      <c r="AC53" s="1358"/>
      <c r="AD53" s="1358"/>
      <c r="AE53" s="1358"/>
      <c r="AF53" s="1358"/>
      <c r="AG53" s="1358"/>
      <c r="AH53" s="1358"/>
      <c r="AI53" s="1358"/>
      <c r="AJ53" s="1358"/>
      <c r="AK53" s="1358"/>
      <c r="AL53" s="1358"/>
      <c r="AM53" s="1358"/>
      <c r="AN53" s="1358"/>
      <c r="AO53" s="1358"/>
      <c r="AP53" s="1358"/>
      <c r="AQ53" s="1358"/>
      <c r="AR53" s="1358"/>
      <c r="AS53" s="1358"/>
      <c r="AT53" s="1358"/>
      <c r="AU53" s="1358"/>
      <c r="AV53" s="1358"/>
      <c r="AW53" s="1358"/>
      <c r="AX53" s="1358"/>
      <c r="AY53" s="1358"/>
      <c r="AZ53" s="1358"/>
      <c r="BA53" s="1358"/>
      <c r="BB53" s="1358"/>
      <c r="BC53" s="1358"/>
      <c r="BD53" s="1358"/>
      <c r="BE53" s="1358"/>
      <c r="BF53" s="1358"/>
      <c r="BG53" s="1358"/>
      <c r="BH53" s="1358"/>
      <c r="BI53" s="1358"/>
      <c r="BJ53" s="1358"/>
      <c r="BK53" s="1358"/>
      <c r="BL53" s="1358"/>
      <c r="BM53" s="1358"/>
      <c r="BN53" s="1358"/>
      <c r="BO53" s="1358"/>
      <c r="BP53" s="1358"/>
      <c r="BQ53" s="1358"/>
    </row>
    <row r="54" spans="1:69" s="1354" customFormat="1" x14ac:dyDescent="0.25">
      <c r="A54" s="1353"/>
      <c r="B54" s="1353"/>
      <c r="C54" s="1353"/>
      <c r="D54" s="1353"/>
      <c r="E54" s="1353"/>
      <c r="F54" s="1353"/>
      <c r="G54" s="1353"/>
      <c r="H54" s="1353"/>
      <c r="I54" s="1353"/>
      <c r="J54" s="1353"/>
      <c r="K54" s="1387"/>
      <c r="L54" s="1353"/>
      <c r="M54" s="1353"/>
      <c r="N54" s="1353"/>
      <c r="V54" s="1358"/>
      <c r="W54" s="1358"/>
      <c r="X54" s="1358"/>
      <c r="Y54" s="1358"/>
      <c r="Z54" s="1358"/>
      <c r="AA54" s="1358"/>
      <c r="AB54" s="1358"/>
      <c r="AC54" s="1358"/>
      <c r="AD54" s="1358"/>
      <c r="AE54" s="1358"/>
      <c r="AF54" s="1358"/>
      <c r="AG54" s="1358"/>
      <c r="AH54" s="1358"/>
      <c r="AI54" s="1358"/>
      <c r="AJ54" s="1358"/>
      <c r="AK54" s="1358"/>
      <c r="AL54" s="1358"/>
      <c r="AM54" s="1358"/>
      <c r="AN54" s="1358"/>
      <c r="AO54" s="1358"/>
      <c r="AP54" s="1358"/>
      <c r="AQ54" s="1358"/>
      <c r="AR54" s="1358"/>
      <c r="AS54" s="1358"/>
      <c r="AT54" s="1358"/>
      <c r="AU54" s="1358"/>
      <c r="AV54" s="1358"/>
      <c r="AW54" s="1358"/>
      <c r="AX54" s="1358"/>
      <c r="AY54" s="1358"/>
      <c r="AZ54" s="1358"/>
      <c r="BA54" s="1358"/>
      <c r="BB54" s="1358"/>
      <c r="BC54" s="1358"/>
      <c r="BD54" s="1358"/>
      <c r="BE54" s="1358"/>
      <c r="BF54" s="1358"/>
      <c r="BG54" s="1358"/>
      <c r="BH54" s="1358"/>
      <c r="BI54" s="1358"/>
      <c r="BJ54" s="1358"/>
      <c r="BK54" s="1358"/>
      <c r="BL54" s="1358"/>
      <c r="BM54" s="1358"/>
      <c r="BN54" s="1358"/>
      <c r="BO54" s="1358"/>
      <c r="BP54" s="1358"/>
      <c r="BQ54" s="1358"/>
    </row>
    <row r="55" spans="1:69" s="1354" customFormat="1" x14ac:dyDescent="0.25">
      <c r="A55" s="1353"/>
      <c r="B55" s="1353"/>
      <c r="C55" s="1353"/>
      <c r="D55" s="1353"/>
      <c r="E55" s="1353"/>
      <c r="F55" s="1353"/>
      <c r="G55" s="1353"/>
      <c r="H55" s="1353"/>
      <c r="I55" s="1353"/>
      <c r="J55" s="1353"/>
      <c r="K55" s="1387"/>
      <c r="L55" s="1353"/>
      <c r="M55" s="1353"/>
      <c r="N55" s="1353"/>
      <c r="V55" s="1358"/>
      <c r="W55" s="1358"/>
      <c r="X55" s="1358"/>
      <c r="Y55" s="1358"/>
      <c r="Z55" s="1358"/>
      <c r="AA55" s="1358"/>
      <c r="AB55" s="1358"/>
      <c r="AC55" s="1358"/>
      <c r="AD55" s="1358"/>
      <c r="AE55" s="1358"/>
      <c r="AF55" s="1358"/>
      <c r="AG55" s="1358"/>
      <c r="AH55" s="1358"/>
      <c r="AI55" s="1358"/>
      <c r="AJ55" s="1358"/>
      <c r="AK55" s="1358"/>
      <c r="AL55" s="1358"/>
      <c r="AM55" s="1358"/>
      <c r="AN55" s="1358"/>
      <c r="AO55" s="1358"/>
      <c r="AP55" s="1358"/>
      <c r="AQ55" s="1358"/>
      <c r="AR55" s="1358"/>
      <c r="AS55" s="1358"/>
      <c r="AT55" s="1358"/>
      <c r="AU55" s="1358"/>
      <c r="AV55" s="1358"/>
      <c r="AW55" s="1358"/>
      <c r="AX55" s="1358"/>
      <c r="AY55" s="1358"/>
      <c r="AZ55" s="1358"/>
      <c r="BA55" s="1358"/>
      <c r="BB55" s="1358"/>
      <c r="BC55" s="1358"/>
      <c r="BD55" s="1358"/>
      <c r="BE55" s="1358"/>
      <c r="BF55" s="1358"/>
      <c r="BG55" s="1358"/>
      <c r="BH55" s="1358"/>
      <c r="BI55" s="1358"/>
      <c r="BJ55" s="1358"/>
      <c r="BK55" s="1358"/>
      <c r="BL55" s="1358"/>
      <c r="BM55" s="1358"/>
      <c r="BN55" s="1358"/>
      <c r="BO55" s="1358"/>
      <c r="BP55" s="1358"/>
      <c r="BQ55" s="1358"/>
    </row>
    <row r="56" spans="1:69" s="1354" customFormat="1" x14ac:dyDescent="0.25">
      <c r="A56" s="1353"/>
      <c r="B56" s="1353"/>
      <c r="C56" s="1353"/>
      <c r="D56" s="1353"/>
      <c r="E56" s="1353"/>
      <c r="F56" s="1353"/>
      <c r="G56" s="1353"/>
      <c r="H56" s="1353"/>
      <c r="I56" s="1353"/>
      <c r="J56" s="1353"/>
      <c r="K56" s="1387"/>
      <c r="L56" s="1353"/>
      <c r="M56" s="1353"/>
      <c r="N56" s="1353"/>
      <c r="V56" s="1358"/>
      <c r="W56" s="1358"/>
      <c r="X56" s="1358"/>
      <c r="Y56" s="1358"/>
      <c r="Z56" s="1358"/>
      <c r="AA56" s="1358"/>
      <c r="AB56" s="1358"/>
      <c r="AC56" s="1358"/>
      <c r="AD56" s="1358"/>
      <c r="AE56" s="1358"/>
      <c r="AF56" s="1358"/>
      <c r="AG56" s="1358"/>
      <c r="AH56" s="1358"/>
      <c r="AI56" s="1358"/>
      <c r="AJ56" s="1358"/>
      <c r="AK56" s="1358"/>
      <c r="AL56" s="1358"/>
      <c r="AM56" s="1358"/>
      <c r="AN56" s="1358"/>
      <c r="AO56" s="1358"/>
      <c r="AP56" s="1358"/>
      <c r="AQ56" s="1358"/>
      <c r="AR56" s="1358"/>
      <c r="AS56" s="1358"/>
      <c r="AT56" s="1358"/>
      <c r="AU56" s="1358"/>
      <c r="AV56" s="1358"/>
      <c r="AW56" s="1358"/>
      <c r="AX56" s="1358"/>
      <c r="AY56" s="1358"/>
      <c r="AZ56" s="1358"/>
      <c r="BA56" s="1358"/>
      <c r="BB56" s="1358"/>
      <c r="BC56" s="1358"/>
      <c r="BD56" s="1358"/>
      <c r="BE56" s="1358"/>
      <c r="BF56" s="1358"/>
      <c r="BG56" s="1358"/>
      <c r="BH56" s="1358"/>
      <c r="BI56" s="1358"/>
      <c r="BJ56" s="1358"/>
      <c r="BK56" s="1358"/>
      <c r="BL56" s="1358"/>
      <c r="BM56" s="1358"/>
      <c r="BN56" s="1358"/>
      <c r="BO56" s="1358"/>
      <c r="BP56" s="1358"/>
      <c r="BQ56" s="1358"/>
    </row>
    <row r="57" spans="1:69" s="1354" customFormat="1" x14ac:dyDescent="0.25">
      <c r="A57" s="1353"/>
      <c r="B57" s="1353"/>
      <c r="C57" s="1353"/>
      <c r="D57" s="1353"/>
      <c r="E57" s="1353"/>
      <c r="F57" s="1353"/>
      <c r="G57" s="1353"/>
      <c r="H57" s="1353"/>
      <c r="I57" s="1353"/>
      <c r="J57" s="1353"/>
      <c r="K57" s="1387"/>
      <c r="L57" s="1353"/>
      <c r="M57" s="1353"/>
      <c r="N57" s="1353"/>
      <c r="V57" s="1358"/>
      <c r="W57" s="1358"/>
      <c r="X57" s="1358"/>
      <c r="Y57" s="1358"/>
      <c r="Z57" s="1358"/>
      <c r="AA57" s="1358"/>
      <c r="AB57" s="1358"/>
      <c r="AC57" s="1358"/>
      <c r="AD57" s="1358"/>
      <c r="AE57" s="1358"/>
      <c r="AF57" s="1358"/>
      <c r="AG57" s="1358"/>
      <c r="AH57" s="1358"/>
      <c r="AI57" s="1358"/>
      <c r="AJ57" s="1358"/>
      <c r="AK57" s="1358"/>
      <c r="AL57" s="1358"/>
      <c r="AM57" s="1358"/>
      <c r="AN57" s="1358"/>
      <c r="AO57" s="1358"/>
      <c r="AP57" s="1358"/>
      <c r="AQ57" s="1358"/>
      <c r="AR57" s="1358"/>
      <c r="AS57" s="1358"/>
      <c r="AT57" s="1358"/>
      <c r="AU57" s="1358"/>
      <c r="AV57" s="1358"/>
      <c r="AW57" s="1358"/>
      <c r="AX57" s="1358"/>
      <c r="AY57" s="1358"/>
      <c r="AZ57" s="1358"/>
      <c r="BA57" s="1358"/>
      <c r="BB57" s="1358"/>
      <c r="BC57" s="1358"/>
      <c r="BD57" s="1358"/>
      <c r="BE57" s="1358"/>
      <c r="BF57" s="1358"/>
      <c r="BG57" s="1358"/>
      <c r="BH57" s="1358"/>
      <c r="BI57" s="1358"/>
      <c r="BJ57" s="1358"/>
      <c r="BK57" s="1358"/>
      <c r="BL57" s="1358"/>
      <c r="BM57" s="1358"/>
      <c r="BN57" s="1358"/>
      <c r="BO57" s="1358"/>
      <c r="BP57" s="1358"/>
      <c r="BQ57" s="1358"/>
    </row>
    <row r="58" spans="1:69" s="1354" customFormat="1" x14ac:dyDescent="0.25">
      <c r="A58" s="1353"/>
      <c r="B58" s="1353"/>
      <c r="C58" s="1353"/>
      <c r="D58" s="1353"/>
      <c r="E58" s="1353"/>
      <c r="F58" s="1353"/>
      <c r="G58" s="1353"/>
      <c r="H58" s="1353"/>
      <c r="I58" s="1353"/>
      <c r="J58" s="1353"/>
      <c r="K58" s="1387"/>
      <c r="L58" s="1353"/>
      <c r="M58" s="1353"/>
      <c r="N58" s="1353"/>
      <c r="V58" s="1358"/>
      <c r="W58" s="1358"/>
      <c r="X58" s="1358"/>
      <c r="Y58" s="1358"/>
      <c r="Z58" s="1358"/>
      <c r="AA58" s="1358"/>
      <c r="AB58" s="1358"/>
      <c r="AC58" s="1358"/>
      <c r="AD58" s="1358"/>
      <c r="AE58" s="1358"/>
      <c r="AF58" s="1358"/>
      <c r="AG58" s="1358"/>
      <c r="AH58" s="1358"/>
      <c r="AI58" s="1358"/>
      <c r="AJ58" s="1358"/>
      <c r="AK58" s="1358"/>
      <c r="AL58" s="1358"/>
      <c r="AM58" s="1358"/>
      <c r="AN58" s="1358"/>
      <c r="AO58" s="1358"/>
      <c r="AP58" s="1358"/>
      <c r="AQ58" s="1358"/>
      <c r="AR58" s="1358"/>
      <c r="AS58" s="1358"/>
      <c r="AT58" s="1358"/>
      <c r="AU58" s="1358"/>
      <c r="AV58" s="1358"/>
      <c r="AW58" s="1358"/>
      <c r="AX58" s="1358"/>
      <c r="AY58" s="1358"/>
      <c r="AZ58" s="1358"/>
      <c r="BA58" s="1358"/>
      <c r="BB58" s="1358"/>
      <c r="BC58" s="1358"/>
      <c r="BD58" s="1358"/>
      <c r="BE58" s="1358"/>
      <c r="BF58" s="1358"/>
      <c r="BG58" s="1358"/>
      <c r="BH58" s="1358"/>
      <c r="BI58" s="1358"/>
      <c r="BJ58" s="1358"/>
      <c r="BK58" s="1358"/>
      <c r="BL58" s="1358"/>
      <c r="BM58" s="1358"/>
      <c r="BN58" s="1358"/>
      <c r="BO58" s="1358"/>
      <c r="BP58" s="1358"/>
      <c r="BQ58" s="1358"/>
    </row>
    <row r="59" spans="1:69" s="1354" customFormat="1" x14ac:dyDescent="0.25">
      <c r="A59" s="1353"/>
      <c r="B59" s="1353"/>
      <c r="C59" s="1353"/>
      <c r="D59" s="1353"/>
      <c r="E59" s="1353"/>
      <c r="F59" s="1353"/>
      <c r="G59" s="1353"/>
      <c r="H59" s="1353"/>
      <c r="I59" s="1353"/>
      <c r="J59" s="1353"/>
      <c r="K59" s="1387"/>
      <c r="L59" s="1353"/>
      <c r="M59" s="1353"/>
      <c r="N59" s="1353"/>
      <c r="V59" s="1358"/>
      <c r="W59" s="1358"/>
      <c r="X59" s="1358"/>
      <c r="Y59" s="1358"/>
      <c r="Z59" s="1358"/>
      <c r="AA59" s="1358"/>
      <c r="AB59" s="1358"/>
      <c r="AC59" s="1358"/>
      <c r="AD59" s="1358"/>
      <c r="AE59" s="1358"/>
      <c r="AF59" s="1358"/>
      <c r="AG59" s="1358"/>
      <c r="AH59" s="1358"/>
      <c r="AI59" s="1358"/>
      <c r="AJ59" s="1358"/>
      <c r="AK59" s="1358"/>
      <c r="AL59" s="1358"/>
      <c r="AM59" s="1358"/>
      <c r="AN59" s="1358"/>
      <c r="AO59" s="1358"/>
      <c r="AP59" s="1358"/>
      <c r="AQ59" s="1358"/>
      <c r="AR59" s="1358"/>
      <c r="AS59" s="1358"/>
      <c r="AT59" s="1358"/>
      <c r="AU59" s="1358"/>
      <c r="AV59" s="1358"/>
      <c r="AW59" s="1358"/>
      <c r="AX59" s="1358"/>
      <c r="AY59" s="1358"/>
      <c r="AZ59" s="1358"/>
      <c r="BA59" s="1358"/>
      <c r="BB59" s="1358"/>
      <c r="BC59" s="1358"/>
      <c r="BD59" s="1358"/>
      <c r="BE59" s="1358"/>
      <c r="BF59" s="1358"/>
      <c r="BG59" s="1358"/>
      <c r="BH59" s="1358"/>
      <c r="BI59" s="1358"/>
      <c r="BJ59" s="1358"/>
      <c r="BK59" s="1358"/>
      <c r="BL59" s="1358"/>
      <c r="BM59" s="1358"/>
      <c r="BN59" s="1358"/>
      <c r="BO59" s="1358"/>
      <c r="BP59" s="1358"/>
      <c r="BQ59" s="1358"/>
    </row>
    <row r="60" spans="1:69" s="1354" customFormat="1" x14ac:dyDescent="0.25">
      <c r="A60" s="1353"/>
      <c r="B60" s="1353"/>
      <c r="C60" s="1353"/>
      <c r="D60" s="1353"/>
      <c r="E60" s="1353"/>
      <c r="F60" s="1353"/>
      <c r="G60" s="1353"/>
      <c r="H60" s="1353"/>
      <c r="I60" s="1353"/>
      <c r="J60" s="1353"/>
      <c r="K60" s="1387"/>
      <c r="L60" s="1353"/>
      <c r="M60" s="1353"/>
      <c r="N60" s="1353"/>
      <c r="V60" s="1358"/>
      <c r="W60" s="1358"/>
      <c r="X60" s="1358"/>
      <c r="Y60" s="1358"/>
      <c r="Z60" s="1358"/>
      <c r="AA60" s="1358"/>
      <c r="AB60" s="1358"/>
      <c r="AC60" s="1358"/>
      <c r="AD60" s="1358"/>
      <c r="AE60" s="1358"/>
      <c r="AF60" s="1358"/>
      <c r="AG60" s="1358"/>
      <c r="AH60" s="1358"/>
      <c r="AI60" s="1358"/>
      <c r="AJ60" s="1358"/>
      <c r="AK60" s="1358"/>
      <c r="AL60" s="1358"/>
      <c r="AM60" s="1358"/>
      <c r="AN60" s="1358"/>
      <c r="AO60" s="1358"/>
      <c r="AP60" s="1358"/>
      <c r="AQ60" s="1358"/>
      <c r="AR60" s="1358"/>
      <c r="AS60" s="1358"/>
      <c r="AT60" s="1358"/>
      <c r="AU60" s="1358"/>
      <c r="AV60" s="1358"/>
      <c r="AW60" s="1358"/>
      <c r="AX60" s="1358"/>
      <c r="AY60" s="1358"/>
      <c r="AZ60" s="1358"/>
      <c r="BA60" s="1358"/>
      <c r="BB60" s="1358"/>
      <c r="BC60" s="1358"/>
      <c r="BD60" s="1358"/>
      <c r="BE60" s="1358"/>
      <c r="BF60" s="1358"/>
      <c r="BG60" s="1358"/>
      <c r="BH60" s="1358"/>
      <c r="BI60" s="1358"/>
      <c r="BJ60" s="1358"/>
      <c r="BK60" s="1358"/>
      <c r="BL60" s="1358"/>
      <c r="BM60" s="1358"/>
      <c r="BN60" s="1358"/>
      <c r="BO60" s="1358"/>
      <c r="BP60" s="1358"/>
      <c r="BQ60" s="1358"/>
    </row>
    <row r="61" spans="1:69" s="1354" customFormat="1" x14ac:dyDescent="0.25">
      <c r="A61" s="1353"/>
      <c r="B61" s="1353"/>
      <c r="C61" s="1353"/>
      <c r="D61" s="1353"/>
      <c r="E61" s="1353"/>
      <c r="F61" s="1353"/>
      <c r="G61" s="1353"/>
      <c r="H61" s="1353"/>
      <c r="I61" s="1353"/>
      <c r="J61" s="1353"/>
      <c r="K61" s="1387"/>
      <c r="L61" s="1353"/>
      <c r="M61" s="1353"/>
      <c r="N61" s="1353"/>
      <c r="V61" s="1358"/>
      <c r="W61" s="1358"/>
      <c r="X61" s="1358"/>
      <c r="Y61" s="1358"/>
      <c r="Z61" s="1358"/>
      <c r="AA61" s="1358"/>
      <c r="AB61" s="1358"/>
      <c r="AC61" s="1358"/>
      <c r="AD61" s="1358"/>
      <c r="AE61" s="1358"/>
      <c r="AF61" s="1358"/>
      <c r="AG61" s="1358"/>
      <c r="AH61" s="1358"/>
      <c r="AI61" s="1358"/>
      <c r="AJ61" s="1358"/>
      <c r="AK61" s="1358"/>
      <c r="AL61" s="1358"/>
      <c r="AM61" s="1358"/>
      <c r="AN61" s="1358"/>
      <c r="AO61" s="1358"/>
      <c r="AP61" s="1358"/>
      <c r="AQ61" s="1358"/>
      <c r="AR61" s="1358"/>
      <c r="AS61" s="1358"/>
      <c r="AT61" s="1358"/>
      <c r="AU61" s="1358"/>
      <c r="AV61" s="1358"/>
      <c r="AW61" s="1358"/>
      <c r="AX61" s="1358"/>
      <c r="AY61" s="1358"/>
      <c r="AZ61" s="1358"/>
      <c r="BA61" s="1358"/>
      <c r="BB61" s="1358"/>
      <c r="BC61" s="1358"/>
      <c r="BD61" s="1358"/>
      <c r="BE61" s="1358"/>
      <c r="BF61" s="1358"/>
      <c r="BG61" s="1358"/>
      <c r="BH61" s="1358"/>
      <c r="BI61" s="1358"/>
      <c r="BJ61" s="1358"/>
      <c r="BK61" s="1358"/>
      <c r="BL61" s="1358"/>
      <c r="BM61" s="1358"/>
      <c r="BN61" s="1358"/>
      <c r="BO61" s="1358"/>
      <c r="BP61" s="1358"/>
      <c r="BQ61" s="1358"/>
    </row>
    <row r="62" spans="1:69" s="1354" customFormat="1" x14ac:dyDescent="0.25">
      <c r="A62" s="1353"/>
      <c r="B62" s="1353"/>
      <c r="C62" s="1353"/>
      <c r="D62" s="1353"/>
      <c r="E62" s="1353"/>
      <c r="F62" s="1353"/>
      <c r="G62" s="1353"/>
      <c r="H62" s="1353"/>
      <c r="I62" s="1353"/>
      <c r="J62" s="1353"/>
      <c r="K62" s="1387"/>
      <c r="L62" s="1353"/>
      <c r="M62" s="1353"/>
      <c r="N62" s="1353"/>
      <c r="V62" s="1358"/>
      <c r="W62" s="1358"/>
      <c r="X62" s="1358"/>
      <c r="Y62" s="1358"/>
      <c r="Z62" s="1358"/>
      <c r="AA62" s="1358"/>
      <c r="AB62" s="1358"/>
      <c r="AC62" s="1358"/>
      <c r="AD62" s="1358"/>
      <c r="AE62" s="1358"/>
      <c r="AF62" s="1358"/>
      <c r="AG62" s="1358"/>
      <c r="AH62" s="1358"/>
      <c r="AI62" s="1358"/>
      <c r="AJ62" s="1358"/>
      <c r="AK62" s="1358"/>
      <c r="AL62" s="1358"/>
      <c r="AM62" s="1358"/>
      <c r="AN62" s="1358"/>
      <c r="AO62" s="1358"/>
      <c r="AP62" s="1358"/>
      <c r="AQ62" s="1358"/>
      <c r="AR62" s="1358"/>
      <c r="AS62" s="1358"/>
      <c r="AT62" s="1358"/>
      <c r="AU62" s="1358"/>
      <c r="AV62" s="1358"/>
      <c r="AW62" s="1358"/>
      <c r="AX62" s="1358"/>
      <c r="AY62" s="1358"/>
      <c r="AZ62" s="1358"/>
      <c r="BA62" s="1358"/>
      <c r="BB62" s="1358"/>
      <c r="BC62" s="1358"/>
      <c r="BD62" s="1358"/>
      <c r="BE62" s="1358"/>
      <c r="BF62" s="1358"/>
      <c r="BG62" s="1358"/>
      <c r="BH62" s="1358"/>
      <c r="BI62" s="1358"/>
      <c r="BJ62" s="1358"/>
      <c r="BK62" s="1358"/>
      <c r="BL62" s="1358"/>
      <c r="BM62" s="1358"/>
      <c r="BN62" s="1358"/>
      <c r="BO62" s="1358"/>
      <c r="BP62" s="1358"/>
      <c r="BQ62" s="1358"/>
    </row>
    <row r="63" spans="1:69" s="1354" customFormat="1" x14ac:dyDescent="0.25">
      <c r="A63" s="1353"/>
      <c r="B63" s="1353"/>
      <c r="C63" s="1353"/>
      <c r="D63" s="1353"/>
      <c r="E63" s="1353"/>
      <c r="F63" s="1353"/>
      <c r="G63" s="1353"/>
      <c r="H63" s="1353"/>
      <c r="I63" s="1353"/>
      <c r="J63" s="1353"/>
      <c r="K63" s="1387"/>
      <c r="L63" s="1353"/>
      <c r="M63" s="1353"/>
      <c r="N63" s="1353"/>
      <c r="V63" s="1358"/>
      <c r="W63" s="1358"/>
      <c r="X63" s="1358"/>
      <c r="Y63" s="1358"/>
      <c r="Z63" s="1358"/>
      <c r="AA63" s="1358"/>
      <c r="AB63" s="1358"/>
      <c r="AC63" s="1358"/>
      <c r="AD63" s="1358"/>
      <c r="AE63" s="1358"/>
      <c r="AF63" s="1358"/>
      <c r="AG63" s="1358"/>
      <c r="AH63" s="1358"/>
      <c r="AI63" s="1358"/>
      <c r="AJ63" s="1358"/>
      <c r="AK63" s="1358"/>
      <c r="AL63" s="1358"/>
      <c r="AM63" s="1358"/>
      <c r="AN63" s="1358"/>
      <c r="AO63" s="1358"/>
      <c r="AP63" s="1358"/>
      <c r="AQ63" s="1358"/>
      <c r="AR63" s="1358"/>
      <c r="AS63" s="1358"/>
      <c r="AT63" s="1358"/>
      <c r="AU63" s="1358"/>
      <c r="AV63" s="1358"/>
      <c r="AW63" s="1358"/>
      <c r="AX63" s="1358"/>
      <c r="AY63" s="1358"/>
      <c r="AZ63" s="1358"/>
      <c r="BA63" s="1358"/>
      <c r="BB63" s="1358"/>
      <c r="BC63" s="1358"/>
      <c r="BD63" s="1358"/>
      <c r="BE63" s="1358"/>
      <c r="BF63" s="1358"/>
      <c r="BG63" s="1358"/>
      <c r="BH63" s="1358"/>
      <c r="BI63" s="1358"/>
      <c r="BJ63" s="1358"/>
      <c r="BK63" s="1358"/>
      <c r="BL63" s="1358"/>
      <c r="BM63" s="1358"/>
      <c r="BN63" s="1358"/>
      <c r="BO63" s="1358"/>
      <c r="BP63" s="1358"/>
      <c r="BQ63" s="1358"/>
    </row>
    <row r="64" spans="1:69" s="1354" customFormat="1" x14ac:dyDescent="0.25">
      <c r="A64" s="1353"/>
      <c r="B64" s="1353"/>
      <c r="C64" s="1353"/>
      <c r="D64" s="1353"/>
      <c r="E64" s="1353"/>
      <c r="F64" s="1353"/>
      <c r="G64" s="1353"/>
      <c r="H64" s="1353"/>
      <c r="I64" s="1353"/>
      <c r="J64" s="1353"/>
      <c r="K64" s="1387"/>
      <c r="L64" s="1353"/>
      <c r="M64" s="1353"/>
      <c r="N64" s="1353"/>
      <c r="V64" s="1358"/>
      <c r="W64" s="1358"/>
      <c r="X64" s="1358"/>
      <c r="Y64" s="1358"/>
      <c r="Z64" s="1358"/>
      <c r="AA64" s="1358"/>
      <c r="AB64" s="1358"/>
      <c r="AC64" s="1358"/>
      <c r="AD64" s="1358"/>
      <c r="AE64" s="1358"/>
      <c r="AF64" s="1358"/>
      <c r="AG64" s="1358"/>
      <c r="AH64" s="1358"/>
      <c r="AI64" s="1358"/>
      <c r="AJ64" s="1358"/>
      <c r="AK64" s="1358"/>
      <c r="AL64" s="1358"/>
      <c r="AM64" s="1358"/>
      <c r="AN64" s="1358"/>
      <c r="AO64" s="1358"/>
      <c r="AP64" s="1358"/>
      <c r="AQ64" s="1358"/>
      <c r="AR64" s="1358"/>
      <c r="AS64" s="1358"/>
      <c r="AT64" s="1358"/>
      <c r="AU64" s="1358"/>
      <c r="AV64" s="1358"/>
      <c r="AW64" s="1358"/>
      <c r="AX64" s="1358"/>
      <c r="AY64" s="1358"/>
      <c r="AZ64" s="1358"/>
      <c r="BA64" s="1358"/>
      <c r="BB64" s="1358"/>
      <c r="BC64" s="1358"/>
      <c r="BD64" s="1358"/>
      <c r="BE64" s="1358"/>
      <c r="BF64" s="1358"/>
      <c r="BG64" s="1358"/>
      <c r="BH64" s="1358"/>
      <c r="BI64" s="1358"/>
      <c r="BJ64" s="1358"/>
      <c r="BK64" s="1358"/>
      <c r="BL64" s="1358"/>
      <c r="BM64" s="1358"/>
      <c r="BN64" s="1358"/>
      <c r="BO64" s="1358"/>
      <c r="BP64" s="1358"/>
      <c r="BQ64" s="1358"/>
    </row>
    <row r="65" spans="1:69" s="1354" customFormat="1" x14ac:dyDescent="0.25">
      <c r="A65" s="1353"/>
      <c r="B65" s="1353"/>
      <c r="C65" s="1353"/>
      <c r="D65" s="1353"/>
      <c r="E65" s="1353"/>
      <c r="F65" s="1353"/>
      <c r="G65" s="1353"/>
      <c r="H65" s="1353"/>
      <c r="I65" s="1353"/>
      <c r="J65" s="1353"/>
      <c r="K65" s="1387"/>
      <c r="L65" s="1353"/>
      <c r="M65" s="1353"/>
      <c r="N65" s="1353"/>
      <c r="V65" s="1358"/>
      <c r="W65" s="1358"/>
      <c r="X65" s="1358"/>
      <c r="Y65" s="1358"/>
      <c r="Z65" s="1358"/>
      <c r="AA65" s="1358"/>
      <c r="AB65" s="1358"/>
      <c r="AC65" s="1358"/>
      <c r="AD65" s="1358"/>
      <c r="AE65" s="1358"/>
      <c r="AF65" s="1358"/>
      <c r="AG65" s="1358"/>
      <c r="AH65" s="1358"/>
      <c r="AI65" s="1358"/>
      <c r="AJ65" s="1358"/>
      <c r="AK65" s="1358"/>
      <c r="AL65" s="1358"/>
      <c r="AM65" s="1358"/>
      <c r="AN65" s="1358"/>
      <c r="AO65" s="1358"/>
      <c r="AP65" s="1358"/>
      <c r="AQ65" s="1358"/>
      <c r="AR65" s="1358"/>
      <c r="AS65" s="1358"/>
      <c r="AT65" s="1358"/>
      <c r="AU65" s="1358"/>
      <c r="AV65" s="1358"/>
      <c r="AW65" s="1358"/>
      <c r="AX65" s="1358"/>
      <c r="AY65" s="1358"/>
      <c r="AZ65" s="1358"/>
      <c r="BA65" s="1358"/>
      <c r="BB65" s="1358"/>
      <c r="BC65" s="1358"/>
      <c r="BD65" s="1358"/>
      <c r="BE65" s="1358"/>
      <c r="BF65" s="1358"/>
      <c r="BG65" s="1358"/>
      <c r="BH65" s="1358"/>
      <c r="BI65" s="1358"/>
      <c r="BJ65" s="1358"/>
      <c r="BK65" s="1358"/>
      <c r="BL65" s="1358"/>
      <c r="BM65" s="1358"/>
      <c r="BN65" s="1358"/>
      <c r="BO65" s="1358"/>
      <c r="BP65" s="1358"/>
      <c r="BQ65" s="1358"/>
    </row>
    <row r="66" spans="1:69" s="1354" customFormat="1" x14ac:dyDescent="0.25">
      <c r="A66" s="1353"/>
      <c r="B66" s="1353"/>
      <c r="C66" s="1353"/>
      <c r="D66" s="1353"/>
      <c r="E66" s="1353"/>
      <c r="F66" s="1353"/>
      <c r="G66" s="1353"/>
      <c r="H66" s="1353"/>
      <c r="I66" s="1353"/>
      <c r="J66" s="1353"/>
      <c r="K66" s="1387"/>
      <c r="L66" s="1353"/>
      <c r="M66" s="1353"/>
      <c r="N66" s="1353"/>
      <c r="V66" s="1358"/>
      <c r="W66" s="1358"/>
      <c r="X66" s="1358"/>
      <c r="Y66" s="1358"/>
      <c r="Z66" s="1358"/>
      <c r="AA66" s="1358"/>
      <c r="AB66" s="1358"/>
      <c r="AC66" s="1358"/>
      <c r="AD66" s="1358"/>
      <c r="AE66" s="1358"/>
      <c r="AF66" s="1358"/>
      <c r="AG66" s="1358"/>
      <c r="AH66" s="1358"/>
      <c r="AI66" s="1358"/>
      <c r="AJ66" s="1358"/>
      <c r="AK66" s="1358"/>
      <c r="AL66" s="1358"/>
      <c r="AM66" s="1358"/>
      <c r="AN66" s="1358"/>
      <c r="AO66" s="1358"/>
      <c r="AP66" s="1358"/>
      <c r="AQ66" s="1358"/>
      <c r="AR66" s="1358"/>
      <c r="AS66" s="1358"/>
      <c r="AT66" s="1358"/>
      <c r="AU66" s="1358"/>
      <c r="AV66" s="1358"/>
      <c r="AW66" s="1358"/>
      <c r="AX66" s="1358"/>
      <c r="AY66" s="1358"/>
      <c r="AZ66" s="1358"/>
      <c r="BA66" s="1358"/>
      <c r="BB66" s="1358"/>
      <c r="BC66" s="1358"/>
      <c r="BD66" s="1358"/>
      <c r="BE66" s="1358"/>
      <c r="BF66" s="1358"/>
      <c r="BG66" s="1358"/>
      <c r="BH66" s="1358"/>
      <c r="BI66" s="1358"/>
      <c r="BJ66" s="1358"/>
      <c r="BK66" s="1358"/>
      <c r="BL66" s="1358"/>
      <c r="BM66" s="1358"/>
      <c r="BN66" s="1358"/>
      <c r="BO66" s="1358"/>
      <c r="BP66" s="1358"/>
      <c r="BQ66" s="1358"/>
    </row>
    <row r="67" spans="1:69" s="1354" customFormat="1" x14ac:dyDescent="0.25">
      <c r="A67" s="1353"/>
      <c r="B67" s="1353"/>
      <c r="C67" s="1353"/>
      <c r="D67" s="1353"/>
      <c r="E67" s="1353"/>
      <c r="F67" s="1353"/>
      <c r="G67" s="1353"/>
      <c r="H67" s="1353"/>
      <c r="I67" s="1353"/>
      <c r="J67" s="1353"/>
      <c r="K67" s="1387"/>
      <c r="L67" s="1353"/>
      <c r="M67" s="1353"/>
      <c r="N67" s="1353"/>
      <c r="V67" s="1358"/>
      <c r="W67" s="1358"/>
      <c r="X67" s="1358"/>
      <c r="Y67" s="1358"/>
      <c r="Z67" s="1358"/>
      <c r="AA67" s="1358"/>
      <c r="AB67" s="1358"/>
      <c r="AC67" s="1358"/>
      <c r="AD67" s="1358"/>
      <c r="AE67" s="1358"/>
      <c r="AF67" s="1358"/>
      <c r="AG67" s="1358"/>
      <c r="AH67" s="1358"/>
      <c r="AI67" s="1358"/>
      <c r="AJ67" s="1358"/>
      <c r="AK67" s="1358"/>
      <c r="AL67" s="1358"/>
      <c r="AM67" s="1358"/>
      <c r="AN67" s="1358"/>
      <c r="AO67" s="1358"/>
      <c r="AP67" s="1358"/>
      <c r="AQ67" s="1358"/>
      <c r="AR67" s="1358"/>
      <c r="AS67" s="1358"/>
      <c r="AT67" s="1358"/>
      <c r="AU67" s="1358"/>
      <c r="AV67" s="1358"/>
      <c r="AW67" s="1358"/>
      <c r="AX67" s="1358"/>
      <c r="AY67" s="1358"/>
      <c r="AZ67" s="1358"/>
      <c r="BA67" s="1358"/>
      <c r="BB67" s="1358"/>
      <c r="BC67" s="1358"/>
      <c r="BD67" s="1358"/>
      <c r="BE67" s="1358"/>
      <c r="BF67" s="1358"/>
      <c r="BG67" s="1358"/>
      <c r="BH67" s="1358"/>
      <c r="BI67" s="1358"/>
      <c r="BJ67" s="1358"/>
      <c r="BK67" s="1358"/>
      <c r="BL67" s="1358"/>
      <c r="BM67" s="1358"/>
      <c r="BN67" s="1358"/>
      <c r="BO67" s="1358"/>
      <c r="BP67" s="1358"/>
      <c r="BQ67" s="1358"/>
    </row>
    <row r="68" spans="1:69" s="1354" customFormat="1" x14ac:dyDescent="0.25">
      <c r="A68" s="1353"/>
      <c r="B68" s="1353"/>
      <c r="C68" s="1353"/>
      <c r="D68" s="1353"/>
      <c r="E68" s="1353"/>
      <c r="F68" s="1353"/>
      <c r="G68" s="1353"/>
      <c r="H68" s="1353"/>
      <c r="I68" s="1353"/>
      <c r="J68" s="1353"/>
      <c r="K68" s="1387"/>
      <c r="L68" s="1353"/>
      <c r="M68" s="1353"/>
      <c r="N68" s="1353"/>
      <c r="V68" s="1358"/>
      <c r="W68" s="1358"/>
      <c r="X68" s="1358"/>
      <c r="Y68" s="1358"/>
      <c r="Z68" s="1358"/>
      <c r="AA68" s="1358"/>
      <c r="AB68" s="1358"/>
      <c r="AC68" s="1358"/>
      <c r="AD68" s="1358"/>
      <c r="AE68" s="1358"/>
      <c r="AF68" s="1358"/>
      <c r="AG68" s="1358"/>
      <c r="AH68" s="1358"/>
      <c r="AI68" s="1358"/>
      <c r="AJ68" s="1358"/>
      <c r="AK68" s="1358"/>
      <c r="AL68" s="1358"/>
      <c r="AM68" s="1358"/>
      <c r="AN68" s="1358"/>
      <c r="AO68" s="1358"/>
      <c r="AP68" s="1358"/>
      <c r="AQ68" s="1358"/>
      <c r="AR68" s="1358"/>
      <c r="AS68" s="1358"/>
      <c r="AT68" s="1358"/>
      <c r="AU68" s="1358"/>
      <c r="AV68" s="1358"/>
      <c r="AW68" s="1358"/>
      <c r="AX68" s="1358"/>
      <c r="AY68" s="1358"/>
      <c r="AZ68" s="1358"/>
      <c r="BA68" s="1358"/>
      <c r="BB68" s="1358"/>
      <c r="BC68" s="1358"/>
      <c r="BD68" s="1358"/>
      <c r="BE68" s="1358"/>
      <c r="BF68" s="1358"/>
      <c r="BG68" s="1358"/>
      <c r="BH68" s="1358"/>
      <c r="BI68" s="1358"/>
      <c r="BJ68" s="1358"/>
      <c r="BK68" s="1358"/>
      <c r="BL68" s="1358"/>
      <c r="BM68" s="1358"/>
      <c r="BN68" s="1358"/>
      <c r="BO68" s="1358"/>
      <c r="BP68" s="1358"/>
      <c r="BQ68" s="1358"/>
    </row>
    <row r="69" spans="1:69" s="1354" customFormat="1" x14ac:dyDescent="0.25">
      <c r="A69" s="1353"/>
      <c r="B69" s="1353"/>
      <c r="C69" s="1353"/>
      <c r="D69" s="1353"/>
      <c r="E69" s="1353"/>
      <c r="F69" s="1353"/>
      <c r="G69" s="1353"/>
      <c r="H69" s="1353"/>
      <c r="I69" s="1353"/>
      <c r="J69" s="1353"/>
      <c r="K69" s="1387"/>
      <c r="L69" s="1353"/>
      <c r="M69" s="1353"/>
      <c r="N69" s="1353"/>
      <c r="V69" s="1358"/>
      <c r="W69" s="1358"/>
      <c r="X69" s="1358"/>
      <c r="Y69" s="1358"/>
      <c r="Z69" s="1358"/>
      <c r="AA69" s="1358"/>
      <c r="AB69" s="1358"/>
      <c r="AC69" s="1358"/>
      <c r="AD69" s="1358"/>
      <c r="AE69" s="1358"/>
      <c r="AF69" s="1358"/>
      <c r="AG69" s="1358"/>
      <c r="AH69" s="1358"/>
      <c r="AI69" s="1358"/>
      <c r="AJ69" s="1358"/>
      <c r="AK69" s="1358"/>
      <c r="AL69" s="1358"/>
      <c r="AM69" s="1358"/>
      <c r="AN69" s="1358"/>
      <c r="AO69" s="1358"/>
      <c r="AP69" s="1358"/>
      <c r="AQ69" s="1358"/>
      <c r="AR69" s="1358"/>
      <c r="AS69" s="1358"/>
      <c r="AT69" s="1358"/>
      <c r="AU69" s="1358"/>
      <c r="AV69" s="1358"/>
      <c r="AW69" s="1358"/>
      <c r="AX69" s="1358"/>
      <c r="AY69" s="1358"/>
      <c r="AZ69" s="1358"/>
      <c r="BA69" s="1358"/>
      <c r="BB69" s="1358"/>
      <c r="BC69" s="1358"/>
      <c r="BD69" s="1358"/>
      <c r="BE69" s="1358"/>
      <c r="BF69" s="1358"/>
      <c r="BG69" s="1358"/>
      <c r="BH69" s="1358"/>
      <c r="BI69" s="1358"/>
      <c r="BJ69" s="1358"/>
      <c r="BK69" s="1358"/>
      <c r="BL69" s="1358"/>
      <c r="BM69" s="1358"/>
      <c r="BN69" s="1358"/>
      <c r="BO69" s="1358"/>
      <c r="BP69" s="1358"/>
      <c r="BQ69" s="1358"/>
    </row>
    <row r="70" spans="1:69" s="1354" customFormat="1" x14ac:dyDescent="0.25">
      <c r="A70" s="1353"/>
      <c r="B70" s="1353"/>
      <c r="C70" s="1353"/>
      <c r="D70" s="1353"/>
      <c r="E70" s="1353"/>
      <c r="F70" s="1353"/>
      <c r="G70" s="1353"/>
      <c r="H70" s="1353"/>
      <c r="I70" s="1353"/>
      <c r="J70" s="1353"/>
      <c r="K70" s="1387"/>
      <c r="L70" s="1353"/>
      <c r="M70" s="1353"/>
      <c r="N70" s="1353"/>
      <c r="V70" s="1358"/>
      <c r="W70" s="1358"/>
      <c r="X70" s="1358"/>
      <c r="Y70" s="1358"/>
      <c r="Z70" s="1358"/>
      <c r="AA70" s="1358"/>
      <c r="AB70" s="1358"/>
      <c r="AC70" s="1358"/>
      <c r="AD70" s="1358"/>
      <c r="AE70" s="1358"/>
      <c r="AF70" s="1358"/>
      <c r="AG70" s="1358"/>
      <c r="AH70" s="1358"/>
      <c r="AI70" s="1358"/>
      <c r="AJ70" s="1358"/>
      <c r="AK70" s="1358"/>
      <c r="AL70" s="1358"/>
      <c r="AM70" s="1358"/>
      <c r="AN70" s="1358"/>
      <c r="AO70" s="1358"/>
      <c r="AP70" s="1358"/>
      <c r="AQ70" s="1358"/>
      <c r="AR70" s="1358"/>
      <c r="AS70" s="1358"/>
      <c r="AT70" s="1358"/>
      <c r="AU70" s="1358"/>
      <c r="AV70" s="1358"/>
      <c r="AW70" s="1358"/>
      <c r="AX70" s="1358"/>
      <c r="AY70" s="1358"/>
      <c r="AZ70" s="1358"/>
      <c r="BA70" s="1358"/>
      <c r="BB70" s="1358"/>
      <c r="BC70" s="1358"/>
      <c r="BD70" s="1358"/>
      <c r="BE70" s="1358"/>
      <c r="BF70" s="1358"/>
      <c r="BG70" s="1358"/>
      <c r="BH70" s="1358"/>
      <c r="BI70" s="1358"/>
      <c r="BJ70" s="1358"/>
      <c r="BK70" s="1358"/>
      <c r="BL70" s="1358"/>
      <c r="BM70" s="1358"/>
      <c r="BN70" s="1358"/>
      <c r="BO70" s="1358"/>
      <c r="BP70" s="1358"/>
      <c r="BQ70" s="1358"/>
    </row>
    <row r="71" spans="1:69" s="1354" customFormat="1" x14ac:dyDescent="0.25">
      <c r="A71" s="1353"/>
      <c r="B71" s="1353"/>
      <c r="C71" s="1353"/>
      <c r="D71" s="1353"/>
      <c r="E71" s="1353"/>
      <c r="F71" s="1353"/>
      <c r="G71" s="1353"/>
      <c r="H71" s="1353"/>
      <c r="I71" s="1353"/>
      <c r="J71" s="1353"/>
      <c r="K71" s="1387"/>
      <c r="L71" s="1353"/>
      <c r="M71" s="1353"/>
      <c r="N71" s="1353"/>
      <c r="V71" s="1358"/>
      <c r="W71" s="1358"/>
      <c r="X71" s="1358"/>
      <c r="Y71" s="1358"/>
      <c r="Z71" s="1358"/>
      <c r="AA71" s="1358"/>
      <c r="AB71" s="1358"/>
      <c r="AC71" s="1358"/>
      <c r="AD71" s="1358"/>
      <c r="AE71" s="1358"/>
      <c r="AF71" s="1358"/>
      <c r="AG71" s="1358"/>
      <c r="AH71" s="1358"/>
      <c r="AI71" s="1358"/>
      <c r="AJ71" s="1358"/>
      <c r="AK71" s="1358"/>
      <c r="AL71" s="1358"/>
      <c r="AM71" s="1358"/>
      <c r="AN71" s="1358"/>
      <c r="AO71" s="1358"/>
      <c r="AP71" s="1358"/>
      <c r="AQ71" s="1358"/>
      <c r="AR71" s="1358"/>
      <c r="AS71" s="1358"/>
      <c r="AT71" s="1358"/>
      <c r="AU71" s="1358"/>
      <c r="AV71" s="1358"/>
      <c r="AW71" s="1358"/>
      <c r="AX71" s="1358"/>
      <c r="AY71" s="1358"/>
      <c r="AZ71" s="1358"/>
      <c r="BA71" s="1358"/>
      <c r="BB71" s="1358"/>
      <c r="BC71" s="1358"/>
      <c r="BD71" s="1358"/>
      <c r="BE71" s="1358"/>
      <c r="BF71" s="1358"/>
      <c r="BG71" s="1358"/>
      <c r="BH71" s="1358"/>
      <c r="BI71" s="1358"/>
      <c r="BJ71" s="1358"/>
      <c r="BK71" s="1358"/>
      <c r="BL71" s="1358"/>
      <c r="BM71" s="1358"/>
      <c r="BN71" s="1358"/>
      <c r="BO71" s="1358"/>
      <c r="BP71" s="1358"/>
      <c r="BQ71" s="1358"/>
    </row>
    <row r="72" spans="1:69" s="1354" customFormat="1" x14ac:dyDescent="0.25">
      <c r="A72" s="1353"/>
      <c r="B72" s="1353"/>
      <c r="C72" s="1353"/>
      <c r="D72" s="1353"/>
      <c r="E72" s="1353"/>
      <c r="F72" s="1353"/>
      <c r="G72" s="1353"/>
      <c r="H72" s="1353"/>
      <c r="I72" s="1353"/>
      <c r="J72" s="1353"/>
      <c r="K72" s="1387"/>
      <c r="L72" s="1353"/>
      <c r="M72" s="1353"/>
      <c r="N72" s="1353"/>
      <c r="V72" s="1358"/>
      <c r="W72" s="1358"/>
      <c r="X72" s="1358"/>
      <c r="Y72" s="1358"/>
      <c r="Z72" s="1358"/>
      <c r="AA72" s="1358"/>
      <c r="AB72" s="1358"/>
      <c r="AC72" s="1358"/>
      <c r="AD72" s="1358"/>
      <c r="AE72" s="1358"/>
      <c r="AF72" s="1358"/>
      <c r="AG72" s="1358"/>
      <c r="AH72" s="1358"/>
      <c r="AI72" s="1358"/>
      <c r="AJ72" s="1358"/>
      <c r="AK72" s="1358"/>
      <c r="AL72" s="1358"/>
      <c r="AM72" s="1358"/>
      <c r="AN72" s="1358"/>
      <c r="AO72" s="1358"/>
      <c r="AP72" s="1358"/>
      <c r="AQ72" s="1358"/>
      <c r="AR72" s="1358"/>
      <c r="AS72" s="1358"/>
      <c r="AT72" s="1358"/>
      <c r="AU72" s="1358"/>
      <c r="AV72" s="1358"/>
      <c r="AW72" s="1358"/>
      <c r="AX72" s="1358"/>
      <c r="AY72" s="1358"/>
      <c r="AZ72" s="1358"/>
      <c r="BA72" s="1358"/>
      <c r="BB72" s="1358"/>
      <c r="BC72" s="1358"/>
      <c r="BD72" s="1358"/>
      <c r="BE72" s="1358"/>
      <c r="BF72" s="1358"/>
      <c r="BG72" s="1358"/>
      <c r="BH72" s="1358"/>
      <c r="BI72" s="1358"/>
      <c r="BJ72" s="1358"/>
      <c r="BK72" s="1358"/>
      <c r="BL72" s="1358"/>
      <c r="BM72" s="1358"/>
      <c r="BN72" s="1358"/>
      <c r="BO72" s="1358"/>
      <c r="BP72" s="1358"/>
      <c r="BQ72" s="1358"/>
    </row>
    <row r="73" spans="1:69" s="1354" customFormat="1" x14ac:dyDescent="0.25">
      <c r="A73" s="1353"/>
      <c r="B73" s="1353"/>
      <c r="C73" s="1353"/>
      <c r="D73" s="1353"/>
      <c r="E73" s="1353"/>
      <c r="F73" s="1353"/>
      <c r="G73" s="1353"/>
      <c r="H73" s="1353"/>
      <c r="I73" s="1353"/>
      <c r="J73" s="1353"/>
      <c r="K73" s="1387"/>
      <c r="L73" s="1353"/>
      <c r="M73" s="1353"/>
      <c r="N73" s="1353"/>
      <c r="V73" s="1358"/>
      <c r="W73" s="1358"/>
      <c r="X73" s="1358"/>
      <c r="Y73" s="1358"/>
      <c r="Z73" s="1358"/>
      <c r="AA73" s="1358"/>
      <c r="AB73" s="1358"/>
      <c r="AC73" s="1358"/>
      <c r="AD73" s="1358"/>
      <c r="AE73" s="1358"/>
      <c r="AF73" s="1358"/>
      <c r="AG73" s="1358"/>
      <c r="AH73" s="1358"/>
      <c r="AI73" s="1358"/>
      <c r="AJ73" s="1358"/>
      <c r="AK73" s="1358"/>
      <c r="AL73" s="1358"/>
      <c r="AM73" s="1358"/>
      <c r="AN73" s="1358"/>
      <c r="AO73" s="1358"/>
      <c r="AP73" s="1358"/>
      <c r="AQ73" s="1358"/>
      <c r="AR73" s="1358"/>
      <c r="AS73" s="1358"/>
      <c r="AT73" s="1358"/>
      <c r="AU73" s="1358"/>
      <c r="AV73" s="1358"/>
      <c r="AW73" s="1358"/>
      <c r="AX73" s="1358"/>
      <c r="AY73" s="1358"/>
      <c r="AZ73" s="1358"/>
      <c r="BA73" s="1358"/>
      <c r="BB73" s="1358"/>
      <c r="BC73" s="1358"/>
      <c r="BD73" s="1358"/>
      <c r="BE73" s="1358"/>
      <c r="BF73" s="1358"/>
      <c r="BG73" s="1358"/>
      <c r="BH73" s="1358"/>
      <c r="BI73" s="1358"/>
      <c r="BJ73" s="1358"/>
      <c r="BK73" s="1358"/>
      <c r="BL73" s="1358"/>
      <c r="BM73" s="1358"/>
      <c r="BN73" s="1358"/>
      <c r="BO73" s="1358"/>
      <c r="BP73" s="1358"/>
      <c r="BQ73" s="1358"/>
    </row>
    <row r="74" spans="1:69" s="1354" customFormat="1" x14ac:dyDescent="0.25">
      <c r="A74" s="1353"/>
      <c r="B74" s="1353"/>
      <c r="C74" s="1353"/>
      <c r="D74" s="1353"/>
      <c r="E74" s="1353"/>
      <c r="F74" s="1353"/>
      <c r="G74" s="1353"/>
      <c r="H74" s="1353"/>
      <c r="I74" s="1353"/>
      <c r="J74" s="1353"/>
      <c r="K74" s="1387"/>
      <c r="L74" s="1353"/>
      <c r="M74" s="1353"/>
      <c r="N74" s="1353"/>
      <c r="V74" s="1358"/>
      <c r="W74" s="1358"/>
      <c r="X74" s="1358"/>
      <c r="Y74" s="1358"/>
      <c r="Z74" s="1358"/>
      <c r="AA74" s="1358"/>
      <c r="AB74" s="1358"/>
      <c r="AC74" s="1358"/>
      <c r="AD74" s="1358"/>
      <c r="AE74" s="1358"/>
      <c r="AF74" s="1358"/>
      <c r="AG74" s="1358"/>
      <c r="AH74" s="1358"/>
      <c r="AI74" s="1358"/>
      <c r="AJ74" s="1358"/>
      <c r="AK74" s="1358"/>
      <c r="AL74" s="1358"/>
      <c r="AM74" s="1358"/>
      <c r="AN74" s="1358"/>
      <c r="AO74" s="1358"/>
      <c r="AP74" s="1358"/>
      <c r="AQ74" s="1358"/>
      <c r="AR74" s="1358"/>
      <c r="AS74" s="1358"/>
      <c r="AT74" s="1358"/>
      <c r="AU74" s="1358"/>
      <c r="AV74" s="1358"/>
      <c r="AW74" s="1358"/>
      <c r="AX74" s="1358"/>
      <c r="AY74" s="1358"/>
      <c r="AZ74" s="1358"/>
      <c r="BA74" s="1358"/>
      <c r="BB74" s="1358"/>
      <c r="BC74" s="1358"/>
      <c r="BD74" s="1358"/>
      <c r="BE74" s="1358"/>
      <c r="BF74" s="1358"/>
      <c r="BG74" s="1358"/>
      <c r="BH74" s="1358"/>
      <c r="BI74" s="1358"/>
      <c r="BJ74" s="1358"/>
      <c r="BK74" s="1358"/>
      <c r="BL74" s="1358"/>
      <c r="BM74" s="1358"/>
      <c r="BN74" s="1358"/>
      <c r="BO74" s="1358"/>
      <c r="BP74" s="1358"/>
      <c r="BQ74" s="1358"/>
    </row>
    <row r="75" spans="1:69" s="1354" customFormat="1" x14ac:dyDescent="0.25">
      <c r="A75" s="1353"/>
      <c r="B75" s="1353"/>
      <c r="C75" s="1353"/>
      <c r="D75" s="1353"/>
      <c r="E75" s="1353"/>
      <c r="F75" s="1353"/>
      <c r="G75" s="1353"/>
      <c r="H75" s="1353"/>
      <c r="I75" s="1353"/>
      <c r="J75" s="1353"/>
      <c r="K75" s="1387"/>
      <c r="L75" s="1353"/>
      <c r="M75" s="1353"/>
      <c r="N75" s="1353"/>
      <c r="V75" s="1358"/>
      <c r="W75" s="1358"/>
      <c r="X75" s="1358"/>
      <c r="Y75" s="1358"/>
      <c r="Z75" s="1358"/>
      <c r="AA75" s="1358"/>
      <c r="AB75" s="1358"/>
      <c r="AC75" s="1358"/>
      <c r="AD75" s="1358"/>
      <c r="AE75" s="1358"/>
      <c r="AF75" s="1358"/>
      <c r="AG75" s="1358"/>
      <c r="AH75" s="1358"/>
      <c r="AI75" s="1358"/>
      <c r="AJ75" s="1358"/>
      <c r="AK75" s="1358"/>
      <c r="AL75" s="1358"/>
      <c r="AM75" s="1358"/>
      <c r="AN75" s="1358"/>
      <c r="AO75" s="1358"/>
      <c r="AP75" s="1358"/>
      <c r="AQ75" s="1358"/>
      <c r="AR75" s="1358"/>
      <c r="AS75" s="1358"/>
      <c r="AT75" s="1358"/>
      <c r="AU75" s="1358"/>
      <c r="AV75" s="1358"/>
      <c r="AW75" s="1358"/>
      <c r="AX75" s="1358"/>
      <c r="AY75" s="1358"/>
      <c r="AZ75" s="1358"/>
      <c r="BA75" s="1358"/>
      <c r="BB75" s="1358"/>
      <c r="BC75" s="1358"/>
      <c r="BD75" s="1358"/>
      <c r="BE75" s="1358"/>
      <c r="BF75" s="1358"/>
      <c r="BG75" s="1358"/>
      <c r="BH75" s="1358"/>
      <c r="BI75" s="1358"/>
      <c r="BJ75" s="1358"/>
      <c r="BK75" s="1358"/>
      <c r="BL75" s="1358"/>
      <c r="BM75" s="1358"/>
      <c r="BN75" s="1358"/>
      <c r="BO75" s="1358"/>
      <c r="BP75" s="1358"/>
      <c r="BQ75" s="1358"/>
    </row>
    <row r="76" spans="1:69" s="1354" customFormat="1" x14ac:dyDescent="0.25">
      <c r="A76" s="1353"/>
      <c r="B76" s="1353"/>
      <c r="C76" s="1353"/>
      <c r="D76" s="1353"/>
      <c r="E76" s="1353"/>
      <c r="F76" s="1353"/>
      <c r="G76" s="1353"/>
      <c r="H76" s="1353"/>
      <c r="I76" s="1353"/>
      <c r="J76" s="1353"/>
      <c r="K76" s="1387"/>
      <c r="L76" s="1353"/>
      <c r="M76" s="1353"/>
      <c r="N76" s="1353"/>
      <c r="V76" s="1358"/>
      <c r="W76" s="1358"/>
      <c r="X76" s="1358"/>
      <c r="Y76" s="1358"/>
      <c r="Z76" s="1358"/>
      <c r="AA76" s="1358"/>
      <c r="AB76" s="1358"/>
      <c r="AC76" s="1358"/>
      <c r="AD76" s="1358"/>
      <c r="AE76" s="1358"/>
      <c r="AF76" s="1358"/>
      <c r="AG76" s="1358"/>
      <c r="AH76" s="1358"/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8"/>
      <c r="AX76" s="1358"/>
      <c r="AY76" s="1358"/>
      <c r="AZ76" s="1358"/>
      <c r="BA76" s="1358"/>
      <c r="BB76" s="1358"/>
      <c r="BC76" s="1358"/>
      <c r="BD76" s="1358"/>
      <c r="BE76" s="1358"/>
      <c r="BF76" s="1358"/>
      <c r="BG76" s="1358"/>
      <c r="BH76" s="1358"/>
      <c r="BI76" s="1358"/>
      <c r="BJ76" s="1358"/>
      <c r="BK76" s="1358"/>
      <c r="BL76" s="1358"/>
      <c r="BM76" s="1358"/>
      <c r="BN76" s="1358"/>
      <c r="BO76" s="1358"/>
      <c r="BP76" s="1358"/>
      <c r="BQ76" s="1358"/>
    </row>
    <row r="77" spans="1:69" s="1354" customFormat="1" x14ac:dyDescent="0.25">
      <c r="A77" s="1353"/>
      <c r="B77" s="1353"/>
      <c r="C77" s="1353"/>
      <c r="D77" s="1353"/>
      <c r="E77" s="1353"/>
      <c r="F77" s="1353"/>
      <c r="G77" s="1353"/>
      <c r="H77" s="1353"/>
      <c r="I77" s="1353"/>
      <c r="J77" s="1353"/>
      <c r="K77" s="1387"/>
      <c r="L77" s="1353"/>
      <c r="M77" s="1353"/>
      <c r="N77" s="1353"/>
      <c r="V77" s="1358"/>
      <c r="W77" s="1358"/>
      <c r="X77" s="1358"/>
      <c r="Y77" s="1358"/>
      <c r="Z77" s="1358"/>
      <c r="AA77" s="1358"/>
      <c r="AB77" s="1358"/>
      <c r="AC77" s="1358"/>
      <c r="AD77" s="1358"/>
      <c r="AE77" s="1358"/>
      <c r="AF77" s="1358"/>
      <c r="AG77" s="1358"/>
      <c r="AH77" s="1358"/>
      <c r="AI77" s="1358"/>
      <c r="AJ77" s="1358"/>
      <c r="AK77" s="1358"/>
      <c r="AL77" s="1358"/>
      <c r="AM77" s="1358"/>
      <c r="AN77" s="1358"/>
      <c r="AO77" s="1358"/>
      <c r="AP77" s="1358"/>
      <c r="AQ77" s="1358"/>
      <c r="AR77" s="1358"/>
      <c r="AS77" s="1358"/>
      <c r="AT77" s="1358"/>
      <c r="AU77" s="1358"/>
      <c r="AV77" s="1358"/>
      <c r="AW77" s="1358"/>
      <c r="AX77" s="1358"/>
      <c r="AY77" s="1358"/>
      <c r="AZ77" s="1358"/>
      <c r="BA77" s="1358"/>
      <c r="BB77" s="1358"/>
      <c r="BC77" s="1358"/>
      <c r="BD77" s="1358"/>
      <c r="BE77" s="1358"/>
      <c r="BF77" s="1358"/>
      <c r="BG77" s="1358"/>
      <c r="BH77" s="1358"/>
      <c r="BI77" s="1358"/>
      <c r="BJ77" s="1358"/>
      <c r="BK77" s="1358"/>
      <c r="BL77" s="1358"/>
      <c r="BM77" s="1358"/>
      <c r="BN77" s="1358"/>
      <c r="BO77" s="1358"/>
      <c r="BP77" s="1358"/>
      <c r="BQ77" s="1358"/>
    </row>
    <row r="78" spans="1:69" s="1354" customFormat="1" x14ac:dyDescent="0.25">
      <c r="A78" s="1353"/>
      <c r="B78" s="1353"/>
      <c r="C78" s="1353"/>
      <c r="D78" s="1353"/>
      <c r="E78" s="1353"/>
      <c r="F78" s="1353"/>
      <c r="G78" s="1353"/>
      <c r="H78" s="1353"/>
      <c r="I78" s="1353"/>
      <c r="J78" s="1353"/>
      <c r="K78" s="1387"/>
      <c r="L78" s="1353"/>
      <c r="M78" s="1353"/>
      <c r="N78" s="1353"/>
      <c r="V78" s="1358"/>
      <c r="W78" s="1358"/>
      <c r="X78" s="1358"/>
      <c r="Y78" s="1358"/>
      <c r="Z78" s="1358"/>
      <c r="AA78" s="1358"/>
      <c r="AB78" s="1358"/>
      <c r="AC78" s="1358"/>
      <c r="AD78" s="1358"/>
      <c r="AE78" s="1358"/>
      <c r="AF78" s="1358"/>
      <c r="AG78" s="1358"/>
      <c r="AH78" s="1358"/>
      <c r="AI78" s="1358"/>
      <c r="AJ78" s="1358"/>
      <c r="AK78" s="1358"/>
      <c r="AL78" s="1358"/>
      <c r="AM78" s="1358"/>
      <c r="AN78" s="1358"/>
      <c r="AO78" s="1358"/>
      <c r="AP78" s="1358"/>
      <c r="AQ78" s="1358"/>
      <c r="AR78" s="1358"/>
      <c r="AS78" s="1358"/>
      <c r="AT78" s="1358"/>
      <c r="AU78" s="1358"/>
      <c r="AV78" s="1358"/>
      <c r="AW78" s="1358"/>
      <c r="AX78" s="1358"/>
      <c r="AY78" s="1358"/>
      <c r="AZ78" s="1358"/>
      <c r="BA78" s="1358"/>
      <c r="BB78" s="1358"/>
      <c r="BC78" s="1358"/>
      <c r="BD78" s="1358"/>
      <c r="BE78" s="1358"/>
      <c r="BF78" s="1358"/>
      <c r="BG78" s="1358"/>
      <c r="BH78" s="1358"/>
      <c r="BI78" s="1358"/>
      <c r="BJ78" s="1358"/>
      <c r="BK78" s="1358"/>
      <c r="BL78" s="1358"/>
      <c r="BM78" s="1358"/>
      <c r="BN78" s="1358"/>
      <c r="BO78" s="1358"/>
      <c r="BP78" s="1358"/>
      <c r="BQ78" s="1358"/>
    </row>
    <row r="79" spans="1:69" s="1354" customFormat="1" x14ac:dyDescent="0.25">
      <c r="A79" s="1353"/>
      <c r="B79" s="1353"/>
      <c r="C79" s="1353"/>
      <c r="D79" s="1353"/>
      <c r="E79" s="1353"/>
      <c r="F79" s="1353"/>
      <c r="G79" s="1353"/>
      <c r="H79" s="1353"/>
      <c r="I79" s="1353"/>
      <c r="J79" s="1353"/>
      <c r="K79" s="1387"/>
      <c r="L79" s="1353"/>
      <c r="M79" s="1353"/>
      <c r="N79" s="1353"/>
      <c r="V79" s="1358"/>
      <c r="W79" s="1358"/>
      <c r="X79" s="1358"/>
      <c r="Y79" s="1358"/>
      <c r="Z79" s="1358"/>
      <c r="AA79" s="1358"/>
      <c r="AB79" s="1358"/>
      <c r="AC79" s="1358"/>
      <c r="AD79" s="1358"/>
      <c r="AE79" s="1358"/>
      <c r="AF79" s="1358"/>
      <c r="AG79" s="1358"/>
      <c r="AH79" s="1358"/>
      <c r="AI79" s="1358"/>
      <c r="AJ79" s="1358"/>
      <c r="AK79" s="1358"/>
      <c r="AL79" s="1358"/>
      <c r="AM79" s="1358"/>
      <c r="AN79" s="1358"/>
      <c r="AO79" s="1358"/>
      <c r="AP79" s="1358"/>
      <c r="AQ79" s="1358"/>
      <c r="AR79" s="1358"/>
      <c r="AS79" s="1358"/>
      <c r="AT79" s="1358"/>
      <c r="AU79" s="1358"/>
      <c r="AV79" s="1358"/>
      <c r="AW79" s="1358"/>
      <c r="AX79" s="1358"/>
      <c r="AY79" s="1358"/>
      <c r="AZ79" s="1358"/>
      <c r="BA79" s="1358"/>
      <c r="BB79" s="1358"/>
      <c r="BC79" s="1358"/>
      <c r="BD79" s="1358"/>
      <c r="BE79" s="1358"/>
      <c r="BF79" s="1358"/>
      <c r="BG79" s="1358"/>
      <c r="BH79" s="1358"/>
      <c r="BI79" s="1358"/>
      <c r="BJ79" s="1358"/>
      <c r="BK79" s="1358"/>
      <c r="BL79" s="1358"/>
      <c r="BM79" s="1358"/>
      <c r="BN79" s="1358"/>
      <c r="BO79" s="1358"/>
      <c r="BP79" s="1358"/>
      <c r="BQ79" s="1358"/>
    </row>
    <row r="80" spans="1:69" s="1354" customFormat="1" x14ac:dyDescent="0.25">
      <c r="A80" s="1353"/>
      <c r="B80" s="1353"/>
      <c r="C80" s="1353"/>
      <c r="D80" s="1353"/>
      <c r="E80" s="1353"/>
      <c r="F80" s="1353"/>
      <c r="G80" s="1353"/>
      <c r="H80" s="1353"/>
      <c r="I80" s="1353"/>
      <c r="J80" s="1353"/>
      <c r="K80" s="1387"/>
      <c r="L80" s="1353"/>
      <c r="M80" s="1353"/>
      <c r="N80" s="1353"/>
      <c r="V80" s="1358"/>
      <c r="W80" s="1358"/>
      <c r="X80" s="1358"/>
      <c r="Y80" s="1358"/>
      <c r="Z80" s="1358"/>
      <c r="AA80" s="1358"/>
      <c r="AB80" s="1358"/>
      <c r="AC80" s="1358"/>
      <c r="AD80" s="1358"/>
      <c r="AE80" s="1358"/>
      <c r="AF80" s="1358"/>
      <c r="AG80" s="1358"/>
      <c r="AH80" s="1358"/>
      <c r="AI80" s="1358"/>
      <c r="AJ80" s="1358"/>
      <c r="AK80" s="1358"/>
      <c r="AL80" s="1358"/>
      <c r="AM80" s="1358"/>
      <c r="AN80" s="1358"/>
      <c r="AO80" s="1358"/>
      <c r="AP80" s="1358"/>
      <c r="AQ80" s="1358"/>
      <c r="AR80" s="1358"/>
      <c r="AS80" s="1358"/>
      <c r="AT80" s="1358"/>
      <c r="AU80" s="1358"/>
      <c r="AV80" s="1358"/>
      <c r="AW80" s="1358"/>
      <c r="AX80" s="1358"/>
      <c r="AY80" s="1358"/>
      <c r="AZ80" s="1358"/>
      <c r="BA80" s="1358"/>
      <c r="BB80" s="1358"/>
      <c r="BC80" s="1358"/>
      <c r="BD80" s="1358"/>
      <c r="BE80" s="1358"/>
      <c r="BF80" s="1358"/>
      <c r="BG80" s="1358"/>
      <c r="BH80" s="1358"/>
      <c r="BI80" s="1358"/>
      <c r="BJ80" s="1358"/>
      <c r="BK80" s="1358"/>
      <c r="BL80" s="1358"/>
      <c r="BM80" s="1358"/>
      <c r="BN80" s="1358"/>
      <c r="BO80" s="1358"/>
      <c r="BP80" s="1358"/>
      <c r="BQ80" s="1358"/>
    </row>
    <row r="81" spans="1:69" s="1354" customFormat="1" x14ac:dyDescent="0.25">
      <c r="A81" s="1353"/>
      <c r="B81" s="1353"/>
      <c r="C81" s="1353"/>
      <c r="D81" s="1353"/>
      <c r="E81" s="1353"/>
      <c r="F81" s="1353"/>
      <c r="G81" s="1353"/>
      <c r="H81" s="1353"/>
      <c r="I81" s="1353"/>
      <c r="J81" s="1353"/>
      <c r="K81" s="1387"/>
      <c r="L81" s="1353"/>
      <c r="M81" s="1353"/>
      <c r="N81" s="1353"/>
      <c r="V81" s="1358"/>
      <c r="W81" s="1358"/>
      <c r="X81" s="1358"/>
      <c r="Y81" s="1358"/>
      <c r="Z81" s="1358"/>
      <c r="AA81" s="1358"/>
      <c r="AB81" s="1358"/>
      <c r="AC81" s="1358"/>
      <c r="AD81" s="1358"/>
      <c r="AE81" s="1358"/>
      <c r="AF81" s="1358"/>
      <c r="AG81" s="1358"/>
      <c r="AH81" s="1358"/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58"/>
      <c r="AY81" s="1358"/>
      <c r="AZ81" s="1358"/>
      <c r="BA81" s="1358"/>
      <c r="BB81" s="1358"/>
      <c r="BC81" s="1358"/>
      <c r="BD81" s="1358"/>
      <c r="BE81" s="1358"/>
      <c r="BF81" s="1358"/>
      <c r="BG81" s="1358"/>
      <c r="BH81" s="1358"/>
      <c r="BI81" s="1358"/>
      <c r="BJ81" s="1358"/>
      <c r="BK81" s="1358"/>
      <c r="BL81" s="1358"/>
      <c r="BM81" s="1358"/>
      <c r="BN81" s="1358"/>
      <c r="BO81" s="1358"/>
      <c r="BP81" s="1358"/>
      <c r="BQ81" s="1358"/>
    </row>
    <row r="82" spans="1:69" s="1354" customFormat="1" x14ac:dyDescent="0.25">
      <c r="A82" s="1353"/>
      <c r="B82" s="1353"/>
      <c r="C82" s="1353"/>
      <c r="D82" s="1353"/>
      <c r="E82" s="1353"/>
      <c r="F82" s="1353"/>
      <c r="G82" s="1353"/>
      <c r="H82" s="1353"/>
      <c r="I82" s="1353"/>
      <c r="J82" s="1353"/>
      <c r="K82" s="1387"/>
      <c r="L82" s="1353"/>
      <c r="M82" s="1353"/>
      <c r="N82" s="1353"/>
      <c r="V82" s="1358"/>
      <c r="W82" s="1358"/>
      <c r="X82" s="1358"/>
      <c r="Y82" s="1358"/>
      <c r="Z82" s="1358"/>
      <c r="AA82" s="1358"/>
      <c r="AB82" s="1358"/>
      <c r="AC82" s="1358"/>
      <c r="AD82" s="1358"/>
      <c r="AE82" s="1358"/>
      <c r="AF82" s="1358"/>
      <c r="AG82" s="1358"/>
      <c r="AH82" s="1358"/>
      <c r="AI82" s="1358"/>
      <c r="AJ82" s="1358"/>
      <c r="AK82" s="1358"/>
      <c r="AL82" s="1358"/>
      <c r="AM82" s="1358"/>
      <c r="AN82" s="1358"/>
      <c r="AO82" s="1358"/>
      <c r="AP82" s="1358"/>
      <c r="AQ82" s="1358"/>
      <c r="AR82" s="1358"/>
      <c r="AS82" s="1358"/>
      <c r="AT82" s="1358"/>
      <c r="AU82" s="1358"/>
      <c r="AV82" s="1358"/>
      <c r="AW82" s="1358"/>
      <c r="AX82" s="1358"/>
      <c r="AY82" s="1358"/>
      <c r="AZ82" s="1358"/>
      <c r="BA82" s="1358"/>
      <c r="BB82" s="1358"/>
      <c r="BC82" s="1358"/>
      <c r="BD82" s="1358"/>
      <c r="BE82" s="1358"/>
      <c r="BF82" s="1358"/>
      <c r="BG82" s="1358"/>
      <c r="BH82" s="1358"/>
      <c r="BI82" s="1358"/>
      <c r="BJ82" s="1358"/>
      <c r="BK82" s="1358"/>
      <c r="BL82" s="1358"/>
      <c r="BM82" s="1358"/>
      <c r="BN82" s="1358"/>
      <c r="BO82" s="1358"/>
      <c r="BP82" s="1358"/>
      <c r="BQ82" s="1358"/>
    </row>
    <row r="83" spans="1:69" s="1354" customFormat="1" x14ac:dyDescent="0.25">
      <c r="A83" s="1353"/>
      <c r="B83" s="1353"/>
      <c r="C83" s="1353"/>
      <c r="D83" s="1353"/>
      <c r="E83" s="1353"/>
      <c r="F83" s="1353"/>
      <c r="G83" s="1353"/>
      <c r="H83" s="1353"/>
      <c r="I83" s="1353"/>
      <c r="J83" s="1353"/>
      <c r="K83" s="1387"/>
      <c r="L83" s="1353"/>
      <c r="M83" s="1353"/>
      <c r="N83" s="1353"/>
      <c r="V83" s="1358"/>
      <c r="W83" s="1358"/>
      <c r="X83" s="1358"/>
      <c r="Y83" s="1358"/>
      <c r="Z83" s="1358"/>
      <c r="AA83" s="1358"/>
      <c r="AB83" s="1358"/>
      <c r="AC83" s="1358"/>
      <c r="AD83" s="1358"/>
      <c r="AE83" s="1358"/>
      <c r="AF83" s="1358"/>
      <c r="AG83" s="1358"/>
      <c r="AH83" s="1358"/>
      <c r="AI83" s="1358"/>
      <c r="AJ83" s="1358"/>
      <c r="AK83" s="1358"/>
      <c r="AL83" s="1358"/>
      <c r="AM83" s="1358"/>
      <c r="AN83" s="1358"/>
      <c r="AO83" s="1358"/>
      <c r="AP83" s="1358"/>
      <c r="AQ83" s="1358"/>
      <c r="AR83" s="1358"/>
      <c r="AS83" s="1358"/>
      <c r="AT83" s="1358"/>
      <c r="AU83" s="1358"/>
      <c r="AV83" s="1358"/>
      <c r="AW83" s="1358"/>
      <c r="AX83" s="1358"/>
      <c r="AY83" s="1358"/>
      <c r="AZ83" s="1358"/>
      <c r="BA83" s="1358"/>
      <c r="BB83" s="1358"/>
      <c r="BC83" s="1358"/>
      <c r="BD83" s="1358"/>
      <c r="BE83" s="1358"/>
      <c r="BF83" s="1358"/>
      <c r="BG83" s="1358"/>
      <c r="BH83" s="1358"/>
      <c r="BI83" s="1358"/>
      <c r="BJ83" s="1358"/>
      <c r="BK83" s="1358"/>
      <c r="BL83" s="1358"/>
      <c r="BM83" s="1358"/>
      <c r="BN83" s="1358"/>
      <c r="BO83" s="1358"/>
      <c r="BP83" s="1358"/>
      <c r="BQ83" s="1358"/>
    </row>
    <row r="84" spans="1:69" s="1354" customFormat="1" x14ac:dyDescent="0.25">
      <c r="A84" s="1353"/>
      <c r="B84" s="1353"/>
      <c r="C84" s="1353"/>
      <c r="D84" s="1353"/>
      <c r="E84" s="1353"/>
      <c r="F84" s="1353"/>
      <c r="G84" s="1353"/>
      <c r="H84" s="1353"/>
      <c r="I84" s="1353"/>
      <c r="J84" s="1353"/>
      <c r="K84" s="1387"/>
      <c r="L84" s="1353"/>
      <c r="M84" s="1353"/>
      <c r="N84" s="1353"/>
      <c r="V84" s="1358"/>
      <c r="W84" s="1358"/>
      <c r="X84" s="1358"/>
      <c r="Y84" s="1358"/>
      <c r="Z84" s="1358"/>
      <c r="AA84" s="1358"/>
      <c r="AB84" s="1358"/>
      <c r="AC84" s="1358"/>
      <c r="AD84" s="1358"/>
      <c r="AE84" s="1358"/>
      <c r="AF84" s="1358"/>
      <c r="AG84" s="1358"/>
      <c r="AH84" s="1358"/>
      <c r="AI84" s="1358"/>
      <c r="AJ84" s="1358"/>
      <c r="AK84" s="1358"/>
      <c r="AL84" s="1358"/>
      <c r="AM84" s="1358"/>
      <c r="AN84" s="1358"/>
      <c r="AO84" s="1358"/>
      <c r="AP84" s="1358"/>
      <c r="AQ84" s="1358"/>
      <c r="AR84" s="1358"/>
      <c r="AS84" s="1358"/>
      <c r="AT84" s="1358"/>
      <c r="AU84" s="1358"/>
      <c r="AV84" s="1358"/>
      <c r="AW84" s="1358"/>
      <c r="AX84" s="1358"/>
      <c r="AY84" s="1358"/>
      <c r="AZ84" s="1358"/>
      <c r="BA84" s="1358"/>
      <c r="BB84" s="1358"/>
      <c r="BC84" s="1358"/>
      <c r="BD84" s="1358"/>
      <c r="BE84" s="1358"/>
      <c r="BF84" s="1358"/>
      <c r="BG84" s="1358"/>
      <c r="BH84" s="1358"/>
      <c r="BI84" s="1358"/>
      <c r="BJ84" s="1358"/>
      <c r="BK84" s="1358"/>
      <c r="BL84" s="1358"/>
      <c r="BM84" s="1358"/>
      <c r="BN84" s="1358"/>
      <c r="BO84" s="1358"/>
      <c r="BP84" s="1358"/>
      <c r="BQ84" s="1358"/>
    </row>
    <row r="85" spans="1:69" s="1354" customFormat="1" x14ac:dyDescent="0.25">
      <c r="A85" s="1353"/>
      <c r="B85" s="1353"/>
      <c r="C85" s="1353"/>
      <c r="D85" s="1353"/>
      <c r="E85" s="1353"/>
      <c r="F85" s="1353"/>
      <c r="G85" s="1353"/>
      <c r="H85" s="1353"/>
      <c r="I85" s="1353"/>
      <c r="J85" s="1353"/>
      <c r="K85" s="1387"/>
      <c r="L85" s="1353"/>
      <c r="M85" s="1353"/>
      <c r="N85" s="1353"/>
      <c r="V85" s="1358"/>
      <c r="W85" s="1358"/>
      <c r="X85" s="1358"/>
      <c r="Y85" s="1358"/>
      <c r="Z85" s="1358"/>
      <c r="AA85" s="1358"/>
      <c r="AB85" s="1358"/>
      <c r="AC85" s="1358"/>
      <c r="AD85" s="1358"/>
      <c r="AE85" s="1358"/>
      <c r="AF85" s="1358"/>
      <c r="AG85" s="1358"/>
      <c r="AH85" s="1358"/>
      <c r="AI85" s="1358"/>
      <c r="AJ85" s="1358"/>
      <c r="AK85" s="1358"/>
      <c r="AL85" s="1358"/>
      <c r="AM85" s="1358"/>
      <c r="AN85" s="1358"/>
      <c r="AO85" s="1358"/>
      <c r="AP85" s="1358"/>
      <c r="AQ85" s="1358"/>
      <c r="AR85" s="1358"/>
      <c r="AS85" s="1358"/>
      <c r="AT85" s="1358"/>
      <c r="AU85" s="1358"/>
      <c r="AV85" s="1358"/>
      <c r="AW85" s="1358"/>
      <c r="AX85" s="1358"/>
      <c r="AY85" s="1358"/>
      <c r="AZ85" s="1358"/>
      <c r="BA85" s="1358"/>
      <c r="BB85" s="1358"/>
      <c r="BC85" s="1358"/>
      <c r="BD85" s="1358"/>
      <c r="BE85" s="1358"/>
      <c r="BF85" s="1358"/>
      <c r="BG85" s="1358"/>
      <c r="BH85" s="1358"/>
      <c r="BI85" s="1358"/>
      <c r="BJ85" s="1358"/>
      <c r="BK85" s="1358"/>
      <c r="BL85" s="1358"/>
      <c r="BM85" s="1358"/>
      <c r="BN85" s="1358"/>
      <c r="BO85" s="1358"/>
      <c r="BP85" s="1358"/>
      <c r="BQ85" s="1358"/>
    </row>
    <row r="86" spans="1:69" s="1354" customFormat="1" x14ac:dyDescent="0.25">
      <c r="A86" s="1353"/>
      <c r="B86" s="1353"/>
      <c r="C86" s="1353"/>
      <c r="D86" s="1353"/>
      <c r="E86" s="1353"/>
      <c r="F86" s="1353"/>
      <c r="G86" s="1353"/>
      <c r="H86" s="1353"/>
      <c r="I86" s="1353"/>
      <c r="J86" s="1353"/>
      <c r="K86" s="1387"/>
      <c r="L86" s="1353"/>
      <c r="M86" s="1353"/>
      <c r="N86" s="1353"/>
      <c r="V86" s="1358"/>
      <c r="W86" s="1358"/>
      <c r="X86" s="1358"/>
      <c r="Y86" s="1358"/>
      <c r="Z86" s="1358"/>
      <c r="AA86" s="1358"/>
      <c r="AB86" s="1358"/>
      <c r="AC86" s="1358"/>
      <c r="AD86" s="1358"/>
      <c r="AE86" s="1358"/>
      <c r="AF86" s="1358"/>
      <c r="AG86" s="1358"/>
      <c r="AH86" s="1358"/>
      <c r="AI86" s="1358"/>
      <c r="AJ86" s="1358"/>
      <c r="AK86" s="1358"/>
      <c r="AL86" s="1358"/>
      <c r="AM86" s="1358"/>
      <c r="AN86" s="1358"/>
      <c r="AO86" s="1358"/>
      <c r="AP86" s="1358"/>
      <c r="AQ86" s="1358"/>
      <c r="AR86" s="1358"/>
      <c r="AS86" s="1358"/>
      <c r="AT86" s="1358"/>
      <c r="AU86" s="1358"/>
      <c r="AV86" s="1358"/>
      <c r="AW86" s="1358"/>
      <c r="AX86" s="1358"/>
      <c r="AY86" s="1358"/>
      <c r="AZ86" s="1358"/>
      <c r="BA86" s="1358"/>
      <c r="BB86" s="1358"/>
      <c r="BC86" s="1358"/>
      <c r="BD86" s="1358"/>
      <c r="BE86" s="1358"/>
      <c r="BF86" s="1358"/>
      <c r="BG86" s="1358"/>
      <c r="BH86" s="1358"/>
      <c r="BI86" s="1358"/>
      <c r="BJ86" s="1358"/>
      <c r="BK86" s="1358"/>
      <c r="BL86" s="1358"/>
      <c r="BM86" s="1358"/>
      <c r="BN86" s="1358"/>
      <c r="BO86" s="1358"/>
      <c r="BP86" s="1358"/>
      <c r="BQ86" s="1358"/>
    </row>
    <row r="87" spans="1:69" s="1354" customFormat="1" x14ac:dyDescent="0.25">
      <c r="A87" s="1353"/>
      <c r="B87" s="1353"/>
      <c r="C87" s="1353"/>
      <c r="D87" s="1353"/>
      <c r="E87" s="1353"/>
      <c r="F87" s="1353"/>
      <c r="G87" s="1353"/>
      <c r="H87" s="1353"/>
      <c r="I87" s="1353"/>
      <c r="J87" s="1353"/>
      <c r="K87" s="1387"/>
      <c r="L87" s="1353"/>
      <c r="M87" s="1353"/>
      <c r="N87" s="1353"/>
      <c r="V87" s="1358"/>
      <c r="W87" s="1358"/>
      <c r="X87" s="1358"/>
      <c r="Y87" s="1358"/>
      <c r="Z87" s="1358"/>
      <c r="AA87" s="1358"/>
      <c r="AB87" s="1358"/>
      <c r="AC87" s="1358"/>
      <c r="AD87" s="1358"/>
      <c r="AE87" s="1358"/>
      <c r="AF87" s="1358"/>
      <c r="AG87" s="1358"/>
      <c r="AH87" s="1358"/>
      <c r="AI87" s="1358"/>
      <c r="AJ87" s="1358"/>
      <c r="AK87" s="1358"/>
      <c r="AL87" s="1358"/>
      <c r="AM87" s="1358"/>
      <c r="AN87" s="1358"/>
      <c r="AO87" s="1358"/>
      <c r="AP87" s="1358"/>
      <c r="AQ87" s="1358"/>
      <c r="AR87" s="1358"/>
      <c r="AS87" s="1358"/>
      <c r="AT87" s="1358"/>
      <c r="AU87" s="1358"/>
      <c r="AV87" s="1358"/>
      <c r="AW87" s="1358"/>
      <c r="AX87" s="1358"/>
      <c r="AY87" s="1358"/>
      <c r="AZ87" s="1358"/>
      <c r="BA87" s="1358"/>
      <c r="BB87" s="1358"/>
      <c r="BC87" s="1358"/>
      <c r="BD87" s="1358"/>
      <c r="BE87" s="1358"/>
      <c r="BF87" s="1358"/>
      <c r="BG87" s="1358"/>
      <c r="BH87" s="1358"/>
      <c r="BI87" s="1358"/>
      <c r="BJ87" s="1358"/>
      <c r="BK87" s="1358"/>
      <c r="BL87" s="1358"/>
      <c r="BM87" s="1358"/>
      <c r="BN87" s="1358"/>
      <c r="BO87" s="1358"/>
      <c r="BP87" s="1358"/>
      <c r="BQ87" s="1358"/>
    </row>
    <row r="88" spans="1:69" s="1354" customFormat="1" x14ac:dyDescent="0.25">
      <c r="A88" s="1353"/>
      <c r="B88" s="1353"/>
      <c r="C88" s="1353"/>
      <c r="D88" s="1353"/>
      <c r="E88" s="1353"/>
      <c r="F88" s="1353"/>
      <c r="G88" s="1353"/>
      <c r="H88" s="1353"/>
      <c r="I88" s="1353"/>
      <c r="J88" s="1353"/>
      <c r="K88" s="1387"/>
      <c r="L88" s="1353"/>
      <c r="M88" s="1353"/>
      <c r="N88" s="1353"/>
      <c r="V88" s="1358"/>
      <c r="W88" s="1358"/>
      <c r="X88" s="1358"/>
      <c r="Y88" s="1358"/>
      <c r="Z88" s="1358"/>
      <c r="AA88" s="1358"/>
      <c r="AB88" s="1358"/>
      <c r="AC88" s="1358"/>
      <c r="AD88" s="1358"/>
      <c r="AE88" s="1358"/>
      <c r="AF88" s="1358"/>
      <c r="AG88" s="1358"/>
      <c r="AH88" s="1358"/>
      <c r="AI88" s="1358"/>
      <c r="AJ88" s="1358"/>
      <c r="AK88" s="1358"/>
      <c r="AL88" s="1358"/>
      <c r="AM88" s="1358"/>
      <c r="AN88" s="1358"/>
      <c r="AO88" s="1358"/>
      <c r="AP88" s="1358"/>
      <c r="AQ88" s="1358"/>
      <c r="AR88" s="1358"/>
      <c r="AS88" s="1358"/>
      <c r="AT88" s="1358"/>
      <c r="AU88" s="1358"/>
      <c r="AV88" s="1358"/>
      <c r="AW88" s="1358"/>
      <c r="AX88" s="1358"/>
      <c r="AY88" s="1358"/>
      <c r="AZ88" s="1358"/>
      <c r="BA88" s="1358"/>
      <c r="BB88" s="1358"/>
      <c r="BC88" s="1358"/>
      <c r="BD88" s="1358"/>
      <c r="BE88" s="1358"/>
      <c r="BF88" s="1358"/>
      <c r="BG88" s="1358"/>
      <c r="BH88" s="1358"/>
      <c r="BI88" s="1358"/>
      <c r="BJ88" s="1358"/>
      <c r="BK88" s="1358"/>
      <c r="BL88" s="1358"/>
      <c r="BM88" s="1358"/>
      <c r="BN88" s="1358"/>
      <c r="BO88" s="1358"/>
      <c r="BP88" s="1358"/>
      <c r="BQ88" s="1358"/>
    </row>
    <row r="89" spans="1:69" s="1354" customFormat="1" x14ac:dyDescent="0.25">
      <c r="A89" s="1353"/>
      <c r="B89" s="1353"/>
      <c r="C89" s="1353"/>
      <c r="D89" s="1353"/>
      <c r="E89" s="1353"/>
      <c r="F89" s="1353"/>
      <c r="G89" s="1353"/>
      <c r="H89" s="1353"/>
      <c r="I89" s="1353"/>
      <c r="J89" s="1353"/>
      <c r="K89" s="1387"/>
      <c r="L89" s="1353"/>
      <c r="M89" s="1353"/>
      <c r="N89" s="1353"/>
      <c r="V89" s="1358"/>
      <c r="W89" s="1358"/>
      <c r="X89" s="1358"/>
      <c r="Y89" s="1358"/>
      <c r="Z89" s="1358"/>
      <c r="AA89" s="1358"/>
      <c r="AB89" s="1358"/>
      <c r="AC89" s="1358"/>
      <c r="AD89" s="1358"/>
      <c r="AE89" s="1358"/>
      <c r="AF89" s="1358"/>
      <c r="AG89" s="1358"/>
      <c r="AH89" s="1358"/>
      <c r="AI89" s="1358"/>
      <c r="AJ89" s="1358"/>
      <c r="AK89" s="1358"/>
      <c r="AL89" s="1358"/>
      <c r="AM89" s="1358"/>
      <c r="AN89" s="1358"/>
      <c r="AO89" s="1358"/>
      <c r="AP89" s="1358"/>
      <c r="AQ89" s="1358"/>
      <c r="AR89" s="1358"/>
      <c r="AS89" s="1358"/>
      <c r="AT89" s="1358"/>
      <c r="AU89" s="1358"/>
      <c r="AV89" s="1358"/>
      <c r="AW89" s="1358"/>
      <c r="AX89" s="1358"/>
      <c r="AY89" s="1358"/>
      <c r="AZ89" s="1358"/>
      <c r="BA89" s="1358"/>
      <c r="BB89" s="1358"/>
      <c r="BC89" s="1358"/>
      <c r="BD89" s="1358"/>
      <c r="BE89" s="1358"/>
      <c r="BF89" s="1358"/>
      <c r="BG89" s="1358"/>
      <c r="BH89" s="1358"/>
      <c r="BI89" s="1358"/>
      <c r="BJ89" s="1358"/>
      <c r="BK89" s="1358"/>
      <c r="BL89" s="1358"/>
      <c r="BM89" s="1358"/>
      <c r="BN89" s="1358"/>
      <c r="BO89" s="1358"/>
      <c r="BP89" s="1358"/>
      <c r="BQ89" s="1358"/>
    </row>
    <row r="90" spans="1:69" s="1354" customFormat="1" x14ac:dyDescent="0.25">
      <c r="A90" s="1353"/>
      <c r="B90" s="1353"/>
      <c r="C90" s="1353"/>
      <c r="D90" s="1353"/>
      <c r="E90" s="1353"/>
      <c r="F90" s="1353"/>
      <c r="G90" s="1353"/>
      <c r="H90" s="1353"/>
      <c r="I90" s="1353"/>
      <c r="J90" s="1353"/>
      <c r="K90" s="1387"/>
      <c r="L90" s="1353"/>
      <c r="M90" s="1353"/>
      <c r="N90" s="1353"/>
      <c r="V90" s="1358"/>
      <c r="W90" s="1358"/>
      <c r="X90" s="1358"/>
      <c r="Y90" s="1358"/>
      <c r="Z90" s="1358"/>
      <c r="AA90" s="1358"/>
      <c r="AB90" s="1358"/>
      <c r="AC90" s="1358"/>
      <c r="AD90" s="1358"/>
      <c r="AE90" s="1358"/>
      <c r="AF90" s="1358"/>
      <c r="AG90" s="1358"/>
      <c r="AH90" s="1358"/>
      <c r="AI90" s="1358"/>
      <c r="AJ90" s="1358"/>
      <c r="AK90" s="1358"/>
      <c r="AL90" s="1358"/>
      <c r="AM90" s="1358"/>
      <c r="AN90" s="1358"/>
      <c r="AO90" s="1358"/>
      <c r="AP90" s="1358"/>
      <c r="AQ90" s="1358"/>
      <c r="AR90" s="1358"/>
      <c r="AS90" s="1358"/>
      <c r="AT90" s="1358"/>
      <c r="AU90" s="1358"/>
      <c r="AV90" s="1358"/>
      <c r="AW90" s="1358"/>
      <c r="AX90" s="1358"/>
      <c r="AY90" s="1358"/>
      <c r="AZ90" s="1358"/>
      <c r="BA90" s="1358"/>
      <c r="BB90" s="1358"/>
      <c r="BC90" s="1358"/>
      <c r="BD90" s="1358"/>
      <c r="BE90" s="1358"/>
      <c r="BF90" s="1358"/>
      <c r="BG90" s="1358"/>
      <c r="BH90" s="1358"/>
      <c r="BI90" s="1358"/>
      <c r="BJ90" s="1358"/>
      <c r="BK90" s="1358"/>
      <c r="BL90" s="1358"/>
      <c r="BM90" s="1358"/>
      <c r="BN90" s="1358"/>
      <c r="BO90" s="1358"/>
      <c r="BP90" s="1358"/>
      <c r="BQ90" s="1358"/>
    </row>
    <row r="91" spans="1:69" s="1354" customFormat="1" x14ac:dyDescent="0.25">
      <c r="A91" s="1353"/>
      <c r="B91" s="1353"/>
      <c r="C91" s="1353"/>
      <c r="D91" s="1353"/>
      <c r="E91" s="1353"/>
      <c r="F91" s="1353"/>
      <c r="G91" s="1353"/>
      <c r="H91" s="1353"/>
      <c r="I91" s="1353"/>
      <c r="J91" s="1353"/>
      <c r="K91" s="1387"/>
      <c r="L91" s="1353"/>
      <c r="M91" s="1353"/>
      <c r="N91" s="1353"/>
      <c r="V91" s="1358"/>
      <c r="W91" s="1358"/>
      <c r="X91" s="1358"/>
      <c r="Y91" s="1358"/>
      <c r="Z91" s="1358"/>
      <c r="AA91" s="1358"/>
      <c r="AB91" s="1358"/>
      <c r="AC91" s="1358"/>
      <c r="AD91" s="1358"/>
      <c r="AE91" s="1358"/>
      <c r="AF91" s="1358"/>
      <c r="AG91" s="1358"/>
      <c r="AH91" s="1358"/>
      <c r="AI91" s="1358"/>
      <c r="AJ91" s="1358"/>
      <c r="AK91" s="1358"/>
      <c r="AL91" s="1358"/>
      <c r="AM91" s="1358"/>
      <c r="AN91" s="1358"/>
      <c r="AO91" s="1358"/>
      <c r="AP91" s="1358"/>
      <c r="AQ91" s="1358"/>
      <c r="AR91" s="1358"/>
      <c r="AS91" s="1358"/>
      <c r="AT91" s="1358"/>
      <c r="AU91" s="1358"/>
      <c r="AV91" s="1358"/>
      <c r="AW91" s="1358"/>
      <c r="AX91" s="1358"/>
      <c r="AY91" s="1358"/>
      <c r="AZ91" s="1358"/>
      <c r="BA91" s="1358"/>
      <c r="BB91" s="1358"/>
      <c r="BC91" s="1358"/>
      <c r="BD91" s="1358"/>
      <c r="BE91" s="1358"/>
      <c r="BF91" s="1358"/>
      <c r="BG91" s="1358"/>
      <c r="BH91" s="1358"/>
      <c r="BI91" s="1358"/>
      <c r="BJ91" s="1358"/>
      <c r="BK91" s="1358"/>
      <c r="BL91" s="1358"/>
      <c r="BM91" s="1358"/>
      <c r="BN91" s="1358"/>
      <c r="BO91" s="1358"/>
      <c r="BP91" s="1358"/>
      <c r="BQ91" s="1358"/>
    </row>
    <row r="92" spans="1:69" s="1354" customFormat="1" x14ac:dyDescent="0.25">
      <c r="A92" s="1353"/>
      <c r="B92" s="1353"/>
      <c r="C92" s="1353"/>
      <c r="D92" s="1353"/>
      <c r="E92" s="1353"/>
      <c r="F92" s="1353"/>
      <c r="G92" s="1353"/>
      <c r="H92" s="1353"/>
      <c r="I92" s="1353"/>
      <c r="J92" s="1353"/>
      <c r="K92" s="1387"/>
      <c r="L92" s="1353"/>
      <c r="M92" s="1353"/>
      <c r="N92" s="1353"/>
      <c r="V92" s="1358"/>
      <c r="W92" s="1358"/>
      <c r="X92" s="1358"/>
      <c r="Y92" s="1358"/>
      <c r="Z92" s="1358"/>
      <c r="AA92" s="1358"/>
      <c r="AB92" s="1358"/>
      <c r="AC92" s="1358"/>
      <c r="AD92" s="1358"/>
      <c r="AE92" s="1358"/>
      <c r="AF92" s="1358"/>
      <c r="AG92" s="1358"/>
      <c r="AH92" s="1358"/>
      <c r="AI92" s="1358"/>
      <c r="AJ92" s="1358"/>
      <c r="AK92" s="1358"/>
      <c r="AL92" s="1358"/>
      <c r="AM92" s="1358"/>
      <c r="AN92" s="1358"/>
      <c r="AO92" s="1358"/>
      <c r="AP92" s="1358"/>
      <c r="AQ92" s="1358"/>
      <c r="AR92" s="1358"/>
      <c r="AS92" s="1358"/>
      <c r="AT92" s="1358"/>
      <c r="AU92" s="1358"/>
      <c r="AV92" s="1358"/>
      <c r="AW92" s="1358"/>
      <c r="AX92" s="1358"/>
      <c r="AY92" s="1358"/>
      <c r="AZ92" s="1358"/>
      <c r="BA92" s="1358"/>
      <c r="BB92" s="1358"/>
      <c r="BC92" s="1358"/>
      <c r="BD92" s="1358"/>
      <c r="BE92" s="1358"/>
      <c r="BF92" s="1358"/>
      <c r="BG92" s="1358"/>
      <c r="BH92" s="1358"/>
      <c r="BI92" s="1358"/>
      <c r="BJ92" s="1358"/>
      <c r="BK92" s="1358"/>
      <c r="BL92" s="1358"/>
      <c r="BM92" s="1358"/>
      <c r="BN92" s="1358"/>
      <c r="BO92" s="1358"/>
      <c r="BP92" s="1358"/>
      <c r="BQ92" s="1358"/>
    </row>
    <row r="93" spans="1:69" s="1354" customFormat="1" x14ac:dyDescent="0.25">
      <c r="A93" s="1353"/>
      <c r="B93" s="1353"/>
      <c r="C93" s="1353"/>
      <c r="D93" s="1353"/>
      <c r="E93" s="1353"/>
      <c r="F93" s="1353"/>
      <c r="G93" s="1353"/>
      <c r="H93" s="1353"/>
      <c r="I93" s="1353"/>
      <c r="J93" s="1353"/>
      <c r="K93" s="1387"/>
      <c r="L93" s="1353"/>
      <c r="M93" s="1353"/>
      <c r="N93" s="1353"/>
      <c r="V93" s="1358"/>
      <c r="W93" s="1358"/>
      <c r="X93" s="1358"/>
      <c r="Y93" s="1358"/>
      <c r="Z93" s="1358"/>
      <c r="AA93" s="1358"/>
      <c r="AB93" s="1358"/>
      <c r="AC93" s="1358"/>
      <c r="AD93" s="1358"/>
      <c r="AE93" s="1358"/>
      <c r="AF93" s="1358"/>
      <c r="AG93" s="1358"/>
      <c r="AH93" s="1358"/>
      <c r="AI93" s="1358"/>
      <c r="AJ93" s="1358"/>
      <c r="AK93" s="1358"/>
      <c r="AL93" s="1358"/>
      <c r="AM93" s="1358"/>
      <c r="AN93" s="1358"/>
      <c r="AO93" s="1358"/>
      <c r="AP93" s="1358"/>
      <c r="AQ93" s="1358"/>
      <c r="AR93" s="1358"/>
      <c r="AS93" s="1358"/>
      <c r="AT93" s="1358"/>
      <c r="AU93" s="1358"/>
      <c r="AV93" s="1358"/>
      <c r="AW93" s="1358"/>
      <c r="AX93" s="1358"/>
      <c r="AY93" s="1358"/>
      <c r="AZ93" s="1358"/>
      <c r="BA93" s="1358"/>
      <c r="BB93" s="1358"/>
      <c r="BC93" s="1358"/>
      <c r="BD93" s="1358"/>
      <c r="BE93" s="1358"/>
      <c r="BF93" s="1358"/>
      <c r="BG93" s="1358"/>
      <c r="BH93" s="1358"/>
      <c r="BI93" s="1358"/>
      <c r="BJ93" s="1358"/>
      <c r="BK93" s="1358"/>
      <c r="BL93" s="1358"/>
      <c r="BM93" s="1358"/>
      <c r="BN93" s="1358"/>
      <c r="BO93" s="1358"/>
      <c r="BP93" s="1358"/>
      <c r="BQ93" s="1358"/>
    </row>
    <row r="94" spans="1:69" s="1354" customFormat="1" x14ac:dyDescent="0.25">
      <c r="A94" s="1353"/>
      <c r="B94" s="1353"/>
      <c r="C94" s="1353"/>
      <c r="D94" s="1353"/>
      <c r="E94" s="1353"/>
      <c r="F94" s="1353"/>
      <c r="G94" s="1353"/>
      <c r="H94" s="1353"/>
      <c r="I94" s="1353"/>
      <c r="J94" s="1353"/>
      <c r="K94" s="1387"/>
      <c r="L94" s="1353"/>
      <c r="M94" s="1353"/>
      <c r="N94" s="1353"/>
      <c r="V94" s="1358"/>
      <c r="W94" s="1358"/>
      <c r="X94" s="1358"/>
      <c r="Y94" s="1358"/>
      <c r="Z94" s="1358"/>
      <c r="AA94" s="1358"/>
      <c r="AB94" s="1358"/>
      <c r="AC94" s="1358"/>
      <c r="AD94" s="1358"/>
      <c r="AE94" s="1358"/>
      <c r="AF94" s="1358"/>
      <c r="AG94" s="1358"/>
      <c r="AH94" s="1358"/>
      <c r="AI94" s="1358"/>
      <c r="AJ94" s="1358"/>
      <c r="AK94" s="1358"/>
      <c r="AL94" s="1358"/>
      <c r="AM94" s="1358"/>
      <c r="AN94" s="1358"/>
      <c r="AO94" s="1358"/>
      <c r="AP94" s="1358"/>
      <c r="AQ94" s="1358"/>
      <c r="AR94" s="1358"/>
      <c r="AS94" s="1358"/>
      <c r="AT94" s="1358"/>
      <c r="AU94" s="1358"/>
      <c r="AV94" s="1358"/>
      <c r="AW94" s="1358"/>
      <c r="AX94" s="1358"/>
      <c r="AY94" s="1358"/>
      <c r="AZ94" s="1358"/>
      <c r="BA94" s="1358"/>
      <c r="BB94" s="1358"/>
      <c r="BC94" s="1358"/>
      <c r="BD94" s="1358"/>
      <c r="BE94" s="1358"/>
      <c r="BF94" s="1358"/>
      <c r="BG94" s="1358"/>
      <c r="BH94" s="1358"/>
      <c r="BI94" s="1358"/>
      <c r="BJ94" s="1358"/>
      <c r="BK94" s="1358"/>
      <c r="BL94" s="1358"/>
      <c r="BM94" s="1358"/>
      <c r="BN94" s="1358"/>
      <c r="BO94" s="1358"/>
      <c r="BP94" s="1358"/>
      <c r="BQ94" s="1358"/>
    </row>
    <row r="95" spans="1:69" s="1354" customFormat="1" x14ac:dyDescent="0.25">
      <c r="A95" s="1353"/>
      <c r="B95" s="1353"/>
      <c r="C95" s="1353"/>
      <c r="D95" s="1353"/>
      <c r="E95" s="1353"/>
      <c r="F95" s="1353"/>
      <c r="G95" s="1353"/>
      <c r="H95" s="1353"/>
      <c r="I95" s="1353"/>
      <c r="J95" s="1353"/>
      <c r="K95" s="1387"/>
      <c r="L95" s="1353"/>
      <c r="M95" s="1353"/>
      <c r="N95" s="1353"/>
      <c r="V95" s="1358"/>
      <c r="W95" s="1358"/>
      <c r="X95" s="1358"/>
      <c r="Y95" s="1358"/>
      <c r="Z95" s="1358"/>
      <c r="AA95" s="1358"/>
      <c r="AB95" s="1358"/>
      <c r="AC95" s="1358"/>
      <c r="AD95" s="1358"/>
      <c r="AE95" s="1358"/>
      <c r="AF95" s="1358"/>
      <c r="AG95" s="1358"/>
      <c r="AH95" s="1358"/>
      <c r="AI95" s="1358"/>
      <c r="AJ95" s="1358"/>
      <c r="AK95" s="1358"/>
      <c r="AL95" s="1358"/>
      <c r="AM95" s="1358"/>
      <c r="AN95" s="1358"/>
      <c r="AO95" s="1358"/>
      <c r="AP95" s="1358"/>
      <c r="AQ95" s="1358"/>
      <c r="AR95" s="1358"/>
      <c r="AS95" s="1358"/>
      <c r="AT95" s="1358"/>
      <c r="AU95" s="1358"/>
      <c r="AV95" s="1358"/>
      <c r="AW95" s="1358"/>
      <c r="AX95" s="1358"/>
      <c r="AY95" s="1358"/>
      <c r="AZ95" s="1358"/>
      <c r="BA95" s="1358"/>
      <c r="BB95" s="1358"/>
      <c r="BC95" s="1358"/>
      <c r="BD95" s="1358"/>
      <c r="BE95" s="1358"/>
      <c r="BF95" s="1358"/>
      <c r="BG95" s="1358"/>
      <c r="BH95" s="1358"/>
      <c r="BI95" s="1358"/>
      <c r="BJ95" s="1358"/>
      <c r="BK95" s="1358"/>
      <c r="BL95" s="1358"/>
      <c r="BM95" s="1358"/>
      <c r="BN95" s="1358"/>
      <c r="BO95" s="1358"/>
      <c r="BP95" s="1358"/>
      <c r="BQ95" s="1358"/>
    </row>
    <row r="96" spans="1:69" s="1354" customFormat="1" x14ac:dyDescent="0.25">
      <c r="A96" s="1353"/>
      <c r="B96" s="1353"/>
      <c r="C96" s="1353"/>
      <c r="D96" s="1353"/>
      <c r="E96" s="1353"/>
      <c r="F96" s="1353"/>
      <c r="G96" s="1353"/>
      <c r="H96" s="1353"/>
      <c r="I96" s="1353"/>
      <c r="J96" s="1353"/>
      <c r="K96" s="1387"/>
      <c r="L96" s="1353"/>
      <c r="M96" s="1353"/>
      <c r="N96" s="1353"/>
      <c r="V96" s="1358"/>
      <c r="W96" s="1358"/>
      <c r="X96" s="1358"/>
      <c r="Y96" s="1358"/>
      <c r="Z96" s="1358"/>
      <c r="AA96" s="1358"/>
      <c r="AB96" s="1358"/>
      <c r="AC96" s="1358"/>
      <c r="AD96" s="1358"/>
      <c r="AE96" s="1358"/>
      <c r="AF96" s="1358"/>
      <c r="AG96" s="1358"/>
      <c r="AH96" s="1358"/>
      <c r="AI96" s="1358"/>
      <c r="AJ96" s="1358"/>
      <c r="AK96" s="1358"/>
      <c r="AL96" s="1358"/>
      <c r="AM96" s="1358"/>
      <c r="AN96" s="1358"/>
      <c r="AO96" s="1358"/>
      <c r="AP96" s="1358"/>
      <c r="AQ96" s="1358"/>
      <c r="AR96" s="1358"/>
      <c r="AS96" s="1358"/>
      <c r="AT96" s="1358"/>
      <c r="AU96" s="1358"/>
      <c r="AV96" s="1358"/>
      <c r="AW96" s="1358"/>
      <c r="AX96" s="1358"/>
      <c r="AY96" s="1358"/>
      <c r="AZ96" s="1358"/>
      <c r="BA96" s="1358"/>
      <c r="BB96" s="1358"/>
      <c r="BC96" s="1358"/>
      <c r="BD96" s="1358"/>
      <c r="BE96" s="1358"/>
      <c r="BF96" s="1358"/>
      <c r="BG96" s="1358"/>
      <c r="BH96" s="1358"/>
      <c r="BI96" s="1358"/>
      <c r="BJ96" s="1358"/>
      <c r="BK96" s="1358"/>
      <c r="BL96" s="1358"/>
      <c r="BM96" s="1358"/>
      <c r="BN96" s="1358"/>
      <c r="BO96" s="1358"/>
      <c r="BP96" s="1358"/>
      <c r="BQ96" s="1358"/>
    </row>
    <row r="97" spans="1:69" s="1354" customFormat="1" x14ac:dyDescent="0.25">
      <c r="A97" s="1353"/>
      <c r="B97" s="1353"/>
      <c r="C97" s="1353"/>
      <c r="D97" s="1353"/>
      <c r="E97" s="1353"/>
      <c r="F97" s="1353"/>
      <c r="G97" s="1353"/>
      <c r="H97" s="1353"/>
      <c r="I97" s="1353"/>
      <c r="J97" s="1353"/>
      <c r="K97" s="1387"/>
      <c r="L97" s="1353"/>
      <c r="M97" s="1353"/>
      <c r="N97" s="1353"/>
      <c r="V97" s="1358"/>
      <c r="W97" s="1358"/>
      <c r="X97" s="1358"/>
      <c r="Y97" s="1358"/>
      <c r="Z97" s="1358"/>
      <c r="AA97" s="1358"/>
      <c r="AB97" s="1358"/>
      <c r="AC97" s="1358"/>
      <c r="AD97" s="1358"/>
      <c r="AE97" s="1358"/>
      <c r="AF97" s="1358"/>
      <c r="AG97" s="1358"/>
      <c r="AH97" s="1358"/>
      <c r="AI97" s="1358"/>
      <c r="AJ97" s="1358"/>
      <c r="AK97" s="1358"/>
      <c r="AL97" s="1358"/>
      <c r="AM97" s="1358"/>
      <c r="AN97" s="1358"/>
      <c r="AO97" s="1358"/>
      <c r="AP97" s="1358"/>
      <c r="AQ97" s="1358"/>
      <c r="AR97" s="1358"/>
      <c r="AS97" s="1358"/>
      <c r="AT97" s="1358"/>
      <c r="AU97" s="1358"/>
      <c r="AV97" s="1358"/>
      <c r="AW97" s="1358"/>
      <c r="AX97" s="1358"/>
      <c r="AY97" s="1358"/>
      <c r="AZ97" s="1358"/>
      <c r="BA97" s="1358"/>
      <c r="BB97" s="1358"/>
      <c r="BC97" s="1358"/>
      <c r="BD97" s="1358"/>
      <c r="BE97" s="1358"/>
      <c r="BF97" s="1358"/>
      <c r="BG97" s="1358"/>
      <c r="BH97" s="1358"/>
      <c r="BI97" s="1358"/>
      <c r="BJ97" s="1358"/>
      <c r="BK97" s="1358"/>
      <c r="BL97" s="1358"/>
      <c r="BM97" s="1358"/>
      <c r="BN97" s="1358"/>
      <c r="BO97" s="1358"/>
      <c r="BP97" s="1358"/>
      <c r="BQ97" s="1358"/>
    </row>
    <row r="98" spans="1:69" s="1354" customFormat="1" x14ac:dyDescent="0.25">
      <c r="A98" s="1353"/>
      <c r="B98" s="1353"/>
      <c r="C98" s="1353"/>
      <c r="D98" s="1353"/>
      <c r="E98" s="1353"/>
      <c r="F98" s="1353"/>
      <c r="G98" s="1353"/>
      <c r="H98" s="1353"/>
      <c r="I98" s="1353"/>
      <c r="J98" s="1353"/>
      <c r="K98" s="1387"/>
      <c r="L98" s="1353"/>
      <c r="M98" s="1353"/>
      <c r="N98" s="1353"/>
      <c r="V98" s="1358"/>
      <c r="W98" s="1358"/>
      <c r="X98" s="1358"/>
      <c r="Y98" s="1358"/>
      <c r="Z98" s="1358"/>
      <c r="AA98" s="1358"/>
      <c r="AB98" s="1358"/>
      <c r="AC98" s="1358"/>
      <c r="AD98" s="1358"/>
      <c r="AE98" s="1358"/>
      <c r="AF98" s="1358"/>
      <c r="AG98" s="1358"/>
      <c r="AH98" s="1358"/>
      <c r="AI98" s="1358"/>
      <c r="AJ98" s="1358"/>
      <c r="AK98" s="1358"/>
      <c r="AL98" s="1358"/>
      <c r="AM98" s="1358"/>
      <c r="AN98" s="1358"/>
      <c r="AO98" s="1358"/>
      <c r="AP98" s="1358"/>
      <c r="AQ98" s="1358"/>
      <c r="AR98" s="1358"/>
      <c r="AS98" s="1358"/>
      <c r="AT98" s="1358"/>
      <c r="AU98" s="1358"/>
      <c r="AV98" s="1358"/>
      <c r="AW98" s="1358"/>
      <c r="AX98" s="1358"/>
      <c r="AY98" s="1358"/>
      <c r="AZ98" s="1358"/>
      <c r="BA98" s="1358"/>
      <c r="BB98" s="1358"/>
      <c r="BC98" s="1358"/>
      <c r="BD98" s="1358"/>
      <c r="BE98" s="1358"/>
      <c r="BF98" s="1358"/>
      <c r="BG98" s="1358"/>
      <c r="BH98" s="1358"/>
      <c r="BI98" s="1358"/>
      <c r="BJ98" s="1358"/>
      <c r="BK98" s="1358"/>
      <c r="BL98" s="1358"/>
      <c r="BM98" s="1358"/>
      <c r="BN98" s="1358"/>
      <c r="BO98" s="1358"/>
      <c r="BP98" s="1358"/>
      <c r="BQ98" s="1358"/>
    </row>
    <row r="99" spans="1:69" s="1354" customFormat="1" x14ac:dyDescent="0.25">
      <c r="A99" s="1353"/>
      <c r="B99" s="1353"/>
      <c r="C99" s="1353"/>
      <c r="D99" s="1353"/>
      <c r="E99" s="1353"/>
      <c r="F99" s="1353"/>
      <c r="G99" s="1353"/>
      <c r="H99" s="1353"/>
      <c r="I99" s="1353"/>
      <c r="J99" s="1353"/>
      <c r="K99" s="1387"/>
      <c r="L99" s="1353"/>
      <c r="M99" s="1353"/>
      <c r="N99" s="1353"/>
      <c r="V99" s="1358"/>
      <c r="W99" s="1358"/>
      <c r="X99" s="1358"/>
      <c r="Y99" s="1358"/>
      <c r="Z99" s="1358"/>
      <c r="AA99" s="1358"/>
      <c r="AB99" s="1358"/>
      <c r="AC99" s="1358"/>
      <c r="AD99" s="1358"/>
      <c r="AE99" s="1358"/>
      <c r="AF99" s="1358"/>
      <c r="AG99" s="1358"/>
      <c r="AH99" s="1358"/>
      <c r="AI99" s="1358"/>
      <c r="AJ99" s="1358"/>
      <c r="AK99" s="1358"/>
      <c r="AL99" s="1358"/>
      <c r="AM99" s="1358"/>
      <c r="AN99" s="1358"/>
      <c r="AO99" s="1358"/>
      <c r="AP99" s="1358"/>
      <c r="AQ99" s="1358"/>
      <c r="AR99" s="1358"/>
      <c r="AS99" s="1358"/>
      <c r="AT99" s="1358"/>
      <c r="AU99" s="1358"/>
      <c r="AV99" s="1358"/>
      <c r="AW99" s="1358"/>
      <c r="AX99" s="1358"/>
      <c r="AY99" s="1358"/>
      <c r="AZ99" s="1358"/>
      <c r="BA99" s="1358"/>
      <c r="BB99" s="1358"/>
      <c r="BC99" s="1358"/>
      <c r="BD99" s="1358"/>
      <c r="BE99" s="1358"/>
      <c r="BF99" s="1358"/>
      <c r="BG99" s="1358"/>
      <c r="BH99" s="1358"/>
      <c r="BI99" s="1358"/>
      <c r="BJ99" s="1358"/>
      <c r="BK99" s="1358"/>
      <c r="BL99" s="1358"/>
      <c r="BM99" s="1358"/>
      <c r="BN99" s="1358"/>
      <c r="BO99" s="1358"/>
      <c r="BP99" s="1358"/>
      <c r="BQ99" s="1358"/>
    </row>
    <row r="100" spans="1:69" s="1354" customFormat="1" x14ac:dyDescent="0.25">
      <c r="A100" s="1353"/>
      <c r="B100" s="1353"/>
      <c r="C100" s="1353"/>
      <c r="D100" s="1353"/>
      <c r="E100" s="1353"/>
      <c r="F100" s="1353"/>
      <c r="G100" s="1353"/>
      <c r="H100" s="1353"/>
      <c r="I100" s="1353"/>
      <c r="J100" s="1353"/>
      <c r="K100" s="1387"/>
      <c r="L100" s="1353"/>
      <c r="M100" s="1353"/>
      <c r="N100" s="1353"/>
      <c r="V100" s="1358"/>
      <c r="W100" s="1358"/>
      <c r="X100" s="1358"/>
      <c r="Y100" s="1358"/>
      <c r="Z100" s="1358"/>
      <c r="AA100" s="1358"/>
      <c r="AB100" s="1358"/>
      <c r="AC100" s="1358"/>
      <c r="AD100" s="1358"/>
      <c r="AE100" s="1358"/>
      <c r="AF100" s="1358"/>
      <c r="AG100" s="1358"/>
      <c r="AH100" s="1358"/>
      <c r="AI100" s="1358"/>
      <c r="AJ100" s="1358"/>
      <c r="AK100" s="1358"/>
      <c r="AL100" s="1358"/>
      <c r="AM100" s="1358"/>
      <c r="AN100" s="1358"/>
      <c r="AO100" s="1358"/>
      <c r="AP100" s="1358"/>
      <c r="AQ100" s="1358"/>
      <c r="AR100" s="1358"/>
      <c r="AS100" s="1358"/>
      <c r="AT100" s="1358"/>
      <c r="AU100" s="1358"/>
      <c r="AV100" s="1358"/>
      <c r="AW100" s="1358"/>
      <c r="AX100" s="1358"/>
      <c r="AY100" s="1358"/>
      <c r="AZ100" s="1358"/>
      <c r="BA100" s="1358"/>
      <c r="BB100" s="1358"/>
      <c r="BC100" s="1358"/>
      <c r="BD100" s="1358"/>
      <c r="BE100" s="1358"/>
      <c r="BF100" s="1358"/>
      <c r="BG100" s="1358"/>
      <c r="BH100" s="1358"/>
      <c r="BI100" s="1358"/>
      <c r="BJ100" s="1358"/>
      <c r="BK100" s="1358"/>
      <c r="BL100" s="1358"/>
      <c r="BM100" s="1358"/>
      <c r="BN100" s="1358"/>
      <c r="BO100" s="1358"/>
      <c r="BP100" s="1358"/>
      <c r="BQ100" s="1358"/>
    </row>
    <row r="101" spans="1:69" s="1354" customFormat="1" x14ac:dyDescent="0.25">
      <c r="A101" s="1353"/>
      <c r="B101" s="1353"/>
      <c r="C101" s="1353"/>
      <c r="D101" s="1353"/>
      <c r="E101" s="1353"/>
      <c r="F101" s="1353"/>
      <c r="G101" s="1353"/>
      <c r="H101" s="1353"/>
      <c r="I101" s="1353"/>
      <c r="J101" s="1353"/>
      <c r="K101" s="1387"/>
      <c r="L101" s="1353"/>
      <c r="M101" s="1353"/>
      <c r="N101" s="1353"/>
      <c r="V101" s="1358"/>
      <c r="W101" s="1358"/>
      <c r="X101" s="1358"/>
      <c r="Y101" s="1358"/>
      <c r="Z101" s="1358"/>
      <c r="AA101" s="1358"/>
      <c r="AB101" s="1358"/>
      <c r="AC101" s="1358"/>
      <c r="AD101" s="1358"/>
      <c r="AE101" s="1358"/>
      <c r="AF101" s="1358"/>
      <c r="AG101" s="1358"/>
      <c r="AH101" s="1358"/>
      <c r="AI101" s="1358"/>
      <c r="AJ101" s="1358"/>
      <c r="AK101" s="1358"/>
      <c r="AL101" s="1358"/>
      <c r="AM101" s="1358"/>
      <c r="AN101" s="1358"/>
      <c r="AO101" s="1358"/>
      <c r="AP101" s="1358"/>
      <c r="AQ101" s="1358"/>
      <c r="AR101" s="1358"/>
      <c r="AS101" s="1358"/>
      <c r="AT101" s="1358"/>
      <c r="AU101" s="1358"/>
      <c r="AV101" s="1358"/>
      <c r="AW101" s="1358"/>
      <c r="AX101" s="1358"/>
      <c r="AY101" s="1358"/>
      <c r="AZ101" s="1358"/>
      <c r="BA101" s="1358"/>
      <c r="BB101" s="1358"/>
      <c r="BC101" s="1358"/>
      <c r="BD101" s="1358"/>
      <c r="BE101" s="1358"/>
      <c r="BF101" s="1358"/>
      <c r="BG101" s="1358"/>
      <c r="BH101" s="1358"/>
      <c r="BI101" s="1358"/>
      <c r="BJ101" s="1358"/>
      <c r="BK101" s="1358"/>
      <c r="BL101" s="1358"/>
      <c r="BM101" s="1358"/>
      <c r="BN101" s="1358"/>
      <c r="BO101" s="1358"/>
      <c r="BP101" s="1358"/>
      <c r="BQ101" s="1358"/>
    </row>
    <row r="102" spans="1:69" s="1354" customFormat="1" x14ac:dyDescent="0.25">
      <c r="A102" s="1353"/>
      <c r="B102" s="1353"/>
      <c r="C102" s="1353"/>
      <c r="D102" s="1353"/>
      <c r="E102" s="1353"/>
      <c r="F102" s="1353"/>
      <c r="G102" s="1353"/>
      <c r="H102" s="1353"/>
      <c r="I102" s="1353"/>
      <c r="J102" s="1353"/>
      <c r="K102" s="1387"/>
      <c r="L102" s="1353"/>
      <c r="M102" s="1353"/>
      <c r="N102" s="1353"/>
      <c r="V102" s="1358"/>
      <c r="W102" s="1358"/>
      <c r="X102" s="1358"/>
      <c r="Y102" s="1358"/>
      <c r="Z102" s="1358"/>
      <c r="AA102" s="1358"/>
      <c r="AB102" s="1358"/>
      <c r="AC102" s="1358"/>
      <c r="AD102" s="1358"/>
      <c r="AE102" s="1358"/>
      <c r="AF102" s="1358"/>
      <c r="AG102" s="1358"/>
      <c r="AH102" s="1358"/>
      <c r="AI102" s="1358"/>
      <c r="AJ102" s="1358"/>
      <c r="AK102" s="1358"/>
      <c r="AL102" s="1358"/>
      <c r="AM102" s="1358"/>
      <c r="AN102" s="1358"/>
      <c r="AO102" s="1358"/>
      <c r="AP102" s="1358"/>
      <c r="AQ102" s="1358"/>
      <c r="AR102" s="1358"/>
      <c r="AS102" s="1358"/>
      <c r="AT102" s="1358"/>
      <c r="AU102" s="1358"/>
      <c r="AV102" s="1358"/>
      <c r="AW102" s="1358"/>
      <c r="AX102" s="1358"/>
      <c r="AY102" s="1358"/>
      <c r="AZ102" s="1358"/>
      <c r="BA102" s="1358"/>
      <c r="BB102" s="1358"/>
      <c r="BC102" s="1358"/>
      <c r="BD102" s="1358"/>
      <c r="BE102" s="1358"/>
      <c r="BF102" s="1358"/>
      <c r="BG102" s="1358"/>
      <c r="BH102" s="1358"/>
      <c r="BI102" s="1358"/>
      <c r="BJ102" s="1358"/>
      <c r="BK102" s="1358"/>
      <c r="BL102" s="1358"/>
      <c r="BM102" s="1358"/>
      <c r="BN102" s="1358"/>
      <c r="BO102" s="1358"/>
      <c r="BP102" s="1358"/>
      <c r="BQ102" s="1358"/>
    </row>
    <row r="103" spans="1:69" s="1354" customFormat="1" x14ac:dyDescent="0.25">
      <c r="A103" s="1353"/>
      <c r="B103" s="1353"/>
      <c r="C103" s="1353"/>
      <c r="D103" s="1353"/>
      <c r="E103" s="1353"/>
      <c r="F103" s="1353"/>
      <c r="G103" s="1353"/>
      <c r="H103" s="1353"/>
      <c r="I103" s="1353"/>
      <c r="J103" s="1353"/>
      <c r="K103" s="1387"/>
      <c r="L103" s="1353"/>
      <c r="M103" s="1353"/>
      <c r="N103" s="1353"/>
      <c r="V103" s="1358"/>
      <c r="W103" s="1358"/>
      <c r="X103" s="1358"/>
      <c r="Y103" s="1358"/>
      <c r="Z103" s="1358"/>
      <c r="AA103" s="1358"/>
      <c r="AB103" s="1358"/>
      <c r="AC103" s="1358"/>
      <c r="AD103" s="1358"/>
      <c r="AE103" s="1358"/>
      <c r="AF103" s="1358"/>
      <c r="AG103" s="1358"/>
      <c r="AH103" s="1358"/>
      <c r="AI103" s="1358"/>
      <c r="AJ103" s="1358"/>
      <c r="AK103" s="1358"/>
      <c r="AL103" s="1358"/>
      <c r="AM103" s="1358"/>
      <c r="AN103" s="1358"/>
      <c r="AO103" s="1358"/>
      <c r="AP103" s="1358"/>
      <c r="AQ103" s="1358"/>
      <c r="AR103" s="1358"/>
      <c r="AS103" s="1358"/>
      <c r="AT103" s="1358"/>
      <c r="AU103" s="1358"/>
      <c r="AV103" s="1358"/>
      <c r="AW103" s="1358"/>
      <c r="AX103" s="1358"/>
      <c r="AY103" s="1358"/>
      <c r="AZ103" s="1358"/>
      <c r="BA103" s="1358"/>
      <c r="BB103" s="1358"/>
      <c r="BC103" s="1358"/>
      <c r="BD103" s="1358"/>
      <c r="BE103" s="1358"/>
      <c r="BF103" s="1358"/>
      <c r="BG103" s="1358"/>
      <c r="BH103" s="1358"/>
      <c r="BI103" s="1358"/>
      <c r="BJ103" s="1358"/>
      <c r="BK103" s="1358"/>
      <c r="BL103" s="1358"/>
      <c r="BM103" s="1358"/>
      <c r="BN103" s="1358"/>
      <c r="BO103" s="1358"/>
      <c r="BP103" s="1358"/>
      <c r="BQ103" s="1358"/>
    </row>
    <row r="104" spans="1:69" s="1354" customFormat="1" x14ac:dyDescent="0.25">
      <c r="A104" s="1353"/>
      <c r="B104" s="1353"/>
      <c r="C104" s="1353"/>
      <c r="D104" s="1353"/>
      <c r="E104" s="1353"/>
      <c r="F104" s="1353"/>
      <c r="G104" s="1353"/>
      <c r="H104" s="1353"/>
      <c r="I104" s="1353"/>
      <c r="J104" s="1353"/>
      <c r="K104" s="1387"/>
      <c r="L104" s="1353"/>
      <c r="M104" s="1353"/>
      <c r="N104" s="1353"/>
      <c r="V104" s="1358"/>
      <c r="W104" s="1358"/>
      <c r="X104" s="1358"/>
      <c r="Y104" s="1358"/>
      <c r="Z104" s="1358"/>
      <c r="AA104" s="1358"/>
      <c r="AB104" s="1358"/>
      <c r="AC104" s="1358"/>
      <c r="AD104" s="1358"/>
      <c r="AE104" s="1358"/>
      <c r="AF104" s="1358"/>
      <c r="AG104" s="1358"/>
      <c r="AH104" s="1358"/>
      <c r="AI104" s="1358"/>
      <c r="AJ104" s="1358"/>
      <c r="AK104" s="1358"/>
      <c r="AL104" s="1358"/>
      <c r="AM104" s="1358"/>
      <c r="AN104" s="1358"/>
      <c r="AO104" s="1358"/>
      <c r="AP104" s="1358"/>
      <c r="AQ104" s="1358"/>
      <c r="AR104" s="1358"/>
      <c r="AS104" s="1358"/>
      <c r="AT104" s="1358"/>
      <c r="AU104" s="1358"/>
      <c r="AV104" s="1358"/>
      <c r="AW104" s="1358"/>
      <c r="AX104" s="1358"/>
      <c r="AY104" s="1358"/>
      <c r="AZ104" s="1358"/>
      <c r="BA104" s="1358"/>
      <c r="BB104" s="1358"/>
      <c r="BC104" s="1358"/>
      <c r="BD104" s="1358"/>
      <c r="BE104" s="1358"/>
      <c r="BF104" s="1358"/>
      <c r="BG104" s="1358"/>
      <c r="BH104" s="1358"/>
      <c r="BI104" s="1358"/>
      <c r="BJ104" s="1358"/>
      <c r="BK104" s="1358"/>
      <c r="BL104" s="1358"/>
      <c r="BM104" s="1358"/>
      <c r="BN104" s="1358"/>
      <c r="BO104" s="1358"/>
      <c r="BP104" s="1358"/>
      <c r="BQ104" s="1358"/>
    </row>
    <row r="105" spans="1:69" s="1354" customFormat="1" x14ac:dyDescent="0.25">
      <c r="A105" s="1353"/>
      <c r="B105" s="1353"/>
      <c r="C105" s="1353"/>
      <c r="D105" s="1353"/>
      <c r="E105" s="1353"/>
      <c r="F105" s="1353"/>
      <c r="G105" s="1353"/>
      <c r="H105" s="1353"/>
      <c r="I105" s="1353"/>
      <c r="J105" s="1353"/>
      <c r="K105" s="1387"/>
      <c r="L105" s="1353"/>
      <c r="M105" s="1353"/>
      <c r="N105" s="1353"/>
      <c r="V105" s="1358"/>
      <c r="W105" s="1358"/>
      <c r="X105" s="1358"/>
      <c r="Y105" s="1358"/>
      <c r="Z105" s="1358"/>
      <c r="AA105" s="1358"/>
      <c r="AB105" s="1358"/>
      <c r="AC105" s="1358"/>
      <c r="AD105" s="1358"/>
      <c r="AE105" s="1358"/>
      <c r="AF105" s="1358"/>
      <c r="AG105" s="1358"/>
      <c r="AH105" s="1358"/>
      <c r="AI105" s="1358"/>
      <c r="AJ105" s="1358"/>
      <c r="AK105" s="1358"/>
      <c r="AL105" s="1358"/>
      <c r="AM105" s="1358"/>
      <c r="AN105" s="1358"/>
      <c r="AO105" s="1358"/>
      <c r="AP105" s="1358"/>
      <c r="AQ105" s="1358"/>
      <c r="AR105" s="1358"/>
      <c r="AS105" s="1358"/>
      <c r="AT105" s="1358"/>
      <c r="AU105" s="1358"/>
      <c r="AV105" s="1358"/>
      <c r="AW105" s="1358"/>
      <c r="AX105" s="1358"/>
      <c r="AY105" s="1358"/>
      <c r="AZ105" s="1358"/>
      <c r="BA105" s="1358"/>
      <c r="BB105" s="1358"/>
      <c r="BC105" s="1358"/>
      <c r="BD105" s="1358"/>
      <c r="BE105" s="1358"/>
      <c r="BF105" s="1358"/>
      <c r="BG105" s="1358"/>
      <c r="BH105" s="1358"/>
      <c r="BI105" s="1358"/>
      <c r="BJ105" s="1358"/>
      <c r="BK105" s="1358"/>
      <c r="BL105" s="1358"/>
      <c r="BM105" s="1358"/>
      <c r="BN105" s="1358"/>
      <c r="BO105" s="1358"/>
      <c r="BP105" s="1358"/>
      <c r="BQ105" s="1358"/>
    </row>
    <row r="106" spans="1:69" s="1354" customFormat="1" x14ac:dyDescent="0.25">
      <c r="A106" s="1353"/>
      <c r="B106" s="1353"/>
      <c r="C106" s="1353"/>
      <c r="D106" s="1353"/>
      <c r="E106" s="1353"/>
      <c r="F106" s="1353"/>
      <c r="G106" s="1353"/>
      <c r="H106" s="1353"/>
      <c r="I106" s="1353"/>
      <c r="J106" s="1353"/>
      <c r="K106" s="1387"/>
      <c r="L106" s="1353"/>
      <c r="M106" s="1353"/>
      <c r="N106" s="1353"/>
      <c r="V106" s="1358"/>
      <c r="W106" s="1358"/>
      <c r="X106" s="1358"/>
      <c r="Y106" s="1358"/>
      <c r="Z106" s="1358"/>
      <c r="AA106" s="1358"/>
      <c r="AB106" s="1358"/>
      <c r="AC106" s="1358"/>
      <c r="AD106" s="1358"/>
      <c r="AE106" s="1358"/>
      <c r="AF106" s="1358"/>
      <c r="AG106" s="1358"/>
      <c r="AH106" s="1358"/>
      <c r="AI106" s="1358"/>
      <c r="AJ106" s="1358"/>
      <c r="AK106" s="1358"/>
      <c r="AL106" s="1358"/>
      <c r="AM106" s="1358"/>
      <c r="AN106" s="1358"/>
      <c r="AO106" s="1358"/>
      <c r="AP106" s="1358"/>
      <c r="AQ106" s="1358"/>
      <c r="AR106" s="1358"/>
      <c r="AS106" s="1358"/>
      <c r="AT106" s="1358"/>
      <c r="AU106" s="1358"/>
      <c r="AV106" s="1358"/>
      <c r="AW106" s="1358"/>
      <c r="AX106" s="1358"/>
      <c r="AY106" s="1358"/>
      <c r="AZ106" s="1358"/>
      <c r="BA106" s="1358"/>
      <c r="BB106" s="1358"/>
      <c r="BC106" s="1358"/>
      <c r="BD106" s="1358"/>
      <c r="BE106" s="1358"/>
      <c r="BF106" s="1358"/>
      <c r="BG106" s="1358"/>
      <c r="BH106" s="1358"/>
      <c r="BI106" s="1358"/>
      <c r="BJ106" s="1358"/>
      <c r="BK106" s="1358"/>
      <c r="BL106" s="1358"/>
      <c r="BM106" s="1358"/>
      <c r="BN106" s="1358"/>
      <c r="BO106" s="1358"/>
      <c r="BP106" s="1358"/>
      <c r="BQ106" s="1358"/>
    </row>
    <row r="107" spans="1:69" x14ac:dyDescent="0.25">
      <c r="A107" s="1353"/>
      <c r="B107" s="1353"/>
      <c r="C107" s="1353"/>
      <c r="D107" s="1353"/>
      <c r="E107" s="1353"/>
      <c r="F107" s="1353"/>
      <c r="G107" s="1353"/>
      <c r="H107" s="1353"/>
      <c r="I107" s="1353"/>
      <c r="J107" s="1353"/>
      <c r="K107" s="1387"/>
      <c r="L107" s="1353"/>
      <c r="M107" s="1353"/>
      <c r="N107" s="1353"/>
    </row>
    <row r="108" spans="1:69" x14ac:dyDescent="0.25">
      <c r="A108" s="1353"/>
      <c r="B108" s="1353"/>
      <c r="C108" s="1353"/>
      <c r="D108" s="1353"/>
      <c r="E108" s="1353"/>
      <c r="F108" s="1353"/>
      <c r="G108" s="1353"/>
      <c r="H108" s="1353"/>
      <c r="I108" s="1353"/>
      <c r="J108" s="1353"/>
      <c r="K108" s="1387"/>
      <c r="L108" s="1353"/>
      <c r="M108" s="1353"/>
      <c r="N108" s="1353"/>
    </row>
    <row r="109" spans="1:69" x14ac:dyDescent="0.25">
      <c r="A109" s="1353"/>
      <c r="B109" s="1353"/>
      <c r="C109" s="1353"/>
      <c r="D109" s="1353"/>
      <c r="E109" s="1353"/>
      <c r="F109" s="1353"/>
      <c r="G109" s="1353"/>
      <c r="H109" s="1353"/>
      <c r="I109" s="1353"/>
      <c r="J109" s="1353"/>
      <c r="K109" s="1387"/>
      <c r="L109" s="1353"/>
      <c r="M109" s="1353"/>
      <c r="N109" s="1353"/>
    </row>
    <row r="110" spans="1:69" x14ac:dyDescent="0.25">
      <c r="A110" s="1353"/>
      <c r="B110" s="1353"/>
      <c r="C110" s="1353"/>
      <c r="D110" s="1353"/>
      <c r="E110" s="1353"/>
      <c r="F110" s="1353"/>
      <c r="G110" s="1353"/>
      <c r="H110" s="1353"/>
      <c r="I110" s="1353"/>
      <c r="J110" s="1353"/>
      <c r="K110" s="1387"/>
      <c r="L110" s="1353"/>
      <c r="M110" s="1353"/>
      <c r="N110" s="1353"/>
    </row>
    <row r="111" spans="1:69" x14ac:dyDescent="0.25">
      <c r="A111" s="1353"/>
      <c r="B111" s="1353"/>
      <c r="C111" s="1353"/>
      <c r="D111" s="1353"/>
      <c r="E111" s="1353"/>
      <c r="F111" s="1353"/>
      <c r="G111" s="1353"/>
      <c r="H111" s="1353"/>
      <c r="I111" s="1353"/>
      <c r="J111" s="1353"/>
      <c r="K111" s="1387"/>
      <c r="L111" s="1353"/>
      <c r="M111" s="1353"/>
      <c r="N111" s="1353"/>
    </row>
    <row r="112" spans="1:69" x14ac:dyDescent="0.25">
      <c r="A112" s="1353"/>
      <c r="B112" s="1353"/>
      <c r="C112" s="1353"/>
      <c r="D112" s="1353"/>
      <c r="E112" s="1353"/>
      <c r="F112" s="1353"/>
      <c r="G112" s="1353"/>
      <c r="H112" s="1353"/>
      <c r="I112" s="1353"/>
      <c r="J112" s="1353"/>
      <c r="K112" s="1387"/>
      <c r="L112" s="1353"/>
      <c r="M112" s="1353"/>
      <c r="N112" s="1353"/>
    </row>
    <row r="113" spans="1:14" x14ac:dyDescent="0.25">
      <c r="A113" s="1353"/>
      <c r="B113" s="1353"/>
      <c r="C113" s="1353"/>
      <c r="D113" s="1353"/>
      <c r="E113" s="1353"/>
      <c r="F113" s="1353"/>
      <c r="G113" s="1353"/>
      <c r="H113" s="1353"/>
      <c r="I113" s="1353"/>
      <c r="J113" s="1353"/>
      <c r="K113" s="1387"/>
      <c r="L113" s="1353"/>
      <c r="M113" s="1353"/>
      <c r="N113" s="1353"/>
    </row>
    <row r="114" spans="1:14" x14ac:dyDescent="0.25">
      <c r="A114" s="1353"/>
      <c r="B114" s="1353"/>
      <c r="C114" s="1353"/>
      <c r="D114" s="1353"/>
      <c r="E114" s="1353"/>
      <c r="F114" s="1353"/>
      <c r="G114" s="1353"/>
      <c r="H114" s="1353"/>
      <c r="I114" s="1353"/>
      <c r="J114" s="1353"/>
      <c r="K114" s="1387"/>
      <c r="L114" s="1353"/>
      <c r="M114" s="1353"/>
      <c r="N114" s="1353"/>
    </row>
    <row r="115" spans="1:14" x14ac:dyDescent="0.25">
      <c r="A115" s="1353"/>
      <c r="B115" s="1353"/>
      <c r="C115" s="1353"/>
      <c r="D115" s="1353"/>
      <c r="E115" s="1353"/>
      <c r="F115" s="1353"/>
      <c r="G115" s="1353"/>
      <c r="H115" s="1353"/>
      <c r="I115" s="1353"/>
      <c r="J115" s="1353"/>
      <c r="K115" s="1387"/>
      <c r="L115" s="1353"/>
      <c r="M115" s="1353"/>
      <c r="N115" s="1353"/>
    </row>
    <row r="116" spans="1:14" x14ac:dyDescent="0.25">
      <c r="A116" s="1353"/>
      <c r="B116" s="1353"/>
      <c r="C116" s="1353"/>
      <c r="D116" s="1353"/>
      <c r="E116" s="1353"/>
      <c r="F116" s="1353"/>
      <c r="G116" s="1353"/>
      <c r="H116" s="1353"/>
      <c r="I116" s="1353"/>
      <c r="J116" s="1353"/>
      <c r="K116" s="1387"/>
      <c r="L116" s="1353"/>
      <c r="M116" s="1353"/>
      <c r="N116" s="1353"/>
    </row>
    <row r="117" spans="1:14" x14ac:dyDescent="0.25">
      <c r="A117" s="1353"/>
      <c r="B117" s="1353"/>
      <c r="C117" s="1353"/>
      <c r="D117" s="1353"/>
      <c r="E117" s="1353"/>
      <c r="F117" s="1353"/>
      <c r="G117" s="1353"/>
      <c r="H117" s="1353"/>
      <c r="I117" s="1353"/>
      <c r="J117" s="1353"/>
      <c r="K117" s="1387"/>
      <c r="L117" s="1353"/>
      <c r="M117" s="1353"/>
      <c r="N117" s="1353"/>
    </row>
    <row r="118" spans="1:14" x14ac:dyDescent="0.25">
      <c r="A118" s="1353"/>
      <c r="B118" s="1353"/>
      <c r="C118" s="1353"/>
      <c r="D118" s="1353"/>
      <c r="E118" s="1353"/>
      <c r="F118" s="1353"/>
      <c r="G118" s="1353"/>
      <c r="H118" s="1353"/>
      <c r="I118" s="1353"/>
      <c r="J118" s="1353"/>
      <c r="K118" s="1387"/>
      <c r="L118" s="1353"/>
      <c r="M118" s="1353"/>
      <c r="N118" s="1353"/>
    </row>
    <row r="119" spans="1:14" x14ac:dyDescent="0.25">
      <c r="A119" s="1353"/>
      <c r="B119" s="1353"/>
      <c r="C119" s="1353"/>
      <c r="D119" s="1353"/>
      <c r="E119" s="1353"/>
      <c r="F119" s="1353"/>
      <c r="G119" s="1353"/>
      <c r="H119" s="1353"/>
      <c r="I119" s="1353"/>
      <c r="J119" s="1353"/>
      <c r="K119" s="1387"/>
      <c r="L119" s="1353"/>
      <c r="M119" s="1353"/>
      <c r="N119" s="1353"/>
    </row>
    <row r="120" spans="1:14" x14ac:dyDescent="0.25">
      <c r="A120" s="1353"/>
      <c r="B120" s="1353"/>
      <c r="C120" s="1353"/>
      <c r="D120" s="1353"/>
      <c r="E120" s="1353"/>
      <c r="F120" s="1353"/>
      <c r="G120" s="1353"/>
      <c r="H120" s="1353"/>
      <c r="I120" s="1353"/>
      <c r="J120" s="1353"/>
      <c r="K120" s="1387"/>
      <c r="L120" s="1353"/>
      <c r="M120" s="1353"/>
      <c r="N120" s="1353"/>
    </row>
    <row r="121" spans="1:14" x14ac:dyDescent="0.25">
      <c r="A121" s="1353"/>
      <c r="B121" s="1353"/>
      <c r="C121" s="1353"/>
      <c r="D121" s="1353"/>
      <c r="E121" s="1353"/>
      <c r="F121" s="1353"/>
      <c r="G121" s="1353"/>
      <c r="H121" s="1353"/>
      <c r="I121" s="1353"/>
      <c r="J121" s="1353"/>
      <c r="K121" s="1387"/>
      <c r="L121" s="1353"/>
      <c r="M121" s="1353"/>
      <c r="N121" s="1353"/>
    </row>
    <row r="122" spans="1:14" x14ac:dyDescent="0.25">
      <c r="A122" s="1353"/>
      <c r="B122" s="1353"/>
      <c r="C122" s="1353"/>
      <c r="D122" s="1353"/>
      <c r="E122" s="1353"/>
      <c r="F122" s="1353"/>
      <c r="G122" s="1353"/>
      <c r="H122" s="1353"/>
      <c r="I122" s="1353"/>
      <c r="J122" s="1353"/>
      <c r="K122" s="1387"/>
      <c r="L122" s="1353"/>
      <c r="M122" s="1353"/>
      <c r="N122" s="1353"/>
    </row>
    <row r="123" spans="1:14" x14ac:dyDescent="0.25">
      <c r="A123" s="1353"/>
      <c r="B123" s="1353"/>
      <c r="C123" s="1353"/>
      <c r="D123" s="1353"/>
      <c r="E123" s="1353"/>
      <c r="F123" s="1353"/>
      <c r="G123" s="1353"/>
      <c r="H123" s="1353"/>
      <c r="I123" s="1353"/>
      <c r="J123" s="1353"/>
      <c r="K123" s="1387"/>
      <c r="L123" s="1353"/>
      <c r="M123" s="1353"/>
      <c r="N123" s="1353"/>
    </row>
    <row r="124" spans="1:14" x14ac:dyDescent="0.25">
      <c r="A124" s="1353"/>
      <c r="B124" s="1353"/>
      <c r="C124" s="1353"/>
      <c r="D124" s="1353"/>
      <c r="E124" s="1353"/>
      <c r="F124" s="1353"/>
      <c r="G124" s="1353"/>
      <c r="H124" s="1353"/>
      <c r="I124" s="1353"/>
      <c r="J124" s="1353"/>
      <c r="K124" s="1387"/>
      <c r="L124" s="1353"/>
      <c r="M124" s="1353"/>
      <c r="N124" s="1353"/>
    </row>
    <row r="125" spans="1:14" x14ac:dyDescent="0.25">
      <c r="A125" s="1353"/>
      <c r="B125" s="1353"/>
      <c r="C125" s="1353"/>
      <c r="D125" s="1353"/>
      <c r="E125" s="1353"/>
      <c r="F125" s="1353"/>
      <c r="G125" s="1353"/>
      <c r="H125" s="1353"/>
      <c r="I125" s="1353"/>
      <c r="J125" s="1353"/>
      <c r="K125" s="1387"/>
      <c r="L125" s="1353"/>
      <c r="M125" s="1353"/>
      <c r="N125" s="1353"/>
    </row>
    <row r="126" spans="1:14" x14ac:dyDescent="0.25">
      <c r="A126" s="1353"/>
      <c r="B126" s="1353"/>
      <c r="C126" s="1353"/>
      <c r="D126" s="1353"/>
      <c r="E126" s="1353"/>
      <c r="F126" s="1353"/>
      <c r="G126" s="1353"/>
      <c r="H126" s="1353"/>
      <c r="I126" s="1353"/>
      <c r="J126" s="1353"/>
      <c r="K126" s="1387"/>
      <c r="L126" s="1353"/>
      <c r="M126" s="1353"/>
      <c r="N126" s="1353"/>
    </row>
    <row r="127" spans="1:14" x14ac:dyDescent="0.25">
      <c r="A127" s="1353"/>
      <c r="B127" s="1353"/>
      <c r="C127" s="1353"/>
      <c r="D127" s="1353"/>
      <c r="E127" s="1353"/>
      <c r="F127" s="1353"/>
      <c r="G127" s="1353"/>
      <c r="H127" s="1353"/>
      <c r="I127" s="1353"/>
      <c r="J127" s="1353"/>
      <c r="K127" s="1387"/>
      <c r="L127" s="1353"/>
      <c r="M127" s="1353"/>
      <c r="N127" s="1353"/>
    </row>
    <row r="128" spans="1:14" x14ac:dyDescent="0.25">
      <c r="A128" s="1353"/>
      <c r="B128" s="1353"/>
      <c r="C128" s="1353"/>
      <c r="D128" s="1353"/>
      <c r="E128" s="1353"/>
      <c r="F128" s="1353"/>
      <c r="G128" s="1353"/>
      <c r="H128" s="1353"/>
      <c r="I128" s="1353"/>
      <c r="J128" s="1353"/>
      <c r="K128" s="1387"/>
      <c r="L128" s="1353"/>
      <c r="M128" s="1353"/>
      <c r="N128" s="1353"/>
    </row>
    <row r="129" spans="1:14" x14ac:dyDescent="0.25">
      <c r="A129" s="1353"/>
      <c r="B129" s="1353"/>
      <c r="C129" s="1353"/>
      <c r="D129" s="1353"/>
      <c r="E129" s="1353"/>
      <c r="F129" s="1353"/>
      <c r="G129" s="1353"/>
      <c r="H129" s="1353"/>
      <c r="I129" s="1353"/>
      <c r="J129" s="1353"/>
      <c r="K129" s="1387"/>
      <c r="L129" s="1353"/>
      <c r="M129" s="1353"/>
      <c r="N129" s="1353"/>
    </row>
    <row r="130" spans="1:14" x14ac:dyDescent="0.25">
      <c r="A130" s="1353"/>
      <c r="B130" s="1353"/>
      <c r="C130" s="1353"/>
      <c r="D130" s="1353"/>
      <c r="E130" s="1353"/>
      <c r="F130" s="1353"/>
      <c r="G130" s="1353"/>
      <c r="H130" s="1353"/>
      <c r="I130" s="1353"/>
      <c r="J130" s="1353"/>
      <c r="K130" s="1387"/>
      <c r="L130" s="1353"/>
      <c r="M130" s="1353"/>
      <c r="N130" s="1353"/>
    </row>
    <row r="131" spans="1:14" x14ac:dyDescent="0.25">
      <c r="A131" s="1353"/>
      <c r="B131" s="1353"/>
      <c r="C131" s="1353"/>
      <c r="D131" s="1353"/>
      <c r="E131" s="1353"/>
      <c r="F131" s="1353"/>
      <c r="G131" s="1353"/>
      <c r="H131" s="1353"/>
      <c r="I131" s="1353"/>
      <c r="J131" s="1353"/>
      <c r="K131" s="1387"/>
      <c r="L131" s="1353"/>
      <c r="M131" s="1353"/>
      <c r="N131" s="1353"/>
    </row>
    <row r="132" spans="1:14" x14ac:dyDescent="0.25">
      <c r="A132" s="1353"/>
      <c r="B132" s="1353"/>
      <c r="C132" s="1353"/>
      <c r="D132" s="1353"/>
      <c r="E132" s="1353"/>
      <c r="F132" s="1353"/>
      <c r="G132" s="1353"/>
      <c r="H132" s="1353"/>
      <c r="I132" s="1353"/>
      <c r="J132" s="1353"/>
      <c r="K132" s="1387"/>
      <c r="L132" s="1353"/>
      <c r="M132" s="1353"/>
      <c r="N132" s="1353"/>
    </row>
    <row r="133" spans="1:14" x14ac:dyDescent="0.25">
      <c r="A133" s="1353"/>
      <c r="B133" s="1353"/>
      <c r="C133" s="1353"/>
      <c r="D133" s="1353"/>
      <c r="E133" s="1353"/>
      <c r="F133" s="1353"/>
      <c r="G133" s="1353"/>
      <c r="H133" s="1353"/>
      <c r="I133" s="1353"/>
      <c r="J133" s="1353"/>
      <c r="K133" s="1387"/>
      <c r="L133" s="1353"/>
      <c r="M133" s="1353"/>
      <c r="N133" s="1353"/>
    </row>
    <row r="134" spans="1:14" x14ac:dyDescent="0.25">
      <c r="A134" s="1353"/>
      <c r="B134" s="1353"/>
      <c r="C134" s="1353"/>
      <c r="D134" s="1353"/>
      <c r="E134" s="1353"/>
      <c r="F134" s="1353"/>
      <c r="G134" s="1353"/>
      <c r="H134" s="1353"/>
      <c r="I134" s="1353"/>
      <c r="J134" s="1353"/>
      <c r="K134" s="1387"/>
      <c r="L134" s="1353"/>
      <c r="M134" s="1353"/>
      <c r="N134" s="1353"/>
    </row>
    <row r="135" spans="1:14" x14ac:dyDescent="0.25">
      <c r="A135" s="1353"/>
      <c r="B135" s="1353"/>
      <c r="C135" s="1353"/>
      <c r="D135" s="1353"/>
      <c r="E135" s="1353"/>
      <c r="F135" s="1353"/>
      <c r="G135" s="1353"/>
      <c r="H135" s="1353"/>
      <c r="I135" s="1353"/>
      <c r="J135" s="1353"/>
      <c r="K135" s="1387"/>
      <c r="L135" s="1353"/>
      <c r="M135" s="1353"/>
      <c r="N135" s="1353"/>
    </row>
    <row r="136" spans="1:14" x14ac:dyDescent="0.25">
      <c r="A136" s="1353"/>
      <c r="B136" s="1353"/>
      <c r="C136" s="1353"/>
      <c r="D136" s="1353"/>
      <c r="E136" s="1353"/>
      <c r="F136" s="1353"/>
      <c r="G136" s="1353"/>
      <c r="H136" s="1353"/>
      <c r="I136" s="1353"/>
      <c r="J136" s="1353"/>
      <c r="K136" s="1387"/>
      <c r="L136" s="1353"/>
      <c r="M136" s="1353"/>
      <c r="N136" s="1353"/>
    </row>
    <row r="137" spans="1:14" x14ac:dyDescent="0.25">
      <c r="A137" s="1353"/>
      <c r="B137" s="1353"/>
      <c r="C137" s="1353"/>
      <c r="D137" s="1353"/>
      <c r="E137" s="1353"/>
      <c r="F137" s="1353"/>
      <c r="G137" s="1353"/>
      <c r="H137" s="1353"/>
      <c r="I137" s="1353"/>
      <c r="J137" s="1353"/>
      <c r="K137" s="1387"/>
      <c r="L137" s="1353"/>
      <c r="M137" s="1353"/>
      <c r="N137" s="1353"/>
    </row>
    <row r="138" spans="1:14" x14ac:dyDescent="0.25">
      <c r="A138" s="1353"/>
      <c r="B138" s="1353"/>
      <c r="C138" s="1353"/>
      <c r="D138" s="1353"/>
      <c r="E138" s="1353"/>
      <c r="F138" s="1353"/>
      <c r="G138" s="1353"/>
      <c r="H138" s="1353"/>
      <c r="I138" s="1353"/>
      <c r="J138" s="1353"/>
      <c r="K138" s="1387"/>
      <c r="L138" s="1353"/>
      <c r="M138" s="1353"/>
      <c r="N138" s="1353"/>
    </row>
    <row r="139" spans="1:14" x14ac:dyDescent="0.25">
      <c r="A139" s="1353"/>
      <c r="B139" s="1353"/>
      <c r="C139" s="1353"/>
      <c r="D139" s="1353"/>
      <c r="E139" s="1353"/>
      <c r="F139" s="1353"/>
      <c r="G139" s="1353"/>
      <c r="H139" s="1353"/>
      <c r="I139" s="1353"/>
      <c r="J139" s="1353"/>
      <c r="K139" s="1387"/>
      <c r="L139" s="1353"/>
      <c r="M139" s="1353"/>
      <c r="N139" s="1353"/>
    </row>
    <row r="140" spans="1:14" x14ac:dyDescent="0.25">
      <c r="A140" s="1353"/>
      <c r="B140" s="1353"/>
      <c r="C140" s="1353"/>
      <c r="D140" s="1353"/>
      <c r="E140" s="1353"/>
      <c r="F140" s="1353"/>
      <c r="G140" s="1353"/>
      <c r="H140" s="1353"/>
      <c r="I140" s="1353"/>
      <c r="J140" s="1353"/>
      <c r="K140" s="1387"/>
      <c r="L140" s="1353"/>
      <c r="M140" s="1353"/>
      <c r="N140" s="1353"/>
    </row>
    <row r="141" spans="1:14" x14ac:dyDescent="0.25">
      <c r="A141" s="1353"/>
      <c r="B141" s="1353"/>
      <c r="C141" s="1353"/>
      <c r="D141" s="1353"/>
      <c r="E141" s="1353"/>
      <c r="F141" s="1353"/>
      <c r="G141" s="1353"/>
      <c r="H141" s="1353"/>
      <c r="I141" s="1353"/>
      <c r="J141" s="1353"/>
      <c r="K141" s="1387"/>
      <c r="L141" s="1353"/>
      <c r="M141" s="1353"/>
      <c r="N141" s="1353"/>
    </row>
    <row r="142" spans="1:14" x14ac:dyDescent="0.25">
      <c r="A142" s="1353"/>
      <c r="B142" s="1353"/>
      <c r="C142" s="1353"/>
      <c r="D142" s="1353"/>
      <c r="E142" s="1353"/>
      <c r="F142" s="1353"/>
      <c r="G142" s="1353"/>
      <c r="H142" s="1353"/>
      <c r="I142" s="1353"/>
      <c r="J142" s="1353"/>
      <c r="K142" s="1387"/>
      <c r="L142" s="1353"/>
      <c r="M142" s="1353"/>
      <c r="N142" s="1353"/>
    </row>
    <row r="143" spans="1:14" x14ac:dyDescent="0.25">
      <c r="A143" s="1353"/>
      <c r="B143" s="1353"/>
      <c r="C143" s="1353"/>
      <c r="D143" s="1353"/>
      <c r="E143" s="1353"/>
      <c r="F143" s="1353"/>
      <c r="G143" s="1353"/>
      <c r="H143" s="1353"/>
      <c r="I143" s="1353"/>
      <c r="J143" s="1353"/>
      <c r="K143" s="1387"/>
      <c r="L143" s="1353"/>
      <c r="M143" s="1353"/>
      <c r="N143" s="1353"/>
    </row>
    <row r="144" spans="1:14" x14ac:dyDescent="0.25">
      <c r="A144" s="1353"/>
      <c r="B144" s="1353"/>
      <c r="C144" s="1353"/>
      <c r="D144" s="1353"/>
      <c r="E144" s="1353"/>
      <c r="F144" s="1353"/>
      <c r="G144" s="1353"/>
      <c r="H144" s="1353"/>
      <c r="I144" s="1353"/>
      <c r="J144" s="1353"/>
      <c r="K144" s="1387"/>
      <c r="L144" s="1353"/>
      <c r="M144" s="1353"/>
      <c r="N144" s="1353"/>
    </row>
    <row r="145" spans="1:14" x14ac:dyDescent="0.25">
      <c r="A145" s="1353"/>
      <c r="B145" s="1353"/>
      <c r="C145" s="1353"/>
      <c r="D145" s="1353"/>
      <c r="E145" s="1353"/>
      <c r="F145" s="1353"/>
      <c r="G145" s="1353"/>
      <c r="H145" s="1353"/>
      <c r="I145" s="1353"/>
      <c r="J145" s="1353"/>
      <c r="K145" s="1387"/>
      <c r="L145" s="1353"/>
      <c r="M145" s="1353"/>
      <c r="N145" s="1353"/>
    </row>
    <row r="146" spans="1:14" x14ac:dyDescent="0.25">
      <c r="A146" s="1353"/>
      <c r="B146" s="1353"/>
      <c r="C146" s="1353"/>
      <c r="D146" s="1353"/>
      <c r="E146" s="1353"/>
      <c r="F146" s="1353"/>
      <c r="G146" s="1353"/>
      <c r="H146" s="1353"/>
      <c r="I146" s="1353"/>
      <c r="J146" s="1353"/>
      <c r="K146" s="1387"/>
      <c r="L146" s="1353"/>
      <c r="M146" s="1353"/>
      <c r="N146" s="1353"/>
    </row>
    <row r="147" spans="1:14" x14ac:dyDescent="0.25">
      <c r="A147" s="1353"/>
      <c r="B147" s="1353"/>
      <c r="C147" s="1353"/>
      <c r="D147" s="1353"/>
      <c r="E147" s="1353"/>
      <c r="F147" s="1353"/>
      <c r="G147" s="1353"/>
      <c r="H147" s="1353"/>
      <c r="I147" s="1353"/>
      <c r="J147" s="1353"/>
      <c r="K147" s="1387"/>
      <c r="L147" s="1353"/>
      <c r="M147" s="1353"/>
      <c r="N147" s="1353"/>
    </row>
    <row r="148" spans="1:14" x14ac:dyDescent="0.25">
      <c r="A148" s="1353"/>
      <c r="B148" s="1353"/>
      <c r="C148" s="1353"/>
      <c r="D148" s="1353"/>
      <c r="E148" s="1353"/>
      <c r="F148" s="1353"/>
      <c r="G148" s="1353"/>
      <c r="H148" s="1353"/>
      <c r="I148" s="1353"/>
      <c r="J148" s="1353"/>
      <c r="K148" s="1387"/>
      <c r="L148" s="1353"/>
      <c r="M148" s="1353"/>
      <c r="N148" s="1353"/>
    </row>
    <row r="149" spans="1:14" x14ac:dyDescent="0.25">
      <c r="A149" s="1353"/>
      <c r="B149" s="1353"/>
      <c r="C149" s="1353"/>
      <c r="D149" s="1353"/>
      <c r="E149" s="1353"/>
      <c r="F149" s="1353"/>
      <c r="G149" s="1353"/>
      <c r="H149" s="1353"/>
      <c r="I149" s="1353"/>
      <c r="J149" s="1353"/>
      <c r="K149" s="1387"/>
      <c r="L149" s="1353"/>
      <c r="M149" s="1353"/>
      <c r="N149" s="1353"/>
    </row>
    <row r="150" spans="1:14" x14ac:dyDescent="0.25">
      <c r="A150" s="1353"/>
      <c r="B150" s="1353"/>
      <c r="C150" s="1353"/>
      <c r="D150" s="1353"/>
      <c r="E150" s="1353"/>
      <c r="F150" s="1353"/>
      <c r="G150" s="1353"/>
      <c r="H150" s="1353"/>
      <c r="I150" s="1353"/>
      <c r="J150" s="1353"/>
      <c r="K150" s="1387"/>
      <c r="L150" s="1353"/>
      <c r="M150" s="1353"/>
      <c r="N150" s="1353"/>
    </row>
    <row r="151" spans="1:14" x14ac:dyDescent="0.25">
      <c r="A151" s="1353"/>
      <c r="B151" s="1353"/>
      <c r="C151" s="1353"/>
      <c r="D151" s="1353"/>
      <c r="E151" s="1353"/>
      <c r="F151" s="1353"/>
      <c r="G151" s="1353"/>
      <c r="H151" s="1353"/>
      <c r="I151" s="1353"/>
      <c r="J151" s="1353"/>
      <c r="K151" s="1387"/>
      <c r="L151" s="1353"/>
      <c r="M151" s="1353"/>
      <c r="N151" s="1353"/>
    </row>
    <row r="152" spans="1:14" x14ac:dyDescent="0.25">
      <c r="A152" s="1353"/>
      <c r="B152" s="1353"/>
      <c r="C152" s="1353"/>
      <c r="D152" s="1353"/>
      <c r="E152" s="1353"/>
      <c r="F152" s="1353"/>
      <c r="G152" s="1353"/>
      <c r="H152" s="1353"/>
      <c r="I152" s="1353"/>
      <c r="J152" s="1353"/>
      <c r="K152" s="1387"/>
      <c r="L152" s="1353"/>
      <c r="M152" s="1353"/>
      <c r="N152" s="1353"/>
    </row>
    <row r="153" spans="1:14" x14ac:dyDescent="0.25">
      <c r="A153" s="1353"/>
      <c r="B153" s="1353"/>
      <c r="C153" s="1353"/>
      <c r="D153" s="1353"/>
      <c r="E153" s="1353"/>
      <c r="F153" s="1353"/>
      <c r="G153" s="1353"/>
      <c r="H153" s="1353"/>
      <c r="I153" s="1353"/>
      <c r="J153" s="1353"/>
      <c r="K153" s="1387"/>
      <c r="L153" s="1353"/>
      <c r="M153" s="1353"/>
      <c r="N153" s="1353"/>
    </row>
    <row r="154" spans="1:14" x14ac:dyDescent="0.25">
      <c r="A154" s="1353"/>
      <c r="B154" s="1353"/>
      <c r="C154" s="1353"/>
      <c r="D154" s="1353"/>
      <c r="E154" s="1353"/>
      <c r="F154" s="1353"/>
      <c r="G154" s="1353"/>
      <c r="H154" s="1353"/>
      <c r="I154" s="1353"/>
      <c r="J154" s="1353"/>
      <c r="K154" s="1387"/>
      <c r="L154" s="1353"/>
      <c r="M154" s="1353"/>
      <c r="N154" s="1353"/>
    </row>
    <row r="155" spans="1:14" x14ac:dyDescent="0.25">
      <c r="A155" s="1353"/>
      <c r="B155" s="1353"/>
      <c r="C155" s="1353"/>
      <c r="D155" s="1353"/>
      <c r="E155" s="1353"/>
      <c r="F155" s="1353"/>
      <c r="G155" s="1353"/>
      <c r="H155" s="1353"/>
      <c r="I155" s="1353"/>
      <c r="J155" s="1353"/>
      <c r="K155" s="1387"/>
      <c r="L155" s="1353"/>
      <c r="M155" s="1353"/>
      <c r="N155" s="1353"/>
    </row>
    <row r="156" spans="1:14" x14ac:dyDescent="0.25">
      <c r="A156" s="1353"/>
      <c r="B156" s="1353"/>
      <c r="C156" s="1353"/>
      <c r="D156" s="1353"/>
      <c r="E156" s="1353"/>
      <c r="F156" s="1353"/>
      <c r="G156" s="1353"/>
      <c r="H156" s="1353"/>
      <c r="I156" s="1353"/>
      <c r="J156" s="1353"/>
      <c r="K156" s="1387"/>
      <c r="L156" s="1353"/>
      <c r="M156" s="1353"/>
      <c r="N156" s="1353"/>
    </row>
    <row r="157" spans="1:14" x14ac:dyDescent="0.25">
      <c r="A157" s="1353"/>
      <c r="B157" s="1353"/>
      <c r="C157" s="1353"/>
      <c r="D157" s="1353"/>
      <c r="E157" s="1353"/>
      <c r="F157" s="1353"/>
      <c r="G157" s="1353"/>
      <c r="H157" s="1353"/>
      <c r="I157" s="1353"/>
      <c r="J157" s="1353"/>
      <c r="K157" s="1387"/>
      <c r="L157" s="1353"/>
      <c r="M157" s="1353"/>
      <c r="N157" s="1353"/>
    </row>
    <row r="158" spans="1:14" x14ac:dyDescent="0.25">
      <c r="A158" s="1353"/>
      <c r="B158" s="1353"/>
      <c r="C158" s="1353"/>
      <c r="D158" s="1353"/>
      <c r="E158" s="1353"/>
      <c r="F158" s="1353"/>
      <c r="G158" s="1353"/>
      <c r="H158" s="1353"/>
      <c r="I158" s="1353"/>
      <c r="J158" s="1353"/>
      <c r="K158" s="1387"/>
      <c r="L158" s="1353"/>
      <c r="M158" s="1353"/>
      <c r="N158" s="1353"/>
    </row>
    <row r="159" spans="1:14" x14ac:dyDescent="0.25">
      <c r="A159" s="1353"/>
      <c r="B159" s="1353"/>
      <c r="C159" s="1353"/>
      <c r="D159" s="1353"/>
      <c r="E159" s="1353"/>
      <c r="F159" s="1353"/>
      <c r="G159" s="1353"/>
      <c r="H159" s="1353"/>
      <c r="I159" s="1353"/>
      <c r="J159" s="1353"/>
      <c r="K159" s="1387"/>
      <c r="L159" s="1353"/>
      <c r="M159" s="1353"/>
      <c r="N159" s="1353"/>
    </row>
    <row r="160" spans="1:14" x14ac:dyDescent="0.25">
      <c r="A160" s="1353"/>
      <c r="B160" s="1353"/>
      <c r="C160" s="1353"/>
      <c r="D160" s="1353"/>
      <c r="E160" s="1353"/>
      <c r="F160" s="1353"/>
      <c r="G160" s="1353"/>
      <c r="H160" s="1353"/>
      <c r="I160" s="1353"/>
      <c r="J160" s="1353"/>
      <c r="K160" s="1387"/>
      <c r="L160" s="1353"/>
      <c r="M160" s="1353"/>
      <c r="N160" s="1353"/>
    </row>
    <row r="161" spans="1:14" x14ac:dyDescent="0.25">
      <c r="A161" s="1353"/>
      <c r="B161" s="1353"/>
      <c r="C161" s="1353"/>
      <c r="D161" s="1353"/>
      <c r="E161" s="1353"/>
      <c r="F161" s="1353"/>
      <c r="G161" s="1353"/>
      <c r="H161" s="1353"/>
      <c r="I161" s="1353"/>
      <c r="J161" s="1353"/>
      <c r="K161" s="1387"/>
      <c r="L161" s="1353"/>
      <c r="M161" s="1353"/>
      <c r="N161" s="1353"/>
    </row>
    <row r="162" spans="1:14" x14ac:dyDescent="0.25">
      <c r="A162" s="1353"/>
      <c r="B162" s="1353"/>
      <c r="C162" s="1353"/>
      <c r="D162" s="1353"/>
      <c r="E162" s="1353"/>
      <c r="F162" s="1353"/>
      <c r="G162" s="1353"/>
      <c r="H162" s="1353"/>
      <c r="I162" s="1353"/>
      <c r="J162" s="1353"/>
      <c r="K162" s="1387"/>
      <c r="L162" s="1353"/>
      <c r="M162" s="1353"/>
      <c r="N162" s="1353"/>
    </row>
    <row r="163" spans="1:14" x14ac:dyDescent="0.25">
      <c r="A163" s="1353"/>
      <c r="B163" s="1353"/>
      <c r="C163" s="1353"/>
      <c r="D163" s="1353"/>
      <c r="E163" s="1353"/>
      <c r="F163" s="1353"/>
      <c r="G163" s="1353"/>
      <c r="H163" s="1353"/>
      <c r="I163" s="1353"/>
      <c r="J163" s="1353"/>
      <c r="K163" s="1387"/>
      <c r="L163" s="1353"/>
      <c r="M163" s="1353"/>
      <c r="N163" s="1353"/>
    </row>
    <row r="164" spans="1:14" x14ac:dyDescent="0.25">
      <c r="A164" s="1353"/>
      <c r="B164" s="1353"/>
      <c r="C164" s="1353"/>
      <c r="D164" s="1353"/>
      <c r="E164" s="1353"/>
      <c r="F164" s="1353"/>
      <c r="G164" s="1353"/>
      <c r="H164" s="1353"/>
      <c r="I164" s="1353"/>
      <c r="J164" s="1353"/>
      <c r="K164" s="1387"/>
      <c r="L164" s="1353"/>
      <c r="M164" s="1353"/>
      <c r="N164" s="1353"/>
    </row>
    <row r="165" spans="1:14" x14ac:dyDescent="0.25">
      <c r="A165" s="1353"/>
      <c r="B165" s="1353"/>
      <c r="C165" s="1353"/>
      <c r="D165" s="1353"/>
      <c r="E165" s="1353"/>
      <c r="F165" s="1353"/>
      <c r="G165" s="1353"/>
      <c r="H165" s="1353"/>
      <c r="I165" s="1353"/>
      <c r="J165" s="1353"/>
      <c r="K165" s="1387"/>
      <c r="L165" s="1353"/>
      <c r="M165" s="1353"/>
      <c r="N165" s="1353"/>
    </row>
    <row r="166" spans="1:14" x14ac:dyDescent="0.25">
      <c r="A166" s="1353"/>
      <c r="B166" s="1353"/>
      <c r="C166" s="1353"/>
      <c r="D166" s="1353"/>
      <c r="E166" s="1353"/>
      <c r="F166" s="1353"/>
      <c r="G166" s="1353"/>
      <c r="H166" s="1353"/>
      <c r="I166" s="1353"/>
      <c r="J166" s="1353"/>
      <c r="K166" s="1387"/>
      <c r="L166" s="1353"/>
      <c r="M166" s="1353"/>
      <c r="N166" s="1353"/>
    </row>
    <row r="167" spans="1:14" x14ac:dyDescent="0.25">
      <c r="A167" s="1353"/>
      <c r="B167" s="1353"/>
      <c r="C167" s="1353"/>
      <c r="D167" s="1353"/>
      <c r="E167" s="1353"/>
      <c r="F167" s="1353"/>
      <c r="G167" s="1353"/>
      <c r="H167" s="1353"/>
      <c r="I167" s="1353"/>
      <c r="J167" s="1353"/>
      <c r="K167" s="1387"/>
      <c r="L167" s="1353"/>
      <c r="M167" s="1353"/>
      <c r="N167" s="1353"/>
    </row>
    <row r="168" spans="1:14" x14ac:dyDescent="0.25">
      <c r="A168" s="1353"/>
      <c r="B168" s="1353"/>
      <c r="C168" s="1353"/>
      <c r="D168" s="1353"/>
      <c r="E168" s="1353"/>
      <c r="F168" s="1353"/>
      <c r="G168" s="1353"/>
      <c r="H168" s="1353"/>
      <c r="I168" s="1353"/>
      <c r="J168" s="1353"/>
      <c r="K168" s="1387"/>
      <c r="L168" s="1353"/>
      <c r="M168" s="1353"/>
      <c r="N168" s="1353"/>
    </row>
    <row r="169" spans="1:14" x14ac:dyDescent="0.25">
      <c r="A169" s="1353"/>
      <c r="B169" s="1353"/>
      <c r="C169" s="1353"/>
      <c r="D169" s="1353"/>
      <c r="E169" s="1353"/>
      <c r="F169" s="1353"/>
      <c r="G169" s="1353"/>
      <c r="H169" s="1353"/>
      <c r="I169" s="1353"/>
      <c r="J169" s="1353"/>
      <c r="K169" s="1387"/>
      <c r="L169" s="1353"/>
      <c r="M169" s="1353"/>
      <c r="N169" s="1353"/>
    </row>
    <row r="170" spans="1:14" x14ac:dyDescent="0.25">
      <c r="A170" s="1353"/>
      <c r="B170" s="1353"/>
      <c r="C170" s="1353"/>
      <c r="D170" s="1353"/>
      <c r="E170" s="1353"/>
      <c r="F170" s="1353"/>
      <c r="G170" s="1353"/>
      <c r="H170" s="1353"/>
      <c r="I170" s="1353"/>
      <c r="J170" s="1353"/>
      <c r="K170" s="1387"/>
      <c r="L170" s="1353"/>
      <c r="M170" s="1353"/>
      <c r="N170" s="1353"/>
    </row>
    <row r="171" spans="1:14" x14ac:dyDescent="0.25">
      <c r="A171" s="1353"/>
      <c r="B171" s="1353"/>
      <c r="C171" s="1353"/>
      <c r="D171" s="1353"/>
      <c r="E171" s="1353"/>
      <c r="F171" s="1353"/>
      <c r="G171" s="1353"/>
      <c r="H171" s="1353"/>
      <c r="I171" s="1353"/>
      <c r="J171" s="1353"/>
      <c r="K171" s="1387"/>
      <c r="L171" s="1353"/>
      <c r="M171" s="1353"/>
      <c r="N171" s="1353"/>
    </row>
    <row r="172" spans="1:14" x14ac:dyDescent="0.25">
      <c r="A172" s="1353"/>
      <c r="B172" s="1353"/>
      <c r="C172" s="1353"/>
      <c r="D172" s="1353"/>
      <c r="E172" s="1353"/>
      <c r="F172" s="1353"/>
      <c r="G172" s="1353"/>
      <c r="H172" s="1353"/>
      <c r="I172" s="1353"/>
      <c r="J172" s="1353"/>
      <c r="K172" s="1387"/>
      <c r="L172" s="1353"/>
      <c r="M172" s="1353"/>
      <c r="N172" s="1353"/>
    </row>
    <row r="173" spans="1:14" x14ac:dyDescent="0.25">
      <c r="A173" s="1353"/>
      <c r="B173" s="1353"/>
      <c r="C173" s="1353"/>
      <c r="D173" s="1353"/>
      <c r="E173" s="1353"/>
      <c r="F173" s="1353"/>
      <c r="G173" s="1353"/>
      <c r="H173" s="1353"/>
      <c r="I173" s="1353"/>
      <c r="J173" s="1353"/>
      <c r="K173" s="1387"/>
      <c r="L173" s="1353"/>
      <c r="M173" s="1353"/>
      <c r="N173" s="1353"/>
    </row>
    <row r="174" spans="1:14" x14ac:dyDescent="0.25">
      <c r="A174" s="1353"/>
      <c r="B174" s="1353"/>
      <c r="C174" s="1353"/>
      <c r="D174" s="1353"/>
      <c r="E174" s="1353"/>
      <c r="F174" s="1353"/>
      <c r="G174" s="1353"/>
      <c r="H174" s="1353"/>
      <c r="I174" s="1353"/>
      <c r="J174" s="1353"/>
      <c r="K174" s="1387"/>
      <c r="L174" s="1353"/>
      <c r="M174" s="1353"/>
      <c r="N174" s="1353"/>
    </row>
    <row r="175" spans="1:14" x14ac:dyDescent="0.25">
      <c r="A175" s="1353"/>
      <c r="B175" s="1353"/>
      <c r="C175" s="1353"/>
      <c r="D175" s="1353"/>
      <c r="E175" s="1353"/>
      <c r="F175" s="1353"/>
      <c r="G175" s="1353"/>
      <c r="H175" s="1353"/>
      <c r="I175" s="1353"/>
      <c r="J175" s="1353"/>
      <c r="K175" s="1387"/>
      <c r="L175" s="1353"/>
      <c r="M175" s="1353"/>
      <c r="N175" s="1353"/>
    </row>
    <row r="176" spans="1:14" x14ac:dyDescent="0.25">
      <c r="A176" s="1353"/>
      <c r="B176" s="1353"/>
      <c r="C176" s="1353"/>
      <c r="D176" s="1353"/>
      <c r="E176" s="1353"/>
      <c r="F176" s="1353"/>
      <c r="G176" s="1353"/>
      <c r="H176" s="1353"/>
      <c r="I176" s="1353"/>
      <c r="J176" s="1353"/>
      <c r="K176" s="1387"/>
      <c r="L176" s="1353"/>
      <c r="M176" s="1353"/>
      <c r="N176" s="1353"/>
    </row>
    <row r="177" spans="1:14" x14ac:dyDescent="0.25">
      <c r="A177" s="1353"/>
      <c r="B177" s="1353"/>
      <c r="C177" s="1353"/>
      <c r="D177" s="1353"/>
      <c r="E177" s="1353"/>
      <c r="F177" s="1353"/>
      <c r="G177" s="1353"/>
      <c r="H177" s="1353"/>
      <c r="I177" s="1353"/>
      <c r="J177" s="1353"/>
      <c r="K177" s="1387"/>
      <c r="L177" s="1353"/>
      <c r="M177" s="1353"/>
      <c r="N177" s="1353"/>
    </row>
    <row r="178" spans="1:14" x14ac:dyDescent="0.25">
      <c r="A178" s="1353"/>
      <c r="B178" s="1353"/>
      <c r="C178" s="1353"/>
      <c r="D178" s="1353"/>
      <c r="E178" s="1353"/>
      <c r="F178" s="1353"/>
      <c r="G178" s="1353"/>
      <c r="H178" s="1353"/>
      <c r="I178" s="1353"/>
      <c r="J178" s="1353"/>
      <c r="K178" s="1387"/>
      <c r="L178" s="1353"/>
      <c r="M178" s="1353"/>
      <c r="N178" s="1353"/>
    </row>
    <row r="179" spans="1:14" x14ac:dyDescent="0.25">
      <c r="A179" s="1353"/>
      <c r="B179" s="1353"/>
      <c r="C179" s="1353"/>
      <c r="D179" s="1353"/>
      <c r="E179" s="1353"/>
      <c r="F179" s="1353"/>
      <c r="G179" s="1353"/>
      <c r="H179" s="1353"/>
      <c r="I179" s="1353"/>
      <c r="J179" s="1353"/>
      <c r="K179" s="1387"/>
      <c r="L179" s="1353"/>
      <c r="M179" s="1353"/>
      <c r="N179" s="1353"/>
    </row>
    <row r="180" spans="1:14" x14ac:dyDescent="0.25">
      <c r="A180" s="1353"/>
      <c r="B180" s="1353"/>
      <c r="C180" s="1353"/>
      <c r="D180" s="1353"/>
      <c r="E180" s="1353"/>
      <c r="F180" s="1353"/>
      <c r="G180" s="1353"/>
      <c r="H180" s="1353"/>
      <c r="I180" s="1353"/>
      <c r="J180" s="1353"/>
      <c r="K180" s="1387"/>
      <c r="L180" s="1353"/>
      <c r="M180" s="1353"/>
      <c r="N180" s="1353"/>
    </row>
    <row r="181" spans="1:14" x14ac:dyDescent="0.25">
      <c r="A181" s="1353"/>
      <c r="B181" s="1353"/>
      <c r="C181" s="1353"/>
      <c r="D181" s="1353"/>
      <c r="E181" s="1353"/>
      <c r="F181" s="1353"/>
      <c r="G181" s="1353"/>
      <c r="H181" s="1353"/>
      <c r="I181" s="1353"/>
      <c r="J181" s="1353"/>
      <c r="K181" s="1387"/>
      <c r="L181" s="1353"/>
      <c r="M181" s="1353"/>
      <c r="N181" s="1353"/>
    </row>
    <row r="182" spans="1:14" x14ac:dyDescent="0.25">
      <c r="A182" s="1353"/>
      <c r="B182" s="1353"/>
      <c r="C182" s="1353"/>
      <c r="D182" s="1353"/>
      <c r="E182" s="1353"/>
      <c r="F182" s="1353"/>
      <c r="G182" s="1353"/>
      <c r="H182" s="1353"/>
      <c r="I182" s="1353"/>
      <c r="J182" s="1353"/>
      <c r="K182" s="1387"/>
      <c r="L182" s="1353"/>
      <c r="M182" s="1353"/>
      <c r="N182" s="1353"/>
    </row>
    <row r="183" spans="1:14" x14ac:dyDescent="0.25">
      <c r="A183" s="1353"/>
      <c r="B183" s="1353"/>
      <c r="C183" s="1353"/>
      <c r="D183" s="1353"/>
      <c r="E183" s="1353"/>
      <c r="F183" s="1353"/>
      <c r="G183" s="1353"/>
      <c r="H183" s="1353"/>
      <c r="I183" s="1353"/>
      <c r="J183" s="1353"/>
      <c r="K183" s="1387"/>
      <c r="L183" s="1353"/>
      <c r="M183" s="1353"/>
      <c r="N183" s="1353"/>
    </row>
    <row r="184" spans="1:14" x14ac:dyDescent="0.25">
      <c r="A184" s="1353"/>
      <c r="B184" s="1353"/>
      <c r="C184" s="1353"/>
      <c r="D184" s="1353"/>
      <c r="E184" s="1353"/>
      <c r="F184" s="1353"/>
      <c r="G184" s="1353"/>
      <c r="H184" s="1353"/>
      <c r="I184" s="1353"/>
      <c r="J184" s="1353"/>
      <c r="K184" s="1387"/>
      <c r="L184" s="1353"/>
      <c r="M184" s="1353"/>
      <c r="N184" s="1353"/>
    </row>
    <row r="185" spans="1:14" x14ac:dyDescent="0.25">
      <c r="A185" s="1353"/>
      <c r="B185" s="1353"/>
      <c r="C185" s="1353"/>
      <c r="D185" s="1353"/>
      <c r="E185" s="1353"/>
      <c r="F185" s="1353"/>
      <c r="G185" s="1353"/>
      <c r="H185" s="1353"/>
      <c r="I185" s="1353"/>
      <c r="J185" s="1353"/>
      <c r="K185" s="1387"/>
      <c r="L185" s="1353"/>
      <c r="M185" s="1353"/>
      <c r="N185" s="1353"/>
    </row>
    <row r="186" spans="1:14" x14ac:dyDescent="0.25">
      <c r="A186" s="1353"/>
      <c r="B186" s="1353"/>
      <c r="C186" s="1353"/>
      <c r="D186" s="1353"/>
      <c r="E186" s="1353"/>
      <c r="F186" s="1353"/>
      <c r="G186" s="1353"/>
      <c r="H186" s="1353"/>
      <c r="I186" s="1353"/>
      <c r="J186" s="1353"/>
      <c r="K186" s="1387"/>
      <c r="L186" s="1353"/>
      <c r="M186" s="1353"/>
      <c r="N186" s="1353"/>
    </row>
    <row r="187" spans="1:14" x14ac:dyDescent="0.25">
      <c r="A187" s="1353"/>
      <c r="B187" s="1353"/>
      <c r="C187" s="1353"/>
      <c r="D187" s="1353"/>
      <c r="E187" s="1353"/>
      <c r="F187" s="1353"/>
      <c r="G187" s="1353"/>
      <c r="H187" s="1353"/>
      <c r="I187" s="1353"/>
      <c r="J187" s="1353"/>
      <c r="K187" s="1387"/>
      <c r="L187" s="1353"/>
      <c r="M187" s="1353"/>
      <c r="N187" s="1353"/>
    </row>
    <row r="188" spans="1:14" x14ac:dyDescent="0.25">
      <c r="A188" s="1353"/>
      <c r="B188" s="1353"/>
      <c r="C188" s="1353"/>
      <c r="D188" s="1353"/>
      <c r="E188" s="1353"/>
      <c r="F188" s="1353"/>
      <c r="G188" s="1353"/>
      <c r="H188" s="1353"/>
      <c r="I188" s="1353"/>
      <c r="J188" s="1353"/>
      <c r="K188" s="1387"/>
      <c r="L188" s="1353"/>
      <c r="M188" s="1353"/>
      <c r="N188" s="1353"/>
    </row>
    <row r="189" spans="1:14" x14ac:dyDescent="0.25">
      <c r="A189" s="1353"/>
      <c r="B189" s="1353"/>
      <c r="C189" s="1353"/>
      <c r="D189" s="1353"/>
      <c r="E189" s="1353"/>
      <c r="F189" s="1353"/>
      <c r="G189" s="1353"/>
      <c r="H189" s="1353"/>
      <c r="I189" s="1353"/>
      <c r="J189" s="1353"/>
      <c r="K189" s="1387"/>
      <c r="L189" s="1353"/>
      <c r="M189" s="1353"/>
      <c r="N189" s="1353"/>
    </row>
    <row r="190" spans="1:14" x14ac:dyDescent="0.25">
      <c r="A190" s="1353"/>
      <c r="B190" s="1353"/>
      <c r="C190" s="1353"/>
      <c r="D190" s="1353"/>
      <c r="E190" s="1353"/>
      <c r="F190" s="1353"/>
      <c r="G190" s="1353"/>
      <c r="H190" s="1353"/>
      <c r="I190" s="1353"/>
      <c r="J190" s="1353"/>
      <c r="K190" s="1387"/>
      <c r="L190" s="1353"/>
      <c r="M190" s="1353"/>
      <c r="N190" s="1353"/>
    </row>
    <row r="191" spans="1:14" x14ac:dyDescent="0.25">
      <c r="A191" s="1353"/>
      <c r="B191" s="1353"/>
      <c r="C191" s="1353"/>
      <c r="D191" s="1353"/>
      <c r="E191" s="1353"/>
      <c r="F191" s="1353"/>
      <c r="G191" s="1353"/>
      <c r="H191" s="1353"/>
      <c r="I191" s="1353"/>
      <c r="J191" s="1353"/>
      <c r="K191" s="1387"/>
      <c r="L191" s="1353"/>
      <c r="M191" s="1353"/>
      <c r="N191" s="1353"/>
    </row>
    <row r="192" spans="1:14" x14ac:dyDescent="0.25">
      <c r="A192" s="1353"/>
      <c r="B192" s="1353"/>
      <c r="C192" s="1353"/>
      <c r="D192" s="1353"/>
      <c r="E192" s="1353"/>
      <c r="F192" s="1353"/>
      <c r="G192" s="1353"/>
      <c r="H192" s="1353"/>
      <c r="I192" s="1353"/>
      <c r="J192" s="1353"/>
      <c r="K192" s="1387"/>
      <c r="L192" s="1353"/>
      <c r="M192" s="1353"/>
      <c r="N192" s="1353"/>
    </row>
    <row r="193" spans="1:14" x14ac:dyDescent="0.25">
      <c r="A193" s="1353"/>
      <c r="B193" s="1353"/>
      <c r="C193" s="1353"/>
      <c r="D193" s="1353"/>
      <c r="E193" s="1353"/>
      <c r="F193" s="1353"/>
      <c r="G193" s="1353"/>
      <c r="H193" s="1353"/>
      <c r="I193" s="1353"/>
      <c r="J193" s="1353"/>
      <c r="K193" s="1387"/>
      <c r="L193" s="1353"/>
      <c r="M193" s="1353"/>
      <c r="N193" s="1353"/>
    </row>
    <row r="194" spans="1:14" x14ac:dyDescent="0.25">
      <c r="A194" s="1353"/>
      <c r="B194" s="1353"/>
      <c r="C194" s="1353"/>
      <c r="D194" s="1353"/>
      <c r="E194" s="1353"/>
      <c r="F194" s="1353"/>
      <c r="G194" s="1353"/>
      <c r="H194" s="1353"/>
      <c r="I194" s="1353"/>
      <c r="J194" s="1353"/>
      <c r="K194" s="1387"/>
      <c r="L194" s="1353"/>
      <c r="M194" s="1353"/>
      <c r="N194" s="1353"/>
    </row>
    <row r="195" spans="1:14" x14ac:dyDescent="0.25">
      <c r="A195" s="1353"/>
      <c r="B195" s="1353"/>
      <c r="C195" s="1353"/>
      <c r="D195" s="1353"/>
      <c r="E195" s="1353"/>
      <c r="F195" s="1353"/>
      <c r="G195" s="1353"/>
      <c r="H195" s="1353"/>
      <c r="I195" s="1353"/>
      <c r="J195" s="1353"/>
      <c r="K195" s="1387"/>
      <c r="L195" s="1353"/>
      <c r="M195" s="1353"/>
      <c r="N195" s="1353"/>
    </row>
    <row r="196" spans="1:14" x14ac:dyDescent="0.25">
      <c r="A196" s="1353"/>
      <c r="B196" s="1353"/>
      <c r="C196" s="1353"/>
      <c r="D196" s="1353"/>
      <c r="E196" s="1353"/>
      <c r="F196" s="1353"/>
      <c r="G196" s="1353"/>
      <c r="H196" s="1353"/>
      <c r="I196" s="1353"/>
      <c r="J196" s="1353"/>
      <c r="K196" s="1387"/>
      <c r="L196" s="1353"/>
      <c r="M196" s="1353"/>
      <c r="N196" s="1353"/>
    </row>
    <row r="197" spans="1:14" x14ac:dyDescent="0.25">
      <c r="A197" s="1353"/>
      <c r="B197" s="1353"/>
      <c r="C197" s="1353"/>
      <c r="D197" s="1353"/>
      <c r="E197" s="1353"/>
      <c r="F197" s="1353"/>
      <c r="G197" s="1353"/>
      <c r="H197" s="1353"/>
      <c r="I197" s="1353"/>
      <c r="J197" s="1353"/>
      <c r="K197" s="1387"/>
      <c r="L197" s="1353"/>
      <c r="M197" s="1353"/>
      <c r="N197" s="1353"/>
    </row>
    <row r="198" spans="1:14" x14ac:dyDescent="0.25">
      <c r="A198" s="1353"/>
      <c r="B198" s="1353"/>
      <c r="C198" s="1353"/>
      <c r="D198" s="1353"/>
      <c r="E198" s="1353"/>
      <c r="F198" s="1353"/>
      <c r="G198" s="1353"/>
      <c r="H198" s="1353"/>
      <c r="I198" s="1353"/>
      <c r="J198" s="1353"/>
      <c r="K198" s="1387"/>
      <c r="L198" s="1353"/>
      <c r="M198" s="1353"/>
      <c r="N198" s="1353"/>
    </row>
    <row r="199" spans="1:14" x14ac:dyDescent="0.25">
      <c r="A199" s="1353"/>
      <c r="B199" s="1353"/>
      <c r="C199" s="1353"/>
      <c r="D199" s="1353"/>
      <c r="E199" s="1353"/>
      <c r="F199" s="1353"/>
      <c r="G199" s="1353"/>
      <c r="H199" s="1353"/>
      <c r="I199" s="1353"/>
      <c r="J199" s="1353"/>
      <c r="K199" s="1387"/>
      <c r="L199" s="1353"/>
      <c r="M199" s="1353"/>
      <c r="N199" s="1353"/>
    </row>
    <row r="200" spans="1:14" x14ac:dyDescent="0.25">
      <c r="A200" s="1353"/>
      <c r="B200" s="1353"/>
      <c r="C200" s="1353"/>
      <c r="D200" s="1353"/>
      <c r="E200" s="1353"/>
      <c r="F200" s="1353"/>
      <c r="G200" s="1353"/>
      <c r="H200" s="1353"/>
      <c r="I200" s="1353"/>
      <c r="J200" s="1353"/>
      <c r="K200" s="1387"/>
      <c r="L200" s="1353"/>
      <c r="M200" s="1353"/>
      <c r="N200" s="1353"/>
    </row>
    <row r="201" spans="1:14" x14ac:dyDescent="0.25">
      <c r="A201" s="1353"/>
      <c r="B201" s="1353"/>
      <c r="C201" s="1353"/>
      <c r="D201" s="1353"/>
      <c r="E201" s="1353"/>
      <c r="F201" s="1353"/>
      <c r="G201" s="1353"/>
      <c r="H201" s="1353"/>
      <c r="I201" s="1353"/>
      <c r="J201" s="1353"/>
      <c r="K201" s="1387"/>
      <c r="L201" s="1353"/>
      <c r="M201" s="1353"/>
      <c r="N201" s="1353"/>
    </row>
    <row r="202" spans="1:14" x14ac:dyDescent="0.25">
      <c r="A202" s="1353"/>
      <c r="B202" s="1353"/>
      <c r="C202" s="1353"/>
      <c r="D202" s="1353"/>
      <c r="E202" s="1353"/>
      <c r="F202" s="1353"/>
      <c r="G202" s="1353"/>
      <c r="H202" s="1353"/>
      <c r="I202" s="1353"/>
      <c r="J202" s="1353"/>
      <c r="K202" s="1387"/>
      <c r="L202" s="1353"/>
      <c r="M202" s="1353"/>
      <c r="N202" s="1353"/>
    </row>
    <row r="203" spans="1:14" x14ac:dyDescent="0.25">
      <c r="A203" s="1353"/>
      <c r="B203" s="1353"/>
      <c r="C203" s="1353"/>
      <c r="D203" s="1353"/>
      <c r="E203" s="1353"/>
      <c r="F203" s="1353"/>
      <c r="G203" s="1353"/>
      <c r="H203" s="1353"/>
      <c r="I203" s="1353"/>
      <c r="J203" s="1353"/>
      <c r="K203" s="1387"/>
      <c r="L203" s="1353"/>
      <c r="M203" s="1353"/>
      <c r="N203" s="1353"/>
    </row>
    <row r="204" spans="1:14" x14ac:dyDescent="0.25">
      <c r="A204" s="1353"/>
      <c r="B204" s="1353"/>
      <c r="C204" s="1353"/>
      <c r="D204" s="1353"/>
      <c r="E204" s="1353"/>
      <c r="F204" s="1353"/>
      <c r="G204" s="1353"/>
      <c r="H204" s="1353"/>
      <c r="I204" s="1353"/>
      <c r="J204" s="1353"/>
      <c r="K204" s="1387"/>
      <c r="L204" s="1353"/>
      <c r="M204" s="1353"/>
      <c r="N204" s="1353"/>
    </row>
    <row r="205" spans="1:14" x14ac:dyDescent="0.25">
      <c r="A205" s="1353"/>
      <c r="B205" s="1353"/>
      <c r="C205" s="1353"/>
      <c r="D205" s="1353"/>
      <c r="E205" s="1353"/>
      <c r="F205" s="1353"/>
      <c r="G205" s="1353"/>
      <c r="H205" s="1353"/>
      <c r="I205" s="1353"/>
      <c r="J205" s="1353"/>
      <c r="K205" s="1387"/>
      <c r="L205" s="1353"/>
      <c r="M205" s="1353"/>
      <c r="N205" s="1353"/>
    </row>
    <row r="206" spans="1:14" x14ac:dyDescent="0.25">
      <c r="A206" s="1353"/>
      <c r="B206" s="1353"/>
      <c r="C206" s="1353"/>
      <c r="D206" s="1353"/>
      <c r="E206" s="1353"/>
      <c r="F206" s="1353"/>
      <c r="G206" s="1353"/>
      <c r="H206" s="1353"/>
      <c r="I206" s="1353"/>
      <c r="J206" s="1353"/>
      <c r="K206" s="1387"/>
      <c r="L206" s="1353"/>
      <c r="M206" s="1353"/>
      <c r="N206" s="1353"/>
    </row>
    <row r="207" spans="1:14" x14ac:dyDescent="0.25">
      <c r="A207" s="1353"/>
      <c r="B207" s="1353"/>
      <c r="C207" s="1353"/>
      <c r="D207" s="1353"/>
      <c r="E207" s="1353"/>
      <c r="F207" s="1353"/>
      <c r="G207" s="1353"/>
      <c r="H207" s="1353"/>
      <c r="I207" s="1353"/>
      <c r="J207" s="1353"/>
      <c r="K207" s="1387"/>
      <c r="L207" s="1353"/>
      <c r="M207" s="1353"/>
      <c r="N207" s="1353"/>
    </row>
    <row r="208" spans="1:14" x14ac:dyDescent="0.25">
      <c r="A208" s="1353"/>
      <c r="B208" s="1353"/>
      <c r="C208" s="1353"/>
      <c r="D208" s="1353"/>
      <c r="E208" s="1353"/>
      <c r="F208" s="1353"/>
      <c r="G208" s="1353"/>
      <c r="H208" s="1353"/>
      <c r="I208" s="1353"/>
      <c r="J208" s="1353"/>
      <c r="K208" s="1387"/>
      <c r="L208" s="1353"/>
      <c r="M208" s="1353"/>
      <c r="N208" s="1353"/>
    </row>
    <row r="209" spans="1:14" x14ac:dyDescent="0.25">
      <c r="A209" s="1353"/>
      <c r="B209" s="1353"/>
      <c r="C209" s="1353"/>
      <c r="D209" s="1353"/>
      <c r="E209" s="1353"/>
      <c r="F209" s="1353"/>
      <c r="G209" s="1353"/>
      <c r="H209" s="1353"/>
      <c r="I209" s="1353"/>
      <c r="J209" s="1353"/>
      <c r="K209" s="1387"/>
      <c r="L209" s="1353"/>
      <c r="M209" s="1353"/>
      <c r="N209" s="1353"/>
    </row>
    <row r="210" spans="1:14" x14ac:dyDescent="0.25">
      <c r="A210" s="1353"/>
      <c r="B210" s="1353"/>
      <c r="C210" s="1353"/>
      <c r="D210" s="1353"/>
      <c r="E210" s="1353"/>
      <c r="F210" s="1353"/>
      <c r="G210" s="1353"/>
      <c r="H210" s="1353"/>
      <c r="I210" s="1353"/>
      <c r="J210" s="1353"/>
      <c r="K210" s="1387"/>
      <c r="L210" s="1353"/>
      <c r="M210" s="1353"/>
      <c r="N210" s="1353"/>
    </row>
    <row r="211" spans="1:14" x14ac:dyDescent="0.25">
      <c r="A211" s="1353"/>
      <c r="B211" s="1353"/>
      <c r="C211" s="1353"/>
      <c r="D211" s="1353"/>
      <c r="E211" s="1353"/>
      <c r="F211" s="1353"/>
      <c r="G211" s="1353"/>
      <c r="H211" s="1353"/>
      <c r="I211" s="1353"/>
      <c r="J211" s="1353"/>
      <c r="K211" s="1387"/>
      <c r="L211" s="1353"/>
      <c r="M211" s="1353"/>
      <c r="N211" s="1353"/>
    </row>
    <row r="212" spans="1:14" x14ac:dyDescent="0.25">
      <c r="A212" s="1353"/>
      <c r="B212" s="1353"/>
      <c r="C212" s="1353"/>
      <c r="D212" s="1353"/>
      <c r="E212" s="1353"/>
      <c r="F212" s="1353"/>
      <c r="G212" s="1353"/>
      <c r="H212" s="1353"/>
      <c r="I212" s="1353"/>
      <c r="J212" s="1353"/>
      <c r="K212" s="1387"/>
      <c r="L212" s="1353"/>
      <c r="M212" s="1353"/>
      <c r="N212" s="1353"/>
    </row>
    <row r="213" spans="1:14" x14ac:dyDescent="0.25">
      <c r="A213" s="1353"/>
      <c r="B213" s="1353"/>
      <c r="C213" s="1353"/>
      <c r="D213" s="1353"/>
      <c r="E213" s="1353"/>
      <c r="F213" s="1353"/>
      <c r="G213" s="1353"/>
      <c r="H213" s="1353"/>
      <c r="I213" s="1353"/>
      <c r="J213" s="1353"/>
      <c r="K213" s="1387"/>
      <c r="L213" s="1353"/>
      <c r="M213" s="1353"/>
      <c r="N213" s="1353"/>
    </row>
    <row r="214" spans="1:14" x14ac:dyDescent="0.25">
      <c r="A214" s="1353"/>
      <c r="B214" s="1353"/>
      <c r="C214" s="1353"/>
      <c r="D214" s="1353"/>
      <c r="E214" s="1353"/>
      <c r="F214" s="1353"/>
      <c r="G214" s="1353"/>
      <c r="H214" s="1353"/>
      <c r="I214" s="1353"/>
      <c r="J214" s="1353"/>
      <c r="K214" s="1387"/>
      <c r="L214" s="1353"/>
      <c r="M214" s="1353"/>
      <c r="N214" s="1353"/>
    </row>
    <row r="215" spans="1:14" x14ac:dyDescent="0.25">
      <c r="A215" s="1353"/>
      <c r="B215" s="1353"/>
      <c r="C215" s="1353"/>
      <c r="D215" s="1353"/>
      <c r="E215" s="1353"/>
      <c r="F215" s="1353"/>
      <c r="G215" s="1353"/>
      <c r="H215" s="1353"/>
      <c r="I215" s="1353"/>
      <c r="J215" s="1353"/>
      <c r="K215" s="1387"/>
      <c r="L215" s="1353"/>
      <c r="M215" s="1353"/>
      <c r="N215" s="1353"/>
    </row>
    <row r="216" spans="1:14" x14ac:dyDescent="0.25">
      <c r="A216" s="1353"/>
      <c r="B216" s="1353"/>
      <c r="C216" s="1353"/>
      <c r="D216" s="1353"/>
      <c r="E216" s="1353"/>
      <c r="F216" s="1353"/>
      <c r="G216" s="1353"/>
      <c r="H216" s="1353"/>
      <c r="I216" s="1353"/>
      <c r="J216" s="1353"/>
      <c r="K216" s="1387"/>
      <c r="L216" s="1353"/>
      <c r="M216" s="1353"/>
      <c r="N216" s="1353"/>
    </row>
    <row r="217" spans="1:14" x14ac:dyDescent="0.25">
      <c r="A217" s="1353"/>
      <c r="B217" s="1353"/>
      <c r="C217" s="1353"/>
      <c r="D217" s="1353"/>
      <c r="E217" s="1353"/>
      <c r="F217" s="1353"/>
      <c r="G217" s="1353"/>
      <c r="H217" s="1353"/>
      <c r="I217" s="1353"/>
      <c r="J217" s="1353"/>
      <c r="K217" s="1387"/>
      <c r="L217" s="1353"/>
      <c r="M217" s="1353"/>
      <c r="N217" s="1353"/>
    </row>
    <row r="218" spans="1:14" x14ac:dyDescent="0.25">
      <c r="A218" s="1353"/>
      <c r="B218" s="1353"/>
      <c r="C218" s="1353"/>
      <c r="D218" s="1353"/>
      <c r="E218" s="1353"/>
      <c r="F218" s="1353"/>
      <c r="G218" s="1353"/>
      <c r="H218" s="1353"/>
      <c r="I218" s="1353"/>
      <c r="J218" s="1353"/>
      <c r="K218" s="1387"/>
      <c r="L218" s="1353"/>
      <c r="M218" s="1353"/>
      <c r="N218" s="1353"/>
    </row>
    <row r="219" spans="1:14" x14ac:dyDescent="0.25">
      <c r="A219" s="1353"/>
      <c r="B219" s="1353"/>
      <c r="C219" s="1353"/>
      <c r="D219" s="1353"/>
      <c r="E219" s="1353"/>
      <c r="F219" s="1353"/>
      <c r="G219" s="1353"/>
      <c r="H219" s="1353"/>
      <c r="I219" s="1353"/>
      <c r="J219" s="1353"/>
      <c r="K219" s="1387"/>
      <c r="L219" s="1353"/>
      <c r="M219" s="1353"/>
      <c r="N219" s="1353"/>
    </row>
    <row r="220" spans="1:14" x14ac:dyDescent="0.25">
      <c r="A220" s="1353"/>
      <c r="B220" s="1353"/>
      <c r="C220" s="1353"/>
      <c r="D220" s="1353"/>
      <c r="E220" s="1353"/>
      <c r="F220" s="1353"/>
      <c r="G220" s="1353"/>
      <c r="H220" s="1353"/>
      <c r="I220" s="1353"/>
      <c r="J220" s="1353"/>
      <c r="K220" s="1387"/>
      <c r="L220" s="1353"/>
      <c r="M220" s="1353"/>
      <c r="N220" s="1353"/>
    </row>
    <row r="221" spans="1:14" x14ac:dyDescent="0.25">
      <c r="A221" s="1353"/>
      <c r="B221" s="1353"/>
      <c r="C221" s="1353"/>
      <c r="D221" s="1353"/>
      <c r="E221" s="1353"/>
      <c r="F221" s="1353"/>
      <c r="G221" s="1353"/>
      <c r="H221" s="1353"/>
      <c r="I221" s="1353"/>
      <c r="J221" s="1353"/>
      <c r="K221" s="1387"/>
      <c r="L221" s="1353"/>
      <c r="M221" s="1353"/>
      <c r="N221" s="1353"/>
    </row>
    <row r="222" spans="1:14" x14ac:dyDescent="0.25">
      <c r="A222" s="1353"/>
      <c r="B222" s="1353"/>
      <c r="C222" s="1353"/>
      <c r="D222" s="1353"/>
      <c r="E222" s="1353"/>
      <c r="F222" s="1353"/>
      <c r="G222" s="1353"/>
      <c r="H222" s="1353"/>
      <c r="I222" s="1353"/>
      <c r="J222" s="1353"/>
      <c r="K222" s="1387"/>
      <c r="L222" s="1353"/>
      <c r="M222" s="1353"/>
      <c r="N222" s="1353"/>
    </row>
    <row r="223" spans="1:14" x14ac:dyDescent="0.25">
      <c r="A223" s="1353"/>
      <c r="B223" s="1353"/>
      <c r="C223" s="1353"/>
      <c r="D223" s="1353"/>
      <c r="E223" s="1353"/>
      <c r="F223" s="1353"/>
      <c r="G223" s="1353"/>
      <c r="H223" s="1353"/>
      <c r="I223" s="1353"/>
      <c r="J223" s="1353"/>
      <c r="K223" s="1387"/>
      <c r="L223" s="1353"/>
      <c r="M223" s="1353"/>
      <c r="N223" s="1353"/>
    </row>
    <row r="224" spans="1:14" x14ac:dyDescent="0.25">
      <c r="A224" s="1353"/>
      <c r="B224" s="1353"/>
      <c r="C224" s="1353"/>
      <c r="D224" s="1353"/>
      <c r="E224" s="1353"/>
      <c r="F224" s="1353"/>
      <c r="G224" s="1353"/>
      <c r="H224" s="1353"/>
      <c r="I224" s="1353"/>
      <c r="J224" s="1353"/>
      <c r="K224" s="1387"/>
      <c r="L224" s="1353"/>
      <c r="M224" s="1353"/>
      <c r="N224" s="1353"/>
    </row>
    <row r="225" spans="1:14" x14ac:dyDescent="0.25">
      <c r="A225" s="1353"/>
      <c r="B225" s="1353"/>
      <c r="C225" s="1353"/>
      <c r="D225" s="1353"/>
      <c r="E225" s="1353"/>
      <c r="F225" s="1353"/>
      <c r="G225" s="1353"/>
      <c r="H225" s="1353"/>
      <c r="I225" s="1353"/>
      <c r="J225" s="1353"/>
      <c r="K225" s="1387"/>
      <c r="L225" s="1353"/>
      <c r="M225" s="1353"/>
      <c r="N225" s="1353"/>
    </row>
    <row r="226" spans="1:14" x14ac:dyDescent="0.25">
      <c r="A226" s="1353"/>
      <c r="B226" s="1353"/>
      <c r="C226" s="1353"/>
      <c r="D226" s="1353"/>
      <c r="E226" s="1353"/>
      <c r="F226" s="1353"/>
      <c r="G226" s="1353"/>
      <c r="H226" s="1353"/>
      <c r="I226" s="1353"/>
      <c r="J226" s="1353"/>
      <c r="K226" s="1387"/>
      <c r="L226" s="1353"/>
      <c r="M226" s="1353"/>
      <c r="N226" s="1353"/>
    </row>
    <row r="227" spans="1:14" x14ac:dyDescent="0.25">
      <c r="A227" s="1353"/>
      <c r="B227" s="1353"/>
      <c r="C227" s="1353"/>
      <c r="D227" s="1353"/>
      <c r="E227" s="1353"/>
      <c r="F227" s="1353"/>
      <c r="G227" s="1353"/>
      <c r="H227" s="1353"/>
      <c r="I227" s="1353"/>
      <c r="J227" s="1353"/>
      <c r="K227" s="1387"/>
      <c r="L227" s="1353"/>
      <c r="M227" s="1353"/>
      <c r="N227" s="1353"/>
    </row>
    <row r="228" spans="1:14" x14ac:dyDescent="0.25">
      <c r="A228" s="1353"/>
      <c r="B228" s="1353"/>
      <c r="C228" s="1353"/>
      <c r="D228" s="1353"/>
      <c r="E228" s="1353"/>
      <c r="F228" s="1353"/>
      <c r="G228" s="1353"/>
      <c r="H228" s="1353"/>
      <c r="I228" s="1353"/>
      <c r="J228" s="1353"/>
      <c r="K228" s="1387"/>
      <c r="L228" s="1353"/>
      <c r="M228" s="1353"/>
      <c r="N228" s="1353"/>
    </row>
    <row r="229" spans="1:14" x14ac:dyDescent="0.25">
      <c r="A229" s="1353"/>
      <c r="B229" s="1353"/>
      <c r="C229" s="1353"/>
      <c r="D229" s="1353"/>
      <c r="E229" s="1353"/>
      <c r="F229" s="1353"/>
      <c r="G229" s="1353"/>
      <c r="H229" s="1353"/>
      <c r="I229" s="1353"/>
      <c r="J229" s="1353"/>
      <c r="K229" s="1387"/>
      <c r="L229" s="1353"/>
      <c r="M229" s="1353"/>
      <c r="N229" s="1353"/>
    </row>
    <row r="230" spans="1:14" x14ac:dyDescent="0.25">
      <c r="A230" s="1353"/>
      <c r="B230" s="1353"/>
      <c r="C230" s="1353"/>
      <c r="D230" s="1353"/>
      <c r="E230" s="1353"/>
      <c r="F230" s="1353"/>
      <c r="G230" s="1353"/>
      <c r="H230" s="1353"/>
      <c r="I230" s="1353"/>
      <c r="J230" s="1353"/>
      <c r="K230" s="1387"/>
      <c r="L230" s="1353"/>
      <c r="M230" s="1353"/>
      <c r="N230" s="1353"/>
    </row>
    <row r="231" spans="1:14" x14ac:dyDescent="0.25">
      <c r="A231" s="1353"/>
      <c r="B231" s="1353"/>
      <c r="C231" s="1353"/>
      <c r="D231" s="1353"/>
      <c r="E231" s="1353"/>
      <c r="F231" s="1353"/>
      <c r="G231" s="1353"/>
      <c r="H231" s="1353"/>
      <c r="I231" s="1353"/>
      <c r="J231" s="1353"/>
      <c r="K231" s="1387"/>
      <c r="L231" s="1353"/>
      <c r="M231" s="1353"/>
      <c r="N231" s="1353"/>
    </row>
    <row r="232" spans="1:14" x14ac:dyDescent="0.25">
      <c r="A232" s="1353"/>
      <c r="B232" s="1353"/>
      <c r="C232" s="1353"/>
      <c r="D232" s="1353"/>
      <c r="E232" s="1353"/>
      <c r="F232" s="1353"/>
      <c r="G232" s="1353"/>
      <c r="H232" s="1353"/>
      <c r="I232" s="1353"/>
      <c r="J232" s="1353"/>
      <c r="K232" s="1387"/>
      <c r="L232" s="1353"/>
      <c r="M232" s="1353"/>
      <c r="N232" s="1353"/>
    </row>
    <row r="233" spans="1:14" x14ac:dyDescent="0.25">
      <c r="A233" s="1353"/>
      <c r="B233" s="1353"/>
      <c r="C233" s="1353"/>
      <c r="D233" s="1353"/>
      <c r="E233" s="1353"/>
      <c r="F233" s="1353"/>
      <c r="G233" s="1353"/>
      <c r="H233" s="1353"/>
      <c r="I233" s="1353"/>
      <c r="J233" s="1353"/>
      <c r="K233" s="1387"/>
      <c r="L233" s="1353"/>
      <c r="M233" s="1353"/>
      <c r="N233" s="1353"/>
    </row>
    <row r="234" spans="1:14" x14ac:dyDescent="0.25">
      <c r="A234" s="1353"/>
      <c r="B234" s="1353"/>
      <c r="C234" s="1353"/>
      <c r="D234" s="1353"/>
      <c r="E234" s="1353"/>
      <c r="F234" s="1353"/>
      <c r="G234" s="1353"/>
      <c r="H234" s="1353"/>
      <c r="I234" s="1353"/>
      <c r="J234" s="1353"/>
      <c r="K234" s="1387"/>
      <c r="L234" s="1353"/>
      <c r="M234" s="1353"/>
      <c r="N234" s="1353"/>
    </row>
    <row r="235" spans="1:14" x14ac:dyDescent="0.25">
      <c r="A235" s="1353"/>
      <c r="B235" s="1353"/>
      <c r="C235" s="1353"/>
      <c r="D235" s="1353"/>
      <c r="E235" s="1353"/>
      <c r="F235" s="1353"/>
      <c r="G235" s="1353"/>
      <c r="H235" s="1353"/>
      <c r="I235" s="1353"/>
      <c r="J235" s="1353"/>
      <c r="K235" s="1387"/>
      <c r="L235" s="1353"/>
      <c r="M235" s="1353"/>
      <c r="N235" s="1353"/>
    </row>
    <row r="236" spans="1:14" x14ac:dyDescent="0.25">
      <c r="A236" s="1353"/>
      <c r="B236" s="1353"/>
      <c r="C236" s="1353"/>
      <c r="D236" s="1353"/>
      <c r="E236" s="1353"/>
      <c r="F236" s="1353"/>
      <c r="G236" s="1353"/>
      <c r="H236" s="1353"/>
      <c r="I236" s="1353"/>
      <c r="J236" s="1353"/>
      <c r="K236" s="1387"/>
      <c r="L236" s="1353"/>
      <c r="M236" s="1353"/>
      <c r="N236" s="1353"/>
    </row>
    <row r="237" spans="1:14" x14ac:dyDescent="0.25">
      <c r="A237" s="1353"/>
      <c r="B237" s="1353"/>
      <c r="C237" s="1353"/>
      <c r="D237" s="1353"/>
      <c r="E237" s="1353"/>
      <c r="F237" s="1353"/>
      <c r="G237" s="1353"/>
      <c r="H237" s="1353"/>
      <c r="I237" s="1353"/>
      <c r="J237" s="1353"/>
      <c r="K237" s="1387"/>
      <c r="L237" s="1353"/>
      <c r="M237" s="1353"/>
      <c r="N237" s="1353"/>
    </row>
    <row r="238" spans="1:14" x14ac:dyDescent="0.25">
      <c r="A238" s="1353"/>
      <c r="B238" s="1353"/>
      <c r="C238" s="1353"/>
      <c r="D238" s="1353"/>
      <c r="E238" s="1353"/>
      <c r="F238" s="1353"/>
      <c r="G238" s="1353"/>
      <c r="H238" s="1353"/>
      <c r="I238" s="1353"/>
      <c r="J238" s="1353"/>
      <c r="K238" s="1387"/>
      <c r="L238" s="1353"/>
      <c r="M238" s="1353"/>
      <c r="N238" s="1353"/>
    </row>
    <row r="239" spans="1:14" x14ac:dyDescent="0.25">
      <c r="A239" s="1353"/>
      <c r="B239" s="1353"/>
      <c r="C239" s="1353"/>
      <c r="D239" s="1353"/>
      <c r="E239" s="1353"/>
      <c r="F239" s="1353"/>
      <c r="G239" s="1353"/>
      <c r="H239" s="1353"/>
      <c r="I239" s="1353"/>
      <c r="J239" s="1353"/>
      <c r="K239" s="1387"/>
      <c r="L239" s="1353"/>
      <c r="M239" s="1353"/>
      <c r="N239" s="1353"/>
    </row>
    <row r="240" spans="1:14" x14ac:dyDescent="0.25">
      <c r="A240" s="1353"/>
      <c r="B240" s="1353"/>
      <c r="C240" s="1353"/>
      <c r="D240" s="1353"/>
      <c r="E240" s="1353"/>
      <c r="F240" s="1353"/>
      <c r="G240" s="1353"/>
      <c r="H240" s="1353"/>
      <c r="I240" s="1353"/>
      <c r="J240" s="1353"/>
      <c r="K240" s="1387"/>
      <c r="L240" s="1353"/>
      <c r="M240" s="1353"/>
      <c r="N240" s="1353"/>
    </row>
    <row r="241" spans="1:14" x14ac:dyDescent="0.25">
      <c r="A241" s="1353"/>
      <c r="B241" s="1353"/>
      <c r="C241" s="1353"/>
      <c r="D241" s="1353"/>
      <c r="E241" s="1353"/>
      <c r="F241" s="1353"/>
      <c r="G241" s="1353"/>
      <c r="H241" s="1353"/>
      <c r="I241" s="1353"/>
      <c r="J241" s="1353"/>
      <c r="K241" s="1387"/>
      <c r="L241" s="1353"/>
      <c r="M241" s="1353"/>
      <c r="N241" s="1353"/>
    </row>
    <row r="242" spans="1:14" x14ac:dyDescent="0.25">
      <c r="A242" s="1353"/>
      <c r="B242" s="1353"/>
      <c r="C242" s="1353"/>
      <c r="D242" s="1353"/>
      <c r="E242" s="1353"/>
      <c r="F242" s="1353"/>
      <c r="G242" s="1353"/>
      <c r="H242" s="1353"/>
      <c r="I242" s="1353"/>
      <c r="J242" s="1353"/>
      <c r="K242" s="1387"/>
      <c r="L242" s="1353"/>
      <c r="M242" s="1353"/>
      <c r="N242" s="1353"/>
    </row>
    <row r="243" spans="1:14" x14ac:dyDescent="0.25">
      <c r="A243" s="1353"/>
      <c r="B243" s="1353"/>
      <c r="C243" s="1353"/>
      <c r="D243" s="1353"/>
      <c r="E243" s="1353"/>
      <c r="F243" s="1353"/>
      <c r="G243" s="1353"/>
      <c r="H243" s="1353"/>
      <c r="I243" s="1353"/>
      <c r="J243" s="1353"/>
      <c r="K243" s="1387"/>
      <c r="L243" s="1353"/>
      <c r="M243" s="1353"/>
      <c r="N243" s="1353"/>
    </row>
    <row r="244" spans="1:14" x14ac:dyDescent="0.25">
      <c r="A244" s="1353"/>
      <c r="B244" s="1353"/>
      <c r="C244" s="1353"/>
      <c r="D244" s="1353"/>
      <c r="E244" s="1353"/>
      <c r="F244" s="1353"/>
      <c r="G244" s="1353"/>
      <c r="H244" s="1353"/>
      <c r="I244" s="1353"/>
      <c r="J244" s="1353"/>
      <c r="K244" s="1387"/>
      <c r="L244" s="1353"/>
      <c r="M244" s="1353"/>
      <c r="N244" s="1353"/>
    </row>
    <row r="245" spans="1:14" x14ac:dyDescent="0.25">
      <c r="A245" s="1353"/>
      <c r="B245" s="1353"/>
      <c r="C245" s="1353"/>
      <c r="D245" s="1353"/>
      <c r="E245" s="1353"/>
      <c r="F245" s="1353"/>
      <c r="G245" s="1353"/>
      <c r="H245" s="1353"/>
      <c r="I245" s="1353"/>
      <c r="J245" s="1353"/>
      <c r="K245" s="1387"/>
      <c r="L245" s="1353"/>
      <c r="M245" s="1353"/>
      <c r="N245" s="1353"/>
    </row>
    <row r="246" spans="1:14" x14ac:dyDescent="0.25">
      <c r="A246" s="1353"/>
      <c r="B246" s="1353"/>
      <c r="C246" s="1353"/>
      <c r="D246" s="1353"/>
      <c r="E246" s="1353"/>
      <c r="F246" s="1353"/>
      <c r="G246" s="1353"/>
      <c r="H246" s="1353"/>
      <c r="I246" s="1353"/>
      <c r="J246" s="1353"/>
      <c r="K246" s="1387"/>
      <c r="L246" s="1353"/>
      <c r="M246" s="1353"/>
      <c r="N246" s="1353"/>
    </row>
    <row r="247" spans="1:14" x14ac:dyDescent="0.25">
      <c r="A247" s="1353"/>
      <c r="B247" s="1353"/>
      <c r="C247" s="1353"/>
      <c r="D247" s="1353"/>
      <c r="E247" s="1353"/>
      <c r="F247" s="1353"/>
      <c r="G247" s="1353"/>
      <c r="H247" s="1353"/>
      <c r="I247" s="1353"/>
      <c r="J247" s="1353"/>
      <c r="K247" s="1387"/>
      <c r="L247" s="1353"/>
      <c r="M247" s="1353"/>
      <c r="N247" s="1353"/>
    </row>
    <row r="248" spans="1:14" x14ac:dyDescent="0.25">
      <c r="A248" s="1353"/>
      <c r="B248" s="1353"/>
      <c r="C248" s="1353"/>
      <c r="D248" s="1353"/>
      <c r="E248" s="1353"/>
      <c r="F248" s="1353"/>
      <c r="G248" s="1353"/>
      <c r="H248" s="1353"/>
      <c r="I248" s="1353"/>
      <c r="J248" s="1353"/>
      <c r="K248" s="1387"/>
      <c r="L248" s="1353"/>
      <c r="M248" s="1353"/>
      <c r="N248" s="1353"/>
    </row>
    <row r="249" spans="1:14" x14ac:dyDescent="0.25">
      <c r="A249" s="1353"/>
      <c r="B249" s="1353"/>
      <c r="C249" s="1353"/>
      <c r="D249" s="1353"/>
      <c r="E249" s="1353"/>
      <c r="F249" s="1353"/>
      <c r="G249" s="1353"/>
      <c r="H249" s="1353"/>
      <c r="I249" s="1353"/>
      <c r="J249" s="1353"/>
      <c r="K249" s="1387"/>
      <c r="L249" s="1353"/>
      <c r="M249" s="1353"/>
      <c r="N249" s="1353"/>
    </row>
    <row r="250" spans="1:14" x14ac:dyDescent="0.25">
      <c r="A250" s="1353"/>
      <c r="B250" s="1353"/>
      <c r="C250" s="1353"/>
      <c r="D250" s="1353"/>
      <c r="E250" s="1353"/>
      <c r="F250" s="1353"/>
      <c r="G250" s="1353"/>
      <c r="H250" s="1353"/>
      <c r="I250" s="1353"/>
      <c r="J250" s="1353"/>
      <c r="K250" s="1387"/>
      <c r="L250" s="1353"/>
      <c r="M250" s="1353"/>
      <c r="N250" s="1353"/>
    </row>
    <row r="251" spans="1:14" x14ac:dyDescent="0.25">
      <c r="A251" s="1353"/>
      <c r="B251" s="1353"/>
      <c r="C251" s="1353"/>
      <c r="D251" s="1353"/>
      <c r="E251" s="1353"/>
      <c r="F251" s="1353"/>
      <c r="G251" s="1353"/>
      <c r="H251" s="1353"/>
      <c r="I251" s="1353"/>
      <c r="J251" s="1353"/>
      <c r="K251" s="1387"/>
      <c r="L251" s="1353"/>
      <c r="M251" s="1353"/>
      <c r="N251" s="1353"/>
    </row>
    <row r="252" spans="1:14" x14ac:dyDescent="0.25">
      <c r="A252" s="1353"/>
      <c r="B252" s="1353"/>
      <c r="C252" s="1353"/>
      <c r="D252" s="1353"/>
      <c r="E252" s="1353"/>
      <c r="F252" s="1353"/>
      <c r="G252" s="1353"/>
      <c r="H252" s="1353"/>
      <c r="I252" s="1353"/>
      <c r="J252" s="1353"/>
      <c r="K252" s="1387"/>
      <c r="L252" s="1353"/>
      <c r="M252" s="1353"/>
      <c r="N252" s="1353"/>
    </row>
    <row r="253" spans="1:14" x14ac:dyDescent="0.25">
      <c r="A253" s="1353"/>
      <c r="B253" s="1353"/>
      <c r="C253" s="1353"/>
      <c r="D253" s="1353"/>
      <c r="E253" s="1353"/>
      <c r="F253" s="1353"/>
      <c r="G253" s="1353"/>
      <c r="H253" s="1353"/>
      <c r="I253" s="1353"/>
      <c r="J253" s="1353"/>
      <c r="K253" s="1387"/>
      <c r="L253" s="1353"/>
      <c r="M253" s="1353"/>
      <c r="N253" s="1353"/>
    </row>
    <row r="254" spans="1:14" x14ac:dyDescent="0.25">
      <c r="A254" s="1353"/>
      <c r="B254" s="1353"/>
      <c r="C254" s="1353"/>
      <c r="D254" s="1353"/>
      <c r="E254" s="1353"/>
      <c r="F254" s="1353"/>
      <c r="G254" s="1353"/>
      <c r="H254" s="1353"/>
      <c r="I254" s="1353"/>
      <c r="J254" s="1353"/>
      <c r="K254" s="1387"/>
      <c r="L254" s="1353"/>
      <c r="M254" s="1353"/>
      <c r="N254" s="1353"/>
    </row>
    <row r="255" spans="1:14" x14ac:dyDescent="0.25">
      <c r="A255" s="1353"/>
      <c r="B255" s="1353"/>
      <c r="C255" s="1353"/>
      <c r="D255" s="1353"/>
      <c r="E255" s="1353"/>
      <c r="F255" s="1353"/>
      <c r="G255" s="1353"/>
      <c r="H255" s="1353"/>
      <c r="I255" s="1353"/>
      <c r="J255" s="1353"/>
      <c r="K255" s="1387"/>
      <c r="L255" s="1353"/>
      <c r="M255" s="1353"/>
      <c r="N255" s="1353"/>
    </row>
    <row r="256" spans="1:14" x14ac:dyDescent="0.25">
      <c r="A256" s="1353"/>
      <c r="B256" s="1353"/>
      <c r="C256" s="1353"/>
      <c r="D256" s="1353"/>
      <c r="E256" s="1353"/>
      <c r="F256" s="1353"/>
      <c r="G256" s="1353"/>
      <c r="H256" s="1353"/>
      <c r="I256" s="1353"/>
      <c r="J256" s="1353"/>
      <c r="K256" s="1387"/>
      <c r="L256" s="1353"/>
      <c r="M256" s="1353"/>
      <c r="N256" s="1353"/>
    </row>
    <row r="257" spans="1:14" x14ac:dyDescent="0.25">
      <c r="A257" s="1353"/>
      <c r="B257" s="1353"/>
      <c r="C257" s="1353"/>
      <c r="D257" s="1353"/>
      <c r="E257" s="1353"/>
      <c r="F257" s="1353"/>
      <c r="G257" s="1353"/>
      <c r="H257" s="1353"/>
      <c r="I257" s="1353"/>
      <c r="J257" s="1353"/>
      <c r="K257" s="1387"/>
      <c r="L257" s="1353"/>
      <c r="M257" s="1353"/>
      <c r="N257" s="1353"/>
    </row>
    <row r="258" spans="1:14" x14ac:dyDescent="0.25">
      <c r="A258" s="1353"/>
      <c r="B258" s="1353"/>
      <c r="C258" s="1353"/>
      <c r="D258" s="1353"/>
      <c r="E258" s="1353"/>
      <c r="F258" s="1353"/>
      <c r="G258" s="1353"/>
      <c r="H258" s="1353"/>
      <c r="I258" s="1353"/>
      <c r="J258" s="1353"/>
      <c r="K258" s="1387"/>
      <c r="L258" s="1353"/>
      <c r="M258" s="1353"/>
      <c r="N258" s="1353"/>
    </row>
    <row r="259" spans="1:14" x14ac:dyDescent="0.25">
      <c r="A259" s="1353"/>
      <c r="B259" s="1353"/>
      <c r="C259" s="1353"/>
      <c r="D259" s="1353"/>
      <c r="E259" s="1353"/>
      <c r="F259" s="1353"/>
      <c r="G259" s="1353"/>
      <c r="H259" s="1353"/>
      <c r="I259" s="1353"/>
      <c r="J259" s="1353"/>
      <c r="K259" s="1387"/>
      <c r="L259" s="1353"/>
      <c r="M259" s="1353"/>
      <c r="N259" s="1353"/>
    </row>
    <row r="260" spans="1:14" x14ac:dyDescent="0.25">
      <c r="A260" s="1353"/>
      <c r="B260" s="1353"/>
      <c r="C260" s="1353"/>
      <c r="D260" s="1353"/>
      <c r="E260" s="1353"/>
      <c r="F260" s="1353"/>
      <c r="G260" s="1353"/>
      <c r="H260" s="1353"/>
      <c r="I260" s="1353"/>
      <c r="J260" s="1353"/>
      <c r="K260" s="1387"/>
      <c r="L260" s="1353"/>
      <c r="M260" s="1353"/>
      <c r="N260" s="1353"/>
    </row>
    <row r="261" spans="1:14" x14ac:dyDescent="0.25">
      <c r="A261" s="1353"/>
      <c r="B261" s="1353"/>
      <c r="C261" s="1353"/>
      <c r="D261" s="1353"/>
      <c r="E261" s="1353"/>
      <c r="F261" s="1353"/>
      <c r="G261" s="1353"/>
      <c r="H261" s="1353"/>
      <c r="I261" s="1353"/>
      <c r="J261" s="1353"/>
      <c r="K261" s="1387"/>
      <c r="L261" s="1353"/>
      <c r="M261" s="1353"/>
      <c r="N261" s="1353"/>
    </row>
    <row r="262" spans="1:14" x14ac:dyDescent="0.25">
      <c r="A262" s="1353"/>
      <c r="B262" s="1353"/>
      <c r="C262" s="1353"/>
      <c r="D262" s="1353"/>
      <c r="E262" s="1353"/>
      <c r="F262" s="1353"/>
      <c r="G262" s="1353"/>
      <c r="H262" s="1353"/>
      <c r="I262" s="1353"/>
      <c r="J262" s="1353"/>
      <c r="K262" s="1387"/>
      <c r="L262" s="1353"/>
      <c r="M262" s="1353"/>
      <c r="N262" s="1353"/>
    </row>
    <row r="263" spans="1:14" x14ac:dyDescent="0.25">
      <c r="A263" s="1353"/>
      <c r="B263" s="1353"/>
      <c r="C263" s="1353"/>
      <c r="D263" s="1353"/>
      <c r="E263" s="1353"/>
      <c r="F263" s="1353"/>
      <c r="G263" s="1353"/>
      <c r="H263" s="1353"/>
      <c r="I263" s="1353"/>
      <c r="J263" s="1353"/>
      <c r="K263" s="1387"/>
      <c r="L263" s="1353"/>
      <c r="M263" s="1353"/>
      <c r="N263" s="1353"/>
    </row>
    <row r="264" spans="1:14" x14ac:dyDescent="0.25">
      <c r="A264" s="1353"/>
      <c r="B264" s="1353"/>
      <c r="C264" s="1353"/>
      <c r="D264" s="1353"/>
      <c r="E264" s="1353"/>
      <c r="F264" s="1353"/>
      <c r="G264" s="1353"/>
      <c r="H264" s="1353"/>
      <c r="I264" s="1353"/>
      <c r="J264" s="1353"/>
      <c r="K264" s="1387"/>
      <c r="L264" s="1353"/>
      <c r="M264" s="1353"/>
      <c r="N264" s="1353"/>
    </row>
    <row r="265" spans="1:14" x14ac:dyDescent="0.25">
      <c r="A265" s="1353"/>
      <c r="B265" s="1353"/>
      <c r="C265" s="1353"/>
      <c r="D265" s="1353"/>
      <c r="E265" s="1353"/>
      <c r="F265" s="1353"/>
      <c r="G265" s="1353"/>
      <c r="H265" s="1353"/>
      <c r="I265" s="1353"/>
      <c r="J265" s="1353"/>
      <c r="K265" s="1387"/>
      <c r="L265" s="1353"/>
      <c r="M265" s="1353"/>
      <c r="N265" s="1353"/>
    </row>
    <row r="266" spans="1:14" x14ac:dyDescent="0.25">
      <c r="A266" s="1353"/>
      <c r="B266" s="1353"/>
      <c r="C266" s="1353"/>
      <c r="D266" s="1353"/>
      <c r="E266" s="1353"/>
      <c r="F266" s="1353"/>
      <c r="G266" s="1353"/>
      <c r="H266" s="1353"/>
      <c r="I266" s="1353"/>
      <c r="J266" s="1353"/>
      <c r="K266" s="1387"/>
      <c r="L266" s="1353"/>
      <c r="M266" s="1353"/>
      <c r="N266" s="1353"/>
    </row>
    <row r="267" spans="1:14" x14ac:dyDescent="0.25">
      <c r="A267" s="1353"/>
      <c r="B267" s="1353"/>
      <c r="C267" s="1353"/>
      <c r="D267" s="1353"/>
      <c r="E267" s="1353"/>
      <c r="F267" s="1353"/>
      <c r="G267" s="1353"/>
      <c r="H267" s="1353"/>
      <c r="I267" s="1353"/>
      <c r="J267" s="1353"/>
      <c r="K267" s="1387"/>
      <c r="L267" s="1353"/>
      <c r="M267" s="1353"/>
      <c r="N267" s="1353"/>
    </row>
    <row r="268" spans="1:14" x14ac:dyDescent="0.25">
      <c r="A268" s="1353"/>
      <c r="B268" s="1353"/>
      <c r="C268" s="1353"/>
      <c r="D268" s="1353"/>
      <c r="E268" s="1353"/>
      <c r="F268" s="1353"/>
      <c r="G268" s="1353"/>
      <c r="H268" s="1353"/>
      <c r="I268" s="1353"/>
      <c r="J268" s="1353"/>
      <c r="K268" s="1387"/>
      <c r="L268" s="1353"/>
      <c r="M268" s="1353"/>
      <c r="N268" s="1353"/>
    </row>
    <row r="269" spans="1:14" x14ac:dyDescent="0.25">
      <c r="A269" s="1353"/>
      <c r="B269" s="1353"/>
      <c r="C269" s="1353"/>
      <c r="D269" s="1353"/>
      <c r="E269" s="1353"/>
      <c r="F269" s="1353"/>
      <c r="G269" s="1353"/>
      <c r="H269" s="1353"/>
      <c r="I269" s="1353"/>
      <c r="J269" s="1353"/>
      <c r="K269" s="1387"/>
      <c r="L269" s="1353"/>
      <c r="M269" s="1353"/>
      <c r="N269" s="1353"/>
    </row>
    <row r="270" spans="1:14" x14ac:dyDescent="0.25">
      <c r="A270" s="1353"/>
      <c r="B270" s="1353"/>
      <c r="C270" s="1353"/>
      <c r="D270" s="1353"/>
      <c r="E270" s="1353"/>
      <c r="F270" s="1353"/>
      <c r="G270" s="1353"/>
      <c r="H270" s="1353"/>
      <c r="I270" s="1353"/>
      <c r="J270" s="1353"/>
      <c r="K270" s="1387"/>
      <c r="L270" s="1353"/>
      <c r="M270" s="1353"/>
      <c r="N270" s="1353"/>
    </row>
    <row r="271" spans="1:14" x14ac:dyDescent="0.25">
      <c r="A271" s="1353"/>
      <c r="B271" s="1353"/>
      <c r="C271" s="1353"/>
      <c r="D271" s="1353"/>
      <c r="E271" s="1353"/>
      <c r="F271" s="1353"/>
      <c r="G271" s="1353"/>
      <c r="H271" s="1353"/>
      <c r="I271" s="1353"/>
      <c r="J271" s="1353"/>
      <c r="K271" s="1387"/>
      <c r="L271" s="1353"/>
      <c r="M271" s="1353"/>
      <c r="N271" s="1353"/>
    </row>
    <row r="272" spans="1:14" x14ac:dyDescent="0.25">
      <c r="A272" s="1353"/>
      <c r="B272" s="1353"/>
      <c r="C272" s="1353"/>
      <c r="D272" s="1353"/>
      <c r="E272" s="1353"/>
      <c r="F272" s="1353"/>
      <c r="G272" s="1353"/>
      <c r="H272" s="1353"/>
      <c r="I272" s="1353"/>
      <c r="J272" s="1353"/>
      <c r="K272" s="1387"/>
      <c r="L272" s="1353"/>
      <c r="M272" s="1353"/>
      <c r="N272" s="1353"/>
    </row>
    <row r="273" spans="1:14" x14ac:dyDescent="0.25">
      <c r="A273" s="1353"/>
      <c r="B273" s="1353"/>
      <c r="C273" s="1353"/>
      <c r="D273" s="1353"/>
      <c r="E273" s="1353"/>
      <c r="F273" s="1353"/>
      <c r="G273" s="1353"/>
      <c r="H273" s="1353"/>
      <c r="I273" s="1353"/>
      <c r="J273" s="1353"/>
      <c r="K273" s="1387"/>
      <c r="L273" s="1353"/>
      <c r="M273" s="1353"/>
      <c r="N273" s="1353"/>
    </row>
    <row r="274" spans="1:14" x14ac:dyDescent="0.25">
      <c r="A274" s="1353"/>
      <c r="B274" s="1353"/>
      <c r="C274" s="1353"/>
      <c r="D274" s="1353"/>
      <c r="E274" s="1353"/>
      <c r="F274" s="1353"/>
      <c r="G274" s="1353"/>
      <c r="H274" s="1353"/>
      <c r="I274" s="1353"/>
      <c r="J274" s="1353"/>
      <c r="K274" s="1387"/>
      <c r="L274" s="1353"/>
      <c r="M274" s="1353"/>
      <c r="N274" s="1353"/>
    </row>
    <row r="275" spans="1:14" x14ac:dyDescent="0.25">
      <c r="A275" s="1353"/>
      <c r="B275" s="1353"/>
      <c r="C275" s="1353"/>
      <c r="D275" s="1353"/>
      <c r="E275" s="1353"/>
      <c r="F275" s="1353"/>
      <c r="G275" s="1353"/>
      <c r="H275" s="1353"/>
      <c r="I275" s="1353"/>
      <c r="J275" s="1353"/>
      <c r="K275" s="1387"/>
      <c r="L275" s="1353"/>
      <c r="M275" s="1353"/>
      <c r="N275" s="1353"/>
    </row>
    <row r="276" spans="1:14" x14ac:dyDescent="0.25">
      <c r="A276" s="1353"/>
      <c r="B276" s="1353"/>
      <c r="C276" s="1353"/>
      <c r="D276" s="1353"/>
      <c r="E276" s="1353"/>
      <c r="F276" s="1353"/>
      <c r="G276" s="1353"/>
      <c r="H276" s="1353"/>
      <c r="I276" s="1353"/>
      <c r="J276" s="1353"/>
      <c r="K276" s="1387"/>
      <c r="L276" s="1353"/>
      <c r="M276" s="1353"/>
      <c r="N276" s="1353"/>
    </row>
    <row r="277" spans="1:14" x14ac:dyDescent="0.25">
      <c r="A277" s="1353"/>
      <c r="B277" s="1353"/>
      <c r="C277" s="1353"/>
      <c r="D277" s="1353"/>
      <c r="E277" s="1353"/>
      <c r="F277" s="1353"/>
      <c r="G277" s="1353"/>
      <c r="H277" s="1353"/>
      <c r="I277" s="1353"/>
      <c r="J277" s="1353"/>
      <c r="K277" s="1387"/>
      <c r="L277" s="1353"/>
      <c r="M277" s="1353"/>
      <c r="N277" s="1353"/>
    </row>
    <row r="278" spans="1:14" x14ac:dyDescent="0.25">
      <c r="A278" s="1353"/>
      <c r="B278" s="1353"/>
      <c r="C278" s="1353"/>
      <c r="D278" s="1353"/>
      <c r="E278" s="1353"/>
      <c r="F278" s="1353"/>
      <c r="G278" s="1353"/>
      <c r="H278" s="1353"/>
      <c r="I278" s="1353"/>
      <c r="J278" s="1353"/>
      <c r="K278" s="1387"/>
      <c r="L278" s="1353"/>
      <c r="M278" s="1353"/>
      <c r="N278" s="1353"/>
    </row>
    <row r="279" spans="1:14" x14ac:dyDescent="0.25">
      <c r="A279" s="1353"/>
      <c r="B279" s="1353"/>
      <c r="C279" s="1353"/>
      <c r="D279" s="1353"/>
      <c r="E279" s="1353"/>
      <c r="F279" s="1353"/>
      <c r="G279" s="1353"/>
      <c r="H279" s="1353"/>
      <c r="I279" s="1353"/>
      <c r="J279" s="1353"/>
      <c r="K279" s="1387"/>
      <c r="L279" s="1353"/>
      <c r="M279" s="1353"/>
      <c r="N279" s="1353"/>
    </row>
    <row r="280" spans="1:14" x14ac:dyDescent="0.25">
      <c r="A280" s="1353"/>
      <c r="B280" s="1353"/>
      <c r="C280" s="1353"/>
      <c r="D280" s="1353"/>
      <c r="E280" s="1353"/>
      <c r="F280" s="1353"/>
      <c r="G280" s="1353"/>
      <c r="H280" s="1353"/>
      <c r="I280" s="1353"/>
      <c r="J280" s="1353"/>
      <c r="K280" s="1387"/>
      <c r="L280" s="1353"/>
      <c r="M280" s="1353"/>
      <c r="N280" s="1353"/>
    </row>
    <row r="281" spans="1:14" x14ac:dyDescent="0.25">
      <c r="A281" s="1353"/>
      <c r="B281" s="1353"/>
      <c r="C281" s="1353"/>
      <c r="D281" s="1353"/>
      <c r="E281" s="1353"/>
      <c r="F281" s="1353"/>
      <c r="G281" s="1353"/>
      <c r="H281" s="1353"/>
      <c r="I281" s="1353"/>
      <c r="J281" s="1353"/>
      <c r="K281" s="1387"/>
      <c r="L281" s="1353"/>
      <c r="M281" s="1353"/>
      <c r="N281" s="1353"/>
    </row>
    <row r="282" spans="1:14" x14ac:dyDescent="0.25">
      <c r="A282" s="1353"/>
      <c r="B282" s="1353"/>
      <c r="C282" s="1353"/>
      <c r="D282" s="1353"/>
      <c r="E282" s="1353"/>
      <c r="F282" s="1353"/>
      <c r="G282" s="1353"/>
      <c r="H282" s="1353"/>
      <c r="I282" s="1353"/>
      <c r="J282" s="1353"/>
      <c r="K282" s="1387"/>
      <c r="L282" s="1353"/>
      <c r="M282" s="1353"/>
      <c r="N282" s="1353"/>
    </row>
    <row r="283" spans="1:14" x14ac:dyDescent="0.25">
      <c r="A283" s="1353"/>
      <c r="B283" s="1353"/>
      <c r="C283" s="1353"/>
      <c r="D283" s="1353"/>
      <c r="E283" s="1353"/>
      <c r="F283" s="1353"/>
      <c r="G283" s="1353"/>
      <c r="H283" s="1353"/>
      <c r="I283" s="1353"/>
      <c r="J283" s="1353"/>
      <c r="K283" s="1387"/>
      <c r="L283" s="1353"/>
      <c r="M283" s="1353"/>
      <c r="N283" s="1353"/>
    </row>
    <row r="284" spans="1:14" x14ac:dyDescent="0.25">
      <c r="A284" s="1353"/>
      <c r="B284" s="1353"/>
      <c r="C284" s="1353"/>
      <c r="D284" s="1353"/>
      <c r="E284" s="1353"/>
      <c r="F284" s="1353"/>
      <c r="G284" s="1353"/>
      <c r="H284" s="1353"/>
      <c r="I284" s="1353"/>
      <c r="J284" s="1353"/>
      <c r="K284" s="1387"/>
      <c r="L284" s="1353"/>
      <c r="M284" s="1353"/>
      <c r="N284" s="1353"/>
    </row>
    <row r="285" spans="1:14" x14ac:dyDescent="0.25">
      <c r="A285" s="1353"/>
      <c r="B285" s="1353"/>
      <c r="C285" s="1353"/>
      <c r="D285" s="1353"/>
      <c r="E285" s="1353"/>
      <c r="F285" s="1353"/>
      <c r="G285" s="1353"/>
      <c r="H285" s="1353"/>
      <c r="I285" s="1353"/>
      <c r="J285" s="1353"/>
      <c r="K285" s="1387"/>
      <c r="L285" s="1353"/>
      <c r="M285" s="1353"/>
      <c r="N285" s="1353"/>
    </row>
    <row r="286" spans="1:14" x14ac:dyDescent="0.25">
      <c r="A286" s="1353"/>
      <c r="B286" s="1353"/>
      <c r="C286" s="1353"/>
      <c r="D286" s="1353"/>
      <c r="E286" s="1353"/>
      <c r="F286" s="1353"/>
      <c r="G286" s="1353"/>
      <c r="H286" s="1353"/>
      <c r="I286" s="1353"/>
      <c r="J286" s="1353"/>
      <c r="K286" s="1387"/>
      <c r="L286" s="1353"/>
      <c r="M286" s="1353"/>
      <c r="N286" s="1353"/>
    </row>
    <row r="287" spans="1:14" x14ac:dyDescent="0.25">
      <c r="A287" s="1353"/>
      <c r="B287" s="1353"/>
      <c r="C287" s="1353"/>
      <c r="D287" s="1353"/>
      <c r="E287" s="1353"/>
      <c r="F287" s="1353"/>
      <c r="G287" s="1353"/>
      <c r="H287" s="1353"/>
      <c r="I287" s="1353"/>
      <c r="J287" s="1353"/>
      <c r="K287" s="1387"/>
      <c r="L287" s="1353"/>
      <c r="M287" s="1353"/>
      <c r="N287" s="1353"/>
    </row>
    <row r="288" spans="1:14" x14ac:dyDescent="0.25">
      <c r="A288" s="1353"/>
      <c r="B288" s="1353"/>
      <c r="C288" s="1353"/>
      <c r="D288" s="1353"/>
      <c r="E288" s="1353"/>
      <c r="F288" s="1353"/>
      <c r="G288" s="1353"/>
      <c r="H288" s="1353"/>
      <c r="I288" s="1353"/>
      <c r="J288" s="1353"/>
      <c r="K288" s="1387"/>
      <c r="L288" s="1353"/>
      <c r="M288" s="1353"/>
      <c r="N288" s="1353"/>
    </row>
    <row r="289" spans="1:14" x14ac:dyDescent="0.25">
      <c r="A289" s="1353"/>
      <c r="B289" s="1353"/>
      <c r="C289" s="1353"/>
      <c r="D289" s="1353"/>
      <c r="E289" s="1353"/>
      <c r="F289" s="1353"/>
      <c r="G289" s="1353"/>
      <c r="H289" s="1353"/>
      <c r="I289" s="1353"/>
      <c r="J289" s="1353"/>
      <c r="K289" s="1387"/>
      <c r="L289" s="1353"/>
      <c r="M289" s="1353"/>
      <c r="N289" s="1353"/>
    </row>
    <row r="290" spans="1:14" x14ac:dyDescent="0.25">
      <c r="A290" s="1353"/>
      <c r="B290" s="1353"/>
      <c r="C290" s="1353"/>
      <c r="D290" s="1353"/>
      <c r="E290" s="1353"/>
      <c r="F290" s="1353"/>
      <c r="G290" s="1353"/>
      <c r="H290" s="1353"/>
      <c r="I290" s="1353"/>
      <c r="J290" s="1353"/>
      <c r="K290" s="1387"/>
      <c r="L290" s="1353"/>
      <c r="M290" s="1353"/>
      <c r="N290" s="1353"/>
    </row>
    <row r="291" spans="1:14" x14ac:dyDescent="0.25">
      <c r="A291" s="1353"/>
      <c r="B291" s="1353"/>
      <c r="C291" s="1353"/>
      <c r="D291" s="1353"/>
      <c r="E291" s="1353"/>
      <c r="F291" s="1353"/>
      <c r="G291" s="1353"/>
      <c r="H291" s="1353"/>
      <c r="I291" s="1353"/>
      <c r="J291" s="1353"/>
      <c r="K291" s="1387"/>
      <c r="L291" s="1353"/>
      <c r="M291" s="1353"/>
      <c r="N291" s="1353"/>
    </row>
    <row r="292" spans="1:14" x14ac:dyDescent="0.25">
      <c r="A292" s="1353"/>
      <c r="B292" s="1353"/>
      <c r="C292" s="1353"/>
      <c r="D292" s="1353"/>
      <c r="E292" s="1353"/>
      <c r="F292" s="1353"/>
      <c r="G292" s="1353"/>
      <c r="H292" s="1353"/>
      <c r="I292" s="1353"/>
      <c r="J292" s="1353"/>
      <c r="K292" s="1387"/>
      <c r="L292" s="1353"/>
      <c r="M292" s="1353"/>
      <c r="N292" s="1353"/>
    </row>
    <row r="293" spans="1:14" x14ac:dyDescent="0.25">
      <c r="A293" s="1353"/>
      <c r="B293" s="1353"/>
      <c r="C293" s="1353"/>
      <c r="D293" s="1353"/>
      <c r="E293" s="1353"/>
      <c r="F293" s="1353"/>
      <c r="G293" s="1353"/>
      <c r="H293" s="1353"/>
      <c r="I293" s="1353"/>
      <c r="J293" s="1353"/>
      <c r="K293" s="1387"/>
      <c r="L293" s="1353"/>
      <c r="M293" s="1353"/>
      <c r="N293" s="1353"/>
    </row>
    <row r="294" spans="1:14" x14ac:dyDescent="0.25">
      <c r="A294" s="1353"/>
      <c r="B294" s="1353"/>
      <c r="C294" s="1353"/>
      <c r="D294" s="1353"/>
      <c r="E294" s="1353"/>
      <c r="F294" s="1353"/>
      <c r="G294" s="1353"/>
      <c r="H294" s="1353"/>
      <c r="I294" s="1353"/>
      <c r="J294" s="1353"/>
      <c r="K294" s="1387"/>
      <c r="L294" s="1353"/>
      <c r="M294" s="1353"/>
      <c r="N294" s="1353"/>
    </row>
    <row r="295" spans="1:14" x14ac:dyDescent="0.25">
      <c r="A295" s="1353"/>
      <c r="B295" s="1353"/>
      <c r="C295" s="1353"/>
      <c r="D295" s="1353"/>
      <c r="E295" s="1353"/>
      <c r="F295" s="1353"/>
      <c r="G295" s="1353"/>
      <c r="H295" s="1353"/>
      <c r="I295" s="1353"/>
      <c r="J295" s="1353"/>
      <c r="K295" s="1387"/>
      <c r="L295" s="1353"/>
      <c r="M295" s="1353"/>
      <c r="N295" s="1353"/>
    </row>
    <row r="296" spans="1:14" x14ac:dyDescent="0.25">
      <c r="A296" s="1353"/>
      <c r="B296" s="1353"/>
      <c r="C296" s="1353"/>
      <c r="D296" s="1353"/>
      <c r="E296" s="1353"/>
      <c r="F296" s="1353"/>
      <c r="G296" s="1353"/>
      <c r="H296" s="1353"/>
      <c r="I296" s="1353"/>
      <c r="J296" s="1353"/>
      <c r="K296" s="1387"/>
      <c r="L296" s="1353"/>
      <c r="M296" s="1353"/>
      <c r="N296" s="1353"/>
    </row>
    <row r="297" spans="1:14" x14ac:dyDescent="0.25">
      <c r="A297" s="1353"/>
      <c r="B297" s="1353"/>
      <c r="C297" s="1353"/>
      <c r="D297" s="1353"/>
      <c r="E297" s="1353"/>
      <c r="F297" s="1353"/>
      <c r="G297" s="1353"/>
      <c r="H297" s="1353"/>
      <c r="I297" s="1353"/>
      <c r="J297" s="1353"/>
      <c r="K297" s="1387"/>
      <c r="L297" s="1353"/>
      <c r="M297" s="1353"/>
      <c r="N297" s="1353"/>
    </row>
    <row r="298" spans="1:14" x14ac:dyDescent="0.25">
      <c r="A298" s="1353"/>
      <c r="B298" s="1353"/>
      <c r="C298" s="1353"/>
      <c r="D298" s="1353"/>
      <c r="E298" s="1353"/>
      <c r="F298" s="1353"/>
      <c r="G298" s="1353"/>
      <c r="H298" s="1353"/>
      <c r="I298" s="1353"/>
      <c r="J298" s="1353"/>
      <c r="K298" s="1387"/>
      <c r="L298" s="1353"/>
      <c r="M298" s="1353"/>
      <c r="N298" s="1353"/>
    </row>
    <row r="299" spans="1:14" x14ac:dyDescent="0.25">
      <c r="A299" s="1353"/>
      <c r="B299" s="1353"/>
      <c r="C299" s="1353"/>
      <c r="D299" s="1353"/>
      <c r="E299" s="1353"/>
      <c r="F299" s="1353"/>
      <c r="G299" s="1353"/>
      <c r="H299" s="1353"/>
      <c r="I299" s="1353"/>
      <c r="J299" s="1353"/>
      <c r="K299" s="1387"/>
      <c r="L299" s="1353"/>
      <c r="M299" s="1353"/>
      <c r="N299" s="1353"/>
    </row>
    <row r="300" spans="1:14" x14ac:dyDescent="0.25">
      <c r="A300" s="1353"/>
      <c r="B300" s="1353"/>
      <c r="C300" s="1353"/>
      <c r="D300" s="1353"/>
      <c r="E300" s="1353"/>
      <c r="F300" s="1353"/>
      <c r="G300" s="1353"/>
      <c r="H300" s="1353"/>
      <c r="I300" s="1353"/>
      <c r="J300" s="1353"/>
      <c r="K300" s="1387"/>
      <c r="L300" s="1353"/>
      <c r="M300" s="1353"/>
      <c r="N300" s="1353"/>
    </row>
    <row r="301" spans="1:14" x14ac:dyDescent="0.25">
      <c r="A301" s="1353"/>
      <c r="B301" s="1353"/>
      <c r="C301" s="1353"/>
      <c r="D301" s="1353"/>
      <c r="E301" s="1353"/>
      <c r="F301" s="1353"/>
      <c r="G301" s="1353"/>
      <c r="H301" s="1353"/>
      <c r="I301" s="1353"/>
      <c r="J301" s="1353"/>
      <c r="K301" s="1387"/>
      <c r="L301" s="1353"/>
      <c r="M301" s="1353"/>
      <c r="N301" s="1353"/>
    </row>
    <row r="302" spans="1:14" x14ac:dyDescent="0.25">
      <c r="A302" s="1353"/>
      <c r="B302" s="1353"/>
      <c r="C302" s="1353"/>
      <c r="D302" s="1353"/>
      <c r="E302" s="1353"/>
      <c r="F302" s="1353"/>
      <c r="G302" s="1353"/>
      <c r="H302" s="1353"/>
      <c r="I302" s="1353"/>
      <c r="J302" s="1353"/>
      <c r="K302" s="1387"/>
      <c r="L302" s="1353"/>
      <c r="M302" s="1353"/>
      <c r="N302" s="1353"/>
    </row>
    <row r="303" spans="1:14" x14ac:dyDescent="0.25">
      <c r="A303" s="1353"/>
      <c r="B303" s="1353"/>
      <c r="C303" s="1353"/>
      <c r="D303" s="1353"/>
      <c r="E303" s="1353"/>
      <c r="F303" s="1353"/>
      <c r="G303" s="1353"/>
      <c r="H303" s="1353"/>
      <c r="I303" s="1353"/>
      <c r="J303" s="1353"/>
      <c r="K303" s="1387"/>
      <c r="L303" s="1353"/>
      <c r="M303" s="1353"/>
      <c r="N303" s="1353"/>
    </row>
    <row r="304" spans="1:14" x14ac:dyDescent="0.25">
      <c r="A304" s="1353"/>
      <c r="B304" s="1353"/>
      <c r="C304" s="1353"/>
      <c r="D304" s="1353"/>
      <c r="E304" s="1353"/>
      <c r="F304" s="1353"/>
      <c r="G304" s="1353"/>
      <c r="H304" s="1353"/>
      <c r="I304" s="1353"/>
      <c r="J304" s="1353"/>
      <c r="K304" s="1387"/>
      <c r="L304" s="1353"/>
      <c r="M304" s="1353"/>
      <c r="N304" s="1353"/>
    </row>
    <row r="305" spans="1:14" x14ac:dyDescent="0.25">
      <c r="A305" s="1353"/>
      <c r="B305" s="1353"/>
      <c r="C305" s="1353"/>
      <c r="D305" s="1353"/>
      <c r="E305" s="1353"/>
      <c r="F305" s="1353"/>
      <c r="G305" s="1353"/>
      <c r="H305" s="1353"/>
      <c r="I305" s="1353"/>
      <c r="J305" s="1353"/>
      <c r="K305" s="1387"/>
      <c r="L305" s="1353"/>
      <c r="M305" s="1353"/>
      <c r="N305" s="1353"/>
    </row>
    <row r="306" spans="1:14" x14ac:dyDescent="0.25">
      <c r="A306" s="1353"/>
      <c r="B306" s="1353"/>
      <c r="C306" s="1353"/>
      <c r="D306" s="1353"/>
      <c r="E306" s="1353"/>
      <c r="F306" s="1353"/>
      <c r="G306" s="1353"/>
      <c r="H306" s="1353"/>
      <c r="I306" s="1353"/>
      <c r="J306" s="1353"/>
      <c r="K306" s="1387"/>
      <c r="L306" s="1353"/>
      <c r="M306" s="1353"/>
      <c r="N306" s="1353"/>
    </row>
    <row r="307" spans="1:14" x14ac:dyDescent="0.25">
      <c r="A307" s="1353"/>
      <c r="B307" s="1353"/>
      <c r="C307" s="1353"/>
      <c r="D307" s="1353"/>
      <c r="E307" s="1353"/>
      <c r="F307" s="1353"/>
      <c r="G307" s="1353"/>
      <c r="H307" s="1353"/>
      <c r="I307" s="1353"/>
      <c r="J307" s="1353"/>
      <c r="K307" s="1387"/>
      <c r="L307" s="1353"/>
      <c r="M307" s="1353"/>
      <c r="N307" s="1353"/>
    </row>
    <row r="308" spans="1:14" x14ac:dyDescent="0.25">
      <c r="A308" s="1353"/>
      <c r="B308" s="1353"/>
      <c r="C308" s="1353"/>
      <c r="D308" s="1353"/>
      <c r="E308" s="1353"/>
      <c r="F308" s="1353"/>
      <c r="G308" s="1353"/>
      <c r="H308" s="1353"/>
      <c r="I308" s="1353"/>
      <c r="J308" s="1353"/>
      <c r="K308" s="1387"/>
      <c r="L308" s="1353"/>
      <c r="M308" s="1353"/>
      <c r="N308" s="1353"/>
    </row>
    <row r="309" spans="1:14" x14ac:dyDescent="0.25">
      <c r="A309" s="1353"/>
      <c r="B309" s="1353"/>
      <c r="C309" s="1353"/>
      <c r="D309" s="1353"/>
      <c r="E309" s="1353"/>
      <c r="F309" s="1353"/>
      <c r="G309" s="1353"/>
      <c r="H309" s="1353"/>
      <c r="I309" s="1353"/>
      <c r="J309" s="1353"/>
      <c r="K309" s="1387"/>
      <c r="L309" s="1353"/>
      <c r="M309" s="1353"/>
      <c r="N309" s="1353"/>
    </row>
    <row r="310" spans="1:14" x14ac:dyDescent="0.25">
      <c r="A310" s="1353"/>
      <c r="B310" s="1353"/>
      <c r="C310" s="1353"/>
      <c r="D310" s="1353"/>
      <c r="E310" s="1353"/>
      <c r="F310" s="1353"/>
      <c r="G310" s="1353"/>
      <c r="H310" s="1353"/>
      <c r="I310" s="1353"/>
      <c r="J310" s="1353"/>
      <c r="K310" s="1387"/>
      <c r="L310" s="1353"/>
      <c r="M310" s="1353"/>
      <c r="N310" s="1353"/>
    </row>
    <row r="311" spans="1:14" x14ac:dyDescent="0.25">
      <c r="A311" s="1353"/>
      <c r="B311" s="1353"/>
      <c r="C311" s="1353"/>
      <c r="D311" s="1353"/>
      <c r="E311" s="1353"/>
      <c r="F311" s="1353"/>
      <c r="G311" s="1353"/>
      <c r="H311" s="1353"/>
      <c r="I311" s="1353"/>
      <c r="J311" s="1353"/>
      <c r="K311" s="1387"/>
      <c r="L311" s="1353"/>
      <c r="M311" s="1353"/>
      <c r="N311" s="1353"/>
    </row>
    <row r="312" spans="1:14" x14ac:dyDescent="0.25">
      <c r="A312" s="1353"/>
      <c r="B312" s="1353"/>
      <c r="C312" s="1353"/>
      <c r="D312" s="1353"/>
      <c r="E312" s="1353"/>
      <c r="F312" s="1353"/>
      <c r="G312" s="1353"/>
      <c r="H312" s="1353"/>
      <c r="I312" s="1353"/>
      <c r="J312" s="1353"/>
      <c r="K312" s="1387"/>
      <c r="L312" s="1353"/>
      <c r="M312" s="1353"/>
      <c r="N312" s="1353"/>
    </row>
    <row r="313" spans="1:14" x14ac:dyDescent="0.25">
      <c r="A313" s="1353"/>
      <c r="B313" s="1353"/>
      <c r="C313" s="1353"/>
      <c r="D313" s="1353"/>
      <c r="E313" s="1353"/>
      <c r="F313" s="1353"/>
      <c r="G313" s="1353"/>
      <c r="H313" s="1353"/>
      <c r="I313" s="1353"/>
      <c r="J313" s="1353"/>
      <c r="K313" s="1387"/>
      <c r="L313" s="1353"/>
      <c r="M313" s="1353"/>
      <c r="N313" s="1353"/>
    </row>
    <row r="314" spans="1:14" x14ac:dyDescent="0.25">
      <c r="A314" s="1353"/>
      <c r="B314" s="1353"/>
      <c r="C314" s="1353"/>
      <c r="D314" s="1353"/>
      <c r="E314" s="1353"/>
      <c r="F314" s="1353"/>
      <c r="G314" s="1353"/>
      <c r="H314" s="1353"/>
      <c r="I314" s="1353"/>
      <c r="J314" s="1353"/>
      <c r="K314" s="1387"/>
      <c r="L314" s="1353"/>
      <c r="M314" s="1353"/>
      <c r="N314" s="1353"/>
    </row>
    <row r="315" spans="1:14" x14ac:dyDescent="0.25">
      <c r="A315" s="1353"/>
      <c r="B315" s="1353"/>
      <c r="C315" s="1353"/>
      <c r="D315" s="1353"/>
      <c r="E315" s="1353"/>
      <c r="F315" s="1353"/>
      <c r="G315" s="1353"/>
      <c r="H315" s="1353"/>
      <c r="I315" s="1353"/>
      <c r="J315" s="1353"/>
      <c r="K315" s="1387"/>
      <c r="L315" s="1353"/>
      <c r="M315" s="1353"/>
      <c r="N315" s="1353"/>
    </row>
    <row r="316" spans="1:14" x14ac:dyDescent="0.25">
      <c r="A316" s="1353"/>
      <c r="B316" s="1353"/>
      <c r="C316" s="1353"/>
      <c r="D316" s="1353"/>
      <c r="E316" s="1353"/>
      <c r="F316" s="1353"/>
      <c r="G316" s="1353"/>
      <c r="H316" s="1353"/>
      <c r="I316" s="1353"/>
      <c r="J316" s="1353"/>
      <c r="K316" s="1387"/>
      <c r="L316" s="1353"/>
      <c r="M316" s="1353"/>
      <c r="N316" s="1353"/>
    </row>
    <row r="317" spans="1:14" x14ac:dyDescent="0.25">
      <c r="A317" s="1353"/>
      <c r="B317" s="1353"/>
      <c r="C317" s="1353"/>
      <c r="D317" s="1353"/>
      <c r="E317" s="1353"/>
      <c r="F317" s="1353"/>
      <c r="G317" s="1353"/>
      <c r="H317" s="1353"/>
      <c r="I317" s="1353"/>
      <c r="J317" s="1353"/>
      <c r="K317" s="1387"/>
      <c r="L317" s="1353"/>
      <c r="M317" s="1353"/>
      <c r="N317" s="1353"/>
    </row>
    <row r="318" spans="1:14" x14ac:dyDescent="0.25">
      <c r="A318" s="1353"/>
      <c r="B318" s="1353"/>
      <c r="C318" s="1353"/>
      <c r="D318" s="1353"/>
      <c r="E318" s="1353"/>
      <c r="F318" s="1353"/>
      <c r="G318" s="1353"/>
      <c r="H318" s="1353"/>
      <c r="I318" s="1353"/>
      <c r="J318" s="1353"/>
      <c r="K318" s="1387"/>
      <c r="L318" s="1353"/>
      <c r="M318" s="1353"/>
      <c r="N318" s="1353"/>
    </row>
    <row r="319" spans="1:14" x14ac:dyDescent="0.25">
      <c r="A319" s="1353"/>
      <c r="B319" s="1353"/>
      <c r="C319" s="1353"/>
      <c r="D319" s="1353"/>
      <c r="E319" s="1353"/>
      <c r="F319" s="1353"/>
      <c r="G319" s="1353"/>
      <c r="H319" s="1353"/>
      <c r="I319" s="1353"/>
      <c r="J319" s="1353"/>
      <c r="K319" s="1387"/>
      <c r="L319" s="1353"/>
      <c r="M319" s="1353"/>
      <c r="N319" s="1353"/>
    </row>
    <row r="320" spans="1:14" x14ac:dyDescent="0.25">
      <c r="A320" s="1353"/>
      <c r="B320" s="1353"/>
      <c r="C320" s="1353"/>
      <c r="D320" s="1353"/>
      <c r="E320" s="1353"/>
      <c r="F320" s="1353"/>
      <c r="G320" s="1353"/>
      <c r="H320" s="1353"/>
      <c r="I320" s="1353"/>
      <c r="J320" s="1353"/>
      <c r="K320" s="1387"/>
      <c r="L320" s="1353"/>
      <c r="M320" s="1353"/>
      <c r="N320" s="1353"/>
    </row>
    <row r="321" spans="1:14" x14ac:dyDescent="0.25">
      <c r="A321" s="1353"/>
      <c r="B321" s="1353"/>
      <c r="C321" s="1353"/>
      <c r="D321" s="1353"/>
      <c r="E321" s="1353"/>
      <c r="F321" s="1353"/>
      <c r="G321" s="1353"/>
      <c r="H321" s="1353"/>
      <c r="I321" s="1353"/>
      <c r="J321" s="1353"/>
      <c r="K321" s="1387"/>
      <c r="L321" s="1353"/>
      <c r="M321" s="1353"/>
      <c r="N321" s="1353"/>
    </row>
    <row r="322" spans="1:14" x14ac:dyDescent="0.25">
      <c r="A322" s="1353"/>
      <c r="B322" s="1353"/>
      <c r="C322" s="1353"/>
      <c r="D322" s="1353"/>
      <c r="E322" s="1353"/>
      <c r="F322" s="1353"/>
      <c r="G322" s="1353"/>
      <c r="H322" s="1353"/>
      <c r="I322" s="1353"/>
      <c r="J322" s="1353"/>
      <c r="K322" s="1387"/>
      <c r="L322" s="1353"/>
      <c r="M322" s="1353"/>
      <c r="N322" s="1353"/>
    </row>
    <row r="323" spans="1:14" x14ac:dyDescent="0.25">
      <c r="A323" s="1353"/>
      <c r="B323" s="1353"/>
      <c r="C323" s="1353"/>
      <c r="D323" s="1353"/>
      <c r="E323" s="1353"/>
      <c r="F323" s="1353"/>
      <c r="G323" s="1353"/>
      <c r="H323" s="1353"/>
      <c r="I323" s="1353"/>
      <c r="J323" s="1353"/>
      <c r="K323" s="1387"/>
      <c r="L323" s="1353"/>
      <c r="M323" s="1353"/>
      <c r="N323" s="1353"/>
    </row>
    <row r="324" spans="1:14" x14ac:dyDescent="0.25">
      <c r="A324" s="1353"/>
      <c r="B324" s="1353"/>
      <c r="C324" s="1353"/>
      <c r="D324" s="1353"/>
      <c r="E324" s="1353"/>
      <c r="F324" s="1353"/>
      <c r="G324" s="1353"/>
      <c r="H324" s="1353"/>
      <c r="I324" s="1353"/>
      <c r="J324" s="1353"/>
      <c r="K324" s="1387"/>
      <c r="L324" s="1353"/>
      <c r="M324" s="1353"/>
      <c r="N324" s="1353"/>
    </row>
    <row r="325" spans="1:14" x14ac:dyDescent="0.25">
      <c r="A325" s="1353"/>
      <c r="B325" s="1353"/>
      <c r="C325" s="1353"/>
      <c r="D325" s="1353"/>
      <c r="E325" s="1353"/>
      <c r="F325" s="1353"/>
      <c r="G325" s="1353"/>
      <c r="H325" s="1353"/>
      <c r="I325" s="1353"/>
      <c r="J325" s="1353"/>
      <c r="K325" s="1387"/>
      <c r="L325" s="1353"/>
      <c r="M325" s="1353"/>
      <c r="N325" s="1353"/>
    </row>
    <row r="326" spans="1:14" x14ac:dyDescent="0.25">
      <c r="A326" s="1353"/>
      <c r="B326" s="1353"/>
      <c r="C326" s="1353"/>
      <c r="D326" s="1353"/>
      <c r="E326" s="1353"/>
      <c r="F326" s="1353"/>
      <c r="G326" s="1353"/>
      <c r="H326" s="1353"/>
      <c r="I326" s="1353"/>
      <c r="J326" s="1353"/>
      <c r="K326" s="1387"/>
      <c r="L326" s="1353"/>
      <c r="M326" s="1353"/>
      <c r="N326" s="1353"/>
    </row>
    <row r="327" spans="1:14" x14ac:dyDescent="0.25">
      <c r="A327" s="1353"/>
      <c r="B327" s="1353"/>
      <c r="C327" s="1353"/>
      <c r="D327" s="1353"/>
      <c r="E327" s="1353"/>
      <c r="F327" s="1353"/>
      <c r="G327" s="1353"/>
      <c r="H327" s="1353"/>
      <c r="I327" s="1353"/>
      <c r="J327" s="1353"/>
      <c r="K327" s="1387"/>
      <c r="L327" s="1353"/>
      <c r="M327" s="1353"/>
      <c r="N327" s="1353"/>
    </row>
    <row r="328" spans="1:14" x14ac:dyDescent="0.25">
      <c r="A328" s="1353"/>
      <c r="B328" s="1353"/>
      <c r="C328" s="1353"/>
      <c r="D328" s="1353"/>
      <c r="E328" s="1353"/>
      <c r="F328" s="1353"/>
      <c r="G328" s="1353"/>
      <c r="H328" s="1353"/>
      <c r="I328" s="1353"/>
      <c r="J328" s="1353"/>
      <c r="K328" s="1387"/>
      <c r="L328" s="1353"/>
      <c r="M328" s="1353"/>
      <c r="N328" s="1353"/>
    </row>
    <row r="329" spans="1:14" x14ac:dyDescent="0.25">
      <c r="A329" s="1353"/>
      <c r="B329" s="1353"/>
      <c r="C329" s="1353"/>
      <c r="D329" s="1353"/>
      <c r="E329" s="1353"/>
      <c r="F329" s="1353"/>
      <c r="G329" s="1353"/>
      <c r="H329" s="1353"/>
      <c r="I329" s="1353"/>
      <c r="J329" s="1353"/>
      <c r="K329" s="1387"/>
      <c r="L329" s="1353"/>
      <c r="M329" s="1353"/>
      <c r="N329" s="1353"/>
    </row>
    <row r="330" spans="1:14" x14ac:dyDescent="0.25">
      <c r="A330" s="1353"/>
      <c r="B330" s="1353"/>
      <c r="C330" s="1353"/>
      <c r="D330" s="1353"/>
      <c r="E330" s="1353"/>
      <c r="F330" s="1353"/>
      <c r="G330" s="1353"/>
      <c r="H330" s="1353"/>
      <c r="I330" s="1353"/>
      <c r="J330" s="1353"/>
      <c r="K330" s="1387"/>
      <c r="L330" s="1353"/>
      <c r="M330" s="1353"/>
      <c r="N330" s="1353"/>
    </row>
    <row r="331" spans="1:14" x14ac:dyDescent="0.25">
      <c r="A331" s="1353"/>
      <c r="B331" s="1353"/>
      <c r="C331" s="1353"/>
      <c r="D331" s="1353"/>
      <c r="E331" s="1353"/>
      <c r="F331" s="1353"/>
      <c r="G331" s="1353"/>
      <c r="H331" s="1353"/>
      <c r="I331" s="1353"/>
      <c r="J331" s="1353"/>
      <c r="K331" s="1387"/>
      <c r="L331" s="1353"/>
      <c r="M331" s="1353"/>
      <c r="N331" s="1353"/>
    </row>
    <row r="332" spans="1:14" x14ac:dyDescent="0.25">
      <c r="A332" s="1353"/>
      <c r="B332" s="1353"/>
      <c r="C332" s="1353"/>
      <c r="D332" s="1353"/>
      <c r="E332" s="1353"/>
      <c r="F332" s="1353"/>
      <c r="G332" s="1353"/>
      <c r="H332" s="1353"/>
      <c r="I332" s="1353"/>
      <c r="J332" s="1353"/>
      <c r="K332" s="1387"/>
      <c r="L332" s="1353"/>
      <c r="M332" s="1353"/>
      <c r="N332" s="1353"/>
    </row>
    <row r="333" spans="1:14" x14ac:dyDescent="0.25">
      <c r="A333" s="1353"/>
      <c r="B333" s="1353"/>
      <c r="C333" s="1353"/>
      <c r="D333" s="1353"/>
      <c r="E333" s="1353"/>
      <c r="F333" s="1353"/>
      <c r="G333" s="1353"/>
      <c r="H333" s="1353"/>
      <c r="I333" s="1353"/>
      <c r="J333" s="1353"/>
      <c r="K333" s="1387"/>
      <c r="L333" s="1353"/>
      <c r="M333" s="1353"/>
      <c r="N333" s="1353"/>
    </row>
    <row r="334" spans="1:14" x14ac:dyDescent="0.25">
      <c r="A334" s="1353"/>
      <c r="B334" s="1353"/>
      <c r="C334" s="1353"/>
      <c r="D334" s="1353"/>
      <c r="E334" s="1353"/>
      <c r="F334" s="1353"/>
      <c r="G334" s="1353"/>
      <c r="H334" s="1353"/>
      <c r="I334" s="1353"/>
      <c r="J334" s="1353"/>
      <c r="K334" s="1387"/>
      <c r="L334" s="1353"/>
      <c r="M334" s="1353"/>
      <c r="N334" s="1353"/>
    </row>
    <row r="335" spans="1:14" x14ac:dyDescent="0.25">
      <c r="A335" s="1353"/>
      <c r="B335" s="1353"/>
      <c r="C335" s="1353"/>
      <c r="D335" s="1353"/>
      <c r="E335" s="1353"/>
      <c r="F335" s="1353"/>
      <c r="G335" s="1353"/>
      <c r="H335" s="1353"/>
      <c r="I335" s="1353"/>
      <c r="J335" s="1353"/>
      <c r="K335" s="1387"/>
      <c r="L335" s="1353"/>
      <c r="M335" s="1353"/>
      <c r="N335" s="1353"/>
    </row>
    <row r="336" spans="1:14" x14ac:dyDescent="0.25">
      <c r="A336" s="1353"/>
      <c r="B336" s="1353"/>
      <c r="C336" s="1353"/>
      <c r="D336" s="1353"/>
      <c r="E336" s="1353"/>
      <c r="F336" s="1353"/>
      <c r="G336" s="1353"/>
      <c r="H336" s="1353"/>
      <c r="I336" s="1353"/>
      <c r="J336" s="1353"/>
      <c r="K336" s="1387"/>
      <c r="L336" s="1353"/>
      <c r="M336" s="1353"/>
      <c r="N336" s="1353"/>
    </row>
    <row r="337" spans="1:14" x14ac:dyDescent="0.25">
      <c r="A337" s="1353"/>
      <c r="B337" s="1353"/>
      <c r="C337" s="1353"/>
      <c r="D337" s="1353"/>
      <c r="E337" s="1353"/>
      <c r="F337" s="1353"/>
      <c r="G337" s="1353"/>
      <c r="H337" s="1353"/>
      <c r="I337" s="1353"/>
      <c r="J337" s="1353"/>
      <c r="K337" s="1387"/>
      <c r="L337" s="1353"/>
      <c r="M337" s="1353"/>
      <c r="N337" s="1353"/>
    </row>
    <row r="338" spans="1:14" x14ac:dyDescent="0.25">
      <c r="A338" s="1353"/>
      <c r="B338" s="1353"/>
      <c r="C338" s="1353"/>
      <c r="D338" s="1353"/>
      <c r="E338" s="1353"/>
      <c r="F338" s="1353"/>
      <c r="G338" s="1353"/>
      <c r="H338" s="1353"/>
      <c r="I338" s="1353"/>
      <c r="J338" s="1353"/>
      <c r="K338" s="1387"/>
      <c r="L338" s="1353"/>
      <c r="M338" s="1353"/>
      <c r="N338" s="1353"/>
    </row>
    <row r="339" spans="1:14" x14ac:dyDescent="0.25">
      <c r="A339" s="1353"/>
      <c r="B339" s="1353"/>
      <c r="C339" s="1353"/>
      <c r="D339" s="1353"/>
      <c r="E339" s="1353"/>
      <c r="F339" s="1353"/>
      <c r="G339" s="1353"/>
      <c r="H339" s="1353"/>
      <c r="I339" s="1353"/>
      <c r="J339" s="1353"/>
      <c r="K339" s="1387"/>
      <c r="L339" s="1353"/>
      <c r="M339" s="1353"/>
      <c r="N339" s="1353"/>
    </row>
    <row r="340" spans="1:14" x14ac:dyDescent="0.25">
      <c r="A340" s="1353"/>
      <c r="B340" s="1353"/>
      <c r="C340" s="1353"/>
      <c r="D340" s="1353"/>
      <c r="E340" s="1353"/>
      <c r="F340" s="1353"/>
      <c r="G340" s="1353"/>
      <c r="H340" s="1353"/>
      <c r="I340" s="1353"/>
      <c r="J340" s="1353"/>
      <c r="K340" s="1387"/>
      <c r="L340" s="1353"/>
      <c r="M340" s="1353"/>
      <c r="N340" s="1353"/>
    </row>
    <row r="341" spans="1:14" x14ac:dyDescent="0.25">
      <c r="A341" s="1353"/>
      <c r="B341" s="1353"/>
      <c r="C341" s="1353"/>
      <c r="D341" s="1353"/>
      <c r="E341" s="1353"/>
      <c r="F341" s="1353"/>
      <c r="G341" s="1353"/>
      <c r="H341" s="1353"/>
      <c r="I341" s="1353"/>
      <c r="J341" s="1353"/>
      <c r="K341" s="1387"/>
      <c r="L341" s="1353"/>
      <c r="M341" s="1353"/>
      <c r="N341" s="1353"/>
    </row>
    <row r="342" spans="1:14" x14ac:dyDescent="0.25">
      <c r="A342" s="1353"/>
      <c r="B342" s="1353"/>
      <c r="C342" s="1353"/>
      <c r="D342" s="1353"/>
      <c r="E342" s="1353"/>
      <c r="F342" s="1353"/>
      <c r="G342" s="1353"/>
      <c r="H342" s="1353"/>
      <c r="I342" s="1353"/>
      <c r="J342" s="1353"/>
      <c r="K342" s="1387"/>
      <c r="L342" s="1353"/>
      <c r="M342" s="1353"/>
      <c r="N342" s="1353"/>
    </row>
    <row r="343" spans="1:14" x14ac:dyDescent="0.25">
      <c r="A343" s="1353"/>
      <c r="B343" s="1353"/>
      <c r="C343" s="1353"/>
      <c r="D343" s="1353"/>
      <c r="E343" s="1353"/>
      <c r="F343" s="1353"/>
      <c r="G343" s="1353"/>
      <c r="H343" s="1353"/>
      <c r="I343" s="1353"/>
      <c r="J343" s="1353"/>
      <c r="K343" s="1387"/>
      <c r="L343" s="1353"/>
      <c r="M343" s="1353"/>
      <c r="N343" s="1353"/>
    </row>
    <row r="344" spans="1:14" x14ac:dyDescent="0.25">
      <c r="A344" s="1353"/>
      <c r="B344" s="1353"/>
      <c r="C344" s="1353"/>
      <c r="D344" s="1353"/>
      <c r="E344" s="1353"/>
      <c r="F344" s="1353"/>
      <c r="G344" s="1353"/>
      <c r="H344" s="1353"/>
      <c r="I344" s="1353"/>
      <c r="J344" s="1353"/>
      <c r="K344" s="1387"/>
      <c r="L344" s="1353"/>
      <c r="M344" s="1353"/>
      <c r="N344" s="1353"/>
    </row>
    <row r="345" spans="1:14" x14ac:dyDescent="0.25">
      <c r="A345" s="1353"/>
      <c r="B345" s="1353"/>
      <c r="C345" s="1353"/>
      <c r="D345" s="1353"/>
      <c r="E345" s="1353"/>
      <c r="F345" s="1353"/>
      <c r="G345" s="1353"/>
      <c r="H345" s="1353"/>
      <c r="I345" s="1353"/>
      <c r="J345" s="1353"/>
      <c r="K345" s="1387"/>
      <c r="L345" s="1353"/>
      <c r="M345" s="1353"/>
      <c r="N345" s="1353"/>
    </row>
    <row r="346" spans="1:14" x14ac:dyDescent="0.25">
      <c r="A346" s="1353"/>
      <c r="B346" s="1353"/>
      <c r="C346" s="1353"/>
      <c r="D346" s="1353"/>
      <c r="E346" s="1353"/>
      <c r="F346" s="1353"/>
      <c r="G346" s="1353"/>
      <c r="H346" s="1353"/>
      <c r="I346" s="1353"/>
      <c r="J346" s="1353"/>
      <c r="K346" s="1387"/>
      <c r="L346" s="1353"/>
      <c r="M346" s="1353"/>
      <c r="N346" s="1353"/>
    </row>
    <row r="347" spans="1:14" x14ac:dyDescent="0.25">
      <c r="A347" s="1353"/>
      <c r="B347" s="1353"/>
      <c r="C347" s="1353"/>
      <c r="D347" s="1353"/>
      <c r="E347" s="1353"/>
      <c r="F347" s="1353"/>
      <c r="G347" s="1353"/>
      <c r="H347" s="1353"/>
      <c r="I347" s="1353"/>
      <c r="J347" s="1353"/>
      <c r="K347" s="1387"/>
      <c r="L347" s="1353"/>
      <c r="M347" s="1353"/>
      <c r="N347" s="1353"/>
    </row>
    <row r="348" spans="1:14" x14ac:dyDescent="0.25">
      <c r="A348" s="1353"/>
      <c r="B348" s="1353"/>
      <c r="C348" s="1353"/>
      <c r="D348" s="1353"/>
      <c r="E348" s="1353"/>
      <c r="F348" s="1353"/>
      <c r="G348" s="1353"/>
      <c r="H348" s="1353"/>
      <c r="I348" s="1353"/>
      <c r="J348" s="1353"/>
      <c r="K348" s="1387"/>
      <c r="L348" s="1353"/>
      <c r="M348" s="1353"/>
      <c r="N348" s="1353"/>
    </row>
    <row r="349" spans="1:14" x14ac:dyDescent="0.25">
      <c r="A349" s="1353"/>
      <c r="B349" s="1353"/>
      <c r="C349" s="1353"/>
      <c r="D349" s="1353"/>
      <c r="E349" s="1353"/>
      <c r="F349" s="1353"/>
      <c r="G349" s="1353"/>
      <c r="H349" s="1353"/>
      <c r="I349" s="1353"/>
      <c r="J349" s="1353"/>
      <c r="K349" s="1387"/>
      <c r="L349" s="1353"/>
      <c r="M349" s="1353"/>
      <c r="N349" s="1353"/>
    </row>
    <row r="350" spans="1:14" x14ac:dyDescent="0.25">
      <c r="A350" s="1353"/>
      <c r="B350" s="1353"/>
      <c r="C350" s="1353"/>
      <c r="D350" s="1353"/>
      <c r="E350" s="1353"/>
      <c r="F350" s="1353"/>
      <c r="G350" s="1353"/>
      <c r="H350" s="1353"/>
      <c r="I350" s="1353"/>
      <c r="J350" s="1353"/>
      <c r="K350" s="1387"/>
      <c r="L350" s="1353"/>
      <c r="M350" s="1353"/>
      <c r="N350" s="1353"/>
    </row>
    <row r="351" spans="1:14" x14ac:dyDescent="0.25">
      <c r="A351" s="1353"/>
      <c r="B351" s="1353"/>
      <c r="C351" s="1353"/>
      <c r="D351" s="1353"/>
      <c r="E351" s="1353"/>
      <c r="F351" s="1353"/>
      <c r="G351" s="1353"/>
      <c r="H351" s="1353"/>
      <c r="I351" s="1353"/>
      <c r="J351" s="1353"/>
      <c r="K351" s="1387"/>
      <c r="L351" s="1353"/>
      <c r="M351" s="1353"/>
      <c r="N351" s="1353"/>
    </row>
    <row r="352" spans="1:14" x14ac:dyDescent="0.25">
      <c r="A352" s="1353"/>
      <c r="B352" s="1353"/>
      <c r="C352" s="1353"/>
      <c r="D352" s="1353"/>
      <c r="E352" s="1353"/>
      <c r="F352" s="1353"/>
      <c r="G352" s="1353"/>
      <c r="H352" s="1353"/>
      <c r="I352" s="1353"/>
      <c r="J352" s="1353"/>
      <c r="K352" s="1387"/>
      <c r="L352" s="1353"/>
      <c r="M352" s="1353"/>
      <c r="N352" s="1353"/>
    </row>
    <row r="353" spans="1:14" x14ac:dyDescent="0.25">
      <c r="A353" s="1353"/>
      <c r="B353" s="1353"/>
      <c r="C353" s="1353"/>
      <c r="D353" s="1353"/>
      <c r="E353" s="1353"/>
      <c r="F353" s="1353"/>
      <c r="G353" s="1353"/>
      <c r="H353" s="1353"/>
      <c r="I353" s="1353"/>
      <c r="J353" s="1353"/>
      <c r="K353" s="1387"/>
      <c r="L353" s="1353"/>
      <c r="M353" s="1353"/>
      <c r="N353" s="1353"/>
    </row>
    <row r="354" spans="1:14" x14ac:dyDescent="0.25">
      <c r="A354" s="1353"/>
      <c r="B354" s="1353"/>
      <c r="C354" s="1353"/>
      <c r="D354" s="1353"/>
      <c r="E354" s="1353"/>
      <c r="F354" s="1353"/>
      <c r="G354" s="1353"/>
      <c r="H354" s="1353"/>
      <c r="I354" s="1353"/>
      <c r="J354" s="1353"/>
      <c r="K354" s="1387"/>
      <c r="L354" s="1353"/>
      <c r="M354" s="1353"/>
      <c r="N354" s="1353"/>
    </row>
    <row r="355" spans="1:14" x14ac:dyDescent="0.25">
      <c r="A355" s="1353"/>
      <c r="B355" s="1353"/>
      <c r="C355" s="1353"/>
      <c r="D355" s="1353"/>
      <c r="E355" s="1353"/>
      <c r="F355" s="1353"/>
      <c r="G355" s="1353"/>
      <c r="H355" s="1353"/>
      <c r="I355" s="1353"/>
      <c r="J355" s="1353"/>
      <c r="K355" s="1387"/>
      <c r="L355" s="1353"/>
      <c r="M355" s="1353"/>
      <c r="N355" s="1353"/>
    </row>
    <row r="356" spans="1:14" x14ac:dyDescent="0.25">
      <c r="A356" s="1353"/>
      <c r="B356" s="1353"/>
      <c r="C356" s="1353"/>
      <c r="D356" s="1353"/>
      <c r="E356" s="1353"/>
      <c r="F356" s="1353"/>
      <c r="G356" s="1353"/>
      <c r="H356" s="1353"/>
      <c r="I356" s="1353"/>
      <c r="J356" s="1353"/>
      <c r="K356" s="1387"/>
      <c r="L356" s="1353"/>
      <c r="M356" s="1353"/>
      <c r="N356" s="1353"/>
    </row>
    <row r="357" spans="1:14" x14ac:dyDescent="0.25">
      <c r="A357" s="1353"/>
      <c r="B357" s="1353"/>
      <c r="C357" s="1353"/>
      <c r="D357" s="1353"/>
      <c r="E357" s="1353"/>
      <c r="F357" s="1353"/>
      <c r="G357" s="1353"/>
      <c r="H357" s="1353"/>
      <c r="I357" s="1353"/>
      <c r="J357" s="1353"/>
      <c r="K357" s="1387"/>
      <c r="L357" s="1353"/>
      <c r="M357" s="1353"/>
      <c r="N357" s="1353"/>
    </row>
    <row r="358" spans="1:14" x14ac:dyDescent="0.25">
      <c r="A358" s="1353"/>
      <c r="B358" s="1353"/>
      <c r="C358" s="1353"/>
      <c r="D358" s="1353"/>
      <c r="E358" s="1353"/>
      <c r="F358" s="1353"/>
      <c r="G358" s="1353"/>
      <c r="H358" s="1353"/>
      <c r="I358" s="1353"/>
      <c r="J358" s="1353"/>
      <c r="K358" s="1387"/>
      <c r="L358" s="1353"/>
      <c r="M358" s="1353"/>
      <c r="N358" s="1353"/>
    </row>
    <row r="359" spans="1:14" x14ac:dyDescent="0.25">
      <c r="A359" s="1353"/>
      <c r="B359" s="1353"/>
      <c r="C359" s="1353"/>
      <c r="D359" s="1353"/>
      <c r="E359" s="1353"/>
      <c r="F359" s="1353"/>
      <c r="G359" s="1353"/>
      <c r="H359" s="1353"/>
      <c r="I359" s="1353"/>
      <c r="J359" s="1353"/>
      <c r="K359" s="1387"/>
      <c r="L359" s="1353"/>
      <c r="M359" s="1353"/>
      <c r="N359" s="1353"/>
    </row>
    <row r="360" spans="1:14" x14ac:dyDescent="0.25">
      <c r="A360" s="1353"/>
      <c r="B360" s="1353"/>
      <c r="C360" s="1353"/>
      <c r="D360" s="1353"/>
      <c r="E360" s="1353"/>
      <c r="F360" s="1353"/>
      <c r="G360" s="1353"/>
      <c r="H360" s="1353"/>
      <c r="I360" s="1353"/>
      <c r="J360" s="1353"/>
      <c r="K360" s="1387"/>
      <c r="L360" s="1353"/>
      <c r="M360" s="1353"/>
      <c r="N360" s="1353"/>
    </row>
    <row r="361" spans="1:14" x14ac:dyDescent="0.25">
      <c r="A361" s="1353"/>
      <c r="B361" s="1353"/>
      <c r="C361" s="1353"/>
      <c r="D361" s="1353"/>
      <c r="E361" s="1353"/>
      <c r="F361" s="1353"/>
      <c r="G361" s="1353"/>
      <c r="H361" s="1353"/>
      <c r="I361" s="1353"/>
      <c r="J361" s="1353"/>
      <c r="K361" s="1387"/>
      <c r="L361" s="1353"/>
      <c r="M361" s="1353"/>
      <c r="N361" s="1353"/>
    </row>
    <row r="362" spans="1:14" x14ac:dyDescent="0.25">
      <c r="A362" s="1353"/>
      <c r="B362" s="1353"/>
      <c r="C362" s="1353"/>
      <c r="D362" s="1353"/>
      <c r="E362" s="1353"/>
      <c r="F362" s="1353"/>
      <c r="G362" s="1353"/>
      <c r="H362" s="1353"/>
      <c r="I362" s="1353"/>
      <c r="J362" s="1353"/>
      <c r="K362" s="1387"/>
      <c r="L362" s="1353"/>
      <c r="M362" s="1353"/>
      <c r="N362" s="1353"/>
    </row>
    <row r="363" spans="1:14" x14ac:dyDescent="0.25">
      <c r="A363" s="1353"/>
      <c r="B363" s="1353"/>
      <c r="C363" s="1353"/>
      <c r="D363" s="1353"/>
      <c r="E363" s="1353"/>
      <c r="F363" s="1353"/>
      <c r="G363" s="1353"/>
      <c r="H363" s="1353"/>
      <c r="I363" s="1353"/>
      <c r="J363" s="1353"/>
      <c r="K363" s="1387"/>
      <c r="L363" s="1353"/>
      <c r="M363" s="1353"/>
      <c r="N363" s="1353"/>
    </row>
    <row r="364" spans="1:14" x14ac:dyDescent="0.25">
      <c r="A364" s="1353"/>
      <c r="B364" s="1353"/>
      <c r="C364" s="1353"/>
      <c r="D364" s="1353"/>
      <c r="E364" s="1353"/>
      <c r="F364" s="1353"/>
      <c r="G364" s="1353"/>
      <c r="H364" s="1353"/>
      <c r="I364" s="1353"/>
      <c r="J364" s="1353"/>
      <c r="K364" s="1387"/>
      <c r="L364" s="1353"/>
      <c r="M364" s="1353"/>
      <c r="N364" s="1353"/>
    </row>
    <row r="365" spans="1:14" x14ac:dyDescent="0.25">
      <c r="A365" s="1353"/>
      <c r="B365" s="1353"/>
      <c r="C365" s="1353"/>
      <c r="D365" s="1353"/>
      <c r="E365" s="1353"/>
      <c r="F365" s="1353"/>
      <c r="G365" s="1353"/>
      <c r="H365" s="1353"/>
      <c r="I365" s="1353"/>
      <c r="J365" s="1353"/>
      <c r="K365" s="1387"/>
      <c r="L365" s="1353"/>
      <c r="M365" s="1353"/>
      <c r="N365" s="1353"/>
    </row>
    <row r="366" spans="1:14" x14ac:dyDescent="0.25">
      <c r="A366" s="1353"/>
      <c r="B366" s="1353"/>
      <c r="C366" s="1353"/>
      <c r="D366" s="1353"/>
      <c r="E366" s="1353"/>
      <c r="F366" s="1353"/>
      <c r="G366" s="1353"/>
      <c r="H366" s="1353"/>
      <c r="I366" s="1353"/>
      <c r="J366" s="1353"/>
      <c r="K366" s="1387"/>
      <c r="L366" s="1353"/>
      <c r="M366" s="1353"/>
      <c r="N366" s="1353"/>
    </row>
    <row r="367" spans="1:14" x14ac:dyDescent="0.25">
      <c r="A367" s="1353"/>
      <c r="B367" s="1353"/>
      <c r="C367" s="1353"/>
      <c r="D367" s="1353"/>
      <c r="E367" s="1353"/>
      <c r="F367" s="1353"/>
      <c r="G367" s="1353"/>
      <c r="H367" s="1353"/>
      <c r="I367" s="1353"/>
      <c r="J367" s="1353"/>
      <c r="K367" s="1387"/>
      <c r="L367" s="1353"/>
      <c r="M367" s="1353"/>
      <c r="N367" s="1353"/>
    </row>
    <row r="368" spans="1:14" x14ac:dyDescent="0.25">
      <c r="A368" s="1353"/>
      <c r="B368" s="1353"/>
      <c r="C368" s="1353"/>
      <c r="D368" s="1353"/>
      <c r="E368" s="1353"/>
      <c r="F368" s="1353"/>
      <c r="G368" s="1353"/>
      <c r="H368" s="1353"/>
      <c r="I368" s="1353"/>
      <c r="J368" s="1353"/>
      <c r="K368" s="1387"/>
      <c r="L368" s="1353"/>
      <c r="M368" s="1353"/>
      <c r="N368" s="1353"/>
    </row>
    <row r="369" spans="1:14" x14ac:dyDescent="0.25">
      <c r="A369" s="1353"/>
      <c r="B369" s="1353"/>
      <c r="C369" s="1353"/>
      <c r="D369" s="1353"/>
      <c r="E369" s="1353"/>
      <c r="F369" s="1353"/>
      <c r="G369" s="1353"/>
      <c r="H369" s="1353"/>
      <c r="I369" s="1353"/>
      <c r="J369" s="1353"/>
      <c r="K369" s="1387"/>
      <c r="L369" s="1353"/>
      <c r="M369" s="1353"/>
      <c r="N369" s="1353"/>
    </row>
    <row r="370" spans="1:14" x14ac:dyDescent="0.25">
      <c r="A370" s="1353"/>
      <c r="B370" s="1353"/>
      <c r="C370" s="1353"/>
      <c r="D370" s="1353"/>
      <c r="E370" s="1353"/>
      <c r="F370" s="1353"/>
      <c r="G370" s="1353"/>
      <c r="H370" s="1353"/>
      <c r="I370" s="1353"/>
      <c r="J370" s="1353"/>
      <c r="K370" s="1387"/>
      <c r="L370" s="1353"/>
      <c r="M370" s="1353"/>
      <c r="N370" s="1353"/>
    </row>
    <row r="371" spans="1:14" x14ac:dyDescent="0.25">
      <c r="A371" s="1353"/>
      <c r="B371" s="1353"/>
      <c r="C371" s="1353"/>
      <c r="D371" s="1353"/>
      <c r="E371" s="1353"/>
      <c r="F371" s="1353"/>
      <c r="G371" s="1353"/>
      <c r="H371" s="1353"/>
      <c r="I371" s="1353"/>
      <c r="J371" s="1353"/>
      <c r="K371" s="1387"/>
      <c r="L371" s="1353"/>
      <c r="M371" s="1353"/>
      <c r="N371" s="1353"/>
    </row>
    <row r="372" spans="1:14" x14ac:dyDescent="0.25">
      <c r="A372" s="1353"/>
      <c r="B372" s="1353"/>
      <c r="C372" s="1353"/>
      <c r="D372" s="1353"/>
      <c r="E372" s="1353"/>
      <c r="F372" s="1353"/>
      <c r="G372" s="1353"/>
      <c r="H372" s="1353"/>
      <c r="I372" s="1353"/>
      <c r="J372" s="1353"/>
      <c r="K372" s="1387"/>
      <c r="L372" s="1353"/>
      <c r="M372" s="1353"/>
      <c r="N372" s="1353"/>
    </row>
    <row r="373" spans="1:14" x14ac:dyDescent="0.25">
      <c r="A373" s="1353"/>
      <c r="B373" s="1353"/>
      <c r="C373" s="1353"/>
      <c r="D373" s="1353"/>
      <c r="E373" s="1353"/>
      <c r="F373" s="1353"/>
      <c r="G373" s="1353"/>
      <c r="H373" s="1353"/>
      <c r="I373" s="1353"/>
      <c r="J373" s="1353"/>
      <c r="K373" s="1387"/>
      <c r="L373" s="1353"/>
      <c r="M373" s="1353"/>
      <c r="N373" s="1353"/>
    </row>
    <row r="374" spans="1:14" x14ac:dyDescent="0.25">
      <c r="A374" s="1353"/>
      <c r="B374" s="1353"/>
      <c r="C374" s="1353"/>
      <c r="D374" s="1353"/>
      <c r="E374" s="1353"/>
      <c r="F374" s="1353"/>
      <c r="G374" s="1353"/>
      <c r="H374" s="1353"/>
      <c r="I374" s="1353"/>
      <c r="J374" s="1353"/>
      <c r="K374" s="1387"/>
      <c r="L374" s="1353"/>
      <c r="M374" s="1353"/>
      <c r="N374" s="1353"/>
    </row>
    <row r="375" spans="1:14" x14ac:dyDescent="0.25">
      <c r="A375" s="1353"/>
      <c r="B375" s="1353"/>
      <c r="C375" s="1353"/>
      <c r="D375" s="1353"/>
      <c r="E375" s="1353"/>
      <c r="F375" s="1353"/>
      <c r="G375" s="1353"/>
      <c r="H375" s="1353"/>
      <c r="I375" s="1353"/>
      <c r="J375" s="1353"/>
      <c r="K375" s="1387"/>
      <c r="L375" s="1353"/>
      <c r="M375" s="1353"/>
      <c r="N375" s="1353"/>
    </row>
    <row r="376" spans="1:14" x14ac:dyDescent="0.25">
      <c r="A376" s="1353"/>
      <c r="B376" s="1353"/>
      <c r="C376" s="1353"/>
      <c r="D376" s="1353"/>
      <c r="E376" s="1353"/>
      <c r="F376" s="1353"/>
      <c r="G376" s="1353"/>
      <c r="H376" s="1353"/>
      <c r="I376" s="1353"/>
      <c r="J376" s="1353"/>
      <c r="K376" s="1387"/>
      <c r="L376" s="1353"/>
      <c r="M376" s="1353"/>
      <c r="N376" s="1353"/>
    </row>
    <row r="377" spans="1:14" x14ac:dyDescent="0.25">
      <c r="A377" s="1353"/>
      <c r="B377" s="1353"/>
      <c r="C377" s="1353"/>
      <c r="D377" s="1353"/>
      <c r="E377" s="1353"/>
      <c r="F377" s="1353"/>
      <c r="G377" s="1353"/>
      <c r="H377" s="1353"/>
      <c r="I377" s="1353"/>
      <c r="J377" s="1353"/>
      <c r="K377" s="1387"/>
      <c r="L377" s="1353"/>
      <c r="M377" s="1353"/>
      <c r="N377" s="1353"/>
    </row>
    <row r="378" spans="1:14" x14ac:dyDescent="0.25">
      <c r="A378" s="1353"/>
      <c r="B378" s="1353"/>
      <c r="C378" s="1353"/>
      <c r="D378" s="1353"/>
      <c r="E378" s="1353"/>
      <c r="F378" s="1353"/>
      <c r="G378" s="1353"/>
      <c r="H378" s="1353"/>
      <c r="I378" s="1353"/>
      <c r="J378" s="1353"/>
      <c r="K378" s="1387"/>
      <c r="L378" s="1353"/>
      <c r="M378" s="1353"/>
      <c r="N378" s="1353"/>
    </row>
    <row r="379" spans="1:14" x14ac:dyDescent="0.25">
      <c r="A379" s="1353"/>
      <c r="B379" s="1353"/>
      <c r="C379" s="1353"/>
      <c r="D379" s="1353"/>
      <c r="E379" s="1353"/>
      <c r="F379" s="1353"/>
      <c r="G379" s="1353"/>
      <c r="H379" s="1353"/>
      <c r="I379" s="1353"/>
      <c r="J379" s="1353"/>
      <c r="K379" s="1387"/>
      <c r="L379" s="1353"/>
      <c r="M379" s="1353"/>
      <c r="N379" s="1353"/>
    </row>
    <row r="380" spans="1:14" x14ac:dyDescent="0.25">
      <c r="A380" s="1353"/>
      <c r="B380" s="1353"/>
      <c r="C380" s="1353"/>
      <c r="D380" s="1353"/>
      <c r="E380" s="1353"/>
      <c r="F380" s="1353"/>
      <c r="G380" s="1353"/>
      <c r="H380" s="1353"/>
      <c r="I380" s="1353"/>
      <c r="J380" s="1353"/>
      <c r="K380" s="1387"/>
      <c r="L380" s="1353"/>
      <c r="M380" s="1353"/>
      <c r="N380" s="1353"/>
    </row>
    <row r="381" spans="1:14" x14ac:dyDescent="0.25">
      <c r="A381" s="1353"/>
      <c r="B381" s="1353"/>
      <c r="C381" s="1353"/>
      <c r="D381" s="1353"/>
      <c r="E381" s="1353"/>
      <c r="F381" s="1353"/>
      <c r="G381" s="1353"/>
      <c r="H381" s="1353"/>
      <c r="I381" s="1353"/>
      <c r="J381" s="1353"/>
      <c r="K381" s="1387"/>
      <c r="L381" s="1353"/>
      <c r="M381" s="1353"/>
      <c r="N381" s="1353"/>
    </row>
    <row r="382" spans="1:14" x14ac:dyDescent="0.25">
      <c r="A382" s="1353"/>
      <c r="B382" s="1353"/>
      <c r="C382" s="1353"/>
      <c r="D382" s="1353"/>
      <c r="E382" s="1353"/>
      <c r="F382" s="1353"/>
      <c r="G382" s="1353"/>
      <c r="H382" s="1353"/>
      <c r="I382" s="1353"/>
      <c r="J382" s="1353"/>
      <c r="K382" s="1387"/>
      <c r="L382" s="1353"/>
      <c r="M382" s="1353"/>
      <c r="N382" s="1353"/>
    </row>
    <row r="383" spans="1:14" x14ac:dyDescent="0.25">
      <c r="A383" s="1353"/>
      <c r="B383" s="1353"/>
      <c r="C383" s="1353"/>
      <c r="D383" s="1353"/>
      <c r="E383" s="1353"/>
      <c r="F383" s="1353"/>
      <c r="G383" s="1353"/>
      <c r="H383" s="1353"/>
      <c r="I383" s="1353"/>
      <c r="J383" s="1353"/>
      <c r="K383" s="1387"/>
      <c r="L383" s="1353"/>
      <c r="M383" s="1353"/>
      <c r="N383" s="1353"/>
    </row>
    <row r="384" spans="1:14" x14ac:dyDescent="0.25">
      <c r="A384" s="1353"/>
      <c r="B384" s="1353"/>
      <c r="C384" s="1353"/>
      <c r="D384" s="1353"/>
      <c r="E384" s="1353"/>
      <c r="F384" s="1353"/>
      <c r="G384" s="1353"/>
      <c r="H384" s="1353"/>
      <c r="I384" s="1353"/>
      <c r="J384" s="1353"/>
      <c r="K384" s="1387"/>
      <c r="L384" s="1353"/>
      <c r="M384" s="1353"/>
      <c r="N384" s="1353"/>
    </row>
    <row r="385" spans="1:14" x14ac:dyDescent="0.25">
      <c r="A385" s="1353"/>
      <c r="B385" s="1353"/>
      <c r="C385" s="1353"/>
      <c r="D385" s="1353"/>
      <c r="E385" s="1353"/>
      <c r="F385" s="1353"/>
      <c r="G385" s="1353"/>
      <c r="H385" s="1353"/>
      <c r="I385" s="1353"/>
      <c r="J385" s="1353"/>
      <c r="K385" s="1387"/>
      <c r="L385" s="1353"/>
      <c r="M385" s="1353"/>
      <c r="N385" s="1353"/>
    </row>
    <row r="386" spans="1:14" x14ac:dyDescent="0.25">
      <c r="A386" s="1353"/>
      <c r="B386" s="1353"/>
      <c r="C386" s="1353"/>
      <c r="D386" s="1353"/>
      <c r="E386" s="1353"/>
      <c r="F386" s="1353"/>
      <c r="G386" s="1353"/>
      <c r="H386" s="1353"/>
      <c r="I386" s="1353"/>
      <c r="J386" s="1353"/>
      <c r="K386" s="1387"/>
      <c r="L386" s="1353"/>
      <c r="M386" s="1353"/>
      <c r="N386" s="1353"/>
    </row>
    <row r="387" spans="1:14" x14ac:dyDescent="0.25">
      <c r="A387" s="1353"/>
      <c r="B387" s="1353"/>
      <c r="C387" s="1353"/>
      <c r="D387" s="1353"/>
      <c r="E387" s="1353"/>
      <c r="F387" s="1353"/>
      <c r="G387" s="1353"/>
      <c r="H387" s="1353"/>
      <c r="I387" s="1353"/>
      <c r="J387" s="1353"/>
      <c r="K387" s="1387"/>
      <c r="L387" s="1353"/>
      <c r="M387" s="1353"/>
      <c r="N387" s="1353"/>
    </row>
    <row r="388" spans="1:14" x14ac:dyDescent="0.25">
      <c r="A388" s="1353"/>
      <c r="B388" s="1353"/>
      <c r="C388" s="1353"/>
      <c r="D388" s="1353"/>
      <c r="E388" s="1353"/>
      <c r="F388" s="1353"/>
      <c r="G388" s="1353"/>
      <c r="H388" s="1353"/>
      <c r="I388" s="1353"/>
      <c r="J388" s="1353"/>
      <c r="K388" s="1387"/>
      <c r="L388" s="1353"/>
      <c r="M388" s="1353"/>
      <c r="N388" s="1353"/>
    </row>
    <row r="389" spans="1:14" x14ac:dyDescent="0.25">
      <c r="A389" s="1353"/>
      <c r="B389" s="1353"/>
      <c r="C389" s="1353"/>
      <c r="D389" s="1353"/>
      <c r="E389" s="1353"/>
      <c r="F389" s="1353"/>
      <c r="G389" s="1353"/>
      <c r="H389" s="1353"/>
      <c r="I389" s="1353"/>
      <c r="J389" s="1353"/>
      <c r="K389" s="1387"/>
      <c r="L389" s="1353"/>
      <c r="M389" s="1353"/>
      <c r="N389" s="1353"/>
    </row>
    <row r="390" spans="1:14" x14ac:dyDescent="0.25">
      <c r="A390" s="1353"/>
      <c r="B390" s="1353"/>
      <c r="C390" s="1353"/>
      <c r="D390" s="1353"/>
      <c r="E390" s="1353"/>
      <c r="F390" s="1353"/>
      <c r="G390" s="1353"/>
      <c r="H390" s="1353"/>
      <c r="I390" s="1353"/>
      <c r="J390" s="1353"/>
      <c r="K390" s="1387"/>
      <c r="L390" s="1353"/>
      <c r="M390" s="1353"/>
      <c r="N390" s="1353"/>
    </row>
    <row r="391" spans="1:14" x14ac:dyDescent="0.25">
      <c r="A391" s="1353"/>
      <c r="B391" s="1353"/>
      <c r="C391" s="1353"/>
      <c r="D391" s="1353"/>
      <c r="E391" s="1353"/>
      <c r="F391" s="1353"/>
      <c r="G391" s="1353"/>
      <c r="H391" s="1353"/>
      <c r="I391" s="1353"/>
      <c r="J391" s="1353"/>
      <c r="K391" s="1387"/>
      <c r="L391" s="1353"/>
      <c r="M391" s="1353"/>
      <c r="N391" s="1353"/>
    </row>
    <row r="392" spans="1:14" x14ac:dyDescent="0.25">
      <c r="A392" s="1353"/>
      <c r="B392" s="1353"/>
      <c r="C392" s="1353"/>
      <c r="D392" s="1353"/>
      <c r="E392" s="1353"/>
      <c r="F392" s="1353"/>
      <c r="G392" s="1353"/>
      <c r="H392" s="1353"/>
      <c r="I392" s="1353"/>
      <c r="J392" s="1353"/>
      <c r="K392" s="1387"/>
      <c r="L392" s="1353"/>
      <c r="M392" s="1353"/>
      <c r="N392" s="1353"/>
    </row>
    <row r="393" spans="1:14" x14ac:dyDescent="0.25">
      <c r="A393" s="1353"/>
      <c r="B393" s="1353"/>
      <c r="C393" s="1353"/>
      <c r="D393" s="1353"/>
      <c r="E393" s="1353"/>
      <c r="F393" s="1353"/>
      <c r="G393" s="1353"/>
      <c r="H393" s="1353"/>
      <c r="I393" s="1353"/>
      <c r="J393" s="1353"/>
      <c r="K393" s="1387"/>
      <c r="L393" s="1353"/>
      <c r="M393" s="1353"/>
      <c r="N393" s="1353"/>
    </row>
    <row r="394" spans="1:14" x14ac:dyDescent="0.25">
      <c r="A394" s="1353"/>
      <c r="B394" s="1353"/>
      <c r="C394" s="1353"/>
      <c r="D394" s="1353"/>
      <c r="E394" s="1353"/>
      <c r="F394" s="1353"/>
      <c r="G394" s="1353"/>
      <c r="H394" s="1353"/>
      <c r="I394" s="1353"/>
      <c r="J394" s="1353"/>
      <c r="K394" s="1387"/>
      <c r="L394" s="1353"/>
      <c r="M394" s="1353"/>
      <c r="N394" s="1353"/>
    </row>
    <row r="395" spans="1:14" x14ac:dyDescent="0.25">
      <c r="A395" s="1353"/>
      <c r="B395" s="1353"/>
      <c r="C395" s="1353"/>
      <c r="D395" s="1353"/>
      <c r="E395" s="1353"/>
      <c r="F395" s="1353"/>
      <c r="G395" s="1353"/>
      <c r="H395" s="1353"/>
      <c r="I395" s="1353"/>
      <c r="J395" s="1353"/>
      <c r="K395" s="1387"/>
      <c r="L395" s="1353"/>
      <c r="M395" s="1353"/>
      <c r="N395" s="1353"/>
    </row>
    <row r="396" spans="1:14" x14ac:dyDescent="0.25">
      <c r="A396" s="1353"/>
      <c r="B396" s="1353"/>
      <c r="C396" s="1353"/>
      <c r="D396" s="1353"/>
      <c r="E396" s="1353"/>
      <c r="F396" s="1353"/>
      <c r="G396" s="1353"/>
      <c r="H396" s="1353"/>
      <c r="I396" s="1353"/>
      <c r="J396" s="1353"/>
      <c r="K396" s="1387"/>
      <c r="L396" s="1353"/>
      <c r="M396" s="1353"/>
      <c r="N396" s="1353"/>
    </row>
    <row r="397" spans="1:14" x14ac:dyDescent="0.25">
      <c r="A397" s="1353"/>
      <c r="B397" s="1353"/>
      <c r="C397" s="1353"/>
      <c r="D397" s="1353"/>
      <c r="E397" s="1353"/>
      <c r="F397" s="1353"/>
      <c r="G397" s="1353"/>
      <c r="H397" s="1353"/>
      <c r="I397" s="1353"/>
      <c r="J397" s="1353"/>
      <c r="K397" s="1387"/>
      <c r="L397" s="1353"/>
      <c r="M397" s="1353"/>
      <c r="N397" s="1353"/>
    </row>
    <row r="398" spans="1:14" x14ac:dyDescent="0.25">
      <c r="A398" s="1353"/>
      <c r="B398" s="1353"/>
      <c r="C398" s="1353"/>
      <c r="D398" s="1353"/>
      <c r="E398" s="1353"/>
      <c r="F398" s="1353"/>
      <c r="G398" s="1353"/>
      <c r="H398" s="1353"/>
      <c r="I398" s="1353"/>
      <c r="J398" s="1353"/>
      <c r="K398" s="1387"/>
      <c r="L398" s="1353"/>
      <c r="M398" s="1353"/>
      <c r="N398" s="1353"/>
    </row>
    <row r="399" spans="1:14" x14ac:dyDescent="0.25">
      <c r="A399" s="1353"/>
      <c r="B399" s="1353"/>
      <c r="C399" s="1353"/>
      <c r="D399" s="1353"/>
      <c r="E399" s="1353"/>
      <c r="F399" s="1353"/>
      <c r="G399" s="1353"/>
      <c r="H399" s="1353"/>
      <c r="I399" s="1353"/>
      <c r="J399" s="1353"/>
      <c r="K399" s="1387"/>
      <c r="L399" s="1353"/>
      <c r="M399" s="1353"/>
      <c r="N399" s="1353"/>
    </row>
    <row r="400" spans="1:14" x14ac:dyDescent="0.25">
      <c r="A400" s="1353"/>
      <c r="B400" s="1353"/>
      <c r="C400" s="1353"/>
      <c r="D400" s="1353"/>
      <c r="E400" s="1353"/>
      <c r="F400" s="1353"/>
      <c r="G400" s="1353"/>
      <c r="H400" s="1353"/>
      <c r="I400" s="1353"/>
      <c r="J400" s="1353"/>
      <c r="K400" s="1387"/>
      <c r="L400" s="1353"/>
      <c r="M400" s="1353"/>
      <c r="N400" s="1353"/>
    </row>
    <row r="401" spans="1:14" x14ac:dyDescent="0.25">
      <c r="A401" s="1353"/>
      <c r="B401" s="1353"/>
      <c r="C401" s="1353"/>
      <c r="D401" s="1353"/>
      <c r="E401" s="1353"/>
      <c r="F401" s="1353"/>
      <c r="G401" s="1353"/>
      <c r="H401" s="1353"/>
      <c r="I401" s="1353"/>
      <c r="J401" s="1353"/>
      <c r="K401" s="1387"/>
      <c r="L401" s="1353"/>
      <c r="M401" s="1353"/>
      <c r="N401" s="1353"/>
    </row>
    <row r="402" spans="1:14" x14ac:dyDescent="0.25">
      <c r="A402" s="1353"/>
      <c r="B402" s="1353"/>
      <c r="C402" s="1353"/>
      <c r="D402" s="1353"/>
      <c r="E402" s="1353"/>
      <c r="F402" s="1353"/>
      <c r="G402" s="1353"/>
      <c r="H402" s="1353"/>
      <c r="I402" s="1353"/>
      <c r="J402" s="1353"/>
      <c r="K402" s="1387"/>
      <c r="L402" s="1353"/>
      <c r="M402" s="1353"/>
      <c r="N402" s="1353"/>
    </row>
    <row r="403" spans="1:14" x14ac:dyDescent="0.25">
      <c r="A403" s="1353"/>
      <c r="B403" s="1353"/>
      <c r="C403" s="1353"/>
      <c r="D403" s="1353"/>
      <c r="E403" s="1353"/>
      <c r="F403" s="1353"/>
      <c r="G403" s="1353"/>
      <c r="H403" s="1353"/>
      <c r="I403" s="1353"/>
      <c r="J403" s="1353"/>
      <c r="K403" s="1387"/>
      <c r="L403" s="1353"/>
      <c r="M403" s="1353"/>
      <c r="N403" s="1353"/>
    </row>
    <row r="404" spans="1:14" x14ac:dyDescent="0.25">
      <c r="A404" s="1353"/>
      <c r="B404" s="1353"/>
      <c r="C404" s="1353"/>
      <c r="D404" s="1353"/>
      <c r="E404" s="1353"/>
      <c r="F404" s="1353"/>
      <c r="G404" s="1353"/>
      <c r="H404" s="1353"/>
      <c r="I404" s="1353"/>
      <c r="J404" s="1353"/>
      <c r="K404" s="1387"/>
      <c r="L404" s="1353"/>
      <c r="M404" s="1353"/>
      <c r="N404" s="1353"/>
    </row>
    <row r="405" spans="1:14" x14ac:dyDescent="0.25">
      <c r="A405" s="1353"/>
      <c r="B405" s="1353"/>
      <c r="C405" s="1353"/>
      <c r="D405" s="1353"/>
      <c r="E405" s="1353"/>
      <c r="F405" s="1353"/>
      <c r="G405" s="1353"/>
      <c r="H405" s="1353"/>
      <c r="I405" s="1353"/>
      <c r="J405" s="1353"/>
      <c r="K405" s="1387"/>
      <c r="L405" s="1353"/>
      <c r="M405" s="1353"/>
      <c r="N405" s="1353"/>
    </row>
    <row r="406" spans="1:14" x14ac:dyDescent="0.25">
      <c r="A406" s="1353"/>
      <c r="B406" s="1353"/>
      <c r="C406" s="1353"/>
      <c r="D406" s="1353"/>
      <c r="E406" s="1353"/>
      <c r="F406" s="1353"/>
      <c r="G406" s="1353"/>
      <c r="H406" s="1353"/>
      <c r="I406" s="1353"/>
      <c r="J406" s="1353"/>
      <c r="K406" s="1387"/>
      <c r="L406" s="1353"/>
      <c r="M406" s="1353"/>
      <c r="N406" s="1353"/>
    </row>
    <row r="407" spans="1:14" x14ac:dyDescent="0.25">
      <c r="A407" s="1353"/>
      <c r="B407" s="1353"/>
      <c r="C407" s="1353"/>
      <c r="D407" s="1353"/>
      <c r="E407" s="1353"/>
      <c r="F407" s="1353"/>
      <c r="G407" s="1353"/>
      <c r="H407" s="1353"/>
      <c r="I407" s="1353"/>
      <c r="J407" s="1353"/>
      <c r="K407" s="1387"/>
      <c r="L407" s="1353"/>
      <c r="M407" s="1353"/>
      <c r="N407" s="1353"/>
    </row>
    <row r="408" spans="1:14" x14ac:dyDescent="0.25">
      <c r="A408" s="1353"/>
      <c r="B408" s="1353"/>
      <c r="C408" s="1353"/>
      <c r="D408" s="1353"/>
      <c r="E408" s="1353"/>
      <c r="F408" s="1353"/>
      <c r="G408" s="1353"/>
      <c r="H408" s="1353"/>
      <c r="I408" s="1353"/>
      <c r="J408" s="1353"/>
      <c r="K408" s="1387"/>
      <c r="L408" s="1353"/>
      <c r="M408" s="1353"/>
      <c r="N408" s="1353"/>
    </row>
    <row r="409" spans="1:14" x14ac:dyDescent="0.25">
      <c r="A409" s="1353"/>
      <c r="B409" s="1353"/>
      <c r="C409" s="1353"/>
      <c r="D409" s="1353"/>
      <c r="E409" s="1353"/>
      <c r="F409" s="1353"/>
      <c r="G409" s="1353"/>
      <c r="H409" s="1353"/>
      <c r="I409" s="1353"/>
      <c r="J409" s="1353"/>
      <c r="K409" s="1387"/>
      <c r="L409" s="1353"/>
      <c r="M409" s="1353"/>
      <c r="N409" s="1353"/>
    </row>
    <row r="410" spans="1:14" x14ac:dyDescent="0.25">
      <c r="A410" s="1353"/>
      <c r="B410" s="1353"/>
      <c r="C410" s="1353"/>
      <c r="D410" s="1353"/>
      <c r="E410" s="1353"/>
      <c r="F410" s="1353"/>
      <c r="G410" s="1353"/>
      <c r="H410" s="1353"/>
      <c r="I410" s="1353"/>
      <c r="J410" s="1353"/>
      <c r="K410" s="1387"/>
      <c r="L410" s="1353"/>
      <c r="M410" s="1353"/>
      <c r="N410" s="1353"/>
    </row>
    <row r="411" spans="1:14" x14ac:dyDescent="0.25">
      <c r="A411" s="1353"/>
      <c r="B411" s="1353"/>
      <c r="C411" s="1353"/>
      <c r="D411" s="1353"/>
      <c r="E411" s="1353"/>
      <c r="F411" s="1353"/>
      <c r="G411" s="1353"/>
      <c r="H411" s="1353"/>
      <c r="I411" s="1353"/>
      <c r="J411" s="1353"/>
      <c r="K411" s="1387"/>
      <c r="L411" s="1353"/>
      <c r="M411" s="1353"/>
      <c r="N411" s="1353"/>
    </row>
    <row r="412" spans="1:14" x14ac:dyDescent="0.25">
      <c r="A412" s="1353"/>
      <c r="B412" s="1353"/>
      <c r="C412" s="1353"/>
      <c r="D412" s="1353"/>
      <c r="E412" s="1353"/>
      <c r="F412" s="1353"/>
      <c r="G412" s="1353"/>
      <c r="H412" s="1353"/>
      <c r="I412" s="1353"/>
      <c r="J412" s="1353"/>
      <c r="K412" s="1387"/>
      <c r="L412" s="1353"/>
      <c r="M412" s="1353"/>
      <c r="N412" s="1353"/>
    </row>
    <row r="413" spans="1:14" x14ac:dyDescent="0.25">
      <c r="A413" s="1353"/>
      <c r="B413" s="1353"/>
      <c r="C413" s="1353"/>
      <c r="D413" s="1353"/>
      <c r="E413" s="1353"/>
      <c r="F413" s="1353"/>
      <c r="G413" s="1353"/>
      <c r="H413" s="1353"/>
      <c r="I413" s="1353"/>
      <c r="J413" s="1353"/>
      <c r="K413" s="1387"/>
      <c r="L413" s="1353"/>
      <c r="M413" s="1353"/>
      <c r="N413" s="1353"/>
    </row>
    <row r="414" spans="1:14" x14ac:dyDescent="0.25">
      <c r="A414" s="1353"/>
      <c r="B414" s="1353"/>
      <c r="C414" s="1353"/>
      <c r="D414" s="1353"/>
      <c r="E414" s="1353"/>
      <c r="F414" s="1353"/>
      <c r="G414" s="1353"/>
      <c r="H414" s="1353"/>
      <c r="I414" s="1353"/>
      <c r="J414" s="1353"/>
      <c r="K414" s="1387"/>
      <c r="L414" s="1353"/>
      <c r="M414" s="1353"/>
      <c r="N414" s="1353"/>
    </row>
    <row r="415" spans="1:14" x14ac:dyDescent="0.25">
      <c r="A415" s="1353"/>
      <c r="B415" s="1353"/>
      <c r="C415" s="1353"/>
      <c r="D415" s="1353"/>
      <c r="E415" s="1353"/>
      <c r="F415" s="1353"/>
      <c r="G415" s="1353"/>
      <c r="H415" s="1353"/>
      <c r="I415" s="1353"/>
      <c r="J415" s="1353"/>
      <c r="K415" s="1387"/>
      <c r="L415" s="1353"/>
      <c r="M415" s="1353"/>
      <c r="N415" s="1353"/>
    </row>
    <row r="416" spans="1:14" x14ac:dyDescent="0.25">
      <c r="A416" s="1353"/>
      <c r="B416" s="1353"/>
      <c r="C416" s="1353"/>
      <c r="D416" s="1353"/>
      <c r="E416" s="1353"/>
      <c r="F416" s="1353"/>
      <c r="G416" s="1353"/>
      <c r="H416" s="1353"/>
      <c r="I416" s="1353"/>
      <c r="J416" s="1353"/>
      <c r="K416" s="1387"/>
      <c r="L416" s="1353"/>
      <c r="M416" s="1353"/>
      <c r="N416" s="1353"/>
    </row>
    <row r="417" spans="1:14" x14ac:dyDescent="0.25">
      <c r="A417" s="1353"/>
      <c r="B417" s="1353"/>
      <c r="C417" s="1353"/>
      <c r="D417" s="1353"/>
      <c r="E417" s="1353"/>
      <c r="F417" s="1353"/>
      <c r="G417" s="1353"/>
      <c r="H417" s="1353"/>
      <c r="I417" s="1353"/>
      <c r="J417" s="1353"/>
      <c r="K417" s="1387"/>
      <c r="L417" s="1353"/>
      <c r="M417" s="1353"/>
      <c r="N417" s="1353"/>
    </row>
    <row r="418" spans="1:14" x14ac:dyDescent="0.25">
      <c r="A418" s="1353"/>
      <c r="B418" s="1353"/>
      <c r="C418" s="1353"/>
      <c r="D418" s="1353"/>
      <c r="E418" s="1353"/>
      <c r="F418" s="1353"/>
      <c r="G418" s="1353"/>
      <c r="H418" s="1353"/>
      <c r="I418" s="1353"/>
      <c r="J418" s="1353"/>
      <c r="K418" s="1387"/>
      <c r="L418" s="1353"/>
      <c r="M418" s="1353"/>
      <c r="N418" s="1353"/>
    </row>
    <row r="419" spans="1:14" x14ac:dyDescent="0.25">
      <c r="A419" s="1353"/>
      <c r="B419" s="1353"/>
      <c r="C419" s="1353"/>
      <c r="D419" s="1353"/>
      <c r="E419" s="1353"/>
      <c r="F419" s="1353"/>
      <c r="G419" s="1353"/>
      <c r="H419" s="1353"/>
      <c r="I419" s="1353"/>
      <c r="J419" s="1353"/>
      <c r="K419" s="1387"/>
      <c r="L419" s="1353"/>
      <c r="M419" s="1353"/>
      <c r="N419" s="1353"/>
    </row>
    <row r="420" spans="1:14" x14ac:dyDescent="0.25">
      <c r="A420" s="1353"/>
      <c r="B420" s="1353"/>
      <c r="C420" s="1353"/>
      <c r="D420" s="1353"/>
      <c r="E420" s="1353"/>
      <c r="F420" s="1353"/>
      <c r="G420" s="1353"/>
      <c r="H420" s="1353"/>
      <c r="I420" s="1353"/>
      <c r="J420" s="1353"/>
      <c r="K420" s="1387"/>
      <c r="L420" s="1353"/>
      <c r="M420" s="1353"/>
      <c r="N420" s="1353"/>
    </row>
    <row r="421" spans="1:14" x14ac:dyDescent="0.25">
      <c r="A421" s="1353"/>
      <c r="B421" s="1353"/>
      <c r="C421" s="1353"/>
      <c r="D421" s="1353"/>
      <c r="E421" s="1353"/>
      <c r="F421" s="1353"/>
      <c r="G421" s="1353"/>
      <c r="H421" s="1353"/>
      <c r="I421" s="1353"/>
      <c r="J421" s="1353"/>
      <c r="K421" s="1387"/>
      <c r="L421" s="1353"/>
      <c r="M421" s="1353"/>
      <c r="N421" s="1353"/>
    </row>
    <row r="422" spans="1:14" x14ac:dyDescent="0.25">
      <c r="A422" s="1353"/>
      <c r="B422" s="1353"/>
      <c r="C422" s="1353"/>
      <c r="D422" s="1353"/>
      <c r="E422" s="1353"/>
      <c r="F422" s="1353"/>
      <c r="G422" s="1353"/>
      <c r="H422" s="1353"/>
      <c r="I422" s="1353"/>
      <c r="J422" s="1353"/>
      <c r="K422" s="1387"/>
      <c r="L422" s="1353"/>
      <c r="M422" s="1353"/>
      <c r="N422" s="1353"/>
    </row>
    <row r="423" spans="1:14" x14ac:dyDescent="0.25">
      <c r="A423" s="1353"/>
      <c r="B423" s="1353"/>
      <c r="C423" s="1353"/>
      <c r="D423" s="1353"/>
      <c r="E423" s="1353"/>
      <c r="F423" s="1353"/>
      <c r="G423" s="1353"/>
      <c r="H423" s="1353"/>
      <c r="I423" s="1353"/>
      <c r="J423" s="1353"/>
      <c r="K423" s="1387"/>
      <c r="L423" s="1353"/>
      <c r="M423" s="1353"/>
      <c r="N423" s="1353"/>
    </row>
    <row r="424" spans="1:14" x14ac:dyDescent="0.25">
      <c r="A424" s="1353"/>
      <c r="B424" s="1353"/>
      <c r="C424" s="1353"/>
      <c r="D424" s="1353"/>
      <c r="E424" s="1353"/>
      <c r="F424" s="1353"/>
      <c r="G424" s="1353"/>
      <c r="H424" s="1353"/>
      <c r="I424" s="1353"/>
      <c r="J424" s="1353"/>
      <c r="K424" s="1387"/>
      <c r="L424" s="1353"/>
      <c r="M424" s="1353"/>
      <c r="N424" s="1353"/>
    </row>
    <row r="425" spans="1:14" x14ac:dyDescent="0.25">
      <c r="A425" s="1353"/>
      <c r="B425" s="1353"/>
      <c r="C425" s="1353"/>
      <c r="D425" s="1353"/>
      <c r="E425" s="1353"/>
      <c r="F425" s="1353"/>
      <c r="G425" s="1353"/>
      <c r="H425" s="1353"/>
      <c r="I425" s="1353"/>
      <c r="J425" s="1353"/>
      <c r="K425" s="1387"/>
      <c r="L425" s="1353"/>
      <c r="M425" s="1353"/>
      <c r="N425" s="1353"/>
    </row>
    <row r="426" spans="1:14" x14ac:dyDescent="0.25">
      <c r="A426" s="1353"/>
      <c r="B426" s="1353"/>
      <c r="C426" s="1353"/>
      <c r="D426" s="1353"/>
      <c r="E426" s="1353"/>
      <c r="F426" s="1353"/>
      <c r="G426" s="1353"/>
      <c r="H426" s="1353"/>
      <c r="I426" s="1353"/>
      <c r="J426" s="1353"/>
      <c r="K426" s="1387"/>
      <c r="L426" s="1353"/>
      <c r="M426" s="1353"/>
      <c r="N426" s="1353"/>
    </row>
    <row r="427" spans="1:14" x14ac:dyDescent="0.25">
      <c r="A427" s="1353"/>
      <c r="B427" s="1353"/>
      <c r="C427" s="1353"/>
      <c r="D427" s="1353"/>
      <c r="E427" s="1353"/>
      <c r="F427" s="1353"/>
      <c r="G427" s="1353"/>
      <c r="H427" s="1353"/>
      <c r="I427" s="1353"/>
      <c r="J427" s="1353"/>
      <c r="K427" s="1387"/>
      <c r="L427" s="1353"/>
      <c r="M427" s="1353"/>
      <c r="N427" s="1353"/>
    </row>
    <row r="428" spans="1:14" x14ac:dyDescent="0.25">
      <c r="A428" s="1353"/>
      <c r="B428" s="1353"/>
      <c r="C428" s="1353"/>
      <c r="D428" s="1353"/>
      <c r="E428" s="1353"/>
      <c r="F428" s="1353"/>
      <c r="G428" s="1353"/>
      <c r="H428" s="1353"/>
      <c r="I428" s="1353"/>
      <c r="J428" s="1353"/>
      <c r="K428" s="1387"/>
      <c r="L428" s="1353"/>
      <c r="M428" s="1353"/>
      <c r="N428" s="1353"/>
    </row>
    <row r="429" spans="1:14" x14ac:dyDescent="0.25">
      <c r="A429" s="1353"/>
      <c r="B429" s="1353"/>
      <c r="C429" s="1353"/>
      <c r="D429" s="1353"/>
      <c r="E429" s="1353"/>
      <c r="F429" s="1353"/>
      <c r="G429" s="1353"/>
      <c r="H429" s="1353"/>
      <c r="I429" s="1353"/>
      <c r="J429" s="1353"/>
      <c r="K429" s="1387"/>
      <c r="L429" s="1353"/>
      <c r="M429" s="1353"/>
      <c r="N429" s="1353"/>
    </row>
    <row r="430" spans="1:14" x14ac:dyDescent="0.25">
      <c r="A430" s="1353"/>
      <c r="B430" s="1353"/>
      <c r="C430" s="1353"/>
      <c r="D430" s="1353"/>
      <c r="E430" s="1353"/>
      <c r="F430" s="1353"/>
      <c r="G430" s="1353"/>
      <c r="H430" s="1353"/>
      <c r="I430" s="1353"/>
      <c r="J430" s="1353"/>
      <c r="K430" s="1387"/>
      <c r="L430" s="1353"/>
      <c r="M430" s="1353"/>
      <c r="N430" s="1353"/>
    </row>
    <row r="431" spans="1:14" x14ac:dyDescent="0.25">
      <c r="A431" s="1353"/>
      <c r="B431" s="1353"/>
      <c r="C431" s="1353"/>
      <c r="D431" s="1353"/>
      <c r="E431" s="1353"/>
      <c r="F431" s="1353"/>
      <c r="G431" s="1353"/>
      <c r="H431" s="1353"/>
      <c r="I431" s="1353"/>
      <c r="J431" s="1353"/>
      <c r="K431" s="1387"/>
      <c r="L431" s="1353"/>
      <c r="M431" s="1353"/>
      <c r="N431" s="1353"/>
    </row>
    <row r="432" spans="1:14" x14ac:dyDescent="0.25">
      <c r="A432" s="1353"/>
      <c r="B432" s="1353"/>
      <c r="C432" s="1353"/>
      <c r="D432" s="1353"/>
      <c r="E432" s="1353"/>
      <c r="F432" s="1353"/>
      <c r="G432" s="1353"/>
      <c r="H432" s="1353"/>
      <c r="I432" s="1353"/>
      <c r="J432" s="1353"/>
      <c r="K432" s="1387"/>
      <c r="L432" s="1353"/>
      <c r="M432" s="1353"/>
      <c r="N432" s="1353"/>
    </row>
    <row r="433" spans="1:14" x14ac:dyDescent="0.25">
      <c r="A433" s="1353"/>
      <c r="B433" s="1353"/>
      <c r="C433" s="1353"/>
      <c r="D433" s="1353"/>
      <c r="E433" s="1353"/>
      <c r="F433" s="1353"/>
      <c r="G433" s="1353"/>
      <c r="H433" s="1353"/>
      <c r="I433" s="1353"/>
      <c r="J433" s="1353"/>
      <c r="K433" s="1387"/>
      <c r="L433" s="1353"/>
      <c r="M433" s="1353"/>
      <c r="N433" s="1353"/>
    </row>
    <row r="434" spans="1:14" x14ac:dyDescent="0.25">
      <c r="A434" s="1353"/>
      <c r="B434" s="1353"/>
      <c r="C434" s="1353"/>
      <c r="D434" s="1353"/>
      <c r="E434" s="1353"/>
      <c r="F434" s="1353"/>
      <c r="G434" s="1353"/>
      <c r="H434" s="1353"/>
      <c r="I434" s="1353"/>
      <c r="J434" s="1353"/>
      <c r="K434" s="1387"/>
      <c r="L434" s="1353"/>
      <c r="M434" s="1353"/>
      <c r="N434" s="1353"/>
    </row>
    <row r="435" spans="1:14" x14ac:dyDescent="0.25">
      <c r="A435" s="1353"/>
      <c r="B435" s="1353"/>
      <c r="C435" s="1353"/>
      <c r="D435" s="1353"/>
      <c r="E435" s="1353"/>
      <c r="F435" s="1353"/>
      <c r="G435" s="1353"/>
      <c r="H435" s="1353"/>
      <c r="I435" s="1353"/>
      <c r="J435" s="1353"/>
      <c r="K435" s="1387"/>
      <c r="L435" s="1353"/>
      <c r="M435" s="1353"/>
      <c r="N435" s="1353"/>
    </row>
    <row r="436" spans="1:14" x14ac:dyDescent="0.25">
      <c r="A436" s="1353"/>
      <c r="B436" s="1353"/>
      <c r="C436" s="1353"/>
      <c r="D436" s="1353"/>
      <c r="E436" s="1353"/>
      <c r="F436" s="1353"/>
      <c r="G436" s="1353"/>
      <c r="H436" s="1353"/>
      <c r="I436" s="1353"/>
      <c r="J436" s="1353"/>
      <c r="K436" s="1387"/>
      <c r="L436" s="1353"/>
      <c r="M436" s="1353"/>
      <c r="N436" s="1353"/>
    </row>
    <row r="437" spans="1:14" x14ac:dyDescent="0.25">
      <c r="A437" s="1353"/>
      <c r="B437" s="1353"/>
      <c r="C437" s="1353"/>
      <c r="D437" s="1353"/>
      <c r="E437" s="1353"/>
      <c r="F437" s="1353"/>
      <c r="G437" s="1353"/>
      <c r="H437" s="1353"/>
      <c r="I437" s="1353"/>
      <c r="J437" s="1353"/>
      <c r="K437" s="1387"/>
      <c r="L437" s="1353"/>
      <c r="M437" s="1353"/>
      <c r="N437" s="1353"/>
    </row>
    <row r="438" spans="1:14" x14ac:dyDescent="0.25">
      <c r="A438" s="1353"/>
      <c r="B438" s="1353"/>
      <c r="C438" s="1353"/>
      <c r="D438" s="1353"/>
      <c r="E438" s="1353"/>
      <c r="F438" s="1353"/>
      <c r="G438" s="1353"/>
      <c r="H438" s="1353"/>
      <c r="I438" s="1353"/>
      <c r="J438" s="1353"/>
      <c r="K438" s="1387"/>
      <c r="L438" s="1353"/>
      <c r="M438" s="1353"/>
      <c r="N438" s="1353"/>
    </row>
    <row r="439" spans="1:14" x14ac:dyDescent="0.25">
      <c r="A439" s="1353"/>
      <c r="B439" s="1353"/>
      <c r="C439" s="1353"/>
      <c r="D439" s="1353"/>
      <c r="E439" s="1353"/>
      <c r="F439" s="1353"/>
      <c r="G439" s="1353"/>
      <c r="H439" s="1353"/>
      <c r="I439" s="1353"/>
      <c r="J439" s="1353"/>
      <c r="K439" s="1387"/>
      <c r="L439" s="1353"/>
      <c r="M439" s="1353"/>
      <c r="N439" s="1353"/>
    </row>
    <row r="440" spans="1:14" x14ac:dyDescent="0.25">
      <c r="A440" s="1353"/>
      <c r="B440" s="1353"/>
      <c r="C440" s="1353"/>
      <c r="D440" s="1353"/>
      <c r="E440" s="1353"/>
      <c r="F440" s="1353"/>
      <c r="G440" s="1353"/>
      <c r="H440" s="1353"/>
      <c r="I440" s="1353"/>
      <c r="J440" s="1353"/>
      <c r="K440" s="1387"/>
      <c r="L440" s="1353"/>
      <c r="M440" s="1353"/>
      <c r="N440" s="1353"/>
    </row>
    <row r="441" spans="1:14" x14ac:dyDescent="0.25">
      <c r="A441" s="1353"/>
      <c r="B441" s="1353"/>
      <c r="C441" s="1353"/>
      <c r="D441" s="1353"/>
      <c r="E441" s="1353"/>
      <c r="F441" s="1353"/>
      <c r="G441" s="1353"/>
      <c r="H441" s="1353"/>
      <c r="I441" s="1353"/>
      <c r="J441" s="1353"/>
      <c r="K441" s="1387"/>
      <c r="L441" s="1353"/>
      <c r="M441" s="1353"/>
      <c r="N441" s="1353"/>
    </row>
    <row r="442" spans="1:14" x14ac:dyDescent="0.25">
      <c r="A442" s="1353"/>
      <c r="B442" s="1353"/>
      <c r="C442" s="1353"/>
      <c r="D442" s="1353"/>
      <c r="E442" s="1353"/>
      <c r="F442" s="1353"/>
      <c r="G442" s="1353"/>
      <c r="H442" s="1353"/>
      <c r="I442" s="1353"/>
      <c r="J442" s="1353"/>
      <c r="K442" s="1387"/>
      <c r="L442" s="1353"/>
      <c r="M442" s="1353"/>
      <c r="N442" s="1353"/>
    </row>
    <row r="443" spans="1:14" x14ac:dyDescent="0.25">
      <c r="A443" s="1353"/>
      <c r="B443" s="1353"/>
      <c r="C443" s="1353"/>
      <c r="D443" s="1353"/>
      <c r="E443" s="1353"/>
      <c r="F443" s="1353"/>
      <c r="G443" s="1353"/>
      <c r="H443" s="1353"/>
      <c r="I443" s="1353"/>
      <c r="J443" s="1353"/>
      <c r="K443" s="1387"/>
      <c r="L443" s="1353"/>
      <c r="M443" s="1353"/>
      <c r="N443" s="1353"/>
    </row>
    <row r="444" spans="1:14" x14ac:dyDescent="0.25">
      <c r="A444" s="1353"/>
      <c r="B444" s="1353"/>
      <c r="C444" s="1353"/>
      <c r="D444" s="1353"/>
      <c r="E444" s="1353"/>
      <c r="F444" s="1353"/>
      <c r="G444" s="1353"/>
      <c r="H444" s="1353"/>
      <c r="I444" s="1353"/>
      <c r="J444" s="1353"/>
      <c r="K444" s="1387"/>
      <c r="L444" s="1353"/>
      <c r="M444" s="1353"/>
      <c r="N444" s="1353"/>
    </row>
    <row r="445" spans="1:14" x14ac:dyDescent="0.25">
      <c r="A445" s="1353"/>
      <c r="B445" s="1353"/>
      <c r="C445" s="1353"/>
      <c r="D445" s="1353"/>
      <c r="E445" s="1353"/>
      <c r="F445" s="1353"/>
      <c r="G445" s="1353"/>
      <c r="H445" s="1353"/>
      <c r="I445" s="1353"/>
      <c r="J445" s="1353"/>
      <c r="K445" s="1387"/>
      <c r="L445" s="1353"/>
      <c r="M445" s="1353"/>
      <c r="N445" s="1353"/>
    </row>
    <row r="446" spans="1:14" x14ac:dyDescent="0.25">
      <c r="A446" s="1353"/>
      <c r="B446" s="1353"/>
      <c r="C446" s="1353"/>
      <c r="D446" s="1353"/>
      <c r="E446" s="1353"/>
      <c r="F446" s="1353"/>
      <c r="G446" s="1353"/>
      <c r="H446" s="1353"/>
      <c r="I446" s="1353"/>
      <c r="J446" s="1353"/>
      <c r="K446" s="1387"/>
      <c r="L446" s="1353"/>
      <c r="M446" s="1353"/>
      <c r="N446" s="1353"/>
    </row>
    <row r="447" spans="1:14" x14ac:dyDescent="0.25">
      <c r="A447" s="1353"/>
      <c r="B447" s="1353"/>
      <c r="C447" s="1353"/>
      <c r="D447" s="1353"/>
      <c r="E447" s="1353"/>
      <c r="F447" s="1353"/>
      <c r="G447" s="1353"/>
      <c r="H447" s="1353"/>
      <c r="I447" s="1353"/>
      <c r="J447" s="1353"/>
      <c r="K447" s="1387"/>
      <c r="L447" s="1353"/>
      <c r="M447" s="1353"/>
      <c r="N447" s="1353"/>
    </row>
    <row r="448" spans="1:14" x14ac:dyDescent="0.25">
      <c r="A448" s="1353"/>
      <c r="B448" s="1353"/>
      <c r="C448" s="1353"/>
      <c r="D448" s="1353"/>
      <c r="E448" s="1353"/>
      <c r="F448" s="1353"/>
      <c r="G448" s="1353"/>
      <c r="H448" s="1353"/>
      <c r="I448" s="1353"/>
      <c r="J448" s="1353"/>
      <c r="K448" s="1387"/>
      <c r="L448" s="1353"/>
      <c r="M448" s="1353"/>
      <c r="N448" s="1353"/>
    </row>
    <row r="449" spans="1:14" x14ac:dyDescent="0.25">
      <c r="A449" s="1353"/>
      <c r="B449" s="1353"/>
      <c r="C449" s="1353"/>
      <c r="D449" s="1353"/>
      <c r="E449" s="1353"/>
      <c r="F449" s="1353"/>
      <c r="G449" s="1353"/>
      <c r="H449" s="1353"/>
      <c r="I449" s="1353"/>
      <c r="J449" s="1353"/>
      <c r="K449" s="1387"/>
      <c r="L449" s="1353"/>
      <c r="M449" s="1353"/>
      <c r="N449" s="1353"/>
    </row>
    <row r="450" spans="1:14" x14ac:dyDescent="0.25">
      <c r="A450" s="1353"/>
      <c r="B450" s="1353"/>
      <c r="C450" s="1353"/>
      <c r="D450" s="1353"/>
      <c r="E450" s="1353"/>
      <c r="F450" s="1353"/>
      <c r="G450" s="1353"/>
      <c r="H450" s="1353"/>
      <c r="I450" s="1353"/>
      <c r="J450" s="1353"/>
      <c r="K450" s="1387"/>
      <c r="L450" s="1353"/>
      <c r="M450" s="1353"/>
      <c r="N450" s="1353"/>
    </row>
    <row r="451" spans="1:14" x14ac:dyDescent="0.25">
      <c r="A451" s="1353"/>
      <c r="B451" s="1353"/>
      <c r="C451" s="1353"/>
      <c r="D451" s="1353"/>
      <c r="E451" s="1353"/>
      <c r="F451" s="1353"/>
      <c r="G451" s="1353"/>
      <c r="H451" s="1353"/>
      <c r="I451" s="1353"/>
      <c r="J451" s="1353"/>
      <c r="K451" s="1387"/>
      <c r="L451" s="1353"/>
      <c r="M451" s="1353"/>
      <c r="N451" s="1353"/>
    </row>
    <row r="452" spans="1:14" x14ac:dyDescent="0.25">
      <c r="A452" s="1353"/>
      <c r="B452" s="1353"/>
      <c r="C452" s="1353"/>
      <c r="D452" s="1353"/>
      <c r="E452" s="1353"/>
      <c r="F452" s="1353"/>
      <c r="G452" s="1353"/>
      <c r="H452" s="1353"/>
      <c r="I452" s="1353"/>
      <c r="J452" s="1353"/>
      <c r="K452" s="1387"/>
      <c r="L452" s="1353"/>
      <c r="M452" s="1353"/>
      <c r="N452" s="1353"/>
    </row>
    <row r="453" spans="1:14" x14ac:dyDescent="0.25">
      <c r="A453" s="1353"/>
      <c r="B453" s="1353"/>
      <c r="C453" s="1353"/>
      <c r="D453" s="1353"/>
      <c r="E453" s="1353"/>
      <c r="F453" s="1353"/>
      <c r="G453" s="1353"/>
      <c r="H453" s="1353"/>
      <c r="I453" s="1353"/>
      <c r="J453" s="1353"/>
      <c r="K453" s="1387"/>
      <c r="L453" s="1353"/>
      <c r="M453" s="1353"/>
      <c r="N453" s="1353"/>
    </row>
    <row r="454" spans="1:14" x14ac:dyDescent="0.25">
      <c r="A454" s="1353"/>
      <c r="B454" s="1353"/>
      <c r="C454" s="1353"/>
      <c r="D454" s="1353"/>
      <c r="E454" s="1353"/>
      <c r="F454" s="1353"/>
      <c r="G454" s="1353"/>
      <c r="H454" s="1353"/>
      <c r="I454" s="1353"/>
      <c r="J454" s="1353"/>
      <c r="K454" s="1387"/>
      <c r="L454" s="1353"/>
      <c r="M454" s="1353"/>
      <c r="N454" s="1353"/>
    </row>
    <row r="455" spans="1:14" x14ac:dyDescent="0.25">
      <c r="A455" s="1353"/>
      <c r="B455" s="1353"/>
      <c r="C455" s="1353"/>
      <c r="D455" s="1353"/>
      <c r="E455" s="1353"/>
      <c r="F455" s="1353"/>
      <c r="G455" s="1353"/>
      <c r="H455" s="1353"/>
      <c r="I455" s="1353"/>
      <c r="J455" s="1353"/>
      <c r="K455" s="1387"/>
      <c r="L455" s="1353"/>
      <c r="M455" s="1353"/>
      <c r="N455" s="1353"/>
    </row>
    <row r="456" spans="1:14" x14ac:dyDescent="0.25">
      <c r="A456" s="1353"/>
      <c r="B456" s="1353"/>
      <c r="C456" s="1353"/>
      <c r="D456" s="1353"/>
      <c r="E456" s="1353"/>
      <c r="F456" s="1353"/>
      <c r="G456" s="1353"/>
      <c r="H456" s="1353"/>
      <c r="I456" s="1353"/>
      <c r="J456" s="1353"/>
      <c r="K456" s="1387"/>
      <c r="L456" s="1353"/>
      <c r="M456" s="1353"/>
      <c r="N456" s="1353"/>
    </row>
    <row r="457" spans="1:14" x14ac:dyDescent="0.25">
      <c r="A457" s="1353"/>
      <c r="B457" s="1353"/>
      <c r="C457" s="1353"/>
      <c r="D457" s="1353"/>
      <c r="E457" s="1353"/>
      <c r="F457" s="1353"/>
      <c r="G457" s="1353"/>
      <c r="H457" s="1353"/>
      <c r="I457" s="1353"/>
      <c r="J457" s="1353"/>
      <c r="K457" s="1387"/>
      <c r="L457" s="1353"/>
      <c r="M457" s="1353"/>
      <c r="N457" s="1353"/>
    </row>
    <row r="458" spans="1:14" x14ac:dyDescent="0.25">
      <c r="A458" s="1353"/>
      <c r="B458" s="1353"/>
      <c r="C458" s="1353"/>
      <c r="D458" s="1353"/>
      <c r="E458" s="1353"/>
      <c r="F458" s="1353"/>
      <c r="G458" s="1353"/>
      <c r="H458" s="1353"/>
      <c r="I458" s="1353"/>
      <c r="J458" s="1353"/>
      <c r="K458" s="1387"/>
      <c r="L458" s="1353"/>
      <c r="M458" s="1353"/>
      <c r="N458" s="1353"/>
    </row>
    <row r="459" spans="1:14" x14ac:dyDescent="0.25">
      <c r="A459" s="1353"/>
      <c r="B459" s="1353"/>
      <c r="C459" s="1353"/>
      <c r="D459" s="1353"/>
      <c r="E459" s="1353"/>
      <c r="F459" s="1353"/>
      <c r="G459" s="1353"/>
      <c r="H459" s="1353"/>
      <c r="I459" s="1353"/>
      <c r="J459" s="1353"/>
      <c r="K459" s="1387"/>
      <c r="L459" s="1353"/>
      <c r="M459" s="1353"/>
      <c r="N459" s="1353"/>
    </row>
    <row r="460" spans="1:14" x14ac:dyDescent="0.25">
      <c r="A460" s="1353"/>
      <c r="B460" s="1353"/>
      <c r="C460" s="1353"/>
      <c r="D460" s="1353"/>
      <c r="E460" s="1353"/>
      <c r="F460" s="1353"/>
      <c r="G460" s="1353"/>
      <c r="H460" s="1353"/>
      <c r="I460" s="1353"/>
      <c r="J460" s="1353"/>
      <c r="K460" s="1387"/>
      <c r="L460" s="1353"/>
      <c r="M460" s="1353"/>
      <c r="N460" s="1353"/>
    </row>
    <row r="461" spans="1:14" x14ac:dyDescent="0.25">
      <c r="A461" s="1353"/>
      <c r="B461" s="1353"/>
      <c r="C461" s="1353"/>
      <c r="D461" s="1353"/>
      <c r="E461" s="1353"/>
      <c r="F461" s="1353"/>
      <c r="G461" s="1353"/>
      <c r="H461" s="1353"/>
      <c r="I461" s="1353"/>
      <c r="J461" s="1353"/>
      <c r="K461" s="1387"/>
      <c r="L461" s="1353"/>
      <c r="M461" s="1353"/>
      <c r="N461" s="1353"/>
    </row>
    <row r="462" spans="1:14" x14ac:dyDescent="0.25">
      <c r="A462" s="1353"/>
      <c r="B462" s="1353"/>
      <c r="C462" s="1353"/>
      <c r="D462" s="1353"/>
      <c r="E462" s="1353"/>
      <c r="F462" s="1353"/>
      <c r="G462" s="1353"/>
      <c r="H462" s="1353"/>
      <c r="I462" s="1353"/>
      <c r="J462" s="1353"/>
      <c r="K462" s="1387"/>
      <c r="L462" s="1353"/>
      <c r="M462" s="1353"/>
      <c r="N462" s="1353"/>
    </row>
    <row r="463" spans="1:14" x14ac:dyDescent="0.25">
      <c r="A463" s="1353"/>
      <c r="B463" s="1353"/>
      <c r="C463" s="1353"/>
      <c r="D463" s="1353"/>
      <c r="E463" s="1353"/>
      <c r="F463" s="1353"/>
      <c r="G463" s="1353"/>
      <c r="H463" s="1353"/>
      <c r="I463" s="1353"/>
      <c r="J463" s="1353"/>
      <c r="K463" s="1387"/>
      <c r="L463" s="1353"/>
      <c r="M463" s="1353"/>
      <c r="N463" s="1353"/>
    </row>
    <row r="464" spans="1:14" x14ac:dyDescent="0.25">
      <c r="A464" s="1353"/>
      <c r="B464" s="1353"/>
      <c r="C464" s="1353"/>
      <c r="D464" s="1353"/>
      <c r="E464" s="1353"/>
      <c r="F464" s="1353"/>
      <c r="G464" s="1353"/>
      <c r="H464" s="1353"/>
      <c r="I464" s="1353"/>
      <c r="J464" s="1353"/>
      <c r="K464" s="1387"/>
      <c r="L464" s="1353"/>
      <c r="M464" s="1353"/>
      <c r="N464" s="1353"/>
    </row>
    <row r="465" spans="1:14" x14ac:dyDescent="0.25">
      <c r="A465" s="1353"/>
      <c r="B465" s="1353"/>
      <c r="C465" s="1353"/>
      <c r="D465" s="1353"/>
      <c r="E465" s="1353"/>
      <c r="F465" s="1353"/>
      <c r="G465" s="1353"/>
      <c r="H465" s="1353"/>
      <c r="I465" s="1353"/>
      <c r="J465" s="1353"/>
      <c r="K465" s="1387"/>
      <c r="L465" s="1353"/>
      <c r="M465" s="1353"/>
      <c r="N465" s="1353"/>
    </row>
    <row r="466" spans="1:14" x14ac:dyDescent="0.25">
      <c r="A466" s="1353"/>
      <c r="B466" s="1353"/>
      <c r="C466" s="1353"/>
      <c r="D466" s="1353"/>
      <c r="E466" s="1353"/>
      <c r="F466" s="1353"/>
      <c r="G466" s="1353"/>
      <c r="H466" s="1353"/>
      <c r="I466" s="1353"/>
      <c r="J466" s="1353"/>
      <c r="K466" s="1387"/>
      <c r="L466" s="1353"/>
      <c r="M466" s="1353"/>
      <c r="N466" s="1353"/>
    </row>
    <row r="467" spans="1:14" x14ac:dyDescent="0.25">
      <c r="A467" s="1353"/>
      <c r="B467" s="1353"/>
      <c r="C467" s="1353"/>
      <c r="D467" s="1353"/>
      <c r="E467" s="1353"/>
      <c r="F467" s="1353"/>
      <c r="G467" s="1353"/>
      <c r="H467" s="1353"/>
      <c r="I467" s="1353"/>
      <c r="J467" s="1353"/>
      <c r="K467" s="1387"/>
      <c r="L467" s="1353"/>
      <c r="M467" s="1353"/>
      <c r="N467" s="1353"/>
    </row>
    <row r="468" spans="1:14" x14ac:dyDescent="0.25">
      <c r="A468" s="1353"/>
      <c r="B468" s="1353"/>
      <c r="C468" s="1353"/>
      <c r="D468" s="1353"/>
      <c r="E468" s="1353"/>
      <c r="F468" s="1353"/>
      <c r="G468" s="1353"/>
      <c r="H468" s="1353"/>
      <c r="I468" s="1353"/>
      <c r="J468" s="1353"/>
      <c r="K468" s="1387"/>
      <c r="L468" s="1353"/>
      <c r="M468" s="1353"/>
      <c r="N468" s="1353"/>
    </row>
    <row r="469" spans="1:14" x14ac:dyDescent="0.25">
      <c r="A469" s="1353"/>
      <c r="B469" s="1353"/>
      <c r="C469" s="1353"/>
      <c r="D469" s="1353"/>
      <c r="E469" s="1353"/>
      <c r="F469" s="1353"/>
      <c r="G469" s="1353"/>
      <c r="H469" s="1353"/>
      <c r="I469" s="1353"/>
      <c r="J469" s="1353"/>
      <c r="K469" s="1387"/>
      <c r="L469" s="1353"/>
      <c r="M469" s="1353"/>
      <c r="N469" s="1353"/>
    </row>
    <row r="470" spans="1:14" x14ac:dyDescent="0.25">
      <c r="A470" s="1353"/>
      <c r="B470" s="1353"/>
      <c r="C470" s="1353"/>
      <c r="D470" s="1353"/>
      <c r="E470" s="1353"/>
      <c r="F470" s="1353"/>
      <c r="G470" s="1353"/>
      <c r="H470" s="1353"/>
      <c r="I470" s="1353"/>
      <c r="J470" s="1353"/>
      <c r="K470" s="1387"/>
      <c r="L470" s="1353"/>
      <c r="M470" s="1353"/>
      <c r="N470" s="1353"/>
    </row>
    <row r="471" spans="1:14" x14ac:dyDescent="0.25">
      <c r="A471" s="1353"/>
      <c r="B471" s="1353"/>
      <c r="C471" s="1353"/>
      <c r="D471" s="1353"/>
      <c r="E471" s="1353"/>
      <c r="F471" s="1353"/>
      <c r="G471" s="1353"/>
      <c r="H471" s="1353"/>
      <c r="I471" s="1353"/>
      <c r="J471" s="1353"/>
      <c r="K471" s="1387"/>
      <c r="L471" s="1353"/>
      <c r="M471" s="1353"/>
      <c r="N471" s="1353"/>
    </row>
    <row r="472" spans="1:14" x14ac:dyDescent="0.25">
      <c r="A472" s="1353"/>
      <c r="B472" s="1353"/>
      <c r="C472" s="1353"/>
      <c r="D472" s="1353"/>
      <c r="E472" s="1353"/>
      <c r="F472" s="1353"/>
      <c r="G472" s="1353"/>
      <c r="H472" s="1353"/>
      <c r="I472" s="1353"/>
      <c r="J472" s="1353"/>
      <c r="K472" s="1387"/>
      <c r="L472" s="1353"/>
      <c r="M472" s="1353"/>
      <c r="N472" s="1353"/>
    </row>
    <row r="473" spans="1:14" x14ac:dyDescent="0.25">
      <c r="A473" s="1353"/>
      <c r="B473" s="1353"/>
      <c r="C473" s="1353"/>
      <c r="D473" s="1353"/>
      <c r="E473" s="1353"/>
      <c r="F473" s="1353"/>
      <c r="G473" s="1353"/>
      <c r="H473" s="1353"/>
      <c r="I473" s="1353"/>
      <c r="J473" s="1353"/>
      <c r="K473" s="1387"/>
      <c r="L473" s="1353"/>
      <c r="M473" s="1353"/>
      <c r="N473" s="1353"/>
    </row>
    <row r="474" spans="1:14" x14ac:dyDescent="0.25">
      <c r="A474" s="1353"/>
      <c r="B474" s="1353"/>
      <c r="C474" s="1353"/>
      <c r="D474" s="1353"/>
      <c r="E474" s="1353"/>
      <c r="F474" s="1353"/>
      <c r="G474" s="1353"/>
      <c r="H474" s="1353"/>
      <c r="I474" s="1353"/>
      <c r="J474" s="1353"/>
      <c r="K474" s="1387"/>
      <c r="L474" s="1353"/>
      <c r="M474" s="1353"/>
      <c r="N474" s="1353"/>
    </row>
    <row r="475" spans="1:14" x14ac:dyDescent="0.25">
      <c r="A475" s="1353"/>
      <c r="B475" s="1353"/>
      <c r="C475" s="1353"/>
      <c r="D475" s="1353"/>
      <c r="E475" s="1353"/>
      <c r="F475" s="1353"/>
      <c r="G475" s="1353"/>
      <c r="H475" s="1353"/>
      <c r="I475" s="1353"/>
      <c r="J475" s="1353"/>
      <c r="K475" s="1387"/>
      <c r="L475" s="1353"/>
      <c r="M475" s="1353"/>
      <c r="N475" s="1353"/>
    </row>
    <row r="476" spans="1:14" x14ac:dyDescent="0.25">
      <c r="A476" s="1353"/>
      <c r="B476" s="1353"/>
      <c r="C476" s="1353"/>
      <c r="D476" s="1353"/>
      <c r="E476" s="1353"/>
      <c r="F476" s="1353"/>
      <c r="G476" s="1353"/>
      <c r="H476" s="1353"/>
      <c r="I476" s="1353"/>
      <c r="J476" s="1353"/>
      <c r="K476" s="1387"/>
      <c r="L476" s="1353"/>
      <c r="M476" s="1353"/>
      <c r="N476" s="1353"/>
    </row>
    <row r="477" spans="1:14" x14ac:dyDescent="0.25">
      <c r="A477" s="1353"/>
      <c r="B477" s="1353"/>
      <c r="C477" s="1353"/>
      <c r="D477" s="1353"/>
      <c r="E477" s="1353"/>
      <c r="F477" s="1353"/>
      <c r="G477" s="1353"/>
      <c r="H477" s="1353"/>
      <c r="I477" s="1353"/>
      <c r="J477" s="1353"/>
      <c r="K477" s="1387"/>
      <c r="L477" s="1353"/>
      <c r="M477" s="1353"/>
      <c r="N477" s="1353"/>
    </row>
    <row r="478" spans="1:14" x14ac:dyDescent="0.25">
      <c r="A478" s="1353"/>
      <c r="B478" s="1353"/>
      <c r="C478" s="1353"/>
      <c r="D478" s="1353"/>
      <c r="E478" s="1353"/>
      <c r="F478" s="1353"/>
      <c r="G478" s="1353"/>
      <c r="H478" s="1353"/>
      <c r="I478" s="1353"/>
      <c r="J478" s="1353"/>
      <c r="K478" s="1387"/>
      <c r="L478" s="1353"/>
      <c r="M478" s="1353"/>
      <c r="N478" s="1353"/>
    </row>
    <row r="479" spans="1:14" x14ac:dyDescent="0.25">
      <c r="A479" s="1353"/>
      <c r="B479" s="1353"/>
      <c r="C479" s="1353"/>
      <c r="D479" s="1353"/>
      <c r="E479" s="1353"/>
      <c r="F479" s="1353"/>
      <c r="G479" s="1353"/>
      <c r="H479" s="1353"/>
      <c r="I479" s="1353"/>
      <c r="J479" s="1353"/>
      <c r="K479" s="1387"/>
      <c r="L479" s="1353"/>
      <c r="M479" s="1353"/>
      <c r="N479" s="1353"/>
    </row>
    <row r="480" spans="1:14" x14ac:dyDescent="0.25">
      <c r="A480" s="1353"/>
      <c r="B480" s="1353"/>
      <c r="C480" s="1353"/>
      <c r="D480" s="1353"/>
      <c r="E480" s="1353"/>
      <c r="F480" s="1353"/>
      <c r="G480" s="1353"/>
      <c r="H480" s="1353"/>
      <c r="I480" s="1353"/>
      <c r="J480" s="1353"/>
      <c r="K480" s="1387"/>
      <c r="L480" s="1353"/>
      <c r="M480" s="1353"/>
      <c r="N480" s="1353"/>
    </row>
    <row r="481" spans="1:14" x14ac:dyDescent="0.25">
      <c r="A481" s="1353"/>
      <c r="B481" s="1353"/>
      <c r="C481" s="1353"/>
      <c r="D481" s="1353"/>
      <c r="E481" s="1353"/>
      <c r="F481" s="1353"/>
      <c r="G481" s="1353"/>
      <c r="H481" s="1353"/>
      <c r="I481" s="1353"/>
      <c r="J481" s="1353"/>
      <c r="K481" s="1387"/>
      <c r="L481" s="1353"/>
      <c r="M481" s="1353"/>
      <c r="N481" s="1353"/>
    </row>
    <row r="482" spans="1:14" x14ac:dyDescent="0.25">
      <c r="A482" s="1353"/>
      <c r="B482" s="1353"/>
      <c r="C482" s="1353"/>
      <c r="D482" s="1353"/>
      <c r="E482" s="1353"/>
      <c r="F482" s="1353"/>
      <c r="G482" s="1353"/>
      <c r="H482" s="1353"/>
      <c r="I482" s="1353"/>
      <c r="J482" s="1353"/>
      <c r="K482" s="1387"/>
      <c r="L482" s="1353"/>
      <c r="M482" s="1353"/>
      <c r="N482" s="1353"/>
    </row>
    <row r="483" spans="1:14" x14ac:dyDescent="0.25">
      <c r="A483" s="1353"/>
      <c r="B483" s="1353"/>
      <c r="C483" s="1353"/>
      <c r="D483" s="1353"/>
      <c r="E483" s="1353"/>
      <c r="F483" s="1353"/>
      <c r="G483" s="1353"/>
      <c r="H483" s="1353"/>
      <c r="I483" s="1353"/>
      <c r="J483" s="1353"/>
      <c r="K483" s="1387"/>
      <c r="L483" s="1353"/>
      <c r="M483" s="1353"/>
      <c r="N483" s="1353"/>
    </row>
    <row r="484" spans="1:14" x14ac:dyDescent="0.25">
      <c r="A484" s="1353"/>
      <c r="B484" s="1353"/>
      <c r="C484" s="1353"/>
      <c r="D484" s="1353"/>
      <c r="E484" s="1353"/>
      <c r="F484" s="1353"/>
      <c r="G484" s="1353"/>
      <c r="H484" s="1353"/>
      <c r="I484" s="1353"/>
      <c r="J484" s="1353"/>
      <c r="K484" s="1387"/>
      <c r="L484" s="1353"/>
      <c r="M484" s="1353"/>
      <c r="N484" s="1353"/>
    </row>
    <row r="485" spans="1:14" x14ac:dyDescent="0.25">
      <c r="A485" s="1353"/>
      <c r="B485" s="1353"/>
      <c r="C485" s="1353"/>
      <c r="D485" s="1353"/>
      <c r="E485" s="1353"/>
      <c r="F485" s="1353"/>
      <c r="G485" s="1353"/>
      <c r="H485" s="1353"/>
      <c r="I485" s="1353"/>
      <c r="J485" s="1353"/>
      <c r="K485" s="1387"/>
      <c r="L485" s="1353"/>
      <c r="M485" s="1353"/>
      <c r="N485" s="1353"/>
    </row>
    <row r="486" spans="1:14" x14ac:dyDescent="0.25">
      <c r="A486" s="1353"/>
      <c r="B486" s="1353"/>
      <c r="C486" s="1353"/>
      <c r="D486" s="1353"/>
      <c r="E486" s="1353"/>
      <c r="F486" s="1353"/>
      <c r="G486" s="1353"/>
      <c r="H486" s="1353"/>
      <c r="I486" s="1353"/>
      <c r="J486" s="1353"/>
      <c r="K486" s="1387"/>
      <c r="L486" s="1353"/>
      <c r="M486" s="1353"/>
      <c r="N486" s="1353"/>
    </row>
    <row r="487" spans="1:14" x14ac:dyDescent="0.25">
      <c r="A487" s="1353"/>
      <c r="B487" s="1353"/>
      <c r="C487" s="1353"/>
      <c r="D487" s="1353"/>
      <c r="E487" s="1353"/>
      <c r="F487" s="1353"/>
      <c r="G487" s="1353"/>
      <c r="H487" s="1353"/>
      <c r="I487" s="1353"/>
      <c r="J487" s="1353"/>
      <c r="K487" s="1387"/>
      <c r="L487" s="1353"/>
      <c r="M487" s="1353"/>
      <c r="N487" s="1353"/>
    </row>
    <row r="488" spans="1:14" x14ac:dyDescent="0.25">
      <c r="A488" s="1353"/>
      <c r="B488" s="1353"/>
      <c r="C488" s="1353"/>
      <c r="D488" s="1353"/>
      <c r="E488" s="1353"/>
      <c r="F488" s="1353"/>
      <c r="G488" s="1353"/>
      <c r="H488" s="1353"/>
      <c r="I488" s="1353"/>
      <c r="J488" s="1353"/>
      <c r="K488" s="1387"/>
      <c r="L488" s="1353"/>
      <c r="M488" s="1353"/>
      <c r="N488" s="1353"/>
    </row>
    <row r="489" spans="1:14" x14ac:dyDescent="0.25">
      <c r="A489" s="1353"/>
      <c r="B489" s="1353"/>
      <c r="C489" s="1353"/>
      <c r="D489" s="1353"/>
      <c r="E489" s="1353"/>
      <c r="F489" s="1353"/>
      <c r="G489" s="1353"/>
      <c r="H489" s="1353"/>
      <c r="I489" s="1353"/>
      <c r="J489" s="1353"/>
      <c r="K489" s="1387"/>
      <c r="L489" s="1353"/>
      <c r="M489" s="1353"/>
      <c r="N489" s="1353"/>
    </row>
    <row r="490" spans="1:14" x14ac:dyDescent="0.25">
      <c r="A490" s="1353"/>
      <c r="B490" s="1353"/>
      <c r="C490" s="1353"/>
      <c r="D490" s="1353"/>
      <c r="E490" s="1353"/>
      <c r="F490" s="1353"/>
      <c r="G490" s="1353"/>
      <c r="H490" s="1353"/>
      <c r="I490" s="1353"/>
      <c r="J490" s="1353"/>
      <c r="K490" s="1387"/>
      <c r="L490" s="1353"/>
      <c r="M490" s="1353"/>
      <c r="N490" s="1353"/>
    </row>
    <row r="491" spans="1:14" x14ac:dyDescent="0.25">
      <c r="A491" s="1353"/>
      <c r="B491" s="1353"/>
      <c r="C491" s="1353"/>
      <c r="D491" s="1353"/>
      <c r="E491" s="1353"/>
      <c r="F491" s="1353"/>
      <c r="G491" s="1353"/>
      <c r="H491" s="1353"/>
      <c r="I491" s="1353"/>
      <c r="J491" s="1353"/>
      <c r="K491" s="1387"/>
      <c r="L491" s="1353"/>
      <c r="M491" s="1353"/>
      <c r="N491" s="1353"/>
    </row>
    <row r="492" spans="1:14" x14ac:dyDescent="0.25">
      <c r="A492" s="1353"/>
      <c r="B492" s="1353"/>
      <c r="C492" s="1353"/>
      <c r="D492" s="1353"/>
      <c r="E492" s="1353"/>
      <c r="F492" s="1353"/>
      <c r="G492" s="1353"/>
      <c r="H492" s="1353"/>
      <c r="I492" s="1353"/>
      <c r="J492" s="1353"/>
      <c r="K492" s="1387"/>
      <c r="L492" s="1353"/>
      <c r="M492" s="1353"/>
      <c r="N492" s="1353"/>
    </row>
    <row r="493" spans="1:14" x14ac:dyDescent="0.25">
      <c r="A493" s="1353"/>
      <c r="B493" s="1353"/>
      <c r="C493" s="1353"/>
      <c r="D493" s="1353"/>
      <c r="E493" s="1353"/>
      <c r="F493" s="1353"/>
      <c r="G493" s="1353"/>
      <c r="H493" s="1353"/>
      <c r="I493" s="1353"/>
      <c r="J493" s="1353"/>
      <c r="K493" s="1387"/>
      <c r="L493" s="1353"/>
      <c r="M493" s="1353"/>
      <c r="N493" s="1353"/>
    </row>
    <row r="494" spans="1:14" x14ac:dyDescent="0.25">
      <c r="A494" s="1353"/>
      <c r="B494" s="1353"/>
      <c r="C494" s="1353"/>
      <c r="D494" s="1353"/>
      <c r="E494" s="1353"/>
      <c r="F494" s="1353"/>
      <c r="G494" s="1353"/>
      <c r="H494" s="1353"/>
      <c r="I494" s="1353"/>
      <c r="J494" s="1353"/>
      <c r="K494" s="1387"/>
      <c r="L494" s="1353"/>
      <c r="M494" s="1353"/>
      <c r="N494" s="1353"/>
    </row>
    <row r="495" spans="1:14" x14ac:dyDescent="0.25">
      <c r="A495" s="1353"/>
      <c r="B495" s="1353"/>
      <c r="C495" s="1353"/>
      <c r="D495" s="1353"/>
      <c r="E495" s="1353"/>
      <c r="F495" s="1353"/>
      <c r="G495" s="1353"/>
      <c r="H495" s="1353"/>
      <c r="I495" s="1353"/>
      <c r="J495" s="1353"/>
      <c r="K495" s="1387"/>
      <c r="L495" s="1353"/>
      <c r="M495" s="1353"/>
      <c r="N495" s="1353"/>
    </row>
    <row r="496" spans="1:14" x14ac:dyDescent="0.25">
      <c r="A496" s="1353"/>
      <c r="B496" s="1353"/>
      <c r="C496" s="1353"/>
      <c r="D496" s="1353"/>
      <c r="E496" s="1353"/>
      <c r="F496" s="1353"/>
      <c r="G496" s="1353"/>
      <c r="H496" s="1353"/>
      <c r="I496" s="1353"/>
      <c r="J496" s="1353"/>
      <c r="K496" s="1387"/>
      <c r="L496" s="1353"/>
      <c r="M496" s="1353"/>
      <c r="N496" s="1353"/>
    </row>
    <row r="497" spans="1:14" x14ac:dyDescent="0.25">
      <c r="A497" s="1353"/>
      <c r="B497" s="1353"/>
      <c r="C497" s="1353"/>
      <c r="D497" s="1353"/>
      <c r="E497" s="1353"/>
      <c r="F497" s="1353"/>
      <c r="G497" s="1353"/>
      <c r="H497" s="1353"/>
      <c r="I497" s="1353"/>
      <c r="J497" s="1353"/>
      <c r="K497" s="1387"/>
      <c r="L497" s="1353"/>
      <c r="M497" s="1353"/>
      <c r="N497" s="1353"/>
    </row>
    <row r="498" spans="1:14" x14ac:dyDescent="0.25">
      <c r="A498" s="1353"/>
      <c r="B498" s="1353"/>
      <c r="C498" s="1353"/>
      <c r="D498" s="1353"/>
      <c r="E498" s="1353"/>
      <c r="F498" s="1353"/>
      <c r="G498" s="1353"/>
      <c r="H498" s="1353"/>
      <c r="I498" s="1353"/>
      <c r="J498" s="1353"/>
      <c r="K498" s="1387"/>
      <c r="L498" s="1353"/>
      <c r="M498" s="1353"/>
      <c r="N498" s="1353"/>
    </row>
    <row r="499" spans="1:14" x14ac:dyDescent="0.25">
      <c r="A499" s="1353"/>
      <c r="B499" s="1353"/>
      <c r="C499" s="1353"/>
      <c r="D499" s="1353"/>
      <c r="E499" s="1353"/>
      <c r="F499" s="1353"/>
      <c r="G499" s="1353"/>
      <c r="H499" s="1353"/>
      <c r="I499" s="1353"/>
      <c r="J499" s="1353"/>
      <c r="K499" s="1387"/>
      <c r="L499" s="1353"/>
      <c r="M499" s="1353"/>
      <c r="N499" s="1353"/>
    </row>
    <row r="500" spans="1:14" x14ac:dyDescent="0.25">
      <c r="A500" s="1353"/>
      <c r="B500" s="1353"/>
      <c r="C500" s="1353"/>
      <c r="D500" s="1353"/>
      <c r="E500" s="1353"/>
      <c r="F500" s="1353"/>
      <c r="G500" s="1353"/>
      <c r="H500" s="1353"/>
      <c r="I500" s="1353"/>
      <c r="J500" s="1353"/>
      <c r="K500" s="1387"/>
      <c r="L500" s="1353"/>
      <c r="M500" s="1353"/>
      <c r="N500" s="1353"/>
    </row>
    <row r="501" spans="1:14" x14ac:dyDescent="0.25">
      <c r="A501" s="1353"/>
      <c r="B501" s="1353"/>
      <c r="C501" s="1353"/>
      <c r="D501" s="1353"/>
      <c r="E501" s="1353"/>
      <c r="F501" s="1353"/>
      <c r="G501" s="1353"/>
      <c r="H501" s="1353"/>
      <c r="I501" s="1353"/>
      <c r="J501" s="1353"/>
      <c r="K501" s="1387"/>
      <c r="L501" s="1353"/>
      <c r="M501" s="1353"/>
      <c r="N501" s="1353"/>
    </row>
    <row r="502" spans="1:14" x14ac:dyDescent="0.25">
      <c r="A502" s="1353"/>
      <c r="B502" s="1353"/>
      <c r="C502" s="1353"/>
      <c r="D502" s="1353"/>
      <c r="E502" s="1353"/>
      <c r="F502" s="1353"/>
      <c r="G502" s="1353"/>
      <c r="H502" s="1353"/>
      <c r="I502" s="1353"/>
      <c r="J502" s="1353"/>
      <c r="K502" s="1387"/>
      <c r="L502" s="1353"/>
      <c r="M502" s="1353"/>
      <c r="N502" s="1353"/>
    </row>
    <row r="503" spans="1:14" x14ac:dyDescent="0.25">
      <c r="A503" s="1353"/>
      <c r="B503" s="1353"/>
      <c r="C503" s="1353"/>
      <c r="D503" s="1353"/>
      <c r="E503" s="1353"/>
      <c r="F503" s="1353"/>
      <c r="G503" s="1353"/>
      <c r="H503" s="1353"/>
      <c r="I503" s="1353"/>
      <c r="J503" s="1353"/>
      <c r="K503" s="1387"/>
      <c r="L503" s="1353"/>
      <c r="M503" s="1353"/>
      <c r="N503" s="1353"/>
    </row>
    <row r="504" spans="1:14" x14ac:dyDescent="0.25">
      <c r="A504" s="1353"/>
      <c r="B504" s="1353"/>
      <c r="C504" s="1353"/>
      <c r="D504" s="1353"/>
      <c r="E504" s="1353"/>
      <c r="F504" s="1353"/>
      <c r="G504" s="1353"/>
      <c r="H504" s="1353"/>
      <c r="I504" s="1353"/>
      <c r="J504" s="1353"/>
      <c r="K504" s="1387"/>
      <c r="L504" s="1353"/>
      <c r="M504" s="1353"/>
      <c r="N504" s="1353"/>
    </row>
    <row r="505" spans="1:14" x14ac:dyDescent="0.25">
      <c r="A505" s="1353"/>
      <c r="B505" s="1353"/>
      <c r="C505" s="1353"/>
      <c r="D505" s="1353"/>
      <c r="E505" s="1353"/>
      <c r="F505" s="1353"/>
      <c r="G505" s="1353"/>
      <c r="H505" s="1353"/>
      <c r="I505" s="1353"/>
      <c r="J505" s="1353"/>
      <c r="K505" s="1387"/>
      <c r="L505" s="1353"/>
      <c r="M505" s="1353"/>
      <c r="N505" s="1353"/>
    </row>
    <row r="506" spans="1:14" x14ac:dyDescent="0.25">
      <c r="A506" s="1353"/>
      <c r="B506" s="1353"/>
      <c r="C506" s="1353"/>
      <c r="D506" s="1353"/>
      <c r="E506" s="1353"/>
      <c r="F506" s="1353"/>
      <c r="G506" s="1353"/>
      <c r="H506" s="1353"/>
      <c r="I506" s="1353"/>
      <c r="J506" s="1353"/>
      <c r="K506" s="1387"/>
      <c r="L506" s="1353"/>
      <c r="M506" s="1353"/>
      <c r="N506" s="1353"/>
    </row>
    <row r="507" spans="1:14" x14ac:dyDescent="0.25">
      <c r="A507" s="1353"/>
      <c r="B507" s="1353"/>
      <c r="C507" s="1353"/>
      <c r="D507" s="1353"/>
      <c r="E507" s="1353"/>
      <c r="F507" s="1353"/>
      <c r="G507" s="1353"/>
      <c r="H507" s="1353"/>
      <c r="I507" s="1353"/>
      <c r="J507" s="1353"/>
      <c r="K507" s="1387"/>
      <c r="L507" s="1353"/>
      <c r="M507" s="1353"/>
      <c r="N507" s="1353"/>
    </row>
    <row r="508" spans="1:14" x14ac:dyDescent="0.25">
      <c r="A508" s="1353"/>
      <c r="B508" s="1353"/>
      <c r="C508" s="1353"/>
      <c r="D508" s="1353"/>
      <c r="E508" s="1353"/>
      <c r="F508" s="1353"/>
      <c r="G508" s="1353"/>
      <c r="H508" s="1353"/>
      <c r="I508" s="1353"/>
      <c r="J508" s="1353"/>
      <c r="K508" s="1387"/>
      <c r="L508" s="1353"/>
      <c r="M508" s="1353"/>
      <c r="N508" s="1353"/>
    </row>
    <row r="509" spans="1:14" x14ac:dyDescent="0.25">
      <c r="A509" s="1353"/>
      <c r="B509" s="1353"/>
      <c r="C509" s="1353"/>
      <c r="D509" s="1353"/>
      <c r="E509" s="1353"/>
      <c r="F509" s="1353"/>
      <c r="G509" s="1353"/>
      <c r="H509" s="1353"/>
      <c r="I509" s="1353"/>
      <c r="J509" s="1353"/>
      <c r="K509" s="1387"/>
      <c r="L509" s="1353"/>
      <c r="M509" s="1353"/>
      <c r="N509" s="1353"/>
    </row>
    <row r="510" spans="1:14" x14ac:dyDescent="0.25">
      <c r="A510" s="1353"/>
      <c r="B510" s="1353"/>
      <c r="C510" s="1353"/>
      <c r="D510" s="1353"/>
      <c r="E510" s="1353"/>
      <c r="F510" s="1353"/>
      <c r="G510" s="1353"/>
      <c r="H510" s="1353"/>
      <c r="I510" s="1353"/>
      <c r="J510" s="1353"/>
      <c r="K510" s="1387"/>
      <c r="L510" s="1353"/>
      <c r="M510" s="1353"/>
      <c r="N510" s="1353"/>
    </row>
    <row r="511" spans="1:14" x14ac:dyDescent="0.25">
      <c r="A511" s="1353"/>
      <c r="B511" s="1353"/>
      <c r="C511" s="1353"/>
      <c r="D511" s="1353"/>
      <c r="E511" s="1353"/>
      <c r="F511" s="1353"/>
      <c r="G511" s="1353"/>
      <c r="H511" s="1353"/>
      <c r="I511" s="1353"/>
      <c r="J511" s="1353"/>
      <c r="K511" s="1387"/>
      <c r="L511" s="1353"/>
      <c r="M511" s="1353"/>
      <c r="N511" s="1353"/>
    </row>
    <row r="512" spans="1:14" x14ac:dyDescent="0.25">
      <c r="A512" s="1353"/>
      <c r="B512" s="1353"/>
      <c r="C512" s="1353"/>
      <c r="D512" s="1353"/>
      <c r="E512" s="1353"/>
      <c r="F512" s="1353"/>
      <c r="G512" s="1353"/>
      <c r="H512" s="1353"/>
      <c r="I512" s="1353"/>
      <c r="J512" s="1353"/>
      <c r="K512" s="1387"/>
      <c r="L512" s="1353"/>
      <c r="M512" s="1353"/>
      <c r="N512" s="1353"/>
    </row>
    <row r="513" spans="1:14" x14ac:dyDescent="0.25">
      <c r="A513" s="1353"/>
      <c r="B513" s="1353"/>
      <c r="C513" s="1353"/>
      <c r="D513" s="1353"/>
      <c r="E513" s="1353"/>
      <c r="F513" s="1353"/>
      <c r="G513" s="1353"/>
      <c r="H513" s="1353"/>
      <c r="I513" s="1353"/>
      <c r="J513" s="1353"/>
      <c r="K513" s="1387"/>
      <c r="L513" s="1353"/>
      <c r="M513" s="1353"/>
      <c r="N513" s="1353"/>
    </row>
    <row r="514" spans="1:14" x14ac:dyDescent="0.25">
      <c r="A514" s="1353"/>
      <c r="B514" s="1353"/>
      <c r="C514" s="1353"/>
      <c r="D514" s="1353"/>
      <c r="E514" s="1353"/>
      <c r="F514" s="1353"/>
      <c r="G514" s="1353"/>
      <c r="H514" s="1353"/>
      <c r="I514" s="1353"/>
      <c r="J514" s="1353"/>
      <c r="K514" s="1387"/>
      <c r="L514" s="1353"/>
      <c r="M514" s="1353"/>
      <c r="N514" s="1353"/>
    </row>
    <row r="515" spans="1:14" x14ac:dyDescent="0.25">
      <c r="A515" s="1353"/>
      <c r="B515" s="1353"/>
      <c r="C515" s="1353"/>
      <c r="D515" s="1353"/>
      <c r="E515" s="1353"/>
      <c r="F515" s="1353"/>
      <c r="G515" s="1353"/>
      <c r="H515" s="1353"/>
      <c r="I515" s="1353"/>
      <c r="J515" s="1353"/>
      <c r="K515" s="1387"/>
      <c r="L515" s="1353"/>
      <c r="M515" s="1353"/>
      <c r="N515" s="1353"/>
    </row>
    <row r="516" spans="1:14" x14ac:dyDescent="0.25">
      <c r="A516" s="1353"/>
      <c r="B516" s="1353"/>
      <c r="C516" s="1353"/>
      <c r="D516" s="1353"/>
      <c r="E516" s="1353"/>
      <c r="F516" s="1353"/>
      <c r="G516" s="1353"/>
      <c r="H516" s="1353"/>
      <c r="I516" s="1353"/>
      <c r="J516" s="1353"/>
      <c r="K516" s="1387"/>
      <c r="L516" s="1353"/>
      <c r="M516" s="1353"/>
      <c r="N516" s="1353"/>
    </row>
    <row r="517" spans="1:14" x14ac:dyDescent="0.25">
      <c r="A517" s="1353"/>
      <c r="B517" s="1353"/>
      <c r="C517" s="1353"/>
      <c r="D517" s="1353"/>
      <c r="E517" s="1353"/>
      <c r="F517" s="1353"/>
      <c r="G517" s="1353"/>
      <c r="H517" s="1353"/>
      <c r="I517" s="1353"/>
      <c r="J517" s="1353"/>
      <c r="K517" s="1387"/>
      <c r="L517" s="1353"/>
      <c r="M517" s="1353"/>
      <c r="N517" s="1353"/>
    </row>
    <row r="518" spans="1:14" x14ac:dyDescent="0.25">
      <c r="A518" s="1353"/>
      <c r="B518" s="1353"/>
      <c r="C518" s="1353"/>
      <c r="D518" s="1353"/>
      <c r="E518" s="1353"/>
      <c r="F518" s="1353"/>
      <c r="G518" s="1353"/>
      <c r="H518" s="1353"/>
      <c r="I518" s="1353"/>
      <c r="J518" s="1353"/>
      <c r="K518" s="1387"/>
      <c r="L518" s="1353"/>
      <c r="M518" s="1353"/>
      <c r="N518" s="1353"/>
    </row>
    <row r="519" spans="1:14" x14ac:dyDescent="0.25">
      <c r="A519" s="1353"/>
      <c r="B519" s="1353"/>
      <c r="C519" s="1353"/>
      <c r="D519" s="1353"/>
      <c r="E519" s="1353"/>
      <c r="F519" s="1353"/>
      <c r="G519" s="1353"/>
      <c r="H519" s="1353"/>
      <c r="I519" s="1353"/>
      <c r="J519" s="1353"/>
      <c r="K519" s="1387"/>
      <c r="L519" s="1353"/>
      <c r="M519" s="1353"/>
      <c r="N519" s="1353"/>
    </row>
    <row r="520" spans="1:14" x14ac:dyDescent="0.25">
      <c r="A520" s="1353"/>
      <c r="B520" s="1353"/>
      <c r="C520" s="1353"/>
      <c r="D520" s="1353"/>
      <c r="E520" s="1353"/>
      <c r="F520" s="1353"/>
      <c r="G520" s="1353"/>
      <c r="H520" s="1353"/>
      <c r="I520" s="1353"/>
      <c r="J520" s="1353"/>
      <c r="K520" s="1387"/>
      <c r="L520" s="1353"/>
      <c r="M520" s="1353"/>
      <c r="N520" s="1353"/>
    </row>
    <row r="521" spans="1:14" x14ac:dyDescent="0.25">
      <c r="A521" s="1353"/>
      <c r="B521" s="1353"/>
      <c r="C521" s="1353"/>
      <c r="D521" s="1353"/>
      <c r="E521" s="1353"/>
      <c r="F521" s="1353"/>
      <c r="G521" s="1353"/>
      <c r="H521" s="1353"/>
      <c r="I521" s="1353"/>
      <c r="J521" s="1353"/>
      <c r="K521" s="1387"/>
      <c r="L521" s="1353"/>
      <c r="M521" s="1353"/>
      <c r="N521" s="1353"/>
    </row>
    <row r="522" spans="1:14" x14ac:dyDescent="0.25">
      <c r="A522" s="1353"/>
      <c r="B522" s="1353"/>
      <c r="C522" s="1353"/>
      <c r="D522" s="1353"/>
      <c r="E522" s="1353"/>
      <c r="F522" s="1353"/>
      <c r="G522" s="1353"/>
      <c r="H522" s="1353"/>
      <c r="I522" s="1353"/>
      <c r="J522" s="1353"/>
      <c r="K522" s="1387"/>
      <c r="L522" s="1353"/>
      <c r="M522" s="1353"/>
      <c r="N522" s="1353"/>
    </row>
    <row r="523" spans="1:14" x14ac:dyDescent="0.25">
      <c r="A523" s="1353"/>
      <c r="B523" s="1353"/>
      <c r="C523" s="1353"/>
      <c r="D523" s="1353"/>
      <c r="E523" s="1353"/>
      <c r="F523" s="1353"/>
      <c r="G523" s="1353"/>
      <c r="H523" s="1353"/>
      <c r="I523" s="1353"/>
      <c r="J523" s="1353"/>
      <c r="K523" s="1387"/>
      <c r="L523" s="1353"/>
      <c r="M523" s="1353"/>
      <c r="N523" s="1353"/>
    </row>
    <row r="524" spans="1:14" x14ac:dyDescent="0.25">
      <c r="A524" s="1353"/>
      <c r="B524" s="1353"/>
      <c r="C524" s="1353"/>
      <c r="D524" s="1353"/>
      <c r="E524" s="1353"/>
      <c r="F524" s="1353"/>
      <c r="G524" s="1353"/>
      <c r="H524" s="1353"/>
      <c r="I524" s="1353"/>
      <c r="J524" s="1353"/>
      <c r="K524" s="1387"/>
      <c r="L524" s="1353"/>
      <c r="M524" s="1353"/>
      <c r="N524" s="1353"/>
    </row>
    <row r="525" spans="1:14" x14ac:dyDescent="0.25">
      <c r="A525" s="1353"/>
      <c r="B525" s="1353"/>
      <c r="C525" s="1353"/>
      <c r="D525" s="1353"/>
      <c r="E525" s="1353"/>
      <c r="F525" s="1353"/>
      <c r="G525" s="1353"/>
      <c r="H525" s="1353"/>
      <c r="I525" s="1353"/>
      <c r="J525" s="1353"/>
      <c r="K525" s="1387"/>
      <c r="L525" s="1353"/>
      <c r="M525" s="1353"/>
      <c r="N525" s="1353"/>
    </row>
    <row r="526" spans="1:14" x14ac:dyDescent="0.25">
      <c r="A526" s="1353"/>
      <c r="B526" s="1353"/>
      <c r="C526" s="1353"/>
      <c r="D526" s="1353"/>
      <c r="E526" s="1353"/>
      <c r="F526" s="1353"/>
      <c r="G526" s="1353"/>
      <c r="H526" s="1353"/>
      <c r="I526" s="1353"/>
      <c r="J526" s="1353"/>
      <c r="K526" s="1387"/>
      <c r="L526" s="1353"/>
      <c r="M526" s="1353"/>
      <c r="N526" s="1353"/>
    </row>
    <row r="527" spans="1:14" x14ac:dyDescent="0.25">
      <c r="A527" s="1353"/>
      <c r="B527" s="1353"/>
      <c r="C527" s="1353"/>
      <c r="D527" s="1353"/>
      <c r="E527" s="1353"/>
      <c r="F527" s="1353"/>
      <c r="G527" s="1353"/>
      <c r="H527" s="1353"/>
      <c r="I527" s="1353"/>
      <c r="J527" s="1353"/>
      <c r="K527" s="1387"/>
      <c r="L527" s="1353"/>
      <c r="M527" s="1353"/>
      <c r="N527" s="1353"/>
    </row>
    <row r="528" spans="1:14" x14ac:dyDescent="0.25">
      <c r="A528" s="1353"/>
      <c r="B528" s="1353"/>
      <c r="C528" s="1353"/>
      <c r="D528" s="1353"/>
      <c r="E528" s="1353"/>
      <c r="F528" s="1353"/>
      <c r="G528" s="1353"/>
      <c r="H528" s="1353"/>
      <c r="I528" s="1353"/>
      <c r="J528" s="1353"/>
      <c r="K528" s="1387"/>
      <c r="L528" s="1353"/>
      <c r="M528" s="1353"/>
      <c r="N528" s="1353"/>
    </row>
    <row r="529" spans="1:14" x14ac:dyDescent="0.25">
      <c r="A529" s="1353"/>
      <c r="B529" s="1353"/>
      <c r="C529" s="1353"/>
      <c r="D529" s="1353"/>
      <c r="E529" s="1353"/>
      <c r="F529" s="1353"/>
      <c r="G529" s="1353"/>
      <c r="H529" s="1353"/>
      <c r="I529" s="1353"/>
      <c r="J529" s="1353"/>
      <c r="K529" s="1387"/>
      <c r="L529" s="1353"/>
      <c r="M529" s="1353"/>
      <c r="N529" s="1353"/>
    </row>
    <row r="530" spans="1:14" x14ac:dyDescent="0.25">
      <c r="A530" s="1353"/>
      <c r="B530" s="1353"/>
      <c r="C530" s="1353"/>
      <c r="D530" s="1353"/>
      <c r="E530" s="1353"/>
      <c r="F530" s="1353"/>
      <c r="G530" s="1353"/>
      <c r="H530" s="1353"/>
      <c r="I530" s="1353"/>
      <c r="J530" s="1353"/>
      <c r="K530" s="1387"/>
      <c r="L530" s="1353"/>
      <c r="M530" s="1353"/>
      <c r="N530" s="1353"/>
    </row>
    <row r="531" spans="1:14" x14ac:dyDescent="0.25">
      <c r="A531" s="1353"/>
      <c r="B531" s="1353"/>
      <c r="C531" s="1353"/>
      <c r="D531" s="1353"/>
      <c r="E531" s="1353"/>
      <c r="F531" s="1353"/>
      <c r="G531" s="1353"/>
      <c r="H531" s="1353"/>
      <c r="I531" s="1353"/>
      <c r="J531" s="1353"/>
      <c r="K531" s="1387"/>
      <c r="L531" s="1353"/>
      <c r="M531" s="1353"/>
      <c r="N531" s="1353"/>
    </row>
    <row r="532" spans="1:14" x14ac:dyDescent="0.25">
      <c r="A532" s="1353"/>
      <c r="B532" s="1353"/>
      <c r="C532" s="1353"/>
      <c r="D532" s="1353"/>
      <c r="E532" s="1353"/>
      <c r="F532" s="1353"/>
      <c r="G532" s="1353"/>
      <c r="H532" s="1353"/>
      <c r="I532" s="1353"/>
      <c r="J532" s="1353"/>
      <c r="K532" s="1387"/>
      <c r="L532" s="1353"/>
      <c r="M532" s="1353"/>
      <c r="N532" s="1353"/>
    </row>
    <row r="533" spans="1:14" x14ac:dyDescent="0.25">
      <c r="A533" s="1353"/>
      <c r="B533" s="1353"/>
      <c r="C533" s="1353"/>
      <c r="D533" s="1353"/>
      <c r="E533" s="1353"/>
      <c r="F533" s="1353"/>
      <c r="G533" s="1353"/>
      <c r="H533" s="1353"/>
      <c r="I533" s="1353"/>
      <c r="J533" s="1353"/>
      <c r="K533" s="1387"/>
      <c r="L533" s="1353"/>
      <c r="M533" s="1353"/>
      <c r="N533" s="1353"/>
    </row>
    <row r="534" spans="1:14" x14ac:dyDescent="0.25">
      <c r="A534" s="1353"/>
      <c r="B534" s="1353"/>
      <c r="C534" s="1353"/>
      <c r="D534" s="1353"/>
      <c r="E534" s="1353"/>
      <c r="F534" s="1353"/>
      <c r="G534" s="1353"/>
      <c r="H534" s="1353"/>
      <c r="I534" s="1353"/>
      <c r="J534" s="1353"/>
      <c r="K534" s="1387"/>
      <c r="L534" s="1353"/>
      <c r="M534" s="1353"/>
      <c r="N534" s="1353"/>
    </row>
    <row r="535" spans="1:14" x14ac:dyDescent="0.25">
      <c r="A535" s="1353"/>
      <c r="B535" s="1353"/>
      <c r="C535" s="1353"/>
      <c r="D535" s="1353"/>
      <c r="E535" s="1353"/>
      <c r="F535" s="1353"/>
      <c r="G535" s="1353"/>
      <c r="H535" s="1353"/>
      <c r="I535" s="1353"/>
      <c r="J535" s="1353"/>
      <c r="K535" s="1387"/>
      <c r="L535" s="1353"/>
      <c r="M535" s="1353"/>
      <c r="N535" s="1353"/>
    </row>
    <row r="536" spans="1:14" x14ac:dyDescent="0.25">
      <c r="A536" s="1353"/>
      <c r="B536" s="1353"/>
      <c r="C536" s="1353"/>
      <c r="D536" s="1353"/>
      <c r="E536" s="1353"/>
      <c r="F536" s="1353"/>
      <c r="G536" s="1353"/>
      <c r="H536" s="1353"/>
      <c r="I536" s="1353"/>
      <c r="J536" s="1353"/>
      <c r="K536" s="1387"/>
      <c r="L536" s="1353"/>
      <c r="M536" s="1353"/>
      <c r="N536" s="1353"/>
    </row>
    <row r="537" spans="1:14" x14ac:dyDescent="0.25">
      <c r="A537" s="1353"/>
      <c r="B537" s="1353"/>
      <c r="C537" s="1353"/>
      <c r="D537" s="1353"/>
      <c r="E537" s="1353"/>
      <c r="F537" s="1353"/>
      <c r="G537" s="1353"/>
      <c r="H537" s="1353"/>
      <c r="I537" s="1353"/>
      <c r="J537" s="1353"/>
      <c r="K537" s="1387"/>
      <c r="L537" s="1353"/>
      <c r="M537" s="1353"/>
      <c r="N537" s="1353"/>
    </row>
    <row r="538" spans="1:14" x14ac:dyDescent="0.25">
      <c r="A538" s="1353"/>
      <c r="B538" s="1353"/>
      <c r="C538" s="1353"/>
      <c r="D538" s="1353"/>
      <c r="E538" s="1353"/>
      <c r="F538" s="1353"/>
      <c r="G538" s="1353"/>
      <c r="H538" s="1353"/>
      <c r="I538" s="1353"/>
      <c r="J538" s="1353"/>
      <c r="K538" s="1387"/>
      <c r="L538" s="1353"/>
      <c r="M538" s="1353"/>
      <c r="N538" s="1353"/>
    </row>
    <row r="539" spans="1:14" x14ac:dyDescent="0.25">
      <c r="A539" s="1353"/>
      <c r="B539" s="1353"/>
      <c r="C539" s="1353"/>
      <c r="D539" s="1353"/>
      <c r="E539" s="1353"/>
      <c r="F539" s="1353"/>
      <c r="G539" s="1353"/>
      <c r="H539" s="1353"/>
      <c r="I539" s="1353"/>
      <c r="J539" s="1353"/>
      <c r="K539" s="1387"/>
      <c r="L539" s="1353"/>
      <c r="M539" s="1353"/>
      <c r="N539" s="1353"/>
    </row>
    <row r="540" spans="1:14" x14ac:dyDescent="0.25">
      <c r="A540" s="1353"/>
      <c r="B540" s="1353"/>
      <c r="C540" s="1353"/>
      <c r="D540" s="1353"/>
      <c r="E540" s="1353"/>
      <c r="F540" s="1353"/>
      <c r="G540" s="1353"/>
      <c r="H540" s="1353"/>
      <c r="I540" s="1353"/>
      <c r="J540" s="1353"/>
      <c r="K540" s="1387"/>
      <c r="L540" s="1353"/>
      <c r="M540" s="1353"/>
      <c r="N540" s="1353"/>
    </row>
    <row r="541" spans="1:14" x14ac:dyDescent="0.25">
      <c r="A541" s="1353"/>
      <c r="B541" s="1353"/>
      <c r="C541" s="1353"/>
      <c r="D541" s="1353"/>
      <c r="E541" s="1353"/>
      <c r="F541" s="1353"/>
      <c r="G541" s="1353"/>
      <c r="H541" s="1353"/>
      <c r="I541" s="1353"/>
      <c r="J541" s="1353"/>
      <c r="K541" s="1387"/>
      <c r="L541" s="1353"/>
      <c r="M541" s="1353"/>
      <c r="N541" s="1353"/>
    </row>
    <row r="542" spans="1:14" x14ac:dyDescent="0.25">
      <c r="A542" s="1353"/>
      <c r="B542" s="1353"/>
      <c r="C542" s="1353"/>
      <c r="D542" s="1353"/>
      <c r="E542" s="1353"/>
      <c r="F542" s="1353"/>
      <c r="G542" s="1353"/>
      <c r="H542" s="1353"/>
      <c r="I542" s="1353"/>
      <c r="J542" s="1353"/>
      <c r="K542" s="1387"/>
      <c r="L542" s="1353"/>
      <c r="M542" s="1353"/>
      <c r="N542" s="1353"/>
    </row>
    <row r="543" spans="1:14" x14ac:dyDescent="0.25">
      <c r="A543" s="1353"/>
      <c r="B543" s="1353"/>
      <c r="C543" s="1353"/>
      <c r="D543" s="1353"/>
      <c r="E543" s="1353"/>
      <c r="F543" s="1353"/>
      <c r="G543" s="1353"/>
      <c r="H543" s="1353"/>
      <c r="I543" s="1353"/>
      <c r="J543" s="1353"/>
      <c r="K543" s="1387"/>
      <c r="L543" s="1353"/>
      <c r="M543" s="1353"/>
      <c r="N543" s="1353"/>
    </row>
    <row r="544" spans="1:14" x14ac:dyDescent="0.25">
      <c r="A544" s="1353"/>
      <c r="B544" s="1353"/>
      <c r="C544" s="1353"/>
      <c r="D544" s="1353"/>
      <c r="E544" s="1353"/>
      <c r="F544" s="1353"/>
      <c r="G544" s="1353"/>
      <c r="H544" s="1353"/>
      <c r="I544" s="1353"/>
      <c r="J544" s="1353"/>
      <c r="K544" s="1387"/>
      <c r="L544" s="1353"/>
      <c r="M544" s="1353"/>
      <c r="N544" s="1353"/>
    </row>
    <row r="545" spans="1:14" x14ac:dyDescent="0.25">
      <c r="A545" s="1353"/>
      <c r="B545" s="1353"/>
      <c r="C545" s="1353"/>
      <c r="D545" s="1353"/>
      <c r="E545" s="1353"/>
      <c r="F545" s="1353"/>
      <c r="G545" s="1353"/>
      <c r="H545" s="1353"/>
      <c r="I545" s="1353"/>
      <c r="J545" s="1353"/>
      <c r="K545" s="1387"/>
      <c r="L545" s="1353"/>
      <c r="M545" s="1353"/>
      <c r="N545" s="1353"/>
    </row>
    <row r="546" spans="1:14" x14ac:dyDescent="0.25">
      <c r="A546" s="1353"/>
      <c r="B546" s="1353"/>
      <c r="C546" s="1353"/>
      <c r="D546" s="1353"/>
      <c r="E546" s="1353"/>
      <c r="F546" s="1353"/>
      <c r="G546" s="1353"/>
      <c r="H546" s="1353"/>
      <c r="I546" s="1353"/>
      <c r="J546" s="1353"/>
      <c r="K546" s="1387"/>
      <c r="L546" s="1353"/>
      <c r="M546" s="1353"/>
      <c r="N546" s="1353"/>
    </row>
    <row r="547" spans="1:14" x14ac:dyDescent="0.25">
      <c r="A547" s="1353"/>
      <c r="B547" s="1353"/>
      <c r="C547" s="1353"/>
      <c r="D547" s="1353"/>
      <c r="E547" s="1353"/>
      <c r="F547" s="1353"/>
      <c r="G547" s="1353"/>
      <c r="H547" s="1353"/>
      <c r="I547" s="1353"/>
      <c r="J547" s="1353"/>
      <c r="K547" s="1387"/>
      <c r="L547" s="1353"/>
      <c r="M547" s="1353"/>
      <c r="N547" s="1353"/>
    </row>
    <row r="548" spans="1:14" x14ac:dyDescent="0.25">
      <c r="A548" s="1353"/>
      <c r="B548" s="1353"/>
      <c r="C548" s="1353"/>
      <c r="D548" s="1353"/>
      <c r="E548" s="1353"/>
      <c r="F548" s="1353"/>
      <c r="G548" s="1353"/>
      <c r="H548" s="1353"/>
      <c r="I548" s="1353"/>
      <c r="J548" s="1353"/>
      <c r="K548" s="1387"/>
      <c r="L548" s="1353"/>
      <c r="M548" s="1353"/>
      <c r="N548" s="1353"/>
    </row>
    <row r="549" spans="1:14" x14ac:dyDescent="0.25">
      <c r="A549" s="1353"/>
      <c r="B549" s="1353"/>
      <c r="C549" s="1353"/>
      <c r="D549" s="1353"/>
      <c r="E549" s="1353"/>
      <c r="F549" s="1353"/>
      <c r="G549" s="1353"/>
      <c r="H549" s="1353"/>
      <c r="I549" s="1353"/>
      <c r="J549" s="1353"/>
      <c r="K549" s="1387"/>
      <c r="L549" s="1353"/>
      <c r="M549" s="1353"/>
      <c r="N549" s="1353"/>
    </row>
    <row r="550" spans="1:14" x14ac:dyDescent="0.25">
      <c r="A550" s="1353"/>
      <c r="B550" s="1353"/>
      <c r="C550" s="1353"/>
      <c r="D550" s="1353"/>
      <c r="E550" s="1353"/>
      <c r="F550" s="1353"/>
      <c r="G550" s="1353"/>
      <c r="H550" s="1353"/>
      <c r="I550" s="1353"/>
      <c r="J550" s="1353"/>
      <c r="K550" s="1387"/>
      <c r="L550" s="1353"/>
      <c r="M550" s="1353"/>
      <c r="N550" s="1353"/>
    </row>
    <row r="551" spans="1:14" x14ac:dyDescent="0.25">
      <c r="A551" s="1353"/>
      <c r="B551" s="1353"/>
      <c r="C551" s="1353"/>
      <c r="D551" s="1353"/>
      <c r="E551" s="1353"/>
      <c r="F551" s="1353"/>
      <c r="G551" s="1353"/>
      <c r="H551" s="1353"/>
      <c r="I551" s="1353"/>
      <c r="J551" s="1353"/>
      <c r="K551" s="1387"/>
      <c r="L551" s="1353"/>
      <c r="M551" s="1353"/>
      <c r="N551" s="1353"/>
    </row>
    <row r="552" spans="1:14" x14ac:dyDescent="0.25">
      <c r="A552" s="1353"/>
      <c r="B552" s="1353"/>
      <c r="C552" s="1353"/>
      <c r="D552" s="1353"/>
      <c r="E552" s="1353"/>
      <c r="F552" s="1353"/>
      <c r="G552" s="1353"/>
      <c r="H552" s="1353"/>
      <c r="I552" s="1353"/>
      <c r="J552" s="1353"/>
      <c r="K552" s="1387"/>
      <c r="L552" s="1353"/>
      <c r="M552" s="1353"/>
      <c r="N552" s="1353"/>
    </row>
    <row r="553" spans="1:14" x14ac:dyDescent="0.25">
      <c r="A553" s="1353"/>
      <c r="B553" s="1353"/>
      <c r="C553" s="1353"/>
      <c r="D553" s="1353"/>
      <c r="E553" s="1353"/>
      <c r="F553" s="1353"/>
      <c r="G553" s="1353"/>
      <c r="H553" s="1353"/>
      <c r="I553" s="1353"/>
      <c r="J553" s="1353"/>
      <c r="K553" s="1387"/>
      <c r="L553" s="1353"/>
      <c r="M553" s="1353"/>
      <c r="N553" s="1353"/>
    </row>
    <row r="554" spans="1:14" x14ac:dyDescent="0.25">
      <c r="A554" s="1353"/>
      <c r="B554" s="1353"/>
      <c r="C554" s="1353"/>
      <c r="D554" s="1353"/>
      <c r="E554" s="1353"/>
      <c r="F554" s="1353"/>
      <c r="G554" s="1353"/>
      <c r="H554" s="1353"/>
      <c r="I554" s="1353"/>
      <c r="J554" s="1353"/>
      <c r="K554" s="1387"/>
      <c r="L554" s="1353"/>
      <c r="M554" s="1353"/>
      <c r="N554" s="1353"/>
    </row>
    <row r="555" spans="1:14" x14ac:dyDescent="0.25">
      <c r="A555" s="1353"/>
      <c r="B555" s="1353"/>
      <c r="C555" s="1353"/>
      <c r="D555" s="1353"/>
      <c r="E555" s="1353"/>
      <c r="F555" s="1353"/>
      <c r="G555" s="1353"/>
      <c r="H555" s="1353"/>
      <c r="I555" s="1353"/>
      <c r="J555" s="1353"/>
      <c r="K555" s="1387"/>
      <c r="L555" s="1353"/>
      <c r="M555" s="1353"/>
      <c r="N555" s="1353"/>
    </row>
    <row r="556" spans="1:14" x14ac:dyDescent="0.25">
      <c r="A556" s="1353"/>
      <c r="B556" s="1353"/>
      <c r="C556" s="1353"/>
      <c r="D556" s="1353"/>
      <c r="E556" s="1353"/>
      <c r="F556" s="1353"/>
      <c r="G556" s="1353"/>
      <c r="H556" s="1353"/>
      <c r="I556" s="1353"/>
      <c r="J556" s="1353"/>
      <c r="K556" s="1387"/>
      <c r="L556" s="1353"/>
      <c r="M556" s="1353"/>
      <c r="N556" s="1353"/>
    </row>
    <row r="557" spans="1:14" x14ac:dyDescent="0.25">
      <c r="A557" s="1353"/>
      <c r="B557" s="1353"/>
      <c r="C557" s="1353"/>
      <c r="D557" s="1353"/>
      <c r="E557" s="1353"/>
      <c r="F557" s="1353"/>
      <c r="G557" s="1353"/>
      <c r="H557" s="1353"/>
      <c r="I557" s="1353"/>
      <c r="J557" s="1353"/>
      <c r="K557" s="1387"/>
      <c r="L557" s="1353"/>
      <c r="M557" s="1353"/>
      <c r="N557" s="1353"/>
    </row>
    <row r="558" spans="1:14" x14ac:dyDescent="0.25">
      <c r="A558" s="1353"/>
      <c r="B558" s="1353"/>
      <c r="C558" s="1353"/>
      <c r="D558" s="1353"/>
      <c r="E558" s="1353"/>
      <c r="F558" s="1353"/>
      <c r="G558" s="1353"/>
      <c r="H558" s="1353"/>
      <c r="I558" s="1353"/>
      <c r="J558" s="1353"/>
      <c r="K558" s="1387"/>
      <c r="L558" s="1353"/>
      <c r="M558" s="1353"/>
      <c r="N558" s="1353"/>
    </row>
    <row r="559" spans="1:14" x14ac:dyDescent="0.25">
      <c r="A559" s="1353"/>
      <c r="B559" s="1353"/>
      <c r="C559" s="1353"/>
      <c r="D559" s="1353"/>
      <c r="E559" s="1353"/>
      <c r="F559" s="1353"/>
      <c r="G559" s="1353"/>
      <c r="H559" s="1353"/>
      <c r="I559" s="1353"/>
      <c r="J559" s="1353"/>
      <c r="K559" s="1387"/>
      <c r="L559" s="1353"/>
      <c r="M559" s="1353"/>
      <c r="N559" s="1353"/>
    </row>
    <row r="560" spans="1:14" x14ac:dyDescent="0.25">
      <c r="A560" s="1353"/>
      <c r="B560" s="1353"/>
      <c r="C560" s="1353"/>
      <c r="D560" s="1353"/>
      <c r="E560" s="1353"/>
      <c r="F560" s="1353"/>
      <c r="G560" s="1353"/>
      <c r="H560" s="1353"/>
      <c r="I560" s="1353"/>
      <c r="J560" s="1353"/>
      <c r="K560" s="1387"/>
      <c r="L560" s="1353"/>
      <c r="M560" s="1353"/>
      <c r="N560" s="1353"/>
    </row>
    <row r="561" spans="1:14" x14ac:dyDescent="0.25">
      <c r="A561" s="1353"/>
      <c r="B561" s="1353"/>
      <c r="C561" s="1353"/>
      <c r="D561" s="1353"/>
      <c r="E561" s="1353"/>
      <c r="F561" s="1353"/>
      <c r="G561" s="1353"/>
      <c r="H561" s="1353"/>
      <c r="I561" s="1353"/>
      <c r="J561" s="1353"/>
      <c r="K561" s="1387"/>
      <c r="L561" s="1353"/>
      <c r="M561" s="1353"/>
      <c r="N561" s="1353"/>
    </row>
    <row r="562" spans="1:14" x14ac:dyDescent="0.25">
      <c r="A562" s="1353"/>
      <c r="B562" s="1353"/>
      <c r="C562" s="1353"/>
      <c r="D562" s="1353"/>
      <c r="E562" s="1353"/>
      <c r="F562" s="1353"/>
      <c r="G562" s="1353"/>
      <c r="H562" s="1353"/>
      <c r="I562" s="1353"/>
      <c r="J562" s="1353"/>
      <c r="K562" s="1387"/>
      <c r="L562" s="1353"/>
      <c r="M562" s="1353"/>
      <c r="N562" s="1353"/>
    </row>
    <row r="563" spans="1:14" x14ac:dyDescent="0.25">
      <c r="A563" s="1353"/>
      <c r="B563" s="1353"/>
      <c r="C563" s="1353"/>
      <c r="D563" s="1353"/>
      <c r="E563" s="1353"/>
      <c r="F563" s="1353"/>
      <c r="G563" s="1353"/>
      <c r="H563" s="1353"/>
      <c r="I563" s="1353"/>
      <c r="J563" s="1353"/>
      <c r="K563" s="1387"/>
      <c r="L563" s="1353"/>
      <c r="M563" s="1353"/>
      <c r="N563" s="1353"/>
    </row>
    <row r="564" spans="1:14" x14ac:dyDescent="0.25">
      <c r="A564" s="1353"/>
      <c r="B564" s="1353"/>
      <c r="C564" s="1353"/>
      <c r="D564" s="1353"/>
      <c r="E564" s="1353"/>
      <c r="F564" s="1353"/>
      <c r="G564" s="1353"/>
      <c r="H564" s="1353"/>
      <c r="I564" s="1353"/>
      <c r="J564" s="1353"/>
      <c r="K564" s="1387"/>
      <c r="L564" s="1353"/>
      <c r="M564" s="1353"/>
      <c r="N564" s="1353"/>
    </row>
    <row r="565" spans="1:14" x14ac:dyDescent="0.25">
      <c r="A565" s="1353"/>
      <c r="B565" s="1353"/>
      <c r="C565" s="1353"/>
      <c r="D565" s="1353"/>
      <c r="E565" s="1353"/>
      <c r="F565" s="1353"/>
      <c r="G565" s="1353"/>
      <c r="H565" s="1353"/>
      <c r="I565" s="1353"/>
      <c r="J565" s="1353"/>
      <c r="K565" s="1387"/>
      <c r="L565" s="1353"/>
      <c r="M565" s="1353"/>
      <c r="N565" s="1353"/>
    </row>
    <row r="566" spans="1:14" x14ac:dyDescent="0.25">
      <c r="A566" s="1353"/>
      <c r="B566" s="1353"/>
      <c r="C566" s="1353"/>
      <c r="D566" s="1353"/>
      <c r="E566" s="1353"/>
      <c r="F566" s="1353"/>
      <c r="G566" s="1353"/>
      <c r="H566" s="1353"/>
      <c r="I566" s="1353"/>
      <c r="J566" s="1353"/>
      <c r="K566" s="1387"/>
      <c r="L566" s="1353"/>
      <c r="M566" s="1353"/>
      <c r="N566" s="1353"/>
    </row>
    <row r="567" spans="1:14" x14ac:dyDescent="0.25">
      <c r="A567" s="1353"/>
      <c r="B567" s="1353"/>
      <c r="C567" s="1353"/>
      <c r="D567" s="1353"/>
      <c r="E567" s="1353"/>
      <c r="F567" s="1353"/>
      <c r="G567" s="1353"/>
      <c r="H567" s="1353"/>
      <c r="I567" s="1353"/>
      <c r="J567" s="1353"/>
      <c r="K567" s="1387"/>
      <c r="L567" s="1353"/>
      <c r="M567" s="1353"/>
      <c r="N567" s="1353"/>
    </row>
    <row r="568" spans="1:14" x14ac:dyDescent="0.25">
      <c r="A568" s="1353"/>
      <c r="B568" s="1353"/>
      <c r="C568" s="1353"/>
      <c r="D568" s="1353"/>
      <c r="E568" s="1353"/>
      <c r="F568" s="1353"/>
      <c r="G568" s="1353"/>
      <c r="H568" s="1353"/>
      <c r="I568" s="1353"/>
      <c r="J568" s="1353"/>
      <c r="K568" s="1387"/>
      <c r="L568" s="1353"/>
      <c r="M568" s="1353"/>
      <c r="N568" s="1353"/>
    </row>
    <row r="569" spans="1:14" x14ac:dyDescent="0.25">
      <c r="A569" s="1353"/>
      <c r="B569" s="1353"/>
      <c r="C569" s="1353"/>
      <c r="D569" s="1353"/>
      <c r="E569" s="1353"/>
      <c r="F569" s="1353"/>
      <c r="G569" s="1353"/>
      <c r="H569" s="1353"/>
      <c r="I569" s="1353"/>
      <c r="J569" s="1353"/>
      <c r="K569" s="1387"/>
      <c r="L569" s="1353"/>
      <c r="M569" s="1353"/>
      <c r="N569" s="1353"/>
    </row>
    <row r="570" spans="1:14" x14ac:dyDescent="0.25">
      <c r="A570" s="1353"/>
      <c r="B570" s="1353"/>
      <c r="C570" s="1353"/>
      <c r="D570" s="1353"/>
      <c r="E570" s="1353"/>
      <c r="F570" s="1353"/>
      <c r="G570" s="1353"/>
      <c r="H570" s="1353"/>
      <c r="I570" s="1353"/>
      <c r="J570" s="1353"/>
      <c r="K570" s="1387"/>
      <c r="L570" s="1353"/>
      <c r="M570" s="1353"/>
      <c r="N570" s="1353"/>
    </row>
    <row r="571" spans="1:14" x14ac:dyDescent="0.25">
      <c r="A571" s="1353"/>
      <c r="B571" s="1353"/>
      <c r="C571" s="1353"/>
      <c r="D571" s="1353"/>
      <c r="E571" s="1353"/>
      <c r="F571" s="1353"/>
      <c r="G571" s="1353"/>
      <c r="H571" s="1353"/>
      <c r="I571" s="1353"/>
      <c r="J571" s="1353"/>
      <c r="K571" s="1387"/>
      <c r="L571" s="1353"/>
      <c r="M571" s="1353"/>
      <c r="N571" s="1353"/>
    </row>
    <row r="572" spans="1:14" x14ac:dyDescent="0.25">
      <c r="A572" s="1353"/>
      <c r="B572" s="1353"/>
      <c r="C572" s="1353"/>
      <c r="D572" s="1353"/>
      <c r="E572" s="1353"/>
      <c r="F572" s="1353"/>
      <c r="G572" s="1353"/>
      <c r="H572" s="1353"/>
      <c r="I572" s="1353"/>
      <c r="J572" s="1353"/>
      <c r="K572" s="1387"/>
      <c r="L572" s="1353"/>
      <c r="M572" s="1353"/>
      <c r="N572" s="1353"/>
    </row>
    <row r="573" spans="1:14" x14ac:dyDescent="0.25">
      <c r="A573" s="1353"/>
      <c r="B573" s="1353"/>
      <c r="C573" s="1353"/>
      <c r="D573" s="1353"/>
      <c r="E573" s="1353"/>
      <c r="F573" s="1353"/>
      <c r="G573" s="1353"/>
      <c r="H573" s="1353"/>
      <c r="I573" s="1353"/>
      <c r="J573" s="1353"/>
      <c r="K573" s="1387"/>
      <c r="L573" s="1353"/>
      <c r="M573" s="1353"/>
      <c r="N573" s="1353"/>
    </row>
    <row r="574" spans="1:14" x14ac:dyDescent="0.25">
      <c r="A574" s="1353"/>
      <c r="B574" s="1353"/>
      <c r="C574" s="1353"/>
      <c r="D574" s="1353"/>
      <c r="E574" s="1353"/>
      <c r="F574" s="1353"/>
      <c r="G574" s="1353"/>
      <c r="H574" s="1353"/>
      <c r="I574" s="1353"/>
      <c r="J574" s="1353"/>
      <c r="K574" s="1387"/>
      <c r="L574" s="1353"/>
      <c r="M574" s="1353"/>
      <c r="N574" s="1353"/>
    </row>
    <row r="575" spans="1:14" x14ac:dyDescent="0.25">
      <c r="A575" s="1353"/>
      <c r="B575" s="1353"/>
      <c r="C575" s="1353"/>
      <c r="D575" s="1353"/>
      <c r="E575" s="1353"/>
      <c r="F575" s="1353"/>
      <c r="G575" s="1353"/>
      <c r="H575" s="1353"/>
      <c r="I575" s="1353"/>
      <c r="J575" s="1353"/>
      <c r="K575" s="1387"/>
      <c r="L575" s="1353"/>
      <c r="M575" s="1353"/>
      <c r="N575" s="1353"/>
    </row>
    <row r="576" spans="1:14" x14ac:dyDescent="0.25">
      <c r="A576" s="1353"/>
      <c r="B576" s="1353"/>
      <c r="C576" s="1353"/>
      <c r="D576" s="1353"/>
      <c r="E576" s="1353"/>
      <c r="F576" s="1353"/>
      <c r="G576" s="1353"/>
      <c r="H576" s="1353"/>
      <c r="I576" s="1353"/>
      <c r="J576" s="1353"/>
      <c r="K576" s="1387"/>
      <c r="L576" s="1353"/>
      <c r="M576" s="1353"/>
      <c r="N576" s="1353"/>
    </row>
    <row r="577" spans="1:14" x14ac:dyDescent="0.25">
      <c r="A577" s="1353"/>
      <c r="B577" s="1353"/>
      <c r="C577" s="1353"/>
      <c r="D577" s="1353"/>
      <c r="E577" s="1353"/>
      <c r="F577" s="1353"/>
      <c r="G577" s="1353"/>
      <c r="H577" s="1353"/>
      <c r="I577" s="1353"/>
      <c r="J577" s="1353"/>
      <c r="K577" s="1387"/>
      <c r="L577" s="1353"/>
      <c r="M577" s="1353"/>
      <c r="N577" s="1353"/>
    </row>
    <row r="578" spans="1:14" x14ac:dyDescent="0.25">
      <c r="A578" s="1353"/>
      <c r="B578" s="1353"/>
      <c r="C578" s="1353"/>
      <c r="D578" s="1353"/>
      <c r="E578" s="1353"/>
      <c r="F578" s="1353"/>
      <c r="G578" s="1353"/>
      <c r="H578" s="1353"/>
      <c r="I578" s="1353"/>
      <c r="J578" s="1353"/>
      <c r="K578" s="1387"/>
      <c r="L578" s="1353"/>
      <c r="M578" s="1353"/>
      <c r="N578" s="1353"/>
    </row>
    <row r="579" spans="1:14" x14ac:dyDescent="0.25">
      <c r="A579" s="1353"/>
      <c r="B579" s="1353"/>
      <c r="C579" s="1353"/>
      <c r="D579" s="1353"/>
      <c r="E579" s="1353"/>
      <c r="F579" s="1353"/>
      <c r="G579" s="1353"/>
      <c r="H579" s="1353"/>
      <c r="I579" s="1353"/>
      <c r="J579" s="1353"/>
      <c r="K579" s="1387"/>
      <c r="L579" s="1353"/>
      <c r="M579" s="1353"/>
      <c r="N579" s="1353"/>
    </row>
    <row r="580" spans="1:14" x14ac:dyDescent="0.25">
      <c r="A580" s="1353"/>
      <c r="B580" s="1353"/>
      <c r="C580" s="1353"/>
      <c r="D580" s="1353"/>
      <c r="E580" s="1353"/>
      <c r="F580" s="1353"/>
      <c r="G580" s="1353"/>
      <c r="H580" s="1353"/>
      <c r="I580" s="1353"/>
      <c r="J580" s="1353"/>
      <c r="K580" s="1387"/>
      <c r="L580" s="1353"/>
      <c r="M580" s="1353"/>
      <c r="N580" s="1353"/>
    </row>
    <row r="581" spans="1:14" x14ac:dyDescent="0.25">
      <c r="A581" s="1353"/>
      <c r="B581" s="1353"/>
      <c r="C581" s="1353"/>
      <c r="D581" s="1353"/>
      <c r="E581" s="1353"/>
      <c r="F581" s="1353"/>
      <c r="G581" s="1353"/>
      <c r="H581" s="1353"/>
      <c r="I581" s="1353"/>
      <c r="J581" s="1353"/>
      <c r="K581" s="1387"/>
      <c r="L581" s="1353"/>
      <c r="M581" s="1353"/>
      <c r="N581" s="1353"/>
    </row>
    <row r="582" spans="1:14" x14ac:dyDescent="0.25">
      <c r="A582" s="1353"/>
      <c r="B582" s="1353"/>
      <c r="C582" s="1353"/>
      <c r="D582" s="1353"/>
      <c r="E582" s="1353"/>
      <c r="F582" s="1353"/>
      <c r="G582" s="1353"/>
      <c r="H582" s="1353"/>
      <c r="I582" s="1353"/>
      <c r="J582" s="1353"/>
      <c r="K582" s="1387"/>
      <c r="L582" s="1353"/>
      <c r="M582" s="1353"/>
      <c r="N582" s="1353"/>
    </row>
    <row r="583" spans="1:14" x14ac:dyDescent="0.25">
      <c r="A583" s="1353"/>
      <c r="B583" s="1353"/>
      <c r="C583" s="1353"/>
      <c r="D583" s="1353"/>
      <c r="E583" s="1353"/>
      <c r="F583" s="1353"/>
      <c r="G583" s="1353"/>
      <c r="H583" s="1353"/>
      <c r="I583" s="1353"/>
      <c r="J583" s="1353"/>
      <c r="K583" s="1387"/>
      <c r="L583" s="1353"/>
      <c r="M583" s="1353"/>
      <c r="N583" s="1353"/>
    </row>
    <row r="584" spans="1:14" x14ac:dyDescent="0.25">
      <c r="A584" s="1353"/>
      <c r="B584" s="1353"/>
      <c r="C584" s="1353"/>
      <c r="D584" s="1353"/>
      <c r="E584" s="1353"/>
      <c r="F584" s="1353"/>
      <c r="G584" s="1353"/>
      <c r="H584" s="1353"/>
      <c r="I584" s="1353"/>
      <c r="J584" s="1353"/>
      <c r="K584" s="1387"/>
      <c r="L584" s="1353"/>
      <c r="M584" s="1353"/>
      <c r="N584" s="1353"/>
    </row>
    <row r="585" spans="1:14" x14ac:dyDescent="0.25">
      <c r="A585" s="1353"/>
      <c r="B585" s="1353"/>
      <c r="C585" s="1353"/>
      <c r="D585" s="1353"/>
      <c r="E585" s="1353"/>
      <c r="F585" s="1353"/>
      <c r="G585" s="1353"/>
      <c r="H585" s="1353"/>
      <c r="I585" s="1353"/>
      <c r="J585" s="1353"/>
      <c r="K585" s="1387"/>
      <c r="L585" s="1353"/>
      <c r="M585" s="1353"/>
      <c r="N585" s="1353"/>
    </row>
    <row r="586" spans="1:14" x14ac:dyDescent="0.25">
      <c r="A586" s="1353"/>
      <c r="B586" s="1353"/>
      <c r="C586" s="1353"/>
      <c r="D586" s="1353"/>
      <c r="E586" s="1353"/>
      <c r="F586" s="1353"/>
      <c r="G586" s="1353"/>
      <c r="H586" s="1353"/>
      <c r="I586" s="1353"/>
      <c r="J586" s="1353"/>
      <c r="K586" s="1387"/>
      <c r="L586" s="1353"/>
      <c r="M586" s="1353"/>
      <c r="N586" s="1353"/>
    </row>
    <row r="587" spans="1:14" x14ac:dyDescent="0.25">
      <c r="A587" s="1353"/>
      <c r="B587" s="1353"/>
      <c r="C587" s="1353"/>
      <c r="D587" s="1353"/>
      <c r="E587" s="1353"/>
      <c r="F587" s="1353"/>
      <c r="G587" s="1353"/>
      <c r="H587" s="1353"/>
      <c r="I587" s="1353"/>
      <c r="J587" s="1353"/>
      <c r="K587" s="1387"/>
      <c r="L587" s="1353"/>
      <c r="M587" s="1353"/>
      <c r="N587" s="1353"/>
    </row>
    <row r="588" spans="1:14" x14ac:dyDescent="0.25">
      <c r="A588" s="1353"/>
      <c r="B588" s="1353"/>
      <c r="C588" s="1353"/>
      <c r="D588" s="1353"/>
      <c r="E588" s="1353"/>
      <c r="F588" s="1353"/>
      <c r="G588" s="1353"/>
      <c r="H588" s="1353"/>
      <c r="I588" s="1353"/>
      <c r="J588" s="1353"/>
      <c r="K588" s="1387"/>
      <c r="L588" s="1353"/>
      <c r="M588" s="1353"/>
      <c r="N588" s="1353"/>
    </row>
    <row r="589" spans="1:14" x14ac:dyDescent="0.25">
      <c r="A589" s="1353"/>
      <c r="B589" s="1353"/>
      <c r="C589" s="1353"/>
      <c r="D589" s="1353"/>
      <c r="E589" s="1353"/>
      <c r="F589" s="1353"/>
      <c r="G589" s="1353"/>
      <c r="H589" s="1353"/>
      <c r="I589" s="1353"/>
      <c r="J589" s="1353"/>
      <c r="K589" s="1387"/>
      <c r="L589" s="1353"/>
      <c r="M589" s="1353"/>
      <c r="N589" s="1353"/>
    </row>
    <row r="590" spans="1:14" x14ac:dyDescent="0.25">
      <c r="A590" s="1353"/>
      <c r="B590" s="1353"/>
      <c r="C590" s="1353"/>
      <c r="D590" s="1353"/>
      <c r="E590" s="1353"/>
      <c r="F590" s="1353"/>
      <c r="G590" s="1353"/>
      <c r="H590" s="1353"/>
      <c r="I590" s="1353"/>
      <c r="J590" s="1353"/>
      <c r="K590" s="1387"/>
      <c r="L590" s="1353"/>
      <c r="M590" s="1353"/>
      <c r="N590" s="1353"/>
    </row>
    <row r="591" spans="1:14" x14ac:dyDescent="0.25">
      <c r="A591" s="1353"/>
      <c r="B591" s="1353"/>
      <c r="C591" s="1353"/>
      <c r="D591" s="1353"/>
      <c r="E591" s="1353"/>
      <c r="F591" s="1353"/>
      <c r="G591" s="1353"/>
      <c r="H591" s="1353"/>
      <c r="I591" s="1353"/>
      <c r="J591" s="1353"/>
      <c r="K591" s="1387"/>
      <c r="L591" s="1353"/>
      <c r="M591" s="1353"/>
      <c r="N591" s="1353"/>
    </row>
    <row r="592" spans="1:14" x14ac:dyDescent="0.25">
      <c r="A592" s="1353"/>
      <c r="B592" s="1353"/>
      <c r="C592" s="1353"/>
      <c r="D592" s="1353"/>
      <c r="E592" s="1353"/>
      <c r="F592" s="1353"/>
      <c r="G592" s="1353"/>
      <c r="H592" s="1353"/>
      <c r="I592" s="1353"/>
      <c r="J592" s="1353"/>
      <c r="K592" s="1387"/>
      <c r="L592" s="1353"/>
      <c r="M592" s="1353"/>
      <c r="N592" s="1353"/>
    </row>
    <row r="593" spans="1:14" x14ac:dyDescent="0.25">
      <c r="A593" s="1353"/>
      <c r="B593" s="1353"/>
      <c r="C593" s="1353"/>
      <c r="D593" s="1353"/>
      <c r="E593" s="1353"/>
      <c r="F593" s="1353"/>
      <c r="G593" s="1353"/>
      <c r="H593" s="1353"/>
      <c r="I593" s="1353"/>
      <c r="J593" s="1353"/>
      <c r="K593" s="1387"/>
      <c r="L593" s="1353"/>
      <c r="M593" s="1353"/>
      <c r="N593" s="1353"/>
    </row>
    <row r="594" spans="1:14" x14ac:dyDescent="0.25">
      <c r="A594" s="1353"/>
      <c r="B594" s="1353"/>
      <c r="C594" s="1353"/>
      <c r="D594" s="1353"/>
      <c r="E594" s="1353"/>
      <c r="F594" s="1353"/>
      <c r="G594" s="1353"/>
      <c r="H594" s="1353"/>
      <c r="I594" s="1353"/>
      <c r="J594" s="1353"/>
      <c r="K594" s="1387"/>
      <c r="L594" s="1353"/>
      <c r="M594" s="1353"/>
      <c r="N594" s="1353"/>
    </row>
    <row r="595" spans="1:14" x14ac:dyDescent="0.25">
      <c r="A595" s="1353"/>
      <c r="B595" s="1353"/>
      <c r="C595" s="1353"/>
      <c r="D595" s="1353"/>
      <c r="E595" s="1353"/>
      <c r="F595" s="1353"/>
      <c r="G595" s="1353"/>
      <c r="H595" s="1353"/>
      <c r="I595" s="1353"/>
      <c r="J595" s="1353"/>
      <c r="K595" s="1387"/>
      <c r="L595" s="1353"/>
      <c r="M595" s="1353"/>
      <c r="N595" s="1353"/>
    </row>
    <row r="596" spans="1:14" x14ac:dyDescent="0.25">
      <c r="A596" s="1353"/>
      <c r="B596" s="1353"/>
      <c r="C596" s="1353"/>
      <c r="D596" s="1353"/>
      <c r="E596" s="1353"/>
      <c r="F596" s="1353"/>
      <c r="G596" s="1353"/>
      <c r="H596" s="1353"/>
      <c r="I596" s="1353"/>
      <c r="J596" s="1353"/>
      <c r="K596" s="1387"/>
      <c r="L596" s="1353"/>
      <c r="M596" s="1353"/>
      <c r="N596" s="1353"/>
    </row>
    <row r="597" spans="1:14" x14ac:dyDescent="0.25">
      <c r="A597" s="1353"/>
      <c r="B597" s="1353"/>
      <c r="C597" s="1353"/>
      <c r="D597" s="1353"/>
      <c r="E597" s="1353"/>
      <c r="F597" s="1353"/>
      <c r="G597" s="1353"/>
      <c r="H597" s="1353"/>
      <c r="I597" s="1353"/>
      <c r="J597" s="1353"/>
      <c r="K597" s="1387"/>
      <c r="L597" s="1353"/>
      <c r="M597" s="1353"/>
      <c r="N597" s="1353"/>
    </row>
    <row r="598" spans="1:14" x14ac:dyDescent="0.25">
      <c r="A598" s="1353"/>
      <c r="B598" s="1353"/>
      <c r="C598" s="1353"/>
      <c r="D598" s="1353"/>
      <c r="E598" s="1353"/>
      <c r="F598" s="1353"/>
      <c r="G598" s="1353"/>
      <c r="H598" s="1353"/>
      <c r="I598" s="1353"/>
      <c r="J598" s="1353"/>
      <c r="K598" s="1387"/>
      <c r="L598" s="1353"/>
      <c r="M598" s="1353"/>
      <c r="N598" s="1353"/>
    </row>
    <row r="599" spans="1:14" x14ac:dyDescent="0.25">
      <c r="A599" s="1353"/>
      <c r="B599" s="1353"/>
      <c r="C599" s="1353"/>
      <c r="D599" s="1353"/>
      <c r="E599" s="1353"/>
      <c r="F599" s="1353"/>
      <c r="G599" s="1353"/>
      <c r="H599" s="1353"/>
      <c r="I599" s="1353"/>
      <c r="J599" s="1353"/>
      <c r="K599" s="1387"/>
      <c r="L599" s="1353"/>
      <c r="M599" s="1353"/>
      <c r="N599" s="1353"/>
    </row>
    <row r="600" spans="1:14" x14ac:dyDescent="0.25">
      <c r="A600" s="1353"/>
      <c r="B600" s="1353"/>
      <c r="C600" s="1353"/>
      <c r="D600" s="1353"/>
      <c r="E600" s="1353"/>
      <c r="F600" s="1353"/>
      <c r="G600" s="1353"/>
      <c r="H600" s="1353"/>
      <c r="I600" s="1353"/>
      <c r="J600" s="1353"/>
      <c r="K600" s="1387"/>
      <c r="L600" s="1353"/>
      <c r="M600" s="1353"/>
      <c r="N600" s="1353"/>
    </row>
    <row r="601" spans="1:14" x14ac:dyDescent="0.25">
      <c r="A601" s="1353"/>
      <c r="B601" s="1353"/>
      <c r="C601" s="1353"/>
      <c r="D601" s="1353"/>
      <c r="E601" s="1353"/>
      <c r="F601" s="1353"/>
      <c r="G601" s="1353"/>
      <c r="H601" s="1353"/>
      <c r="I601" s="1353"/>
      <c r="J601" s="1353"/>
      <c r="K601" s="1387"/>
      <c r="L601" s="1353"/>
      <c r="M601" s="1353"/>
      <c r="N601" s="1353"/>
    </row>
    <row r="602" spans="1:14" x14ac:dyDescent="0.25">
      <c r="A602" s="1353"/>
      <c r="B602" s="1353"/>
      <c r="C602" s="1353"/>
      <c r="D602" s="1353"/>
      <c r="E602" s="1353"/>
      <c r="F602" s="1353"/>
      <c r="G602" s="1353"/>
      <c r="H602" s="1353"/>
      <c r="I602" s="1353"/>
      <c r="J602" s="1353"/>
      <c r="K602" s="1387"/>
      <c r="L602" s="1353"/>
      <c r="M602" s="1353"/>
      <c r="N602" s="1353"/>
    </row>
    <row r="603" spans="1:14" x14ac:dyDescent="0.25">
      <c r="A603" s="1353"/>
      <c r="B603" s="1353"/>
      <c r="C603" s="1353"/>
      <c r="D603" s="1353"/>
      <c r="E603" s="1353"/>
      <c r="F603" s="1353"/>
      <c r="G603" s="1353"/>
      <c r="H603" s="1353"/>
      <c r="I603" s="1353"/>
      <c r="J603" s="1353"/>
      <c r="K603" s="1387"/>
      <c r="L603" s="1353"/>
      <c r="M603" s="1353"/>
      <c r="N603" s="1353"/>
    </row>
    <row r="604" spans="1:14" x14ac:dyDescent="0.25">
      <c r="A604" s="1353"/>
      <c r="B604" s="1353"/>
      <c r="C604" s="1353"/>
      <c r="D604" s="1353"/>
      <c r="E604" s="1353"/>
      <c r="F604" s="1353"/>
      <c r="G604" s="1353"/>
      <c r="H604" s="1353"/>
      <c r="I604" s="1353"/>
      <c r="J604" s="1353"/>
      <c r="K604" s="1387"/>
      <c r="L604" s="1353"/>
      <c r="M604" s="1353"/>
      <c r="N604" s="1353"/>
    </row>
    <row r="605" spans="1:14" x14ac:dyDescent="0.25">
      <c r="A605" s="1353"/>
      <c r="B605" s="1353"/>
      <c r="C605" s="1353"/>
      <c r="D605" s="1353"/>
      <c r="E605" s="1353"/>
      <c r="F605" s="1353"/>
      <c r="G605" s="1353"/>
      <c r="H605" s="1353"/>
      <c r="I605" s="1353"/>
      <c r="J605" s="1353"/>
      <c r="K605" s="1387"/>
      <c r="L605" s="1353"/>
      <c r="M605" s="1353"/>
      <c r="N605" s="1353"/>
    </row>
    <row r="606" spans="1:14" x14ac:dyDescent="0.25">
      <c r="A606" s="1353"/>
      <c r="B606" s="1353"/>
      <c r="C606" s="1353"/>
      <c r="D606" s="1353"/>
      <c r="E606" s="1353"/>
      <c r="F606" s="1353"/>
      <c r="G606" s="1353"/>
      <c r="H606" s="1353"/>
      <c r="I606" s="1353"/>
      <c r="J606" s="1353"/>
      <c r="K606" s="1387"/>
      <c r="L606" s="1353"/>
      <c r="M606" s="1353"/>
      <c r="N606" s="1353"/>
    </row>
    <row r="607" spans="1:14" x14ac:dyDescent="0.25">
      <c r="A607" s="1353"/>
      <c r="B607" s="1353"/>
      <c r="C607" s="1353"/>
      <c r="D607" s="1353"/>
      <c r="E607" s="1353"/>
      <c r="F607" s="1353"/>
      <c r="G607" s="1353"/>
      <c r="H607" s="1353"/>
      <c r="I607" s="1353"/>
      <c r="J607" s="1353"/>
      <c r="K607" s="1387"/>
      <c r="L607" s="1353"/>
      <c r="M607" s="1353"/>
      <c r="N607" s="1353"/>
    </row>
    <row r="608" spans="1:14" x14ac:dyDescent="0.25">
      <c r="A608" s="1353"/>
      <c r="B608" s="1353"/>
      <c r="C608" s="1353"/>
      <c r="D608" s="1353"/>
      <c r="E608" s="1353"/>
      <c r="F608" s="1353"/>
      <c r="G608" s="1353"/>
      <c r="H608" s="1353"/>
      <c r="I608" s="1353"/>
      <c r="J608" s="1353"/>
      <c r="K608" s="1387"/>
      <c r="L608" s="1353"/>
      <c r="M608" s="1353"/>
      <c r="N608" s="1353"/>
    </row>
    <row r="609" spans="1:14" x14ac:dyDescent="0.25">
      <c r="A609" s="1353"/>
      <c r="B609" s="1353"/>
      <c r="C609" s="1353"/>
      <c r="D609" s="1353"/>
      <c r="E609" s="1353"/>
      <c r="F609" s="1353"/>
      <c r="G609" s="1353"/>
      <c r="H609" s="1353"/>
      <c r="I609" s="1353"/>
      <c r="J609" s="1353"/>
      <c r="K609" s="1387"/>
      <c r="L609" s="1353"/>
      <c r="M609" s="1353"/>
      <c r="N609" s="1353"/>
    </row>
    <row r="610" spans="1:14" x14ac:dyDescent="0.25">
      <c r="A610" s="1353"/>
      <c r="B610" s="1353"/>
      <c r="C610" s="1353"/>
      <c r="D610" s="1353"/>
      <c r="E610" s="1353"/>
      <c r="F610" s="1353"/>
      <c r="G610" s="1353"/>
      <c r="H610" s="1353"/>
      <c r="I610" s="1353"/>
      <c r="J610" s="1353"/>
      <c r="K610" s="1387"/>
      <c r="L610" s="1353"/>
      <c r="M610" s="1353"/>
      <c r="N610" s="1353"/>
    </row>
    <row r="611" spans="1:14" x14ac:dyDescent="0.25">
      <c r="A611" s="1353"/>
      <c r="B611" s="1353"/>
      <c r="C611" s="1353"/>
      <c r="D611" s="1353"/>
      <c r="E611" s="1353"/>
      <c r="F611" s="1353"/>
      <c r="G611" s="1353"/>
      <c r="H611" s="1353"/>
      <c r="I611" s="1353"/>
      <c r="J611" s="1353"/>
      <c r="K611" s="1387"/>
      <c r="L611" s="1353"/>
      <c r="M611" s="1353"/>
      <c r="N611" s="1353"/>
    </row>
    <row r="612" spans="1:14" x14ac:dyDescent="0.25">
      <c r="A612" s="1353"/>
      <c r="B612" s="1353"/>
      <c r="C612" s="1353"/>
      <c r="D612" s="1353"/>
      <c r="E612" s="1353"/>
      <c r="F612" s="1353"/>
      <c r="G612" s="1353"/>
      <c r="H612" s="1353"/>
      <c r="I612" s="1353"/>
      <c r="J612" s="1353"/>
      <c r="K612" s="1387"/>
      <c r="L612" s="1353"/>
      <c r="M612" s="1353"/>
      <c r="N612" s="1353"/>
    </row>
    <row r="613" spans="1:14" x14ac:dyDescent="0.25">
      <c r="A613" s="1353"/>
      <c r="B613" s="1353"/>
      <c r="C613" s="1353"/>
      <c r="D613" s="1353"/>
      <c r="E613" s="1353"/>
      <c r="F613" s="1353"/>
      <c r="G613" s="1353"/>
      <c r="H613" s="1353"/>
      <c r="I613" s="1353"/>
      <c r="J613" s="1353"/>
      <c r="K613" s="1387"/>
      <c r="L613" s="1353"/>
      <c r="M613" s="1353"/>
      <c r="N613" s="1353"/>
    </row>
    <row r="614" spans="1:14" x14ac:dyDescent="0.25">
      <c r="A614" s="1353"/>
      <c r="B614" s="1353"/>
      <c r="C614" s="1353"/>
      <c r="D614" s="1353"/>
      <c r="E614" s="1353"/>
      <c r="F614" s="1353"/>
      <c r="G614" s="1353"/>
      <c r="H614" s="1353"/>
      <c r="I614" s="1353"/>
      <c r="J614" s="1353"/>
      <c r="K614" s="1387"/>
      <c r="L614" s="1353"/>
      <c r="M614" s="1353"/>
      <c r="N614" s="1353"/>
    </row>
    <row r="615" spans="1:14" x14ac:dyDescent="0.25">
      <c r="A615" s="1353"/>
      <c r="B615" s="1353"/>
      <c r="C615" s="1353"/>
      <c r="D615" s="1353"/>
      <c r="E615" s="1353"/>
      <c r="F615" s="1353"/>
      <c r="G615" s="1353"/>
      <c r="H615" s="1353"/>
      <c r="I615" s="1353"/>
      <c r="J615" s="1353"/>
      <c r="K615" s="1387"/>
      <c r="L615" s="1353"/>
      <c r="M615" s="1353"/>
      <c r="N615" s="1353"/>
    </row>
    <row r="616" spans="1:14" x14ac:dyDescent="0.25">
      <c r="A616" s="1353"/>
      <c r="B616" s="1353"/>
      <c r="C616" s="1353"/>
      <c r="D616" s="1353"/>
      <c r="E616" s="1353"/>
      <c r="F616" s="1353"/>
      <c r="G616" s="1353"/>
      <c r="H616" s="1353"/>
      <c r="I616" s="1353"/>
      <c r="J616" s="1353"/>
      <c r="K616" s="1387"/>
      <c r="L616" s="1353"/>
      <c r="M616" s="1353"/>
      <c r="N616" s="1353"/>
    </row>
    <row r="617" spans="1:14" x14ac:dyDescent="0.25">
      <c r="A617" s="1353"/>
      <c r="B617" s="1353"/>
      <c r="C617" s="1353"/>
      <c r="D617" s="1353"/>
      <c r="E617" s="1353"/>
      <c r="F617" s="1353"/>
      <c r="G617" s="1353"/>
      <c r="H617" s="1353"/>
      <c r="I617" s="1353"/>
      <c r="J617" s="1353"/>
      <c r="K617" s="1387"/>
      <c r="L617" s="1353"/>
      <c r="M617" s="1353"/>
      <c r="N617" s="1353"/>
    </row>
    <row r="618" spans="1:14" x14ac:dyDescent="0.25">
      <c r="A618" s="1353"/>
      <c r="B618" s="1353"/>
      <c r="C618" s="1353"/>
      <c r="D618" s="1353"/>
      <c r="E618" s="1353"/>
      <c r="F618" s="1353"/>
      <c r="G618" s="1353"/>
      <c r="H618" s="1353"/>
      <c r="I618" s="1353"/>
      <c r="J618" s="1353"/>
      <c r="K618" s="1387"/>
      <c r="L618" s="1353"/>
      <c r="M618" s="1353"/>
      <c r="N618" s="1353"/>
    </row>
    <row r="619" spans="1:14" x14ac:dyDescent="0.25">
      <c r="A619" s="1353"/>
      <c r="B619" s="1353"/>
      <c r="C619" s="1353"/>
      <c r="D619" s="1353"/>
      <c r="E619" s="1353"/>
      <c r="F619" s="1353"/>
      <c r="G619" s="1353"/>
      <c r="H619" s="1353"/>
      <c r="I619" s="1353"/>
      <c r="J619" s="1353"/>
      <c r="K619" s="1387"/>
      <c r="L619" s="1353"/>
      <c r="M619" s="1353"/>
      <c r="N619" s="1353"/>
    </row>
    <row r="620" spans="1:14" x14ac:dyDescent="0.25">
      <c r="A620" s="1353"/>
      <c r="B620" s="1353"/>
      <c r="C620" s="1353"/>
      <c r="D620" s="1353"/>
      <c r="E620" s="1353"/>
      <c r="F620" s="1353"/>
      <c r="G620" s="1353"/>
      <c r="H620" s="1353"/>
      <c r="I620" s="1353"/>
      <c r="J620" s="1353"/>
      <c r="K620" s="1387"/>
      <c r="L620" s="1353"/>
      <c r="M620" s="1353"/>
      <c r="N620" s="1353"/>
    </row>
    <row r="621" spans="1:14" x14ac:dyDescent="0.25">
      <c r="A621" s="1353"/>
      <c r="B621" s="1353"/>
      <c r="C621" s="1353"/>
      <c r="D621" s="1353"/>
      <c r="E621" s="1353"/>
      <c r="F621" s="1353"/>
      <c r="G621" s="1353"/>
      <c r="H621" s="1353"/>
      <c r="I621" s="1353"/>
      <c r="J621" s="1353"/>
      <c r="K621" s="1387"/>
      <c r="L621" s="1353"/>
      <c r="M621" s="1353"/>
      <c r="N621" s="1353"/>
    </row>
    <row r="622" spans="1:14" x14ac:dyDescent="0.25">
      <c r="A622" s="1353"/>
      <c r="B622" s="1353"/>
      <c r="C622" s="1353"/>
      <c r="D622" s="1353"/>
      <c r="E622" s="1353"/>
      <c r="F622" s="1353"/>
      <c r="G622" s="1353"/>
      <c r="H622" s="1353"/>
      <c r="I622" s="1353"/>
      <c r="J622" s="1353"/>
      <c r="K622" s="1387"/>
      <c r="L622" s="1353"/>
      <c r="M622" s="1353"/>
      <c r="N622" s="1353"/>
    </row>
    <row r="623" spans="1:14" x14ac:dyDescent="0.25">
      <c r="A623" s="1353"/>
      <c r="B623" s="1353"/>
      <c r="C623" s="1353"/>
      <c r="D623" s="1353"/>
      <c r="E623" s="1353"/>
      <c r="F623" s="1353"/>
      <c r="G623" s="1353"/>
      <c r="H623" s="1353"/>
      <c r="I623" s="1353"/>
      <c r="J623" s="1353"/>
      <c r="K623" s="1387"/>
      <c r="L623" s="1353"/>
      <c r="M623" s="1353"/>
      <c r="N623" s="1353"/>
    </row>
    <row r="624" spans="1:14" x14ac:dyDescent="0.25">
      <c r="A624" s="1353"/>
      <c r="B624" s="1353"/>
      <c r="C624" s="1353"/>
      <c r="D624" s="1353"/>
      <c r="E624" s="1353"/>
      <c r="F624" s="1353"/>
      <c r="G624" s="1353"/>
      <c r="H624" s="1353"/>
      <c r="I624" s="1353"/>
      <c r="J624" s="1353"/>
      <c r="K624" s="1387"/>
      <c r="L624" s="1353"/>
      <c r="M624" s="1353"/>
      <c r="N624" s="1353"/>
    </row>
    <row r="625" spans="1:14" x14ac:dyDescent="0.25">
      <c r="A625" s="1353"/>
      <c r="B625" s="1353"/>
      <c r="C625" s="1353"/>
      <c r="D625" s="1353"/>
      <c r="E625" s="1353"/>
      <c r="F625" s="1353"/>
      <c r="G625" s="1353"/>
      <c r="H625" s="1353"/>
      <c r="I625" s="1353"/>
      <c r="J625" s="1353"/>
      <c r="K625" s="1387"/>
      <c r="L625" s="1353"/>
      <c r="M625" s="1353"/>
      <c r="N625" s="1353"/>
    </row>
    <row r="626" spans="1:14" x14ac:dyDescent="0.25">
      <c r="A626" s="1353"/>
      <c r="B626" s="1353"/>
      <c r="C626" s="1353"/>
      <c r="D626" s="1353"/>
      <c r="E626" s="1353"/>
      <c r="F626" s="1353"/>
      <c r="G626" s="1353"/>
      <c r="H626" s="1353"/>
      <c r="I626" s="1353"/>
      <c r="J626" s="1353"/>
      <c r="K626" s="1387"/>
      <c r="L626" s="1353"/>
      <c r="M626" s="1353"/>
      <c r="N626" s="1353"/>
    </row>
    <row r="627" spans="1:14" x14ac:dyDescent="0.25">
      <c r="A627" s="1353"/>
      <c r="B627" s="1353"/>
      <c r="C627" s="1353"/>
      <c r="D627" s="1353"/>
      <c r="E627" s="1353"/>
      <c r="F627" s="1353"/>
      <c r="G627" s="1353"/>
      <c r="H627" s="1353"/>
      <c r="I627" s="1353"/>
      <c r="J627" s="1353"/>
      <c r="K627" s="1387"/>
      <c r="L627" s="1353"/>
      <c r="M627" s="1353"/>
      <c r="N627" s="1353"/>
    </row>
    <row r="628" spans="1:14" x14ac:dyDescent="0.25">
      <c r="A628" s="1353"/>
      <c r="B628" s="1353"/>
      <c r="C628" s="1353"/>
      <c r="D628" s="1353"/>
      <c r="E628" s="1353"/>
      <c r="F628" s="1353"/>
      <c r="G628" s="1353"/>
      <c r="H628" s="1353"/>
      <c r="I628" s="1353"/>
      <c r="J628" s="1353"/>
      <c r="K628" s="1387"/>
      <c r="L628" s="1353"/>
      <c r="M628" s="1353"/>
      <c r="N628" s="1353"/>
    </row>
    <row r="629" spans="1:14" x14ac:dyDescent="0.25">
      <c r="A629" s="1353"/>
      <c r="B629" s="1353"/>
      <c r="C629" s="1353"/>
      <c r="D629" s="1353"/>
      <c r="E629" s="1353"/>
      <c r="F629" s="1353"/>
      <c r="G629" s="1353"/>
      <c r="H629" s="1353"/>
      <c r="I629" s="1353"/>
      <c r="J629" s="1353"/>
      <c r="K629" s="1387"/>
      <c r="L629" s="1353"/>
      <c r="M629" s="1353"/>
      <c r="N629" s="1353"/>
    </row>
    <row r="630" spans="1:14" x14ac:dyDescent="0.25">
      <c r="A630" s="1353"/>
      <c r="B630" s="1353"/>
      <c r="C630" s="1353"/>
      <c r="D630" s="1353"/>
      <c r="E630" s="1353"/>
      <c r="F630" s="1353"/>
      <c r="G630" s="1353"/>
      <c r="H630" s="1353"/>
      <c r="I630" s="1353"/>
      <c r="J630" s="1353"/>
      <c r="K630" s="1387"/>
      <c r="L630" s="1353"/>
      <c r="M630" s="1353"/>
      <c r="N630" s="1353"/>
    </row>
    <row r="631" spans="1:14" x14ac:dyDescent="0.25">
      <c r="A631" s="1353"/>
      <c r="B631" s="1353"/>
      <c r="C631" s="1353"/>
      <c r="D631" s="1353"/>
      <c r="E631" s="1353"/>
      <c r="F631" s="1353"/>
      <c r="G631" s="1353"/>
      <c r="H631" s="1353"/>
      <c r="I631" s="1353"/>
      <c r="J631" s="1353"/>
      <c r="K631" s="1387"/>
      <c r="L631" s="1353"/>
      <c r="M631" s="1353"/>
      <c r="N631" s="1353"/>
    </row>
    <row r="632" spans="1:14" x14ac:dyDescent="0.25">
      <c r="A632" s="1353"/>
      <c r="B632" s="1353"/>
      <c r="C632" s="1353"/>
      <c r="D632" s="1353"/>
      <c r="E632" s="1353"/>
      <c r="F632" s="1353"/>
      <c r="G632" s="1353"/>
      <c r="H632" s="1353"/>
      <c r="I632" s="1353"/>
      <c r="J632" s="1353"/>
      <c r="K632" s="1387"/>
      <c r="L632" s="1353"/>
      <c r="M632" s="1353"/>
      <c r="N632" s="1353"/>
    </row>
    <row r="633" spans="1:14" x14ac:dyDescent="0.25">
      <c r="A633" s="1353"/>
      <c r="B633" s="1353"/>
      <c r="C633" s="1353"/>
      <c r="D633" s="1353"/>
      <c r="E633" s="1353"/>
      <c r="F633" s="1353"/>
      <c r="G633" s="1353"/>
      <c r="H633" s="1353"/>
      <c r="I633" s="1353"/>
      <c r="J633" s="1353"/>
      <c r="K633" s="1387"/>
      <c r="L633" s="1353"/>
      <c r="M633" s="1353"/>
      <c r="N633" s="1353"/>
    </row>
    <row r="634" spans="1:14" x14ac:dyDescent="0.25">
      <c r="A634" s="1353"/>
      <c r="B634" s="1353"/>
      <c r="C634" s="1353"/>
      <c r="D634" s="1353"/>
      <c r="E634" s="1353"/>
      <c r="F634" s="1353"/>
      <c r="G634" s="1353"/>
      <c r="H634" s="1353"/>
      <c r="I634" s="1353"/>
      <c r="J634" s="1353"/>
      <c r="K634" s="1387"/>
      <c r="L634" s="1353"/>
      <c r="M634" s="1353"/>
      <c r="N634" s="1353"/>
    </row>
    <row r="635" spans="1:14" x14ac:dyDescent="0.25">
      <c r="A635" s="1353"/>
      <c r="B635" s="1353"/>
      <c r="C635" s="1353"/>
      <c r="D635" s="1353"/>
      <c r="E635" s="1353"/>
      <c r="F635" s="1353"/>
      <c r="G635" s="1353"/>
      <c r="H635" s="1353"/>
      <c r="I635" s="1353"/>
      <c r="J635" s="1353"/>
      <c r="K635" s="1387"/>
      <c r="L635" s="1353"/>
      <c r="M635" s="1353"/>
      <c r="N635" s="1353"/>
    </row>
    <row r="636" spans="1:14" x14ac:dyDescent="0.25">
      <c r="A636" s="1353"/>
      <c r="B636" s="1353"/>
      <c r="C636" s="1353"/>
      <c r="D636" s="1353"/>
      <c r="E636" s="1353"/>
      <c r="F636" s="1353"/>
      <c r="G636" s="1353"/>
      <c r="H636" s="1353"/>
      <c r="I636" s="1353"/>
      <c r="J636" s="1353"/>
      <c r="K636" s="1387"/>
      <c r="L636" s="1353"/>
      <c r="M636" s="1353"/>
      <c r="N636" s="1353"/>
    </row>
    <row r="637" spans="1:14" x14ac:dyDescent="0.25">
      <c r="A637" s="1353"/>
      <c r="B637" s="1353"/>
      <c r="C637" s="1353"/>
      <c r="D637" s="1353"/>
      <c r="E637" s="1353"/>
      <c r="F637" s="1353"/>
      <c r="G637" s="1353"/>
      <c r="H637" s="1353"/>
      <c r="I637" s="1353"/>
      <c r="J637" s="1353"/>
      <c r="K637" s="1387"/>
      <c r="L637" s="1353"/>
      <c r="M637" s="1353"/>
      <c r="N637" s="1353"/>
    </row>
    <row r="638" spans="1:14" x14ac:dyDescent="0.25">
      <c r="A638" s="1353"/>
      <c r="B638" s="1353"/>
      <c r="C638" s="1353"/>
      <c r="D638" s="1353"/>
      <c r="E638" s="1353"/>
      <c r="F638" s="1353"/>
      <c r="G638" s="1353"/>
      <c r="H638" s="1353"/>
      <c r="I638" s="1353"/>
      <c r="J638" s="1353"/>
      <c r="K638" s="1387"/>
      <c r="L638" s="1353"/>
      <c r="M638" s="1353"/>
      <c r="N638" s="1353"/>
    </row>
    <row r="639" spans="1:14" x14ac:dyDescent="0.25">
      <c r="A639" s="1353"/>
      <c r="B639" s="1353"/>
      <c r="C639" s="1353"/>
      <c r="D639" s="1353"/>
      <c r="E639" s="1353"/>
      <c r="F639" s="1353"/>
      <c r="G639" s="1353"/>
      <c r="H639" s="1353"/>
      <c r="I639" s="1353"/>
      <c r="J639" s="1353"/>
      <c r="K639" s="1387"/>
      <c r="L639" s="1353"/>
      <c r="M639" s="1353"/>
      <c r="N639" s="1353"/>
    </row>
    <row r="640" spans="1:14" x14ac:dyDescent="0.25">
      <c r="A640" s="1353"/>
      <c r="B640" s="1353"/>
      <c r="C640" s="1353"/>
      <c r="D640" s="1353"/>
      <c r="E640" s="1353"/>
      <c r="F640" s="1353"/>
      <c r="G640" s="1353"/>
      <c r="H640" s="1353"/>
      <c r="I640" s="1353"/>
      <c r="J640" s="1353"/>
      <c r="K640" s="1387"/>
      <c r="L640" s="1353"/>
      <c r="M640" s="1353"/>
      <c r="N640" s="1353"/>
    </row>
    <row r="641" spans="1:14" x14ac:dyDescent="0.25">
      <c r="A641" s="1353"/>
      <c r="B641" s="1353"/>
      <c r="C641" s="1353"/>
      <c r="D641" s="1353"/>
      <c r="E641" s="1353"/>
      <c r="F641" s="1353"/>
      <c r="G641" s="1353"/>
      <c r="H641" s="1353"/>
      <c r="I641" s="1353"/>
      <c r="J641" s="1353"/>
      <c r="K641" s="1387"/>
      <c r="L641" s="1353"/>
      <c r="M641" s="1353"/>
      <c r="N641" s="1353"/>
    </row>
    <row r="642" spans="1:14" x14ac:dyDescent="0.25">
      <c r="A642" s="1353"/>
      <c r="B642" s="1353"/>
      <c r="C642" s="1353"/>
      <c r="D642" s="1353"/>
      <c r="E642" s="1353"/>
      <c r="F642" s="1353"/>
      <c r="G642" s="1353"/>
      <c r="H642" s="1353"/>
      <c r="I642" s="1353"/>
      <c r="J642" s="1353"/>
      <c r="K642" s="1387"/>
      <c r="L642" s="1353"/>
      <c r="M642" s="1353"/>
      <c r="N642" s="1353"/>
    </row>
    <row r="643" spans="1:14" x14ac:dyDescent="0.25">
      <c r="A643" s="1353"/>
      <c r="B643" s="1353"/>
      <c r="C643" s="1353"/>
      <c r="D643" s="1353"/>
      <c r="E643" s="1353"/>
      <c r="F643" s="1353"/>
      <c r="G643" s="1353"/>
      <c r="H643" s="1353"/>
      <c r="I643" s="1353"/>
      <c r="J643" s="1353"/>
      <c r="K643" s="1387"/>
      <c r="L643" s="1353"/>
      <c r="M643" s="1353"/>
      <c r="N643" s="1353"/>
    </row>
    <row r="644" spans="1:14" x14ac:dyDescent="0.25">
      <c r="A644" s="1353"/>
      <c r="B644" s="1353"/>
      <c r="C644" s="1353"/>
      <c r="D644" s="1353"/>
      <c r="E644" s="1353"/>
      <c r="F644" s="1353"/>
      <c r="G644" s="1353"/>
      <c r="H644" s="1353"/>
      <c r="I644" s="1353"/>
      <c r="J644" s="1353"/>
      <c r="K644" s="1387"/>
      <c r="L644" s="1353"/>
      <c r="M644" s="1353"/>
      <c r="N644" s="1353"/>
    </row>
    <row r="645" spans="1:14" x14ac:dyDescent="0.25">
      <c r="A645" s="1353"/>
      <c r="B645" s="1353"/>
      <c r="C645" s="1353"/>
      <c r="D645" s="1353"/>
      <c r="E645" s="1353"/>
      <c r="F645" s="1353"/>
      <c r="G645" s="1353"/>
      <c r="H645" s="1353"/>
      <c r="I645" s="1353"/>
      <c r="J645" s="1353"/>
      <c r="K645" s="1387"/>
      <c r="L645" s="1353"/>
      <c r="M645" s="1353"/>
      <c r="N645" s="1353"/>
    </row>
    <row r="646" spans="1:14" x14ac:dyDescent="0.25">
      <c r="A646" s="1353"/>
      <c r="B646" s="1353"/>
      <c r="C646" s="1353"/>
      <c r="D646" s="1353"/>
      <c r="E646" s="1353"/>
      <c r="F646" s="1353"/>
      <c r="G646" s="1353"/>
      <c r="H646" s="1353"/>
      <c r="I646" s="1353"/>
      <c r="J646" s="1353"/>
      <c r="K646" s="1387"/>
      <c r="L646" s="1353"/>
      <c r="M646" s="1353"/>
      <c r="N646" s="1353"/>
    </row>
    <row r="647" spans="1:14" x14ac:dyDescent="0.25">
      <c r="A647" s="1353"/>
      <c r="B647" s="1353"/>
      <c r="C647" s="1353"/>
      <c r="D647" s="1353"/>
      <c r="E647" s="1353"/>
      <c r="F647" s="1353"/>
      <c r="G647" s="1353"/>
      <c r="H647" s="1353"/>
      <c r="I647" s="1353"/>
      <c r="J647" s="1353"/>
      <c r="K647" s="1387"/>
      <c r="L647" s="1353"/>
      <c r="M647" s="1353"/>
      <c r="N647" s="1353"/>
    </row>
    <row r="648" spans="1:14" x14ac:dyDescent="0.25">
      <c r="A648" s="1353"/>
      <c r="B648" s="1353"/>
      <c r="C648" s="1353"/>
      <c r="D648" s="1353"/>
      <c r="E648" s="1353"/>
      <c r="F648" s="1353"/>
      <c r="G648" s="1353"/>
      <c r="H648" s="1353"/>
      <c r="I648" s="1353"/>
      <c r="J648" s="1353"/>
      <c r="K648" s="1387"/>
      <c r="L648" s="1353"/>
      <c r="M648" s="1353"/>
      <c r="N648" s="1353"/>
    </row>
    <row r="649" spans="1:14" x14ac:dyDescent="0.25">
      <c r="A649" s="1353"/>
      <c r="B649" s="1353"/>
      <c r="C649" s="1353"/>
      <c r="D649" s="1353"/>
      <c r="E649" s="1353"/>
      <c r="F649" s="1353"/>
      <c r="G649" s="1353"/>
      <c r="H649" s="1353"/>
      <c r="I649" s="1353"/>
      <c r="J649" s="1353"/>
      <c r="K649" s="1387"/>
      <c r="L649" s="1353"/>
      <c r="M649" s="1353"/>
      <c r="N649" s="1353"/>
    </row>
    <row r="650" spans="1:14" x14ac:dyDescent="0.25">
      <c r="A650" s="1353"/>
      <c r="B650" s="1353"/>
      <c r="C650" s="1353"/>
      <c r="D650" s="1353"/>
      <c r="E650" s="1353"/>
      <c r="F650" s="1353"/>
      <c r="G650" s="1353"/>
      <c r="H650" s="1353"/>
      <c r="I650" s="1353"/>
      <c r="J650" s="1353"/>
      <c r="K650" s="1387"/>
      <c r="L650" s="1353"/>
      <c r="M650" s="1353"/>
      <c r="N650" s="1353"/>
    </row>
    <row r="651" spans="1:14" x14ac:dyDescent="0.25">
      <c r="A651" s="1353"/>
      <c r="B651" s="1353"/>
      <c r="C651" s="1353"/>
      <c r="D651" s="1353"/>
      <c r="E651" s="1353"/>
      <c r="F651" s="1353"/>
      <c r="G651" s="1353"/>
      <c r="H651" s="1353"/>
      <c r="I651" s="1353"/>
      <c r="J651" s="1353"/>
      <c r="K651" s="1387"/>
      <c r="L651" s="1353"/>
      <c r="M651" s="1353"/>
      <c r="N651" s="1353"/>
    </row>
    <row r="652" spans="1:14" x14ac:dyDescent="0.25">
      <c r="A652" s="1353"/>
      <c r="B652" s="1353"/>
      <c r="C652" s="1353"/>
      <c r="D652" s="1353"/>
      <c r="E652" s="1353"/>
      <c r="F652" s="1353"/>
      <c r="G652" s="1353"/>
      <c r="H652" s="1353"/>
      <c r="I652" s="1353"/>
      <c r="J652" s="1353"/>
      <c r="K652" s="1387"/>
      <c r="L652" s="1353"/>
      <c r="M652" s="1353"/>
      <c r="N652" s="1353"/>
    </row>
    <row r="653" spans="1:14" x14ac:dyDescent="0.25">
      <c r="A653" s="1353"/>
      <c r="B653" s="1353"/>
      <c r="C653" s="1353"/>
      <c r="D653" s="1353"/>
      <c r="E653" s="1353"/>
      <c r="F653" s="1353"/>
      <c r="G653" s="1353"/>
      <c r="H653" s="1353"/>
      <c r="I653" s="1353"/>
      <c r="J653" s="1353"/>
      <c r="K653" s="1387"/>
      <c r="L653" s="1353"/>
      <c r="M653" s="1353"/>
      <c r="N653" s="1353"/>
    </row>
    <row r="654" spans="1:14" x14ac:dyDescent="0.25">
      <c r="A654" s="1353"/>
      <c r="B654" s="1353"/>
      <c r="C654" s="1353"/>
      <c r="D654" s="1353"/>
      <c r="E654" s="1353"/>
      <c r="F654" s="1353"/>
      <c r="G654" s="1353"/>
      <c r="H654" s="1353"/>
      <c r="I654" s="1353"/>
      <c r="J654" s="1353"/>
      <c r="K654" s="1387"/>
      <c r="L654" s="1353"/>
      <c r="M654" s="1353"/>
      <c r="N654" s="1353"/>
    </row>
    <row r="655" spans="1:14" x14ac:dyDescent="0.25">
      <c r="A655" s="1353"/>
      <c r="B655" s="1353"/>
      <c r="C655" s="1353"/>
      <c r="D655" s="1353"/>
      <c r="E655" s="1353"/>
      <c r="F655" s="1353"/>
      <c r="G655" s="1353"/>
      <c r="H655" s="1353"/>
      <c r="I655" s="1353"/>
      <c r="J655" s="1353"/>
      <c r="K655" s="1387"/>
      <c r="L655" s="1353"/>
      <c r="M655" s="1353"/>
      <c r="N655" s="1353"/>
    </row>
    <row r="656" spans="1:14" x14ac:dyDescent="0.25">
      <c r="A656" s="1353"/>
      <c r="B656" s="1353"/>
      <c r="C656" s="1353"/>
      <c r="D656" s="1353"/>
      <c r="E656" s="1353"/>
      <c r="F656" s="1353"/>
      <c r="G656" s="1353"/>
      <c r="H656" s="1353"/>
      <c r="I656" s="1353"/>
      <c r="J656" s="1353"/>
      <c r="K656" s="1387"/>
      <c r="L656" s="1353"/>
      <c r="M656" s="1353"/>
      <c r="N656" s="1353"/>
    </row>
    <row r="657" spans="1:14" x14ac:dyDescent="0.25">
      <c r="A657" s="1353"/>
      <c r="B657" s="1353"/>
      <c r="C657" s="1353"/>
      <c r="D657" s="1353"/>
      <c r="E657" s="1353"/>
      <c r="F657" s="1353"/>
      <c r="G657" s="1353"/>
      <c r="H657" s="1353"/>
      <c r="I657" s="1353"/>
      <c r="J657" s="1353"/>
      <c r="K657" s="1387"/>
      <c r="L657" s="1353"/>
      <c r="M657" s="1353"/>
      <c r="N657" s="1353"/>
    </row>
    <row r="658" spans="1:14" x14ac:dyDescent="0.25">
      <c r="A658" s="1353"/>
      <c r="B658" s="1353"/>
      <c r="C658" s="1353"/>
      <c r="D658" s="1353"/>
      <c r="E658" s="1353"/>
      <c r="F658" s="1353"/>
      <c r="G658" s="1353"/>
      <c r="H658" s="1353"/>
      <c r="I658" s="1353"/>
      <c r="J658" s="1353"/>
      <c r="K658" s="1387"/>
      <c r="L658" s="1353"/>
      <c r="M658" s="1353"/>
      <c r="N658" s="1353"/>
    </row>
    <row r="659" spans="1:14" x14ac:dyDescent="0.25">
      <c r="A659" s="1353"/>
      <c r="B659" s="1353"/>
      <c r="C659" s="1353"/>
      <c r="D659" s="1353"/>
      <c r="E659" s="1353"/>
      <c r="F659" s="1353"/>
      <c r="G659" s="1353"/>
      <c r="H659" s="1353"/>
      <c r="I659" s="1353"/>
      <c r="J659" s="1353"/>
      <c r="K659" s="1387"/>
      <c r="L659" s="1353"/>
      <c r="M659" s="1353"/>
      <c r="N659" s="1353"/>
    </row>
    <row r="660" spans="1:14" x14ac:dyDescent="0.25">
      <c r="A660" s="1353"/>
      <c r="B660" s="1353"/>
      <c r="C660" s="1353"/>
      <c r="D660" s="1353"/>
      <c r="E660" s="1353"/>
      <c r="F660" s="1353"/>
      <c r="G660" s="1353"/>
      <c r="H660" s="1353"/>
      <c r="I660" s="1353"/>
      <c r="J660" s="1353"/>
      <c r="K660" s="1387"/>
      <c r="L660" s="1353"/>
      <c r="M660" s="1353"/>
      <c r="N660" s="1353"/>
    </row>
    <row r="661" spans="1:14" x14ac:dyDescent="0.25">
      <c r="A661" s="1353"/>
      <c r="B661" s="1353"/>
      <c r="C661" s="1353"/>
      <c r="D661" s="1353"/>
      <c r="E661" s="1353"/>
      <c r="F661" s="1353"/>
      <c r="G661" s="1353"/>
      <c r="H661" s="1353"/>
      <c r="I661" s="1353"/>
      <c r="J661" s="1353"/>
      <c r="K661" s="1387"/>
      <c r="L661" s="1353"/>
      <c r="M661" s="1353"/>
      <c r="N661" s="1353"/>
    </row>
    <row r="662" spans="1:14" x14ac:dyDescent="0.25">
      <c r="A662" s="1353"/>
      <c r="B662" s="1353"/>
      <c r="C662" s="1353"/>
      <c r="D662" s="1353"/>
      <c r="E662" s="1353"/>
      <c r="F662" s="1353"/>
      <c r="G662" s="1353"/>
      <c r="H662" s="1353"/>
      <c r="I662" s="1353"/>
      <c r="J662" s="1353"/>
      <c r="K662" s="1387"/>
      <c r="L662" s="1353"/>
      <c r="M662" s="1353"/>
      <c r="N662" s="1353"/>
    </row>
    <row r="663" spans="1:14" x14ac:dyDescent="0.25">
      <c r="A663" s="1353"/>
      <c r="B663" s="1353"/>
      <c r="C663" s="1353"/>
      <c r="D663" s="1353"/>
      <c r="E663" s="1353"/>
      <c r="F663" s="1353"/>
      <c r="G663" s="1353"/>
      <c r="H663" s="1353"/>
      <c r="I663" s="1353"/>
      <c r="J663" s="1353"/>
      <c r="K663" s="1387"/>
      <c r="L663" s="1353"/>
      <c r="M663" s="1353"/>
      <c r="N663" s="1353"/>
    </row>
    <row r="664" spans="1:14" x14ac:dyDescent="0.25">
      <c r="A664" s="1353"/>
      <c r="B664" s="1353"/>
      <c r="C664" s="1353"/>
      <c r="D664" s="1353"/>
      <c r="E664" s="1353"/>
      <c r="F664" s="1353"/>
      <c r="G664" s="1353"/>
      <c r="H664" s="1353"/>
      <c r="I664" s="1353"/>
      <c r="J664" s="1353"/>
      <c r="K664" s="1387"/>
      <c r="L664" s="1353"/>
      <c r="M664" s="1353"/>
      <c r="N664" s="1353"/>
    </row>
    <row r="665" spans="1:14" x14ac:dyDescent="0.25">
      <c r="A665" s="1353"/>
      <c r="B665" s="1353"/>
      <c r="C665" s="1353"/>
      <c r="D665" s="1353"/>
      <c r="E665" s="1353"/>
      <c r="F665" s="1353"/>
      <c r="G665" s="1353"/>
      <c r="H665" s="1353"/>
      <c r="I665" s="1353"/>
      <c r="J665" s="1353"/>
      <c r="K665" s="1387"/>
      <c r="L665" s="1353"/>
      <c r="M665" s="1353"/>
      <c r="N665" s="1353"/>
    </row>
    <row r="666" spans="1:14" x14ac:dyDescent="0.25">
      <c r="A666" s="1353"/>
      <c r="B666" s="1353"/>
      <c r="C666" s="1353"/>
      <c r="D666" s="1353"/>
      <c r="E666" s="1353"/>
      <c r="F666" s="1353"/>
      <c r="G666" s="1353"/>
      <c r="H666" s="1353"/>
      <c r="I666" s="1353"/>
      <c r="J666" s="1353"/>
      <c r="K666" s="1387"/>
      <c r="L666" s="1353"/>
      <c r="M666" s="1353"/>
      <c r="N666" s="1353"/>
    </row>
    <row r="667" spans="1:14" x14ac:dyDescent="0.25">
      <c r="A667" s="1353"/>
      <c r="B667" s="1353"/>
      <c r="C667" s="1353"/>
      <c r="D667" s="1353"/>
      <c r="E667" s="1353"/>
      <c r="F667" s="1353"/>
      <c r="G667" s="1353"/>
      <c r="H667" s="1353"/>
      <c r="I667" s="1353"/>
      <c r="J667" s="1353"/>
      <c r="K667" s="1387"/>
      <c r="L667" s="1353"/>
      <c r="M667" s="1353"/>
      <c r="N667" s="1353"/>
    </row>
    <row r="668" spans="1:14" x14ac:dyDescent="0.25">
      <c r="A668" s="1353"/>
      <c r="B668" s="1353"/>
      <c r="C668" s="1353"/>
      <c r="D668" s="1353"/>
      <c r="E668" s="1353"/>
      <c r="F668" s="1353"/>
      <c r="G668" s="1353"/>
      <c r="H668" s="1353"/>
      <c r="I668" s="1353"/>
      <c r="J668" s="1353"/>
      <c r="K668" s="1387"/>
      <c r="L668" s="1353"/>
      <c r="M668" s="1353"/>
      <c r="N668" s="1353"/>
    </row>
    <row r="669" spans="1:14" x14ac:dyDescent="0.25">
      <c r="A669" s="1353"/>
      <c r="B669" s="1353"/>
      <c r="C669" s="1353"/>
      <c r="D669" s="1353"/>
      <c r="E669" s="1353"/>
      <c r="F669" s="1353"/>
      <c r="G669" s="1353"/>
      <c r="H669" s="1353"/>
      <c r="I669" s="1353"/>
      <c r="J669" s="1353"/>
      <c r="K669" s="1387"/>
      <c r="L669" s="1353"/>
      <c r="M669" s="1353"/>
      <c r="N669" s="1353"/>
    </row>
    <row r="670" spans="1:14" x14ac:dyDescent="0.25">
      <c r="A670" s="1353"/>
      <c r="B670" s="1353"/>
      <c r="C670" s="1353"/>
      <c r="D670" s="1353"/>
      <c r="E670" s="1353"/>
      <c r="F670" s="1353"/>
      <c r="G670" s="1353"/>
      <c r="H670" s="1353"/>
      <c r="I670" s="1353"/>
      <c r="J670" s="1353"/>
      <c r="K670" s="1387"/>
      <c r="L670" s="1353"/>
      <c r="M670" s="1353"/>
      <c r="N670" s="1353"/>
    </row>
    <row r="671" spans="1:14" x14ac:dyDescent="0.25">
      <c r="A671" s="1353"/>
      <c r="B671" s="1353"/>
      <c r="C671" s="1353"/>
      <c r="D671" s="1353"/>
      <c r="E671" s="1353"/>
      <c r="F671" s="1353"/>
      <c r="G671" s="1353"/>
      <c r="H671" s="1353"/>
      <c r="I671" s="1353"/>
      <c r="J671" s="1353"/>
      <c r="K671" s="1387"/>
      <c r="L671" s="1353"/>
      <c r="M671" s="1353"/>
      <c r="N671" s="1353"/>
    </row>
    <row r="672" spans="1:14" x14ac:dyDescent="0.25">
      <c r="A672" s="1353"/>
      <c r="B672" s="1353"/>
      <c r="C672" s="1353"/>
      <c r="D672" s="1353"/>
      <c r="E672" s="1353"/>
      <c r="F672" s="1353"/>
      <c r="G672" s="1353"/>
      <c r="H672" s="1353"/>
      <c r="I672" s="1353"/>
      <c r="J672" s="1353"/>
      <c r="K672" s="1387"/>
      <c r="L672" s="1353"/>
      <c r="M672" s="1353"/>
      <c r="N672" s="1353"/>
    </row>
    <row r="673" spans="1:14" x14ac:dyDescent="0.25">
      <c r="A673" s="1353"/>
      <c r="B673" s="1353"/>
      <c r="C673" s="1353"/>
      <c r="D673" s="1353"/>
      <c r="E673" s="1353"/>
      <c r="F673" s="1353"/>
      <c r="G673" s="1353"/>
      <c r="H673" s="1353"/>
      <c r="I673" s="1353"/>
      <c r="J673" s="1353"/>
      <c r="K673" s="1387"/>
      <c r="L673" s="1353"/>
      <c r="M673" s="1353"/>
      <c r="N673" s="1353"/>
    </row>
    <row r="674" spans="1:14" x14ac:dyDescent="0.25">
      <c r="A674" s="1353"/>
      <c r="B674" s="1353"/>
      <c r="C674" s="1353"/>
      <c r="D674" s="1353"/>
      <c r="E674" s="1353"/>
      <c r="F674" s="1353"/>
      <c r="G674" s="1353"/>
      <c r="H674" s="1353"/>
      <c r="I674" s="1353"/>
      <c r="J674" s="1353"/>
      <c r="K674" s="1387"/>
      <c r="L674" s="1353"/>
      <c r="M674" s="1353"/>
      <c r="N674" s="1353"/>
    </row>
    <row r="675" spans="1:14" x14ac:dyDescent="0.25">
      <c r="A675" s="1353"/>
      <c r="B675" s="1353"/>
      <c r="C675" s="1353"/>
      <c r="D675" s="1353"/>
      <c r="E675" s="1353"/>
      <c r="F675" s="1353"/>
      <c r="G675" s="1353"/>
      <c r="H675" s="1353"/>
      <c r="I675" s="1353"/>
      <c r="J675" s="1353"/>
      <c r="K675" s="1387"/>
      <c r="L675" s="1353"/>
      <c r="M675" s="1353"/>
      <c r="N675" s="1353"/>
    </row>
    <row r="676" spans="1:14" x14ac:dyDescent="0.25">
      <c r="A676" s="1353"/>
      <c r="B676" s="1353"/>
      <c r="C676" s="1353"/>
      <c r="D676" s="1353"/>
      <c r="E676" s="1353"/>
      <c r="F676" s="1353"/>
      <c r="G676" s="1353"/>
      <c r="H676" s="1353"/>
      <c r="I676" s="1353"/>
      <c r="J676" s="1353"/>
      <c r="K676" s="1387"/>
      <c r="L676" s="1353"/>
      <c r="M676" s="1353"/>
      <c r="N676" s="1353"/>
    </row>
    <row r="677" spans="1:14" x14ac:dyDescent="0.25">
      <c r="A677" s="1353"/>
      <c r="B677" s="1353"/>
      <c r="C677" s="1353"/>
      <c r="D677" s="1353"/>
      <c r="E677" s="1353"/>
      <c r="F677" s="1353"/>
      <c r="G677" s="1353"/>
      <c r="H677" s="1353"/>
      <c r="I677" s="1353"/>
      <c r="J677" s="1353"/>
      <c r="K677" s="1387"/>
      <c r="L677" s="1353"/>
      <c r="M677" s="1353"/>
      <c r="N677" s="1353"/>
    </row>
    <row r="678" spans="1:14" x14ac:dyDescent="0.25">
      <c r="A678" s="1353"/>
      <c r="B678" s="1353"/>
      <c r="C678" s="1353"/>
      <c r="D678" s="1353"/>
      <c r="E678" s="1353"/>
      <c r="F678" s="1353"/>
      <c r="G678" s="1353"/>
      <c r="H678" s="1353"/>
      <c r="I678" s="1353"/>
      <c r="J678" s="1353"/>
      <c r="K678" s="1387"/>
      <c r="L678" s="1353"/>
      <c r="M678" s="1353"/>
      <c r="N678" s="1353"/>
    </row>
    <row r="679" spans="1:14" x14ac:dyDescent="0.25">
      <c r="A679" s="1353"/>
      <c r="B679" s="1353"/>
      <c r="C679" s="1353"/>
      <c r="D679" s="1353"/>
      <c r="E679" s="1353"/>
      <c r="F679" s="1353"/>
      <c r="G679" s="1353"/>
      <c r="H679" s="1353"/>
      <c r="I679" s="1353"/>
      <c r="J679" s="1353"/>
      <c r="K679" s="1387"/>
      <c r="L679" s="1353"/>
      <c r="M679" s="1353"/>
      <c r="N679" s="1353"/>
    </row>
    <row r="680" spans="1:14" x14ac:dyDescent="0.25">
      <c r="A680" s="1353"/>
      <c r="B680" s="1353"/>
      <c r="C680" s="1353"/>
      <c r="D680" s="1353"/>
      <c r="E680" s="1353"/>
      <c r="F680" s="1353"/>
      <c r="G680" s="1353"/>
      <c r="H680" s="1353"/>
      <c r="I680" s="1353"/>
      <c r="J680" s="1353"/>
      <c r="K680" s="1387"/>
      <c r="L680" s="1353"/>
      <c r="M680" s="1353"/>
      <c r="N680" s="1353"/>
    </row>
    <row r="681" spans="1:14" x14ac:dyDescent="0.25">
      <c r="A681" s="1353"/>
      <c r="B681" s="1353"/>
      <c r="C681" s="1353"/>
      <c r="D681" s="1353"/>
      <c r="E681" s="1353"/>
      <c r="F681" s="1353"/>
      <c r="G681" s="1353"/>
      <c r="H681" s="1353"/>
      <c r="I681" s="1353"/>
      <c r="J681" s="1353"/>
      <c r="K681" s="1387"/>
      <c r="L681" s="1353"/>
      <c r="M681" s="1353"/>
      <c r="N681" s="1353"/>
    </row>
    <row r="682" spans="1:14" x14ac:dyDescent="0.25">
      <c r="A682" s="1353"/>
      <c r="B682" s="1353"/>
      <c r="C682" s="1353"/>
      <c r="D682" s="1353"/>
      <c r="E682" s="1353"/>
      <c r="F682" s="1353"/>
      <c r="G682" s="1353"/>
      <c r="H682" s="1353"/>
      <c r="I682" s="1353"/>
      <c r="J682" s="1353"/>
      <c r="K682" s="1387"/>
      <c r="L682" s="1353"/>
      <c r="M682" s="1353"/>
      <c r="N682" s="1353"/>
    </row>
    <row r="683" spans="1:14" x14ac:dyDescent="0.25">
      <c r="A683" s="1353"/>
      <c r="B683" s="1353"/>
      <c r="C683" s="1353"/>
      <c r="D683" s="1353"/>
      <c r="E683" s="1353"/>
      <c r="F683" s="1353"/>
      <c r="G683" s="1353"/>
      <c r="H683" s="1353"/>
      <c r="I683" s="1353"/>
      <c r="J683" s="1353"/>
      <c r="K683" s="1387"/>
      <c r="L683" s="1353"/>
      <c r="M683" s="1353"/>
      <c r="N683" s="1353"/>
    </row>
    <row r="684" spans="1:14" x14ac:dyDescent="0.25">
      <c r="A684" s="1353"/>
      <c r="B684" s="1353"/>
      <c r="C684" s="1353"/>
      <c r="D684" s="1353"/>
      <c r="E684" s="1353"/>
      <c r="F684" s="1353"/>
      <c r="G684" s="1353"/>
      <c r="H684" s="1353"/>
      <c r="I684" s="1353"/>
      <c r="J684" s="1353"/>
      <c r="K684" s="1387"/>
      <c r="L684" s="1353"/>
      <c r="M684" s="1353"/>
      <c r="N684" s="1353"/>
    </row>
    <row r="685" spans="1:14" x14ac:dyDescent="0.25">
      <c r="A685" s="1353"/>
      <c r="B685" s="1353"/>
      <c r="C685" s="1353"/>
      <c r="D685" s="1353"/>
      <c r="E685" s="1353"/>
      <c r="F685" s="1353"/>
      <c r="G685" s="1353"/>
      <c r="H685" s="1353"/>
      <c r="I685" s="1353"/>
      <c r="J685" s="1353"/>
      <c r="K685" s="1387"/>
      <c r="L685" s="1353"/>
      <c r="M685" s="1353"/>
      <c r="N685" s="1353"/>
    </row>
    <row r="686" spans="1:14" x14ac:dyDescent="0.25">
      <c r="A686" s="1353"/>
      <c r="B686" s="1353"/>
      <c r="C686" s="1353"/>
      <c r="D686" s="1353"/>
      <c r="E686" s="1353"/>
      <c r="F686" s="1353"/>
      <c r="G686" s="1353"/>
      <c r="H686" s="1353"/>
      <c r="I686" s="1353"/>
      <c r="J686" s="1353"/>
      <c r="K686" s="1387"/>
      <c r="L686" s="1353"/>
      <c r="M686" s="1353"/>
      <c r="N686" s="1353"/>
    </row>
    <row r="687" spans="1:14" x14ac:dyDescent="0.25">
      <c r="A687" s="1353"/>
      <c r="B687" s="1353"/>
      <c r="C687" s="1353"/>
      <c r="D687" s="1353"/>
      <c r="E687" s="1353"/>
      <c r="F687" s="1353"/>
      <c r="G687" s="1353"/>
      <c r="H687" s="1353"/>
      <c r="I687" s="1353"/>
      <c r="J687" s="1353"/>
      <c r="K687" s="1387"/>
      <c r="L687" s="1353"/>
      <c r="M687" s="1353"/>
      <c r="N687" s="1353"/>
    </row>
    <row r="688" spans="1:14" x14ac:dyDescent="0.25">
      <c r="A688" s="1353"/>
      <c r="B688" s="1353"/>
      <c r="C688" s="1353"/>
      <c r="D688" s="1353"/>
      <c r="E688" s="1353"/>
      <c r="F688" s="1353"/>
      <c r="G688" s="1353"/>
      <c r="H688" s="1353"/>
      <c r="I688" s="1353"/>
      <c r="J688" s="1353"/>
      <c r="K688" s="1387"/>
      <c r="L688" s="1353"/>
      <c r="M688" s="1353"/>
      <c r="N688" s="1353"/>
    </row>
    <row r="689" spans="1:14" x14ac:dyDescent="0.25">
      <c r="A689" s="1353"/>
      <c r="B689" s="1353"/>
      <c r="C689" s="1353"/>
      <c r="D689" s="1353"/>
      <c r="E689" s="1353"/>
      <c r="F689" s="1353"/>
      <c r="G689" s="1353"/>
      <c r="H689" s="1353"/>
      <c r="I689" s="1353"/>
      <c r="J689" s="1353"/>
      <c r="K689" s="1387"/>
      <c r="L689" s="1353"/>
      <c r="M689" s="1353"/>
      <c r="N689" s="1353"/>
    </row>
    <row r="690" spans="1:14" x14ac:dyDescent="0.25">
      <c r="A690" s="1353"/>
      <c r="B690" s="1353"/>
      <c r="C690" s="1353"/>
      <c r="D690" s="1353"/>
      <c r="E690" s="1353"/>
      <c r="F690" s="1353"/>
      <c r="G690" s="1353"/>
      <c r="H690" s="1353"/>
      <c r="I690" s="1353"/>
      <c r="J690" s="1353"/>
      <c r="K690" s="1387"/>
      <c r="L690" s="1353"/>
      <c r="M690" s="1353"/>
      <c r="N690" s="1353"/>
    </row>
    <row r="691" spans="1:14" x14ac:dyDescent="0.25">
      <c r="A691" s="1353"/>
      <c r="B691" s="1353"/>
      <c r="C691" s="1353"/>
      <c r="D691" s="1353"/>
      <c r="E691" s="1353"/>
      <c r="F691" s="1353"/>
      <c r="G691" s="1353"/>
      <c r="H691" s="1353"/>
      <c r="I691" s="1353"/>
      <c r="J691" s="1353"/>
      <c r="K691" s="1387"/>
      <c r="L691" s="1353"/>
      <c r="M691" s="1353"/>
      <c r="N691" s="1353"/>
    </row>
    <row r="692" spans="1:14" x14ac:dyDescent="0.25">
      <c r="A692" s="1353"/>
      <c r="B692" s="1353"/>
      <c r="C692" s="1353"/>
      <c r="D692" s="1353"/>
      <c r="E692" s="1353"/>
      <c r="F692" s="1353"/>
      <c r="G692" s="1353"/>
      <c r="H692" s="1353"/>
      <c r="I692" s="1353"/>
      <c r="J692" s="1353"/>
      <c r="K692" s="1387"/>
      <c r="L692" s="1353"/>
      <c r="M692" s="1353"/>
      <c r="N692" s="1353"/>
    </row>
    <row r="693" spans="1:14" x14ac:dyDescent="0.25">
      <c r="A693" s="1353"/>
      <c r="B693" s="1353"/>
      <c r="C693" s="1353"/>
      <c r="D693" s="1353"/>
      <c r="E693" s="1353"/>
      <c r="F693" s="1353"/>
      <c r="G693" s="1353"/>
      <c r="H693" s="1353"/>
      <c r="I693" s="1353"/>
      <c r="J693" s="1353"/>
      <c r="K693" s="1387"/>
      <c r="L693" s="1353"/>
      <c r="M693" s="1353"/>
      <c r="N693" s="1353"/>
    </row>
    <row r="694" spans="1:14" x14ac:dyDescent="0.25">
      <c r="A694" s="1353"/>
      <c r="B694" s="1353"/>
      <c r="C694" s="1353"/>
      <c r="D694" s="1353"/>
      <c r="E694" s="1353"/>
      <c r="F694" s="1353"/>
      <c r="G694" s="1353"/>
      <c r="H694" s="1353"/>
      <c r="I694" s="1353"/>
      <c r="J694" s="1353"/>
      <c r="K694" s="1387"/>
      <c r="L694" s="1353"/>
      <c r="M694" s="1353"/>
      <c r="N694" s="1353"/>
    </row>
    <row r="695" spans="1:14" x14ac:dyDescent="0.25">
      <c r="A695" s="1353"/>
      <c r="B695" s="1353"/>
      <c r="C695" s="1353"/>
      <c r="D695" s="1353"/>
      <c r="E695" s="1353"/>
      <c r="F695" s="1353"/>
      <c r="G695" s="1353"/>
      <c r="H695" s="1353"/>
      <c r="I695" s="1353"/>
      <c r="J695" s="1353"/>
      <c r="K695" s="1387"/>
      <c r="L695" s="1353"/>
      <c r="M695" s="1353"/>
      <c r="N695" s="1353"/>
    </row>
    <row r="696" spans="1:14" x14ac:dyDescent="0.25">
      <c r="A696" s="1353"/>
      <c r="B696" s="1353"/>
      <c r="C696" s="1353"/>
      <c r="D696" s="1353"/>
      <c r="E696" s="1353"/>
      <c r="F696" s="1353"/>
      <c r="G696" s="1353"/>
      <c r="H696" s="1353"/>
      <c r="I696" s="1353"/>
      <c r="J696" s="1353"/>
      <c r="K696" s="1387"/>
      <c r="L696" s="1353"/>
      <c r="M696" s="1353"/>
      <c r="N696" s="1353"/>
    </row>
    <row r="697" spans="1:14" x14ac:dyDescent="0.25">
      <c r="A697" s="1353"/>
      <c r="B697" s="1353"/>
      <c r="C697" s="1353"/>
      <c r="D697" s="1353"/>
      <c r="E697" s="1353"/>
      <c r="F697" s="1353"/>
      <c r="G697" s="1353"/>
      <c r="H697" s="1353"/>
      <c r="I697" s="1353"/>
      <c r="J697" s="1353"/>
      <c r="K697" s="1387"/>
      <c r="L697" s="1353"/>
      <c r="M697" s="1353"/>
      <c r="N697" s="1353"/>
    </row>
    <row r="698" spans="1:14" x14ac:dyDescent="0.25">
      <c r="A698" s="1353"/>
      <c r="B698" s="1353"/>
      <c r="C698" s="1353"/>
      <c r="D698" s="1353"/>
      <c r="E698" s="1353"/>
      <c r="F698" s="1353"/>
      <c r="G698" s="1353"/>
      <c r="H698" s="1353"/>
      <c r="I698" s="1353"/>
      <c r="J698" s="1353"/>
      <c r="K698" s="1387"/>
      <c r="L698" s="1353"/>
      <c r="M698" s="1353"/>
      <c r="N698" s="1353"/>
    </row>
    <row r="699" spans="1:14" x14ac:dyDescent="0.25">
      <c r="A699" s="1353"/>
      <c r="B699" s="1353"/>
      <c r="C699" s="1353"/>
      <c r="D699" s="1353"/>
      <c r="E699" s="1353"/>
      <c r="F699" s="1353"/>
      <c r="G699" s="1353"/>
      <c r="H699" s="1353"/>
      <c r="I699" s="1353"/>
      <c r="J699" s="1353"/>
      <c r="K699" s="1387"/>
      <c r="L699" s="1353"/>
      <c r="M699" s="1353"/>
      <c r="N699" s="1353"/>
    </row>
    <row r="700" spans="1:14" x14ac:dyDescent="0.25">
      <c r="A700" s="1353"/>
      <c r="B700" s="1353"/>
      <c r="C700" s="1353"/>
      <c r="D700" s="1353"/>
      <c r="E700" s="1353"/>
      <c r="F700" s="1353"/>
      <c r="G700" s="1353"/>
      <c r="H700" s="1353"/>
      <c r="I700" s="1353"/>
      <c r="J700" s="1353"/>
      <c r="K700" s="1387"/>
      <c r="L700" s="1353"/>
      <c r="M700" s="1353"/>
      <c r="N700" s="1353"/>
    </row>
    <row r="701" spans="1:14" x14ac:dyDescent="0.25">
      <c r="A701" s="1353"/>
      <c r="B701" s="1353"/>
      <c r="C701" s="1353"/>
      <c r="D701" s="1353"/>
      <c r="E701" s="1353"/>
      <c r="F701" s="1353"/>
      <c r="G701" s="1353"/>
      <c r="H701" s="1353"/>
      <c r="I701" s="1353"/>
      <c r="J701" s="1353"/>
      <c r="K701" s="1387"/>
      <c r="L701" s="1353"/>
      <c r="M701" s="1353"/>
      <c r="N701" s="1353"/>
    </row>
    <row r="702" spans="1:14" x14ac:dyDescent="0.25">
      <c r="A702" s="1353"/>
      <c r="B702" s="1353"/>
      <c r="C702" s="1353"/>
      <c r="D702" s="1353"/>
      <c r="E702" s="1353"/>
      <c r="F702" s="1353"/>
      <c r="G702" s="1353"/>
      <c r="H702" s="1353"/>
      <c r="I702" s="1353"/>
      <c r="J702" s="1353"/>
      <c r="K702" s="1387"/>
      <c r="L702" s="1353"/>
      <c r="M702" s="1353"/>
      <c r="N702" s="1353"/>
    </row>
    <row r="703" spans="1:14" x14ac:dyDescent="0.25">
      <c r="A703" s="1353"/>
      <c r="B703" s="1353"/>
      <c r="C703" s="1353"/>
      <c r="D703" s="1353"/>
      <c r="E703" s="1353"/>
      <c r="F703" s="1353"/>
      <c r="G703" s="1353"/>
      <c r="H703" s="1353"/>
      <c r="I703" s="1353"/>
      <c r="J703" s="1353"/>
      <c r="K703" s="1387"/>
      <c r="L703" s="1353"/>
      <c r="M703" s="1353"/>
      <c r="N703" s="1353"/>
    </row>
    <row r="704" spans="1:14" x14ac:dyDescent="0.25">
      <c r="A704" s="1353"/>
      <c r="B704" s="1353"/>
      <c r="C704" s="1353"/>
      <c r="D704" s="1353"/>
      <c r="E704" s="1353"/>
      <c r="F704" s="1353"/>
      <c r="G704" s="1353"/>
      <c r="H704" s="1353"/>
      <c r="I704" s="1353"/>
      <c r="J704" s="1353"/>
      <c r="K704" s="1387"/>
      <c r="L704" s="1353"/>
      <c r="M704" s="1353"/>
      <c r="N704" s="1353"/>
    </row>
    <row r="705" spans="1:14" x14ac:dyDescent="0.25">
      <c r="A705" s="1353"/>
      <c r="B705" s="1353"/>
      <c r="C705" s="1353"/>
      <c r="D705" s="1353"/>
      <c r="E705" s="1353"/>
      <c r="F705" s="1353"/>
      <c r="G705" s="1353"/>
      <c r="H705" s="1353"/>
      <c r="I705" s="1353"/>
      <c r="J705" s="1353"/>
      <c r="K705" s="1387"/>
      <c r="L705" s="1353"/>
      <c r="M705" s="1353"/>
      <c r="N705" s="1353"/>
    </row>
    <row r="706" spans="1:14" x14ac:dyDescent="0.25">
      <c r="A706" s="1353"/>
      <c r="B706" s="1353"/>
      <c r="C706" s="1353"/>
      <c r="D706" s="1353"/>
      <c r="E706" s="1353"/>
      <c r="F706" s="1353"/>
      <c r="G706" s="1353"/>
      <c r="H706" s="1353"/>
      <c r="I706" s="1353"/>
      <c r="J706" s="1353"/>
      <c r="K706" s="1387"/>
      <c r="L706" s="1353"/>
      <c r="M706" s="1353"/>
      <c r="N706" s="1353"/>
    </row>
    <row r="707" spans="1:14" x14ac:dyDescent="0.25">
      <c r="A707" s="1353"/>
      <c r="B707" s="1353"/>
      <c r="C707" s="1353"/>
      <c r="D707" s="1353"/>
      <c r="E707" s="1353"/>
      <c r="F707" s="1353"/>
      <c r="G707" s="1353"/>
      <c r="H707" s="1353"/>
      <c r="I707" s="1353"/>
      <c r="J707" s="1353"/>
      <c r="K707" s="1387"/>
      <c r="L707" s="1353"/>
      <c r="M707" s="1353"/>
      <c r="N707" s="1353"/>
    </row>
    <row r="708" spans="1:14" x14ac:dyDescent="0.25">
      <c r="A708" s="1353"/>
      <c r="B708" s="1353"/>
      <c r="C708" s="1353"/>
      <c r="D708" s="1353"/>
      <c r="E708" s="1353"/>
      <c r="F708" s="1353"/>
      <c r="G708" s="1353"/>
      <c r="H708" s="1353"/>
      <c r="I708" s="1353"/>
      <c r="J708" s="1353"/>
      <c r="K708" s="1387"/>
      <c r="L708" s="1353"/>
      <c r="M708" s="1353"/>
      <c r="N708" s="1353"/>
    </row>
    <row r="709" spans="1:14" x14ac:dyDescent="0.25">
      <c r="A709" s="1353"/>
      <c r="B709" s="1353"/>
      <c r="C709" s="1353"/>
      <c r="D709" s="1353"/>
      <c r="E709" s="1353"/>
      <c r="F709" s="1353"/>
      <c r="G709" s="1353"/>
      <c r="H709" s="1353"/>
      <c r="I709" s="1353"/>
      <c r="J709" s="1353"/>
      <c r="K709" s="1387"/>
      <c r="L709" s="1353"/>
      <c r="M709" s="1353"/>
      <c r="N709" s="1353"/>
    </row>
    <row r="710" spans="1:14" x14ac:dyDescent="0.25">
      <c r="A710" s="1353"/>
      <c r="B710" s="1353"/>
      <c r="C710" s="1353"/>
      <c r="D710" s="1353"/>
      <c r="E710" s="1353"/>
      <c r="F710" s="1353"/>
      <c r="G710" s="1353"/>
      <c r="H710" s="1353"/>
      <c r="I710" s="1353"/>
      <c r="J710" s="1353"/>
      <c r="K710" s="1387"/>
      <c r="L710" s="1353"/>
      <c r="M710" s="1353"/>
      <c r="N710" s="1353"/>
    </row>
    <row r="711" spans="1:14" x14ac:dyDescent="0.25">
      <c r="A711" s="1353"/>
      <c r="B711" s="1353"/>
      <c r="C711" s="1353"/>
      <c r="D711" s="1353"/>
      <c r="E711" s="1353"/>
      <c r="F711" s="1353"/>
      <c r="G711" s="1353"/>
      <c r="H711" s="1353"/>
      <c r="I711" s="1353"/>
      <c r="J711" s="1353"/>
      <c r="K711" s="1387"/>
      <c r="L711" s="1353"/>
      <c r="M711" s="1353"/>
      <c r="N711" s="1353"/>
    </row>
    <row r="712" spans="1:14" x14ac:dyDescent="0.25">
      <c r="A712" s="1353"/>
      <c r="B712" s="1353"/>
      <c r="C712" s="1353"/>
      <c r="D712" s="1353"/>
      <c r="E712" s="1353"/>
      <c r="F712" s="1353"/>
      <c r="G712" s="1353"/>
      <c r="H712" s="1353"/>
      <c r="I712" s="1353"/>
      <c r="J712" s="1353"/>
      <c r="K712" s="1387"/>
      <c r="L712" s="1353"/>
      <c r="M712" s="1353"/>
      <c r="N712" s="1353"/>
    </row>
    <row r="713" spans="1:14" x14ac:dyDescent="0.25">
      <c r="A713" s="1353"/>
      <c r="B713" s="1353"/>
      <c r="C713" s="1353"/>
      <c r="D713" s="1353"/>
      <c r="E713" s="1353"/>
      <c r="F713" s="1353"/>
      <c r="G713" s="1353"/>
      <c r="H713" s="1353"/>
      <c r="I713" s="1353"/>
      <c r="J713" s="1353"/>
      <c r="K713" s="1387"/>
      <c r="L713" s="1353"/>
      <c r="M713" s="1353"/>
      <c r="N713" s="1353"/>
    </row>
    <row r="714" spans="1:14" x14ac:dyDescent="0.25">
      <c r="A714" s="1353"/>
      <c r="B714" s="1353"/>
      <c r="C714" s="1353"/>
      <c r="D714" s="1353"/>
      <c r="E714" s="1353"/>
      <c r="F714" s="1353"/>
      <c r="G714" s="1353"/>
      <c r="H714" s="1353"/>
      <c r="I714" s="1353"/>
      <c r="J714" s="1353"/>
      <c r="K714" s="1387"/>
      <c r="L714" s="1353"/>
      <c r="M714" s="1353"/>
      <c r="N714" s="1353"/>
    </row>
    <row r="715" spans="1:14" x14ac:dyDescent="0.25">
      <c r="A715" s="1353"/>
      <c r="B715" s="1353"/>
      <c r="C715" s="1353"/>
      <c r="D715" s="1353"/>
      <c r="E715" s="1353"/>
      <c r="F715" s="1353"/>
      <c r="G715" s="1353"/>
      <c r="H715" s="1353"/>
      <c r="I715" s="1353"/>
      <c r="J715" s="1353"/>
      <c r="K715" s="1387"/>
      <c r="L715" s="1353"/>
      <c r="M715" s="1353"/>
      <c r="N715" s="1353"/>
    </row>
    <row r="716" spans="1:14" x14ac:dyDescent="0.25">
      <c r="A716" s="1353"/>
      <c r="B716" s="1353"/>
      <c r="C716" s="1353"/>
      <c r="D716" s="1353"/>
      <c r="E716" s="1353"/>
      <c r="F716" s="1353"/>
      <c r="G716" s="1353"/>
      <c r="H716" s="1353"/>
      <c r="I716" s="1353"/>
      <c r="J716" s="1353"/>
      <c r="K716" s="1387"/>
      <c r="L716" s="1353"/>
      <c r="M716" s="1353"/>
      <c r="N716" s="1353"/>
    </row>
    <row r="717" spans="1:14" x14ac:dyDescent="0.25">
      <c r="A717" s="1353"/>
      <c r="B717" s="1353"/>
      <c r="C717" s="1353"/>
      <c r="D717" s="1353"/>
      <c r="E717" s="1353"/>
      <c r="F717" s="1353"/>
      <c r="G717" s="1353"/>
      <c r="H717" s="1353"/>
      <c r="I717" s="1353"/>
      <c r="J717" s="1353"/>
      <c r="K717" s="1387"/>
      <c r="L717" s="1353"/>
      <c r="M717" s="1353"/>
      <c r="N717" s="1353"/>
    </row>
    <row r="718" spans="1:14" x14ac:dyDescent="0.25">
      <c r="A718" s="1353"/>
      <c r="B718" s="1353"/>
      <c r="C718" s="1353"/>
      <c r="D718" s="1353"/>
      <c r="E718" s="1353"/>
      <c r="F718" s="1353"/>
      <c r="G718" s="1353"/>
      <c r="H718" s="1353"/>
      <c r="I718" s="1353"/>
      <c r="J718" s="1353"/>
      <c r="K718" s="1387"/>
      <c r="L718" s="1353"/>
      <c r="M718" s="1353"/>
      <c r="N718" s="1353"/>
    </row>
    <row r="719" spans="1:14" x14ac:dyDescent="0.25">
      <c r="A719" s="1353"/>
      <c r="B719" s="1353"/>
      <c r="C719" s="1353"/>
      <c r="D719" s="1353"/>
      <c r="E719" s="1353"/>
      <c r="F719" s="1353"/>
      <c r="G719" s="1353"/>
      <c r="H719" s="1353"/>
      <c r="I719" s="1353"/>
      <c r="J719" s="1353"/>
      <c r="K719" s="1387"/>
      <c r="L719" s="1353"/>
      <c r="M719" s="1353"/>
      <c r="N719" s="1353"/>
    </row>
    <row r="720" spans="1:14" x14ac:dyDescent="0.25">
      <c r="A720" s="1353"/>
      <c r="B720" s="1353"/>
      <c r="C720" s="1353"/>
      <c r="D720" s="1353"/>
      <c r="E720" s="1353"/>
      <c r="F720" s="1353"/>
      <c r="G720" s="1353"/>
      <c r="H720" s="1353"/>
      <c r="I720" s="1353"/>
      <c r="J720" s="1353"/>
      <c r="K720" s="1387"/>
      <c r="L720" s="1353"/>
      <c r="M720" s="1353"/>
      <c r="N720" s="1353"/>
    </row>
    <row r="721" spans="1:14" x14ac:dyDescent="0.25">
      <c r="A721" s="1353"/>
      <c r="B721" s="1353"/>
      <c r="C721" s="1353"/>
      <c r="D721" s="1353"/>
      <c r="E721" s="1353"/>
      <c r="F721" s="1353"/>
      <c r="G721" s="1353"/>
      <c r="H721" s="1353"/>
      <c r="I721" s="1353"/>
      <c r="J721" s="1353"/>
      <c r="K721" s="1387"/>
      <c r="L721" s="1353"/>
      <c r="M721" s="1353"/>
      <c r="N721" s="1353"/>
    </row>
    <row r="722" spans="1:14" x14ac:dyDescent="0.25">
      <c r="A722" s="1353"/>
      <c r="B722" s="1353"/>
      <c r="C722" s="1353"/>
      <c r="D722" s="1353"/>
      <c r="E722" s="1353"/>
      <c r="F722" s="1353"/>
      <c r="G722" s="1353"/>
      <c r="H722" s="1353"/>
      <c r="I722" s="1353"/>
      <c r="J722" s="1353"/>
      <c r="K722" s="1387"/>
      <c r="L722" s="1353"/>
      <c r="M722" s="1353"/>
      <c r="N722" s="1353"/>
    </row>
    <row r="723" spans="1:14" x14ac:dyDescent="0.25">
      <c r="A723" s="1353"/>
      <c r="B723" s="1353"/>
      <c r="C723" s="1353"/>
      <c r="D723" s="1353"/>
      <c r="E723" s="1353"/>
      <c r="F723" s="1353"/>
      <c r="G723" s="1353"/>
      <c r="H723" s="1353"/>
      <c r="I723" s="1353"/>
      <c r="J723" s="1353"/>
      <c r="K723" s="1387"/>
      <c r="L723" s="1353"/>
      <c r="M723" s="1353"/>
      <c r="N723" s="1353"/>
    </row>
    <row r="724" spans="1:14" x14ac:dyDescent="0.25">
      <c r="A724" s="1353"/>
      <c r="B724" s="1353"/>
      <c r="C724" s="1353"/>
      <c r="D724" s="1353"/>
      <c r="E724" s="1353"/>
      <c r="F724" s="1353"/>
      <c r="G724" s="1353"/>
      <c r="H724" s="1353"/>
      <c r="I724" s="1353"/>
      <c r="J724" s="1353"/>
      <c r="K724" s="1387"/>
      <c r="L724" s="1353"/>
      <c r="M724" s="1353"/>
      <c r="N724" s="1353"/>
    </row>
    <row r="725" spans="1:14" x14ac:dyDescent="0.25">
      <c r="A725" s="1353"/>
      <c r="B725" s="1353"/>
      <c r="C725" s="1353"/>
      <c r="D725" s="1353"/>
      <c r="E725" s="1353"/>
      <c r="F725" s="1353"/>
      <c r="G725" s="1353"/>
      <c r="H725" s="1353"/>
      <c r="I725" s="1353"/>
      <c r="J725" s="1353"/>
      <c r="K725" s="1387"/>
      <c r="L725" s="1353"/>
      <c r="M725" s="1353"/>
      <c r="N725" s="1353"/>
    </row>
    <row r="726" spans="1:14" x14ac:dyDescent="0.25">
      <c r="A726" s="1353"/>
      <c r="B726" s="1353"/>
      <c r="C726" s="1353"/>
      <c r="D726" s="1353"/>
      <c r="E726" s="1353"/>
      <c r="F726" s="1353"/>
      <c r="G726" s="1353"/>
      <c r="H726" s="1353"/>
      <c r="I726" s="1353"/>
      <c r="J726" s="1353"/>
      <c r="K726" s="1387"/>
      <c r="L726" s="1353"/>
      <c r="M726" s="1353"/>
      <c r="N726" s="1353"/>
    </row>
    <row r="727" spans="1:14" x14ac:dyDescent="0.25">
      <c r="A727" s="1353"/>
      <c r="B727" s="1353"/>
      <c r="C727" s="1353"/>
      <c r="D727" s="1353"/>
      <c r="E727" s="1353"/>
      <c r="F727" s="1353"/>
      <c r="G727" s="1353"/>
      <c r="H727" s="1353"/>
      <c r="I727" s="1353"/>
      <c r="J727" s="1353"/>
      <c r="K727" s="1387"/>
      <c r="L727" s="1353"/>
      <c r="M727" s="1353"/>
      <c r="N727" s="1353"/>
    </row>
    <row r="728" spans="1:14" x14ac:dyDescent="0.25">
      <c r="A728" s="1353"/>
      <c r="B728" s="1353"/>
      <c r="C728" s="1353"/>
      <c r="D728" s="1353"/>
      <c r="E728" s="1353"/>
      <c r="F728" s="1353"/>
      <c r="G728" s="1353"/>
      <c r="H728" s="1353"/>
      <c r="I728" s="1353"/>
      <c r="J728" s="1353"/>
      <c r="K728" s="1387"/>
      <c r="L728" s="1353"/>
      <c r="M728" s="1353"/>
      <c r="N728" s="1353"/>
    </row>
    <row r="729" spans="1:14" x14ac:dyDescent="0.25">
      <c r="A729" s="1353"/>
      <c r="B729" s="1353"/>
      <c r="C729" s="1353"/>
      <c r="D729" s="1353"/>
      <c r="E729" s="1353"/>
      <c r="F729" s="1353"/>
      <c r="G729" s="1353"/>
      <c r="H729" s="1353"/>
      <c r="I729" s="1353"/>
      <c r="J729" s="1353"/>
      <c r="K729" s="1387"/>
      <c r="L729" s="1353"/>
      <c r="M729" s="1353"/>
      <c r="N729" s="1353"/>
    </row>
    <row r="730" spans="1:14" x14ac:dyDescent="0.25">
      <c r="A730" s="1353"/>
      <c r="B730" s="1353"/>
      <c r="C730" s="1353"/>
      <c r="D730" s="1353"/>
      <c r="E730" s="1353"/>
      <c r="F730" s="1353"/>
      <c r="G730" s="1353"/>
      <c r="H730" s="1353"/>
      <c r="I730" s="1353"/>
      <c r="J730" s="1353"/>
      <c r="K730" s="1387"/>
      <c r="L730" s="1353"/>
      <c r="M730" s="1353"/>
      <c r="N730" s="1353"/>
    </row>
    <row r="731" spans="1:14" x14ac:dyDescent="0.25">
      <c r="A731" s="1353"/>
      <c r="B731" s="1353"/>
      <c r="C731" s="1353"/>
      <c r="D731" s="1353"/>
      <c r="E731" s="1353"/>
      <c r="F731" s="1353"/>
      <c r="G731" s="1353"/>
      <c r="H731" s="1353"/>
      <c r="I731" s="1353"/>
      <c r="J731" s="1353"/>
      <c r="K731" s="1387"/>
      <c r="L731" s="1353"/>
      <c r="M731" s="1353"/>
      <c r="N731" s="1353"/>
    </row>
    <row r="732" spans="1:14" x14ac:dyDescent="0.25">
      <c r="A732" s="1353"/>
      <c r="B732" s="1353"/>
      <c r="C732" s="1353"/>
      <c r="D732" s="1353"/>
      <c r="E732" s="1353"/>
      <c r="F732" s="1353"/>
      <c r="G732" s="1353"/>
      <c r="H732" s="1353"/>
      <c r="I732" s="1353"/>
      <c r="J732" s="1353"/>
      <c r="K732" s="1387"/>
      <c r="L732" s="1353"/>
      <c r="M732" s="1353"/>
      <c r="N732" s="1353"/>
    </row>
    <row r="733" spans="1:14" x14ac:dyDescent="0.25">
      <c r="A733" s="1353"/>
      <c r="B733" s="1353"/>
      <c r="C733" s="1353"/>
      <c r="D733" s="1353"/>
      <c r="E733" s="1353"/>
      <c r="F733" s="1353"/>
      <c r="G733" s="1353"/>
      <c r="H733" s="1353"/>
      <c r="I733" s="1353"/>
      <c r="J733" s="1353"/>
      <c r="K733" s="1387"/>
      <c r="L733" s="1353"/>
      <c r="M733" s="1353"/>
      <c r="N733" s="1353"/>
    </row>
    <row r="734" spans="1:14" x14ac:dyDescent="0.25">
      <c r="A734" s="1353"/>
      <c r="B734" s="1353"/>
      <c r="C734" s="1353"/>
      <c r="D734" s="1353"/>
      <c r="E734" s="1353"/>
      <c r="F734" s="1353"/>
      <c r="G734" s="1353"/>
      <c r="H734" s="1353"/>
      <c r="I734" s="1353"/>
      <c r="J734" s="1353"/>
      <c r="K734" s="1387"/>
      <c r="L734" s="1353"/>
      <c r="M734" s="1353"/>
      <c r="N734" s="1353"/>
    </row>
    <row r="735" spans="1:14" x14ac:dyDescent="0.25">
      <c r="A735" s="1353"/>
      <c r="B735" s="1353"/>
      <c r="C735" s="1353"/>
      <c r="D735" s="1353"/>
      <c r="E735" s="1353"/>
      <c r="F735" s="1353"/>
      <c r="G735" s="1353"/>
      <c r="H735" s="1353"/>
      <c r="I735" s="1353"/>
      <c r="J735" s="1353"/>
      <c r="K735" s="1387"/>
      <c r="L735" s="1353"/>
      <c r="M735" s="1353"/>
      <c r="N735" s="1353"/>
    </row>
    <row r="736" spans="1:14" x14ac:dyDescent="0.25">
      <c r="A736" s="1353"/>
      <c r="B736" s="1353"/>
      <c r="C736" s="1353"/>
      <c r="D736" s="1353"/>
      <c r="E736" s="1353"/>
      <c r="F736" s="1353"/>
      <c r="G736" s="1353"/>
      <c r="H736" s="1353"/>
      <c r="I736" s="1353"/>
      <c r="J736" s="1353"/>
      <c r="K736" s="1387"/>
      <c r="L736" s="1353"/>
      <c r="M736" s="1353"/>
      <c r="N736" s="1353"/>
    </row>
    <row r="737" spans="1:14" x14ac:dyDescent="0.25">
      <c r="A737" s="1353"/>
      <c r="B737" s="1353"/>
      <c r="C737" s="1353"/>
      <c r="D737" s="1353"/>
      <c r="E737" s="1353"/>
      <c r="F737" s="1353"/>
      <c r="G737" s="1353"/>
      <c r="H737" s="1353"/>
      <c r="I737" s="1353"/>
      <c r="J737" s="1353"/>
      <c r="K737" s="1387"/>
      <c r="L737" s="1353"/>
      <c r="M737" s="1353"/>
      <c r="N737" s="1353"/>
    </row>
    <row r="738" spans="1:14" x14ac:dyDescent="0.25">
      <c r="A738" s="1353"/>
      <c r="B738" s="1353"/>
      <c r="C738" s="1353"/>
      <c r="D738" s="1353"/>
      <c r="E738" s="1353"/>
      <c r="F738" s="1353"/>
      <c r="G738" s="1353"/>
      <c r="H738" s="1353"/>
      <c r="I738" s="1353"/>
      <c r="J738" s="1353"/>
      <c r="K738" s="1387"/>
      <c r="L738" s="1353"/>
      <c r="M738" s="1353"/>
      <c r="N738" s="1353"/>
    </row>
    <row r="739" spans="1:14" x14ac:dyDescent="0.25">
      <c r="A739" s="1353"/>
      <c r="B739" s="1353"/>
      <c r="C739" s="1353"/>
      <c r="D739" s="1353"/>
      <c r="E739" s="1353"/>
      <c r="F739" s="1353"/>
      <c r="G739" s="1353"/>
      <c r="H739" s="1353"/>
      <c r="I739" s="1353"/>
      <c r="J739" s="1353"/>
      <c r="K739" s="1387"/>
      <c r="L739" s="1353"/>
      <c r="M739" s="1353"/>
      <c r="N739" s="1353"/>
    </row>
    <row r="740" spans="1:14" x14ac:dyDescent="0.25">
      <c r="A740" s="1353"/>
      <c r="B740" s="1353"/>
      <c r="C740" s="1353"/>
      <c r="D740" s="1353"/>
      <c r="E740" s="1353"/>
      <c r="F740" s="1353"/>
      <c r="G740" s="1353"/>
      <c r="H740" s="1353"/>
      <c r="I740" s="1353"/>
      <c r="J740" s="1353"/>
      <c r="K740" s="1387"/>
      <c r="L740" s="1353"/>
      <c r="M740" s="1353"/>
      <c r="N740" s="1353"/>
    </row>
    <row r="741" spans="1:14" x14ac:dyDescent="0.25">
      <c r="A741" s="1353"/>
      <c r="B741" s="1353"/>
      <c r="C741" s="1353"/>
      <c r="D741" s="1353"/>
      <c r="E741" s="1353"/>
      <c r="F741" s="1353"/>
      <c r="G741" s="1353"/>
      <c r="H741" s="1353"/>
      <c r="I741" s="1353"/>
      <c r="J741" s="1353"/>
      <c r="K741" s="1387"/>
      <c r="L741" s="1353"/>
      <c r="M741" s="1353"/>
      <c r="N741" s="1353"/>
    </row>
    <row r="742" spans="1:14" x14ac:dyDescent="0.25">
      <c r="A742" s="1353"/>
      <c r="B742" s="1353"/>
      <c r="C742" s="1353"/>
      <c r="D742" s="1353"/>
      <c r="E742" s="1353"/>
      <c r="F742" s="1353"/>
      <c r="G742" s="1353"/>
      <c r="H742" s="1353"/>
      <c r="I742" s="1353"/>
      <c r="J742" s="1353"/>
      <c r="K742" s="1387"/>
      <c r="L742" s="1353"/>
      <c r="M742" s="1353"/>
      <c r="N742" s="1353"/>
    </row>
    <row r="743" spans="1:14" x14ac:dyDescent="0.25">
      <c r="A743" s="1353"/>
      <c r="B743" s="1353"/>
      <c r="C743" s="1353"/>
      <c r="D743" s="1353"/>
      <c r="E743" s="1353"/>
      <c r="F743" s="1353"/>
      <c r="G743" s="1353"/>
      <c r="H743" s="1353"/>
      <c r="I743" s="1353"/>
      <c r="J743" s="1353"/>
      <c r="K743" s="1387"/>
      <c r="L743" s="1353"/>
      <c r="M743" s="1353"/>
      <c r="N743" s="1353"/>
    </row>
    <row r="744" spans="1:14" x14ac:dyDescent="0.25">
      <c r="A744" s="1353"/>
      <c r="B744" s="1353"/>
      <c r="C744" s="1353"/>
      <c r="D744" s="1353"/>
      <c r="E744" s="1353"/>
      <c r="F744" s="1353"/>
      <c r="G744" s="1353"/>
      <c r="H744" s="1353"/>
      <c r="I744" s="1353"/>
      <c r="J744" s="1353"/>
      <c r="K744" s="1387"/>
      <c r="L744" s="1353"/>
      <c r="M744" s="1353"/>
      <c r="N744" s="1353"/>
    </row>
    <row r="745" spans="1:14" x14ac:dyDescent="0.25">
      <c r="A745" s="1353"/>
      <c r="B745" s="1353"/>
      <c r="C745" s="1353"/>
      <c r="D745" s="1353"/>
      <c r="E745" s="1353"/>
      <c r="F745" s="1353"/>
      <c r="G745" s="1353"/>
      <c r="H745" s="1353"/>
      <c r="I745" s="1353"/>
      <c r="J745" s="1353"/>
      <c r="K745" s="1387"/>
      <c r="L745" s="1353"/>
      <c r="M745" s="1353"/>
      <c r="N745" s="1353"/>
    </row>
    <row r="746" spans="1:14" x14ac:dyDescent="0.25">
      <c r="A746" s="1353"/>
      <c r="B746" s="1353"/>
      <c r="C746" s="1353"/>
      <c r="D746" s="1353"/>
      <c r="E746" s="1353"/>
      <c r="F746" s="1353"/>
      <c r="G746" s="1353"/>
      <c r="H746" s="1353"/>
      <c r="I746" s="1353"/>
      <c r="J746" s="1353"/>
      <c r="K746" s="1387"/>
      <c r="L746" s="1353"/>
      <c r="M746" s="1353"/>
      <c r="N746" s="1353"/>
    </row>
    <row r="747" spans="1:14" x14ac:dyDescent="0.25">
      <c r="A747" s="1353"/>
      <c r="B747" s="1353"/>
      <c r="C747" s="1353"/>
      <c r="D747" s="1353"/>
      <c r="E747" s="1353"/>
      <c r="F747" s="1353"/>
      <c r="G747" s="1353"/>
      <c r="H747" s="1353"/>
      <c r="I747" s="1353"/>
      <c r="J747" s="1353"/>
      <c r="K747" s="1387"/>
      <c r="L747" s="1353"/>
      <c r="M747" s="1353"/>
      <c r="N747" s="1353"/>
    </row>
    <row r="748" spans="1:14" x14ac:dyDescent="0.25">
      <c r="A748" s="1353"/>
      <c r="B748" s="1353"/>
      <c r="C748" s="1353"/>
      <c r="D748" s="1353"/>
      <c r="E748" s="1353"/>
      <c r="F748" s="1353"/>
      <c r="G748" s="1353"/>
      <c r="H748" s="1353"/>
      <c r="I748" s="1353"/>
      <c r="J748" s="1353"/>
      <c r="K748" s="1387"/>
      <c r="L748" s="1353"/>
      <c r="M748" s="1353"/>
      <c r="N748" s="1353"/>
    </row>
    <row r="749" spans="1:14" x14ac:dyDescent="0.25">
      <c r="A749" s="1353"/>
      <c r="B749" s="1353"/>
      <c r="C749" s="1353"/>
      <c r="D749" s="1353"/>
      <c r="E749" s="1353"/>
      <c r="F749" s="1353"/>
      <c r="G749" s="1353"/>
      <c r="H749" s="1353"/>
      <c r="I749" s="1353"/>
      <c r="J749" s="1353"/>
      <c r="K749" s="1387"/>
      <c r="L749" s="1353"/>
      <c r="M749" s="1353"/>
      <c r="N749" s="1353"/>
    </row>
    <row r="750" spans="1:14" x14ac:dyDescent="0.25">
      <c r="A750" s="1353"/>
      <c r="B750" s="1353"/>
      <c r="C750" s="1353"/>
      <c r="D750" s="1353"/>
      <c r="E750" s="1353"/>
      <c r="F750" s="1353"/>
      <c r="G750" s="1353"/>
      <c r="H750" s="1353"/>
      <c r="I750" s="1353"/>
      <c r="J750" s="1353"/>
      <c r="K750" s="1387"/>
      <c r="L750" s="1353"/>
      <c r="M750" s="1353"/>
      <c r="N750" s="1353"/>
    </row>
    <row r="751" spans="1:14" x14ac:dyDescent="0.25">
      <c r="A751" s="1353"/>
      <c r="B751" s="1353"/>
      <c r="C751" s="1353"/>
      <c r="D751" s="1353"/>
      <c r="E751" s="1353"/>
      <c r="F751" s="1353"/>
      <c r="G751" s="1353"/>
      <c r="H751" s="1353"/>
      <c r="I751" s="1353"/>
      <c r="J751" s="1353"/>
      <c r="K751" s="1387"/>
      <c r="L751" s="1353"/>
      <c r="M751" s="1353"/>
      <c r="N751" s="1353"/>
    </row>
    <row r="752" spans="1:14" x14ac:dyDescent="0.25">
      <c r="A752" s="1353"/>
      <c r="B752" s="1353"/>
      <c r="C752" s="1353"/>
      <c r="D752" s="1353"/>
      <c r="E752" s="1353"/>
      <c r="F752" s="1353"/>
      <c r="G752" s="1353"/>
      <c r="H752" s="1353"/>
      <c r="I752" s="1353"/>
      <c r="J752" s="1353"/>
      <c r="K752" s="1387"/>
      <c r="L752" s="1353"/>
      <c r="M752" s="1353"/>
      <c r="N752" s="1353"/>
    </row>
    <row r="753" spans="1:14" x14ac:dyDescent="0.25">
      <c r="A753" s="1353"/>
      <c r="B753" s="1353"/>
      <c r="C753" s="1353"/>
      <c r="D753" s="1353"/>
      <c r="E753" s="1353"/>
      <c r="F753" s="1353"/>
      <c r="G753" s="1353"/>
      <c r="H753" s="1353"/>
      <c r="I753" s="1353"/>
      <c r="J753" s="1353"/>
      <c r="K753" s="1387"/>
      <c r="L753" s="1353"/>
      <c r="M753" s="1353"/>
      <c r="N753" s="1353"/>
    </row>
    <row r="754" spans="1:14" x14ac:dyDescent="0.25">
      <c r="A754" s="1353"/>
      <c r="B754" s="1353"/>
      <c r="C754" s="1353"/>
      <c r="D754" s="1353"/>
      <c r="E754" s="1353"/>
      <c r="F754" s="1353"/>
      <c r="G754" s="1353"/>
      <c r="H754" s="1353"/>
      <c r="I754" s="1353"/>
      <c r="J754" s="1353"/>
      <c r="K754" s="1387"/>
      <c r="L754" s="1353"/>
      <c r="M754" s="1353"/>
      <c r="N754" s="1353"/>
    </row>
    <row r="755" spans="1:14" x14ac:dyDescent="0.25">
      <c r="A755" s="1353"/>
      <c r="B755" s="1353"/>
      <c r="C755" s="1353"/>
      <c r="D755" s="1353"/>
      <c r="E755" s="1353"/>
      <c r="F755" s="1353"/>
      <c r="G755" s="1353"/>
      <c r="H755" s="1353"/>
      <c r="I755" s="1353"/>
      <c r="J755" s="1353"/>
      <c r="K755" s="1387"/>
      <c r="L755" s="1353"/>
      <c r="M755" s="1353"/>
      <c r="N755" s="1353"/>
    </row>
    <row r="756" spans="1:14" x14ac:dyDescent="0.25">
      <c r="A756" s="1353"/>
      <c r="B756" s="1353"/>
      <c r="C756" s="1353"/>
      <c r="D756" s="1353"/>
      <c r="E756" s="1353"/>
      <c r="F756" s="1353"/>
      <c r="G756" s="1353"/>
      <c r="H756" s="1353"/>
      <c r="I756" s="1353"/>
      <c r="J756" s="1353"/>
      <c r="K756" s="1387"/>
      <c r="L756" s="1353"/>
      <c r="M756" s="1353"/>
      <c r="N756" s="1353"/>
    </row>
    <row r="757" spans="1:14" x14ac:dyDescent="0.25">
      <c r="A757" s="1353"/>
      <c r="B757" s="1353"/>
      <c r="C757" s="1353"/>
      <c r="D757" s="1353"/>
      <c r="E757" s="1353"/>
      <c r="F757" s="1353"/>
      <c r="G757" s="1353"/>
      <c r="H757" s="1353"/>
      <c r="I757" s="1353"/>
      <c r="J757" s="1353"/>
      <c r="K757" s="1387"/>
      <c r="L757" s="1353"/>
      <c r="M757" s="1353"/>
      <c r="N757" s="1353"/>
    </row>
    <row r="758" spans="1:14" x14ac:dyDescent="0.25">
      <c r="A758" s="1353"/>
      <c r="B758" s="1353"/>
      <c r="C758" s="1353"/>
      <c r="D758" s="1353"/>
      <c r="E758" s="1353"/>
      <c r="F758" s="1353"/>
      <c r="G758" s="1353"/>
      <c r="H758" s="1353"/>
      <c r="I758" s="1353"/>
      <c r="J758" s="1353"/>
      <c r="K758" s="1387"/>
      <c r="L758" s="1353"/>
      <c r="M758" s="1353"/>
      <c r="N758" s="1353"/>
    </row>
    <row r="759" spans="1:14" x14ac:dyDescent="0.25">
      <c r="A759" s="1353"/>
      <c r="B759" s="1353"/>
      <c r="C759" s="1353"/>
      <c r="D759" s="1353"/>
      <c r="E759" s="1353"/>
      <c r="F759" s="1353"/>
      <c r="G759" s="1353"/>
      <c r="H759" s="1353"/>
      <c r="I759" s="1353"/>
      <c r="J759" s="1353"/>
      <c r="K759" s="1387"/>
      <c r="L759" s="1353"/>
      <c r="M759" s="1353"/>
      <c r="N759" s="1353"/>
    </row>
    <row r="760" spans="1:14" x14ac:dyDescent="0.25">
      <c r="A760" s="1353"/>
      <c r="B760" s="1353"/>
      <c r="C760" s="1353"/>
      <c r="D760" s="1353"/>
      <c r="E760" s="1353"/>
      <c r="F760" s="1353"/>
      <c r="G760" s="1353"/>
      <c r="H760" s="1353"/>
      <c r="I760" s="1353"/>
      <c r="J760" s="1353"/>
      <c r="K760" s="1387"/>
      <c r="L760" s="1353"/>
      <c r="M760" s="1353"/>
      <c r="N760" s="1353"/>
    </row>
    <row r="761" spans="1:14" x14ac:dyDescent="0.25">
      <c r="A761" s="1353"/>
      <c r="B761" s="1353"/>
      <c r="C761" s="1353"/>
      <c r="D761" s="1353"/>
      <c r="E761" s="1353"/>
      <c r="F761" s="1353"/>
      <c r="G761" s="1353"/>
      <c r="H761" s="1353"/>
      <c r="I761" s="1353"/>
      <c r="J761" s="1353"/>
      <c r="K761" s="1387"/>
      <c r="L761" s="1353"/>
      <c r="M761" s="1353"/>
      <c r="N761" s="1353"/>
    </row>
    <row r="762" spans="1:14" x14ac:dyDescent="0.25">
      <c r="A762" s="1353"/>
      <c r="B762" s="1353"/>
      <c r="C762" s="1353"/>
      <c r="D762" s="1353"/>
      <c r="E762" s="1353"/>
      <c r="F762" s="1353"/>
      <c r="G762" s="1353"/>
      <c r="H762" s="1353"/>
      <c r="I762" s="1353"/>
      <c r="J762" s="1353"/>
      <c r="K762" s="1387"/>
      <c r="L762" s="1353"/>
      <c r="M762" s="1353"/>
      <c r="N762" s="1353"/>
    </row>
    <row r="763" spans="1:14" x14ac:dyDescent="0.25">
      <c r="A763" s="1353"/>
      <c r="B763" s="1353"/>
      <c r="C763" s="1353"/>
      <c r="D763" s="1353"/>
      <c r="E763" s="1353"/>
      <c r="F763" s="1353"/>
      <c r="G763" s="1353"/>
      <c r="H763" s="1353"/>
      <c r="I763" s="1353"/>
      <c r="J763" s="1353"/>
      <c r="K763" s="1387"/>
      <c r="L763" s="1353"/>
      <c r="M763" s="1353"/>
      <c r="N763" s="1353"/>
    </row>
    <row r="764" spans="1:14" x14ac:dyDescent="0.25">
      <c r="A764" s="1353"/>
      <c r="B764" s="1353"/>
      <c r="C764" s="1353"/>
      <c r="D764" s="1353"/>
      <c r="E764" s="1353"/>
      <c r="F764" s="1353"/>
      <c r="G764" s="1353"/>
      <c r="H764" s="1353"/>
      <c r="I764" s="1353"/>
      <c r="J764" s="1353"/>
      <c r="K764" s="1387"/>
      <c r="L764" s="1353"/>
      <c r="M764" s="1353"/>
      <c r="N764" s="1353"/>
    </row>
    <row r="765" spans="1:14" x14ac:dyDescent="0.25">
      <c r="A765" s="1353"/>
      <c r="B765" s="1353"/>
      <c r="C765" s="1353"/>
      <c r="D765" s="1353"/>
      <c r="E765" s="1353"/>
      <c r="F765" s="1353"/>
      <c r="G765" s="1353"/>
      <c r="H765" s="1353"/>
      <c r="I765" s="1353"/>
      <c r="J765" s="1353"/>
      <c r="K765" s="1387"/>
      <c r="L765" s="1353"/>
      <c r="M765" s="1353"/>
      <c r="N765" s="1353"/>
    </row>
    <row r="766" spans="1:14" x14ac:dyDescent="0.25">
      <c r="A766" s="1353"/>
      <c r="B766" s="1353"/>
      <c r="C766" s="1353"/>
      <c r="D766" s="1353"/>
      <c r="E766" s="1353"/>
      <c r="F766" s="1353"/>
      <c r="G766" s="1353"/>
      <c r="H766" s="1353"/>
      <c r="I766" s="1353"/>
      <c r="J766" s="1353"/>
      <c r="K766" s="1387"/>
      <c r="L766" s="1353"/>
      <c r="M766" s="1353"/>
      <c r="N766" s="1353"/>
    </row>
    <row r="767" spans="1:14" x14ac:dyDescent="0.25">
      <c r="A767" s="1353"/>
      <c r="B767" s="1353"/>
      <c r="C767" s="1353"/>
      <c r="D767" s="1353"/>
      <c r="E767" s="1353"/>
      <c r="F767" s="1353"/>
      <c r="G767" s="1353"/>
      <c r="H767" s="1353"/>
      <c r="I767" s="1353"/>
      <c r="J767" s="1353"/>
      <c r="K767" s="1387"/>
      <c r="L767" s="1353"/>
      <c r="M767" s="1353"/>
      <c r="N767" s="1353"/>
    </row>
    <row r="768" spans="1:14" x14ac:dyDescent="0.25">
      <c r="A768" s="1353"/>
      <c r="B768" s="1353"/>
      <c r="C768" s="1353"/>
      <c r="D768" s="1353"/>
      <c r="E768" s="1353"/>
      <c r="F768" s="1353"/>
      <c r="G768" s="1353"/>
      <c r="H768" s="1353"/>
      <c r="I768" s="1353"/>
      <c r="J768" s="1353"/>
      <c r="K768" s="1387"/>
      <c r="L768" s="1353"/>
      <c r="M768" s="1353"/>
      <c r="N768" s="1353"/>
    </row>
    <row r="769" spans="1:14" x14ac:dyDescent="0.25">
      <c r="A769" s="1353"/>
      <c r="B769" s="1353"/>
      <c r="C769" s="1353"/>
      <c r="D769" s="1353"/>
      <c r="E769" s="1353"/>
      <c r="F769" s="1353"/>
      <c r="G769" s="1353"/>
      <c r="H769" s="1353"/>
      <c r="I769" s="1353"/>
      <c r="J769" s="1353"/>
      <c r="K769" s="1387"/>
      <c r="L769" s="1353"/>
      <c r="M769" s="1353"/>
      <c r="N769" s="1353"/>
    </row>
    <row r="770" spans="1:14" x14ac:dyDescent="0.25">
      <c r="A770" s="1353"/>
      <c r="B770" s="1353"/>
      <c r="C770" s="1353"/>
      <c r="D770" s="1353"/>
      <c r="E770" s="1353"/>
      <c r="F770" s="1353"/>
      <c r="G770" s="1353"/>
      <c r="H770" s="1353"/>
      <c r="I770" s="1353"/>
      <c r="J770" s="1353"/>
      <c r="K770" s="1387"/>
      <c r="L770" s="1353"/>
      <c r="M770" s="1353"/>
      <c r="N770" s="1353"/>
    </row>
    <row r="771" spans="1:14" x14ac:dyDescent="0.25">
      <c r="A771" s="1353"/>
      <c r="B771" s="1353"/>
      <c r="C771" s="1353"/>
      <c r="D771" s="1353"/>
      <c r="E771" s="1353"/>
      <c r="F771" s="1353"/>
      <c r="G771" s="1353"/>
      <c r="H771" s="1353"/>
      <c r="I771" s="1353"/>
      <c r="J771" s="1353"/>
      <c r="K771" s="1387"/>
      <c r="L771" s="1353"/>
      <c r="M771" s="1353"/>
      <c r="N771" s="1353"/>
    </row>
    <row r="772" spans="1:14" x14ac:dyDescent="0.25">
      <c r="A772" s="1353"/>
      <c r="B772" s="1353"/>
      <c r="C772" s="1353"/>
      <c r="D772" s="1353"/>
      <c r="E772" s="1353"/>
      <c r="F772" s="1353"/>
      <c r="G772" s="1353"/>
      <c r="H772" s="1353"/>
      <c r="I772" s="1353"/>
      <c r="J772" s="1353"/>
      <c r="K772" s="1387"/>
      <c r="L772" s="1353"/>
      <c r="M772" s="1353"/>
      <c r="N772" s="1353"/>
    </row>
    <row r="773" spans="1:14" x14ac:dyDescent="0.25">
      <c r="A773" s="1353"/>
      <c r="B773" s="1353"/>
      <c r="C773" s="1353"/>
      <c r="D773" s="1353"/>
      <c r="E773" s="1353"/>
      <c r="F773" s="1353"/>
      <c r="G773" s="1353"/>
      <c r="H773" s="1353"/>
      <c r="I773" s="1353"/>
      <c r="J773" s="1353"/>
      <c r="K773" s="1387"/>
      <c r="L773" s="1353"/>
      <c r="M773" s="1353"/>
      <c r="N773" s="1353"/>
    </row>
    <row r="774" spans="1:14" x14ac:dyDescent="0.25">
      <c r="A774" s="1353"/>
      <c r="B774" s="1353"/>
      <c r="C774" s="1353"/>
      <c r="D774" s="1353"/>
      <c r="E774" s="1353"/>
      <c r="F774" s="1353"/>
      <c r="G774" s="1353"/>
      <c r="H774" s="1353"/>
      <c r="I774" s="1353"/>
      <c r="J774" s="1353"/>
      <c r="K774" s="1387"/>
      <c r="L774" s="1353"/>
      <c r="M774" s="1353"/>
      <c r="N774" s="1353"/>
    </row>
    <row r="775" spans="1:14" x14ac:dyDescent="0.25">
      <c r="A775" s="1353"/>
      <c r="B775" s="1353"/>
      <c r="C775" s="1353"/>
      <c r="D775" s="1353"/>
      <c r="E775" s="1353"/>
      <c r="F775" s="1353"/>
      <c r="G775" s="1353"/>
      <c r="H775" s="1353"/>
      <c r="I775" s="1353"/>
      <c r="J775" s="1353"/>
      <c r="K775" s="1387"/>
      <c r="L775" s="1353"/>
      <c r="M775" s="1353"/>
      <c r="N775" s="1353"/>
    </row>
    <row r="776" spans="1:14" x14ac:dyDescent="0.25">
      <c r="A776" s="1353"/>
      <c r="B776" s="1353"/>
      <c r="C776" s="1353"/>
      <c r="D776" s="1353"/>
      <c r="E776" s="1353"/>
      <c r="F776" s="1353"/>
      <c r="G776" s="1353"/>
      <c r="H776" s="1353"/>
      <c r="I776" s="1353"/>
      <c r="J776" s="1353"/>
      <c r="K776" s="1387"/>
      <c r="L776" s="1353"/>
      <c r="M776" s="1353"/>
      <c r="N776" s="1353"/>
    </row>
    <row r="777" spans="1:14" x14ac:dyDescent="0.25">
      <c r="A777" s="1353"/>
      <c r="B777" s="1353"/>
      <c r="C777" s="1353"/>
      <c r="D777" s="1353"/>
      <c r="E777" s="1353"/>
      <c r="F777" s="1353"/>
      <c r="G777" s="1353"/>
      <c r="H777" s="1353"/>
      <c r="I777" s="1353"/>
      <c r="J777" s="1353"/>
      <c r="K777" s="1387"/>
      <c r="L777" s="1353"/>
      <c r="M777" s="1353"/>
      <c r="N777" s="1353"/>
    </row>
    <row r="778" spans="1:14" x14ac:dyDescent="0.25">
      <c r="A778" s="1353"/>
      <c r="B778" s="1353"/>
      <c r="C778" s="1353"/>
      <c r="D778" s="1353"/>
      <c r="E778" s="1353"/>
      <c r="F778" s="1353"/>
      <c r="G778" s="1353"/>
      <c r="H778" s="1353"/>
      <c r="I778" s="1353"/>
      <c r="J778" s="1353"/>
      <c r="K778" s="1387"/>
      <c r="L778" s="1353"/>
      <c r="M778" s="1353"/>
      <c r="N778" s="1353"/>
    </row>
    <row r="779" spans="1:14" x14ac:dyDescent="0.25">
      <c r="A779" s="1353"/>
      <c r="B779" s="1353"/>
      <c r="C779" s="1353"/>
      <c r="D779" s="1353"/>
      <c r="E779" s="1353"/>
      <c r="F779" s="1353"/>
      <c r="G779" s="1353"/>
      <c r="H779" s="1353"/>
      <c r="I779" s="1353"/>
      <c r="J779" s="1353"/>
      <c r="K779" s="1387"/>
      <c r="L779" s="1353"/>
      <c r="M779" s="1353"/>
      <c r="N779" s="1353"/>
    </row>
    <row r="780" spans="1:14" x14ac:dyDescent="0.25">
      <c r="A780" s="1353"/>
      <c r="B780" s="1353"/>
      <c r="C780" s="1353"/>
      <c r="D780" s="1353"/>
      <c r="E780" s="1353"/>
      <c r="F780" s="1353"/>
      <c r="G780" s="1353"/>
      <c r="H780" s="1353"/>
      <c r="I780" s="1353"/>
      <c r="J780" s="1353"/>
      <c r="K780" s="1387"/>
      <c r="L780" s="1353"/>
      <c r="M780" s="1353"/>
      <c r="N780" s="1353"/>
    </row>
    <row r="781" spans="1:14" x14ac:dyDescent="0.25">
      <c r="A781" s="1353"/>
      <c r="B781" s="1353"/>
      <c r="C781" s="1353"/>
      <c r="D781" s="1353"/>
      <c r="E781" s="1353"/>
      <c r="F781" s="1353"/>
      <c r="G781" s="1353"/>
      <c r="H781" s="1353"/>
      <c r="I781" s="1353"/>
      <c r="J781" s="1353"/>
      <c r="K781" s="1387"/>
      <c r="L781" s="1353"/>
      <c r="M781" s="1353"/>
      <c r="N781" s="1353"/>
    </row>
    <row r="782" spans="1:14" x14ac:dyDescent="0.25">
      <c r="A782" s="1353"/>
      <c r="B782" s="1353"/>
      <c r="C782" s="1353"/>
      <c r="D782" s="1353"/>
      <c r="E782" s="1353"/>
      <c r="F782" s="1353"/>
      <c r="G782" s="1353"/>
      <c r="H782" s="1353"/>
      <c r="I782" s="1353"/>
      <c r="J782" s="1353"/>
      <c r="K782" s="1387"/>
      <c r="L782" s="1353"/>
      <c r="M782" s="1353"/>
      <c r="N782" s="1353"/>
    </row>
    <row r="783" spans="1:14" x14ac:dyDescent="0.25">
      <c r="A783" s="1353"/>
      <c r="B783" s="1353"/>
      <c r="C783" s="1353"/>
      <c r="D783" s="1353"/>
      <c r="E783" s="1353"/>
      <c r="F783" s="1353"/>
      <c r="G783" s="1353"/>
      <c r="H783" s="1353"/>
      <c r="I783" s="1353"/>
      <c r="J783" s="1353"/>
      <c r="K783" s="1387"/>
      <c r="L783" s="1353"/>
      <c r="M783" s="1353"/>
      <c r="N783" s="1353"/>
    </row>
    <row r="784" spans="1:14" x14ac:dyDescent="0.25">
      <c r="A784" s="1353"/>
      <c r="B784" s="1353"/>
      <c r="C784" s="1353"/>
      <c r="D784" s="1353"/>
      <c r="E784" s="1353"/>
      <c r="F784" s="1353"/>
      <c r="G784" s="1353"/>
      <c r="H784" s="1353"/>
      <c r="I784" s="1353"/>
      <c r="J784" s="1353"/>
      <c r="K784" s="1387"/>
      <c r="L784" s="1353"/>
      <c r="M784" s="1353"/>
      <c r="N784" s="1353"/>
    </row>
    <row r="785" spans="1:14" x14ac:dyDescent="0.25">
      <c r="A785" s="1353"/>
      <c r="B785" s="1353"/>
      <c r="C785" s="1353"/>
      <c r="D785" s="1353"/>
      <c r="E785" s="1353"/>
      <c r="F785" s="1353"/>
      <c r="G785" s="1353"/>
      <c r="H785" s="1353"/>
      <c r="I785" s="1353"/>
      <c r="J785" s="1353"/>
      <c r="K785" s="1387"/>
      <c r="L785" s="1353"/>
      <c r="M785" s="1353"/>
      <c r="N785" s="1353"/>
    </row>
    <row r="786" spans="1:14" x14ac:dyDescent="0.25">
      <c r="A786" s="1353"/>
      <c r="B786" s="1353"/>
      <c r="C786" s="1353"/>
      <c r="D786" s="1353"/>
      <c r="E786" s="1353"/>
      <c r="F786" s="1353"/>
      <c r="G786" s="1353"/>
      <c r="H786" s="1353"/>
      <c r="I786" s="1353"/>
      <c r="J786" s="1353"/>
      <c r="K786" s="1387"/>
      <c r="L786" s="1353"/>
      <c r="M786" s="1353"/>
      <c r="N786" s="1353"/>
    </row>
    <row r="787" spans="1:14" x14ac:dyDescent="0.25">
      <c r="A787" s="1353"/>
      <c r="B787" s="1353"/>
      <c r="C787" s="1353"/>
      <c r="D787" s="1353"/>
      <c r="E787" s="1353"/>
      <c r="F787" s="1353"/>
      <c r="G787" s="1353"/>
      <c r="H787" s="1353"/>
      <c r="I787" s="1353"/>
      <c r="J787" s="1353"/>
      <c r="K787" s="1387"/>
      <c r="L787" s="1353"/>
      <c r="M787" s="1353"/>
      <c r="N787" s="1353"/>
    </row>
    <row r="788" spans="1:14" x14ac:dyDescent="0.25">
      <c r="A788" s="1353"/>
      <c r="B788" s="1353"/>
      <c r="C788" s="1353"/>
      <c r="D788" s="1353"/>
      <c r="E788" s="1353"/>
      <c r="F788" s="1353"/>
      <c r="G788" s="1353"/>
      <c r="H788" s="1353"/>
      <c r="I788" s="1353"/>
      <c r="J788" s="1353"/>
      <c r="K788" s="1387"/>
      <c r="L788" s="1353"/>
      <c r="M788" s="1353"/>
      <c r="N788" s="1353"/>
    </row>
    <row r="789" spans="1:14" x14ac:dyDescent="0.25">
      <c r="A789" s="1353"/>
      <c r="B789" s="1353"/>
      <c r="C789" s="1353"/>
      <c r="D789" s="1353"/>
      <c r="E789" s="1353"/>
      <c r="F789" s="1353"/>
      <c r="G789" s="1353"/>
      <c r="H789" s="1353"/>
      <c r="I789" s="1353"/>
      <c r="J789" s="1353"/>
      <c r="K789" s="1387"/>
      <c r="L789" s="1353"/>
      <c r="M789" s="1353"/>
      <c r="N789" s="1353"/>
    </row>
    <row r="790" spans="1:14" x14ac:dyDescent="0.25">
      <c r="A790" s="1353"/>
      <c r="B790" s="1353"/>
      <c r="C790" s="1353"/>
      <c r="D790" s="1353"/>
      <c r="E790" s="1353"/>
      <c r="F790" s="1353"/>
      <c r="G790" s="1353"/>
      <c r="H790" s="1353"/>
      <c r="I790" s="1353"/>
      <c r="J790" s="1353"/>
      <c r="K790" s="1387"/>
      <c r="L790" s="1353"/>
      <c r="M790" s="1353"/>
      <c r="N790" s="1353"/>
    </row>
    <row r="791" spans="1:14" x14ac:dyDescent="0.25">
      <c r="A791" s="1353"/>
      <c r="B791" s="1353"/>
      <c r="C791" s="1353"/>
      <c r="D791" s="1353"/>
      <c r="E791" s="1353"/>
      <c r="F791" s="1353"/>
      <c r="G791" s="1353"/>
      <c r="H791" s="1353"/>
      <c r="I791" s="1353"/>
      <c r="J791" s="1353"/>
      <c r="K791" s="1387"/>
      <c r="L791" s="1353"/>
      <c r="M791" s="1353"/>
      <c r="N791" s="1353"/>
    </row>
    <row r="792" spans="1:14" x14ac:dyDescent="0.25">
      <c r="A792" s="1353"/>
      <c r="B792" s="1353"/>
      <c r="C792" s="1353"/>
      <c r="D792" s="1353"/>
      <c r="E792" s="1353"/>
      <c r="F792" s="1353"/>
      <c r="G792" s="1353"/>
      <c r="H792" s="1353"/>
      <c r="I792" s="1353"/>
      <c r="J792" s="1353"/>
      <c r="K792" s="1387"/>
      <c r="L792" s="1353"/>
      <c r="M792" s="1353"/>
      <c r="N792" s="1353"/>
    </row>
    <row r="793" spans="1:14" x14ac:dyDescent="0.25">
      <c r="A793" s="1353"/>
      <c r="B793" s="1353"/>
      <c r="C793" s="1353"/>
      <c r="D793" s="1353"/>
      <c r="E793" s="1353"/>
      <c r="F793" s="1353"/>
      <c r="G793" s="1353"/>
      <c r="H793" s="1353"/>
      <c r="I793" s="1353"/>
      <c r="J793" s="1353"/>
      <c r="K793" s="1387"/>
      <c r="L793" s="1353"/>
      <c r="M793" s="1353"/>
      <c r="N793" s="1353"/>
    </row>
    <row r="794" spans="1:14" x14ac:dyDescent="0.25">
      <c r="A794" s="1353"/>
      <c r="B794" s="1353"/>
      <c r="C794" s="1353"/>
      <c r="D794" s="1353"/>
      <c r="E794" s="1353"/>
      <c r="F794" s="1353"/>
      <c r="G794" s="1353"/>
      <c r="H794" s="1353"/>
      <c r="I794" s="1353"/>
      <c r="J794" s="1353"/>
      <c r="K794" s="1387"/>
      <c r="L794" s="1353"/>
      <c r="M794" s="1353"/>
      <c r="N794" s="1353"/>
    </row>
    <row r="795" spans="1:14" x14ac:dyDescent="0.25">
      <c r="A795" s="1353"/>
      <c r="B795" s="1353"/>
      <c r="C795" s="1353"/>
      <c r="D795" s="1353"/>
      <c r="E795" s="1353"/>
      <c r="F795" s="1353"/>
      <c r="G795" s="1353"/>
      <c r="H795" s="1353"/>
      <c r="I795" s="1353"/>
      <c r="J795" s="1353"/>
      <c r="K795" s="1387"/>
      <c r="L795" s="1353"/>
      <c r="M795" s="1353"/>
      <c r="N795" s="1353"/>
    </row>
    <row r="796" spans="1:14" x14ac:dyDescent="0.25">
      <c r="A796" s="1353"/>
      <c r="B796" s="1353"/>
      <c r="C796" s="1353"/>
      <c r="D796" s="1353"/>
      <c r="E796" s="1353"/>
      <c r="F796" s="1353"/>
      <c r="G796" s="1353"/>
      <c r="H796" s="1353"/>
      <c r="I796" s="1353"/>
      <c r="J796" s="1353"/>
      <c r="K796" s="1387"/>
      <c r="L796" s="1353"/>
      <c r="M796" s="1353"/>
      <c r="N796" s="1353"/>
    </row>
    <row r="797" spans="1:14" x14ac:dyDescent="0.25">
      <c r="A797" s="1353"/>
      <c r="B797" s="1353"/>
      <c r="C797" s="1353"/>
      <c r="D797" s="1353"/>
      <c r="E797" s="1353"/>
      <c r="F797" s="1353"/>
      <c r="G797" s="1353"/>
      <c r="H797" s="1353"/>
      <c r="I797" s="1353"/>
      <c r="J797" s="1353"/>
      <c r="K797" s="1387"/>
      <c r="L797" s="1353"/>
      <c r="M797" s="1353"/>
      <c r="N797" s="1353"/>
    </row>
    <row r="798" spans="1:14" x14ac:dyDescent="0.25">
      <c r="A798" s="1353"/>
      <c r="B798" s="1353"/>
      <c r="C798" s="1353"/>
      <c r="D798" s="1353"/>
      <c r="E798" s="1353"/>
      <c r="F798" s="1353"/>
      <c r="G798" s="1353"/>
      <c r="H798" s="1353"/>
      <c r="I798" s="1353"/>
      <c r="J798" s="1353"/>
      <c r="K798" s="1387"/>
      <c r="L798" s="1353"/>
      <c r="M798" s="1353"/>
      <c r="N798" s="1353"/>
    </row>
    <row r="799" spans="1:14" x14ac:dyDescent="0.25">
      <c r="A799" s="1353"/>
      <c r="B799" s="1353"/>
      <c r="C799" s="1353"/>
      <c r="D799" s="1353"/>
      <c r="E799" s="1353"/>
      <c r="F799" s="1353"/>
      <c r="G799" s="1353"/>
      <c r="H799" s="1353"/>
      <c r="I799" s="1353"/>
      <c r="J799" s="1353"/>
      <c r="K799" s="1387"/>
      <c r="L799" s="1353"/>
      <c r="M799" s="1353"/>
      <c r="N799" s="1353"/>
    </row>
    <row r="800" spans="1:14" x14ac:dyDescent="0.25">
      <c r="A800" s="1353"/>
      <c r="B800" s="1353"/>
      <c r="C800" s="1353"/>
      <c r="D800" s="1353"/>
      <c r="E800" s="1353"/>
      <c r="F800" s="1353"/>
      <c r="G800" s="1353"/>
      <c r="H800" s="1353"/>
      <c r="I800" s="1353"/>
      <c r="J800" s="1353"/>
      <c r="K800" s="1387"/>
      <c r="L800" s="1353"/>
      <c r="M800" s="1353"/>
      <c r="N800" s="1353"/>
    </row>
    <row r="801" spans="1:14" x14ac:dyDescent="0.25">
      <c r="A801" s="1353"/>
      <c r="B801" s="1353"/>
      <c r="C801" s="1353"/>
      <c r="D801" s="1353"/>
      <c r="E801" s="1353"/>
      <c r="F801" s="1353"/>
      <c r="G801" s="1353"/>
      <c r="H801" s="1353"/>
      <c r="I801" s="1353"/>
      <c r="J801" s="1353"/>
      <c r="K801" s="1387"/>
      <c r="L801" s="1353"/>
      <c r="M801" s="1353"/>
      <c r="N801" s="1353"/>
    </row>
    <row r="802" spans="1:14" x14ac:dyDescent="0.25">
      <c r="A802" s="1353"/>
      <c r="B802" s="1353"/>
      <c r="C802" s="1353"/>
      <c r="D802" s="1353"/>
      <c r="E802" s="1353"/>
      <c r="F802" s="1353"/>
      <c r="G802" s="1353"/>
      <c r="H802" s="1353"/>
      <c r="I802" s="1353"/>
      <c r="J802" s="1353"/>
      <c r="K802" s="1387"/>
      <c r="L802" s="1353"/>
      <c r="M802" s="1353"/>
      <c r="N802" s="1353"/>
    </row>
    <row r="803" spans="1:14" x14ac:dyDescent="0.25">
      <c r="A803" s="1353"/>
      <c r="B803" s="1353"/>
      <c r="C803" s="1353"/>
      <c r="D803" s="1353"/>
      <c r="E803" s="1353"/>
      <c r="F803" s="1353"/>
      <c r="G803" s="1353"/>
      <c r="H803" s="1353"/>
      <c r="I803" s="1353"/>
      <c r="J803" s="1353"/>
      <c r="K803" s="1387"/>
      <c r="L803" s="1353"/>
      <c r="M803" s="1353"/>
      <c r="N803" s="1353"/>
    </row>
    <row r="804" spans="1:14" x14ac:dyDescent="0.25">
      <c r="A804" s="1353"/>
      <c r="B804" s="1353"/>
      <c r="C804" s="1353"/>
      <c r="D804" s="1353"/>
      <c r="E804" s="1353"/>
      <c r="F804" s="1353"/>
      <c r="G804" s="1353"/>
      <c r="H804" s="1353"/>
      <c r="I804" s="1353"/>
      <c r="J804" s="1353"/>
      <c r="K804" s="1387"/>
      <c r="L804" s="1353"/>
      <c r="M804" s="1353"/>
      <c r="N804" s="1353"/>
    </row>
    <row r="805" spans="1:14" x14ac:dyDescent="0.25">
      <c r="A805" s="1353"/>
      <c r="B805" s="1353"/>
      <c r="C805" s="1353"/>
      <c r="D805" s="1353"/>
      <c r="E805" s="1353"/>
      <c r="F805" s="1353"/>
      <c r="G805" s="1353"/>
      <c r="H805" s="1353"/>
      <c r="I805" s="1353"/>
      <c r="J805" s="1353"/>
      <c r="K805" s="1387"/>
      <c r="L805" s="1353"/>
      <c r="M805" s="1353"/>
      <c r="N805" s="1353"/>
    </row>
    <row r="806" spans="1:14" x14ac:dyDescent="0.25">
      <c r="A806" s="1353"/>
      <c r="B806" s="1353"/>
      <c r="C806" s="1353"/>
      <c r="D806" s="1353"/>
      <c r="E806" s="1353"/>
      <c r="F806" s="1353"/>
      <c r="G806" s="1353"/>
      <c r="H806" s="1353"/>
      <c r="I806" s="1353"/>
      <c r="J806" s="1353"/>
      <c r="K806" s="1387"/>
      <c r="L806" s="1353"/>
      <c r="M806" s="1353"/>
      <c r="N806" s="1353"/>
    </row>
    <row r="807" spans="1:14" x14ac:dyDescent="0.25">
      <c r="A807" s="1353"/>
      <c r="B807" s="1353"/>
      <c r="C807" s="1353"/>
      <c r="D807" s="1353"/>
      <c r="E807" s="1353"/>
      <c r="F807" s="1353"/>
      <c r="G807" s="1353"/>
      <c r="H807" s="1353"/>
      <c r="I807" s="1353"/>
      <c r="J807" s="1353"/>
      <c r="K807" s="1387"/>
      <c r="L807" s="1353"/>
      <c r="M807" s="1353"/>
      <c r="N807" s="1353"/>
    </row>
    <row r="808" spans="1:14" x14ac:dyDescent="0.25">
      <c r="A808" s="1353"/>
      <c r="B808" s="1353"/>
      <c r="C808" s="1353"/>
      <c r="D808" s="1353"/>
      <c r="E808" s="1353"/>
      <c r="F808" s="1353"/>
      <c r="G808" s="1353"/>
      <c r="H808" s="1353"/>
      <c r="I808" s="1353"/>
      <c r="J808" s="1353"/>
      <c r="K808" s="1387"/>
      <c r="L808" s="1353"/>
      <c r="M808" s="1353"/>
      <c r="N808" s="1353"/>
    </row>
    <row r="809" spans="1:14" x14ac:dyDescent="0.25">
      <c r="A809" s="1353"/>
      <c r="B809" s="1353"/>
      <c r="C809" s="1353"/>
      <c r="D809" s="1353"/>
      <c r="E809" s="1353"/>
      <c r="F809" s="1353"/>
      <c r="G809" s="1353"/>
      <c r="H809" s="1353"/>
      <c r="I809" s="1353"/>
      <c r="J809" s="1353"/>
      <c r="K809" s="1387"/>
      <c r="L809" s="1353"/>
      <c r="M809" s="1353"/>
      <c r="N809" s="1353"/>
    </row>
    <row r="810" spans="1:14" x14ac:dyDescent="0.25">
      <c r="A810" s="1353"/>
      <c r="B810" s="1353"/>
      <c r="C810" s="1353"/>
      <c r="D810" s="1353"/>
      <c r="E810" s="1353"/>
      <c r="F810" s="1353"/>
      <c r="G810" s="1353"/>
      <c r="H810" s="1353"/>
      <c r="I810" s="1353"/>
      <c r="J810" s="1353"/>
      <c r="K810" s="1387"/>
      <c r="L810" s="1353"/>
      <c r="M810" s="1353"/>
      <c r="N810" s="1353"/>
    </row>
    <row r="811" spans="1:14" x14ac:dyDescent="0.25">
      <c r="A811" s="1353"/>
      <c r="B811" s="1353"/>
      <c r="C811" s="1353"/>
      <c r="D811" s="1353"/>
      <c r="E811" s="1353"/>
      <c r="F811" s="1353"/>
      <c r="G811" s="1353"/>
      <c r="H811" s="1353"/>
      <c r="I811" s="1353"/>
      <c r="J811" s="1353"/>
      <c r="K811" s="1387"/>
      <c r="L811" s="1353"/>
      <c r="M811" s="1353"/>
      <c r="N811" s="1353"/>
    </row>
    <row r="812" spans="1:14" x14ac:dyDescent="0.25">
      <c r="A812" s="1353"/>
      <c r="B812" s="1353"/>
      <c r="C812" s="1353"/>
      <c r="D812" s="1353"/>
      <c r="E812" s="1353"/>
      <c r="F812" s="1353"/>
      <c r="G812" s="1353"/>
      <c r="H812" s="1353"/>
      <c r="I812" s="1353"/>
      <c r="J812" s="1353"/>
      <c r="K812" s="1387"/>
      <c r="L812" s="1353"/>
      <c r="M812" s="1353"/>
      <c r="N812" s="1353"/>
    </row>
    <row r="813" spans="1:14" x14ac:dyDescent="0.25">
      <c r="A813" s="1353"/>
      <c r="B813" s="1353"/>
      <c r="C813" s="1353"/>
      <c r="D813" s="1353"/>
      <c r="E813" s="1353"/>
      <c r="F813" s="1353"/>
      <c r="G813" s="1353"/>
      <c r="H813" s="1353"/>
      <c r="I813" s="1353"/>
      <c r="J813" s="1353"/>
      <c r="K813" s="1387"/>
      <c r="L813" s="1353"/>
      <c r="M813" s="1353"/>
      <c r="N813" s="1353"/>
    </row>
    <row r="814" spans="1:14" x14ac:dyDescent="0.25">
      <c r="A814" s="1353"/>
      <c r="B814" s="1353"/>
      <c r="C814" s="1353"/>
      <c r="D814" s="1353"/>
      <c r="E814" s="1353"/>
      <c r="F814" s="1353"/>
      <c r="G814" s="1353"/>
      <c r="H814" s="1353"/>
      <c r="I814" s="1353"/>
      <c r="J814" s="1353"/>
      <c r="K814" s="1387"/>
      <c r="L814" s="1353"/>
      <c r="M814" s="1353"/>
      <c r="N814" s="1353"/>
    </row>
    <row r="815" spans="1:14" x14ac:dyDescent="0.25">
      <c r="A815" s="1353"/>
      <c r="B815" s="1353"/>
      <c r="C815" s="1353"/>
      <c r="D815" s="1353"/>
      <c r="E815" s="1353"/>
      <c r="F815" s="1353"/>
      <c r="G815" s="1353"/>
      <c r="H815" s="1353"/>
      <c r="I815" s="1353"/>
      <c r="J815" s="1353"/>
      <c r="K815" s="1387"/>
      <c r="L815" s="1353"/>
      <c r="M815" s="1353"/>
      <c r="N815" s="1353"/>
    </row>
    <row r="816" spans="1:14" x14ac:dyDescent="0.25">
      <c r="A816" s="1353"/>
      <c r="B816" s="1353"/>
      <c r="C816" s="1353"/>
      <c r="D816" s="1353"/>
      <c r="E816" s="1353"/>
      <c r="F816" s="1353"/>
      <c r="G816" s="1353"/>
      <c r="H816" s="1353"/>
      <c r="I816" s="1353"/>
      <c r="J816" s="1353"/>
      <c r="K816" s="1387"/>
      <c r="L816" s="1353"/>
      <c r="M816" s="1353"/>
      <c r="N816" s="1353"/>
    </row>
    <row r="817" spans="1:14" x14ac:dyDescent="0.25">
      <c r="A817" s="1353"/>
      <c r="B817" s="1353"/>
      <c r="C817" s="1353"/>
      <c r="D817" s="1353"/>
      <c r="E817" s="1353"/>
      <c r="F817" s="1353"/>
      <c r="G817" s="1353"/>
      <c r="H817" s="1353"/>
      <c r="I817" s="1353"/>
      <c r="J817" s="1353"/>
      <c r="K817" s="1387"/>
      <c r="L817" s="1353"/>
      <c r="M817" s="1353"/>
      <c r="N817" s="1353"/>
    </row>
    <row r="818" spans="1:14" x14ac:dyDescent="0.25">
      <c r="A818" s="1353"/>
      <c r="B818" s="1353"/>
      <c r="C818" s="1353"/>
      <c r="D818" s="1353"/>
      <c r="E818" s="1353"/>
      <c r="F818" s="1353"/>
      <c r="G818" s="1353"/>
      <c r="H818" s="1353"/>
      <c r="I818" s="1353"/>
      <c r="J818" s="1353"/>
      <c r="K818" s="1387"/>
      <c r="L818" s="1353"/>
      <c r="M818" s="1353"/>
      <c r="N818" s="1353"/>
    </row>
    <row r="819" spans="1:14" x14ac:dyDescent="0.25">
      <c r="A819" s="1353"/>
      <c r="B819" s="1353"/>
      <c r="C819" s="1353"/>
      <c r="D819" s="1353"/>
      <c r="E819" s="1353"/>
      <c r="F819" s="1353"/>
      <c r="G819" s="1353"/>
      <c r="H819" s="1353"/>
      <c r="I819" s="1353"/>
      <c r="J819" s="1353"/>
      <c r="K819" s="1387"/>
      <c r="L819" s="1353"/>
      <c r="M819" s="1353"/>
      <c r="N819" s="1353"/>
    </row>
    <row r="820" spans="1:14" x14ac:dyDescent="0.25">
      <c r="A820" s="1353"/>
      <c r="B820" s="1353"/>
      <c r="C820" s="1353"/>
      <c r="D820" s="1353"/>
      <c r="E820" s="1353"/>
      <c r="F820" s="1353"/>
      <c r="G820" s="1353"/>
      <c r="H820" s="1353"/>
      <c r="I820" s="1353"/>
      <c r="J820" s="1353"/>
      <c r="K820" s="1387"/>
      <c r="L820" s="1353"/>
      <c r="M820" s="1353"/>
      <c r="N820" s="1353"/>
    </row>
    <row r="821" spans="1:14" x14ac:dyDescent="0.25">
      <c r="A821" s="1353"/>
      <c r="B821" s="1353"/>
      <c r="C821" s="1353"/>
      <c r="D821" s="1353"/>
      <c r="E821" s="1353"/>
      <c r="F821" s="1353"/>
      <c r="G821" s="1353"/>
      <c r="H821" s="1353"/>
      <c r="I821" s="1353"/>
      <c r="J821" s="1353"/>
      <c r="K821" s="1387"/>
      <c r="L821" s="1353"/>
      <c r="M821" s="1353"/>
      <c r="N821" s="1353"/>
    </row>
    <row r="822" spans="1:14" x14ac:dyDescent="0.25">
      <c r="A822" s="1353"/>
      <c r="B822" s="1353"/>
      <c r="C822" s="1353"/>
      <c r="D822" s="1353"/>
      <c r="E822" s="1353"/>
      <c r="F822" s="1353"/>
      <c r="G822" s="1353"/>
      <c r="H822" s="1353"/>
      <c r="I822" s="1353"/>
      <c r="J822" s="1353"/>
      <c r="K822" s="1387"/>
      <c r="L822" s="1353"/>
      <c r="M822" s="1353"/>
      <c r="N822" s="1353"/>
    </row>
    <row r="823" spans="1:14" x14ac:dyDescent="0.25">
      <c r="A823" s="1353"/>
      <c r="B823" s="1353"/>
      <c r="C823" s="1353"/>
      <c r="D823" s="1353"/>
      <c r="E823" s="1353"/>
      <c r="F823" s="1353"/>
      <c r="G823" s="1353"/>
      <c r="H823" s="1353"/>
      <c r="I823" s="1353"/>
      <c r="J823" s="1353"/>
      <c r="K823" s="1387"/>
      <c r="L823" s="1353"/>
      <c r="M823" s="1353"/>
      <c r="N823" s="1353"/>
    </row>
    <row r="824" spans="1:14" x14ac:dyDescent="0.25">
      <c r="A824" s="1353"/>
      <c r="B824" s="1353"/>
      <c r="C824" s="1353"/>
      <c r="D824" s="1353"/>
      <c r="E824" s="1353"/>
      <c r="F824" s="1353"/>
      <c r="G824" s="1353"/>
      <c r="H824" s="1353"/>
      <c r="I824" s="1353"/>
      <c r="J824" s="1353"/>
      <c r="K824" s="1387"/>
      <c r="L824" s="1353"/>
      <c r="M824" s="1353"/>
      <c r="N824" s="1353"/>
    </row>
    <row r="825" spans="1:14" x14ac:dyDescent="0.25">
      <c r="A825" s="1353"/>
      <c r="B825" s="1353"/>
      <c r="C825" s="1353"/>
      <c r="D825" s="1353"/>
      <c r="E825" s="1353"/>
      <c r="F825" s="1353"/>
      <c r="G825" s="1353"/>
      <c r="H825" s="1353"/>
      <c r="I825" s="1353"/>
      <c r="J825" s="1353"/>
      <c r="K825" s="1387"/>
      <c r="L825" s="1353"/>
      <c r="M825" s="1353"/>
      <c r="N825" s="1353"/>
    </row>
    <row r="826" spans="1:14" x14ac:dyDescent="0.25">
      <c r="A826" s="1353"/>
      <c r="B826" s="1353"/>
      <c r="C826" s="1353"/>
      <c r="D826" s="1353"/>
      <c r="E826" s="1353"/>
      <c r="F826" s="1353"/>
      <c r="G826" s="1353"/>
      <c r="H826" s="1353"/>
      <c r="I826" s="1353"/>
      <c r="J826" s="1353"/>
      <c r="K826" s="1387"/>
      <c r="L826" s="1353"/>
      <c r="M826" s="1353"/>
      <c r="N826" s="1353"/>
    </row>
    <row r="827" spans="1:14" x14ac:dyDescent="0.25">
      <c r="A827" s="1353"/>
      <c r="B827" s="1353"/>
      <c r="C827" s="1353"/>
      <c r="D827" s="1353"/>
      <c r="E827" s="1353"/>
      <c r="F827" s="1353"/>
      <c r="G827" s="1353"/>
      <c r="H827" s="1353"/>
      <c r="I827" s="1353"/>
      <c r="J827" s="1353"/>
      <c r="K827" s="1387"/>
      <c r="L827" s="1353"/>
      <c r="M827" s="1353"/>
      <c r="N827" s="1353"/>
    </row>
    <row r="828" spans="1:14" x14ac:dyDescent="0.25">
      <c r="A828" s="1353"/>
      <c r="B828" s="1353"/>
      <c r="C828" s="1353"/>
      <c r="D828" s="1353"/>
      <c r="E828" s="1353"/>
      <c r="F828" s="1353"/>
      <c r="G828" s="1353"/>
      <c r="H828" s="1353"/>
      <c r="I828" s="1353"/>
      <c r="J828" s="1353"/>
      <c r="K828" s="1387"/>
      <c r="L828" s="1353"/>
      <c r="M828" s="1353"/>
      <c r="N828" s="1353"/>
    </row>
    <row r="829" spans="1:14" x14ac:dyDescent="0.25">
      <c r="A829" s="1353"/>
      <c r="B829" s="1353"/>
      <c r="C829" s="1353"/>
      <c r="D829" s="1353"/>
      <c r="E829" s="1353"/>
      <c r="F829" s="1353"/>
      <c r="G829" s="1353"/>
      <c r="H829" s="1353"/>
      <c r="I829" s="1353"/>
      <c r="J829" s="1353"/>
      <c r="K829" s="1387"/>
      <c r="L829" s="1353"/>
      <c r="M829" s="1353"/>
      <c r="N829" s="1353"/>
    </row>
    <row r="830" spans="1:14" x14ac:dyDescent="0.25">
      <c r="A830" s="1353"/>
      <c r="B830" s="1353"/>
      <c r="C830" s="1353"/>
      <c r="D830" s="1353"/>
      <c r="E830" s="1353"/>
      <c r="F830" s="1353"/>
      <c r="G830" s="1353"/>
      <c r="H830" s="1353"/>
      <c r="I830" s="1353"/>
      <c r="J830" s="1353"/>
      <c r="K830" s="1387"/>
      <c r="L830" s="1353"/>
      <c r="M830" s="1353"/>
      <c r="N830" s="1353"/>
    </row>
    <row r="831" spans="1:14" x14ac:dyDescent="0.25">
      <c r="A831" s="1353"/>
      <c r="B831" s="1353"/>
      <c r="C831" s="1353"/>
      <c r="D831" s="1353"/>
      <c r="E831" s="1353"/>
      <c r="F831" s="1353"/>
      <c r="G831" s="1353"/>
      <c r="H831" s="1353"/>
      <c r="I831" s="1353"/>
      <c r="J831" s="1353"/>
      <c r="K831" s="1387"/>
      <c r="L831" s="1353"/>
      <c r="M831" s="1353"/>
      <c r="N831" s="1353"/>
    </row>
    <row r="832" spans="1:14" x14ac:dyDescent="0.25">
      <c r="A832" s="1353"/>
      <c r="B832" s="1353"/>
      <c r="C832" s="1353"/>
      <c r="D832" s="1353"/>
      <c r="E832" s="1353"/>
      <c r="F832" s="1353"/>
      <c r="G832" s="1353"/>
      <c r="H832" s="1353"/>
      <c r="I832" s="1353"/>
      <c r="J832" s="1353"/>
      <c r="K832" s="1387"/>
      <c r="L832" s="1353"/>
      <c r="M832" s="1353"/>
      <c r="N832" s="1353"/>
    </row>
    <row r="833" spans="1:14" x14ac:dyDescent="0.25">
      <c r="A833" s="1353"/>
      <c r="B833" s="1353"/>
      <c r="C833" s="1353"/>
      <c r="D833" s="1353"/>
      <c r="E833" s="1353"/>
      <c r="F833" s="1353"/>
      <c r="G833" s="1353"/>
      <c r="H833" s="1353"/>
      <c r="I833" s="1353"/>
      <c r="J833" s="1353"/>
      <c r="K833" s="1387"/>
      <c r="L833" s="1353"/>
      <c r="M833" s="1353"/>
      <c r="N833" s="1353"/>
    </row>
    <row r="834" spans="1:14" x14ac:dyDescent="0.25">
      <c r="A834" s="1353"/>
      <c r="B834" s="1353"/>
      <c r="C834" s="1353"/>
      <c r="D834" s="1353"/>
      <c r="E834" s="1353"/>
      <c r="F834" s="1353"/>
      <c r="G834" s="1353"/>
      <c r="H834" s="1353"/>
      <c r="I834" s="1353"/>
      <c r="J834" s="1353"/>
      <c r="K834" s="1387"/>
      <c r="L834" s="1353"/>
      <c r="M834" s="1353"/>
      <c r="N834" s="1353"/>
    </row>
    <row r="835" spans="1:14" x14ac:dyDescent="0.25">
      <c r="A835" s="1353"/>
      <c r="B835" s="1353"/>
      <c r="C835" s="1353"/>
      <c r="D835" s="1353"/>
      <c r="E835" s="1353"/>
      <c r="F835" s="1353"/>
      <c r="G835" s="1353"/>
      <c r="H835" s="1353"/>
      <c r="I835" s="1353"/>
      <c r="J835" s="1353"/>
      <c r="K835" s="1387"/>
      <c r="L835" s="1353"/>
      <c r="M835" s="1353"/>
      <c r="N835" s="1353"/>
    </row>
    <row r="836" spans="1:14" x14ac:dyDescent="0.25">
      <c r="A836" s="1353"/>
      <c r="B836" s="1353"/>
      <c r="C836" s="1353"/>
      <c r="D836" s="1353"/>
      <c r="E836" s="1353"/>
      <c r="F836" s="1353"/>
      <c r="G836" s="1353"/>
      <c r="H836" s="1353"/>
      <c r="I836" s="1353"/>
      <c r="J836" s="1353"/>
      <c r="K836" s="1387"/>
      <c r="L836" s="1353"/>
      <c r="M836" s="1353"/>
      <c r="N836" s="1353"/>
    </row>
    <row r="837" spans="1:14" x14ac:dyDescent="0.25">
      <c r="A837" s="1353"/>
      <c r="B837" s="1353"/>
      <c r="C837" s="1353"/>
      <c r="D837" s="1353"/>
      <c r="E837" s="1353"/>
      <c r="F837" s="1353"/>
      <c r="G837" s="1353"/>
      <c r="H837" s="1353"/>
      <c r="I837" s="1353"/>
      <c r="J837" s="1353"/>
      <c r="K837" s="1387"/>
      <c r="L837" s="1353"/>
      <c r="M837" s="1353"/>
      <c r="N837" s="1353"/>
    </row>
    <row r="838" spans="1:14" x14ac:dyDescent="0.25">
      <c r="A838" s="1353"/>
      <c r="B838" s="1353"/>
      <c r="C838" s="1353"/>
      <c r="D838" s="1353"/>
      <c r="E838" s="1353"/>
      <c r="F838" s="1353"/>
      <c r="G838" s="1353"/>
      <c r="H838" s="1353"/>
      <c r="I838" s="1353"/>
      <c r="J838" s="1353"/>
      <c r="K838" s="1387"/>
      <c r="L838" s="1353"/>
      <c r="M838" s="1353"/>
      <c r="N838" s="1353"/>
    </row>
    <row r="839" spans="1:14" x14ac:dyDescent="0.25">
      <c r="A839" s="1353"/>
      <c r="B839" s="1353"/>
      <c r="C839" s="1353"/>
      <c r="D839" s="1353"/>
      <c r="E839" s="1353"/>
      <c r="F839" s="1353"/>
      <c r="G839" s="1353"/>
      <c r="H839" s="1353"/>
      <c r="I839" s="1353"/>
      <c r="J839" s="1353"/>
      <c r="K839" s="1387"/>
      <c r="L839" s="1353"/>
      <c r="M839" s="1353"/>
      <c r="N839" s="1353"/>
    </row>
    <row r="840" spans="1:14" x14ac:dyDescent="0.25">
      <c r="A840" s="1353"/>
      <c r="B840" s="1353"/>
      <c r="C840" s="1353"/>
      <c r="D840" s="1353"/>
      <c r="E840" s="1353"/>
      <c r="F840" s="1353"/>
      <c r="G840" s="1353"/>
      <c r="H840" s="1353"/>
      <c r="I840" s="1353"/>
      <c r="J840" s="1353"/>
      <c r="K840" s="1387"/>
      <c r="L840" s="1353"/>
      <c r="M840" s="1353"/>
      <c r="N840" s="1353"/>
    </row>
    <row r="841" spans="1:14" x14ac:dyDescent="0.25">
      <c r="A841" s="1353"/>
      <c r="B841" s="1353"/>
      <c r="C841" s="1353"/>
      <c r="D841" s="1353"/>
      <c r="E841" s="1353"/>
      <c r="F841" s="1353"/>
      <c r="G841" s="1353"/>
      <c r="H841" s="1353"/>
      <c r="I841" s="1353"/>
      <c r="J841" s="1353"/>
      <c r="K841" s="1387"/>
      <c r="L841" s="1353"/>
      <c r="M841" s="1353"/>
      <c r="N841" s="1353"/>
    </row>
    <row r="842" spans="1:14" x14ac:dyDescent="0.25">
      <c r="A842" s="1353"/>
      <c r="B842" s="1353"/>
      <c r="C842" s="1353"/>
      <c r="D842" s="1353"/>
      <c r="E842" s="1353"/>
      <c r="F842" s="1353"/>
      <c r="G842" s="1353"/>
      <c r="H842" s="1353"/>
      <c r="I842" s="1353"/>
      <c r="J842" s="1353"/>
      <c r="K842" s="1387"/>
      <c r="L842" s="1353"/>
      <c r="M842" s="1353"/>
      <c r="N842" s="1353"/>
    </row>
    <row r="843" spans="1:14" x14ac:dyDescent="0.25">
      <c r="A843" s="1353"/>
      <c r="B843" s="1353"/>
      <c r="C843" s="1353"/>
      <c r="D843" s="1353"/>
      <c r="E843" s="1353"/>
      <c r="F843" s="1353"/>
      <c r="G843" s="1353"/>
      <c r="H843" s="1353"/>
      <c r="I843" s="1353"/>
      <c r="J843" s="1353"/>
      <c r="K843" s="1387"/>
      <c r="L843" s="1353"/>
      <c r="M843" s="1353"/>
      <c r="N843" s="1353"/>
    </row>
    <row r="844" spans="1:14" x14ac:dyDescent="0.25">
      <c r="A844" s="1353"/>
      <c r="B844" s="1353"/>
      <c r="C844" s="1353"/>
      <c r="D844" s="1353"/>
      <c r="E844" s="1353"/>
      <c r="F844" s="1353"/>
      <c r="G844" s="1353"/>
      <c r="H844" s="1353"/>
      <c r="I844" s="1353"/>
      <c r="J844" s="1353"/>
      <c r="K844" s="1387"/>
      <c r="L844" s="1353"/>
      <c r="M844" s="1353"/>
      <c r="N844" s="1353"/>
    </row>
    <row r="845" spans="1:14" x14ac:dyDescent="0.25">
      <c r="A845" s="1353"/>
      <c r="B845" s="1353"/>
      <c r="C845" s="1353"/>
      <c r="D845" s="1353"/>
      <c r="E845" s="1353"/>
      <c r="F845" s="1353"/>
      <c r="G845" s="1353"/>
      <c r="H845" s="1353"/>
      <c r="I845" s="1353"/>
      <c r="J845" s="1353"/>
      <c r="K845" s="1387"/>
      <c r="L845" s="1353"/>
      <c r="M845" s="1353"/>
      <c r="N845" s="1353"/>
    </row>
    <row r="846" spans="1:14" x14ac:dyDescent="0.25">
      <c r="A846" s="1353"/>
      <c r="B846" s="1353"/>
      <c r="C846" s="1353"/>
      <c r="D846" s="1353"/>
      <c r="E846" s="1353"/>
      <c r="F846" s="1353"/>
      <c r="G846" s="1353"/>
      <c r="H846" s="1353"/>
      <c r="I846" s="1353"/>
      <c r="J846" s="1353"/>
      <c r="K846" s="1387"/>
      <c r="L846" s="1353"/>
      <c r="M846" s="1353"/>
      <c r="N846" s="1353"/>
    </row>
    <row r="847" spans="1:14" x14ac:dyDescent="0.25">
      <c r="A847" s="1353"/>
      <c r="B847" s="1353"/>
      <c r="C847" s="1353"/>
      <c r="D847" s="1353"/>
      <c r="E847" s="1353"/>
      <c r="F847" s="1353"/>
      <c r="G847" s="1353"/>
      <c r="H847" s="1353"/>
      <c r="I847" s="1353"/>
      <c r="J847" s="1353"/>
      <c r="K847" s="1387"/>
      <c r="L847" s="1353"/>
      <c r="M847" s="1353"/>
      <c r="N847" s="1353"/>
    </row>
    <row r="848" spans="1:14" x14ac:dyDescent="0.25">
      <c r="A848" s="1353"/>
      <c r="B848" s="1353"/>
      <c r="C848" s="1353"/>
      <c r="D848" s="1353"/>
      <c r="E848" s="1353"/>
      <c r="F848" s="1353"/>
      <c r="G848" s="1353"/>
      <c r="H848" s="1353"/>
      <c r="I848" s="1353"/>
      <c r="J848" s="1353"/>
      <c r="K848" s="1387"/>
      <c r="L848" s="1353"/>
      <c r="M848" s="1353"/>
      <c r="N848" s="1353"/>
    </row>
    <row r="849" spans="1:14" x14ac:dyDescent="0.25">
      <c r="A849" s="1353"/>
      <c r="B849" s="1353"/>
      <c r="C849" s="1353"/>
      <c r="D849" s="1353"/>
      <c r="E849" s="1353"/>
      <c r="F849" s="1353"/>
      <c r="G849" s="1353"/>
      <c r="H849" s="1353"/>
      <c r="I849" s="1353"/>
      <c r="J849" s="1353"/>
      <c r="K849" s="1387"/>
      <c r="L849" s="1353"/>
      <c r="M849" s="1353"/>
      <c r="N849" s="1353"/>
    </row>
    <row r="850" spans="1:14" x14ac:dyDescent="0.25">
      <c r="A850" s="1353"/>
      <c r="B850" s="1353"/>
      <c r="C850" s="1353"/>
      <c r="D850" s="1353"/>
      <c r="E850" s="1353"/>
      <c r="F850" s="1353"/>
      <c r="G850" s="1353"/>
      <c r="H850" s="1353"/>
      <c r="I850" s="1353"/>
      <c r="J850" s="1353"/>
      <c r="K850" s="1387"/>
      <c r="L850" s="1353"/>
      <c r="M850" s="1353"/>
      <c r="N850" s="1353"/>
    </row>
    <row r="851" spans="1:14" x14ac:dyDescent="0.25">
      <c r="A851" s="1353"/>
      <c r="B851" s="1353"/>
      <c r="C851" s="1353"/>
      <c r="D851" s="1353"/>
      <c r="E851" s="1353"/>
      <c r="F851" s="1353"/>
      <c r="G851" s="1353"/>
      <c r="H851" s="1353"/>
      <c r="I851" s="1353"/>
      <c r="J851" s="1353"/>
      <c r="K851" s="1387"/>
      <c r="L851" s="1353"/>
      <c r="M851" s="1353"/>
      <c r="N851" s="1353"/>
    </row>
    <row r="852" spans="1:14" x14ac:dyDescent="0.25">
      <c r="A852" s="1353"/>
      <c r="B852" s="1353"/>
      <c r="C852" s="1353"/>
      <c r="D852" s="1353"/>
      <c r="E852" s="1353"/>
      <c r="F852" s="1353"/>
      <c r="G852" s="1353"/>
      <c r="H852" s="1353"/>
      <c r="I852" s="1353"/>
      <c r="J852" s="1353"/>
      <c r="K852" s="1387"/>
      <c r="L852" s="1353"/>
      <c r="M852" s="1353"/>
      <c r="N852" s="1353"/>
    </row>
    <row r="853" spans="1:14" x14ac:dyDescent="0.25">
      <c r="A853" s="1353"/>
      <c r="B853" s="1353"/>
      <c r="C853" s="1353"/>
      <c r="D853" s="1353"/>
      <c r="E853" s="1353"/>
      <c r="F853" s="1353"/>
      <c r="G853" s="1353"/>
      <c r="H853" s="1353"/>
      <c r="I853" s="1353"/>
      <c r="J853" s="1353"/>
      <c r="K853" s="1387"/>
      <c r="L853" s="1353"/>
      <c r="M853" s="1353"/>
      <c r="N853" s="1353"/>
    </row>
    <row r="854" spans="1:14" x14ac:dyDescent="0.25">
      <c r="A854" s="1353"/>
      <c r="B854" s="1353"/>
      <c r="C854" s="1353"/>
      <c r="D854" s="1353"/>
      <c r="E854" s="1353"/>
      <c r="F854" s="1353"/>
      <c r="G854" s="1353"/>
      <c r="H854" s="1353"/>
      <c r="I854" s="1353"/>
      <c r="J854" s="1353"/>
      <c r="K854" s="1387"/>
      <c r="L854" s="1353"/>
      <c r="M854" s="1353"/>
      <c r="N854" s="1353"/>
    </row>
    <row r="855" spans="1:14" x14ac:dyDescent="0.25">
      <c r="A855" s="1353"/>
      <c r="B855" s="1353"/>
      <c r="C855" s="1353"/>
      <c r="D855" s="1353"/>
      <c r="E855" s="1353"/>
      <c r="F855" s="1353"/>
      <c r="G855" s="1353"/>
      <c r="H855" s="1353"/>
      <c r="I855" s="1353"/>
      <c r="J855" s="1353"/>
      <c r="K855" s="1387"/>
      <c r="L855" s="1353"/>
      <c r="M855" s="1353"/>
      <c r="N855" s="1353"/>
    </row>
    <row r="856" spans="1:14" x14ac:dyDescent="0.25">
      <c r="A856" s="1353"/>
      <c r="B856" s="1353"/>
      <c r="C856" s="1353"/>
      <c r="D856" s="1353"/>
      <c r="E856" s="1353"/>
      <c r="F856" s="1353"/>
      <c r="G856" s="1353"/>
      <c r="H856" s="1353"/>
      <c r="I856" s="1353"/>
      <c r="J856" s="1353"/>
      <c r="K856" s="1387"/>
      <c r="L856" s="1353"/>
      <c r="M856" s="1353"/>
      <c r="N856" s="1353"/>
    </row>
    <row r="857" spans="1:14" x14ac:dyDescent="0.25">
      <c r="A857" s="1353"/>
      <c r="B857" s="1353"/>
      <c r="C857" s="1353"/>
      <c r="D857" s="1353"/>
      <c r="E857" s="1353"/>
      <c r="F857" s="1353"/>
      <c r="G857" s="1353"/>
      <c r="H857" s="1353"/>
      <c r="I857" s="1353"/>
      <c r="J857" s="1353"/>
      <c r="K857" s="1387"/>
      <c r="L857" s="1353"/>
      <c r="M857" s="1353"/>
      <c r="N857" s="1353"/>
    </row>
    <row r="858" spans="1:14" x14ac:dyDescent="0.25">
      <c r="A858" s="1353"/>
      <c r="B858" s="1353"/>
      <c r="C858" s="1353"/>
      <c r="D858" s="1353"/>
      <c r="E858" s="1353"/>
      <c r="F858" s="1353"/>
      <c r="G858" s="1353"/>
      <c r="H858" s="1353"/>
      <c r="I858" s="1353"/>
      <c r="J858" s="1353"/>
      <c r="K858" s="1387"/>
      <c r="L858" s="1353"/>
      <c r="M858" s="1353"/>
      <c r="N858" s="1353"/>
    </row>
    <row r="859" spans="1:14" x14ac:dyDescent="0.25">
      <c r="A859" s="1353"/>
      <c r="B859" s="1353"/>
      <c r="C859" s="1353"/>
      <c r="D859" s="1353"/>
      <c r="E859" s="1353"/>
      <c r="F859" s="1353"/>
      <c r="G859" s="1353"/>
      <c r="H859" s="1353"/>
      <c r="I859" s="1353"/>
      <c r="J859" s="1353"/>
      <c r="K859" s="1387"/>
      <c r="L859" s="1353"/>
      <c r="M859" s="1353"/>
      <c r="N859" s="1353"/>
    </row>
    <row r="860" spans="1:14" x14ac:dyDescent="0.25">
      <c r="A860" s="1353"/>
      <c r="B860" s="1353"/>
      <c r="C860" s="1353"/>
      <c r="D860" s="1353"/>
      <c r="E860" s="1353"/>
      <c r="F860" s="1353"/>
      <c r="G860" s="1353"/>
      <c r="H860" s="1353"/>
      <c r="I860" s="1353"/>
      <c r="J860" s="1353"/>
      <c r="K860" s="1387"/>
      <c r="L860" s="1353"/>
      <c r="M860" s="1353"/>
      <c r="N860" s="1353"/>
    </row>
    <row r="861" spans="1:14" x14ac:dyDescent="0.25">
      <c r="A861" s="1353"/>
      <c r="B861" s="1353"/>
      <c r="C861" s="1353"/>
      <c r="D861" s="1353"/>
      <c r="E861" s="1353"/>
      <c r="F861" s="1353"/>
      <c r="G861" s="1353"/>
      <c r="H861" s="1353"/>
      <c r="I861" s="1353"/>
      <c r="J861" s="1353"/>
      <c r="K861" s="1387"/>
      <c r="L861" s="1353"/>
      <c r="M861" s="1353"/>
      <c r="N861" s="1353"/>
    </row>
    <row r="862" spans="1:14" x14ac:dyDescent="0.25">
      <c r="A862" s="1353"/>
      <c r="B862" s="1353"/>
      <c r="C862" s="1353"/>
      <c r="D862" s="1353"/>
      <c r="E862" s="1353"/>
      <c r="F862" s="1353"/>
      <c r="G862" s="1353"/>
      <c r="H862" s="1353"/>
      <c r="I862" s="1353"/>
      <c r="J862" s="1353"/>
      <c r="K862" s="1387"/>
      <c r="L862" s="1353"/>
      <c r="M862" s="1353"/>
      <c r="N862" s="1353"/>
    </row>
    <row r="863" spans="1:14" x14ac:dyDescent="0.25">
      <c r="A863" s="1353"/>
      <c r="B863" s="1353"/>
      <c r="C863" s="1353"/>
      <c r="D863" s="1353"/>
      <c r="E863" s="1353"/>
      <c r="F863" s="1353"/>
      <c r="G863" s="1353"/>
      <c r="H863" s="1353"/>
      <c r="I863" s="1353"/>
      <c r="J863" s="1353"/>
      <c r="K863" s="1387"/>
      <c r="L863" s="1353"/>
      <c r="M863" s="1353"/>
      <c r="N863" s="1353"/>
    </row>
    <row r="864" spans="1:14" x14ac:dyDescent="0.25">
      <c r="A864" s="1353"/>
      <c r="B864" s="1353"/>
      <c r="C864" s="1353"/>
      <c r="D864" s="1353"/>
      <c r="E864" s="1353"/>
      <c r="F864" s="1353"/>
      <c r="G864" s="1353"/>
      <c r="H864" s="1353"/>
      <c r="I864" s="1353"/>
      <c r="J864" s="1353"/>
      <c r="K864" s="1387"/>
      <c r="L864" s="1353"/>
      <c r="M864" s="1353"/>
      <c r="N864" s="1353"/>
    </row>
    <row r="865" spans="1:14" x14ac:dyDescent="0.25">
      <c r="A865" s="1353"/>
      <c r="B865" s="1353"/>
      <c r="C865" s="1353"/>
      <c r="D865" s="1353"/>
      <c r="E865" s="1353"/>
      <c r="F865" s="1353"/>
      <c r="G865" s="1353"/>
      <c r="H865" s="1353"/>
      <c r="I865" s="1353"/>
      <c r="J865" s="1353"/>
      <c r="K865" s="1387"/>
      <c r="L865" s="1353"/>
      <c r="M865" s="1353"/>
      <c r="N865" s="1353"/>
    </row>
    <row r="866" spans="1:14" x14ac:dyDescent="0.25">
      <c r="A866" s="1353"/>
      <c r="B866" s="1353"/>
      <c r="C866" s="1353"/>
      <c r="D866" s="1353"/>
      <c r="E866" s="1353"/>
      <c r="F866" s="1353"/>
      <c r="G866" s="1353"/>
      <c r="H866" s="1353"/>
      <c r="I866" s="1353"/>
      <c r="J866" s="1353"/>
      <c r="K866" s="1387"/>
      <c r="L866" s="1353"/>
      <c r="M866" s="1353"/>
      <c r="N866" s="1353"/>
    </row>
    <row r="867" spans="1:14" x14ac:dyDescent="0.25">
      <c r="A867" s="1353"/>
      <c r="B867" s="1353"/>
      <c r="C867" s="1353"/>
      <c r="D867" s="1353"/>
      <c r="E867" s="1353"/>
      <c r="F867" s="1353"/>
      <c r="G867" s="1353"/>
      <c r="H867" s="1353"/>
      <c r="I867" s="1353"/>
      <c r="J867" s="1353"/>
      <c r="K867" s="1387"/>
      <c r="L867" s="1353"/>
      <c r="M867" s="1353"/>
      <c r="N867" s="1353"/>
    </row>
    <row r="868" spans="1:14" x14ac:dyDescent="0.25">
      <c r="A868" s="1353"/>
      <c r="B868" s="1353"/>
      <c r="C868" s="1353"/>
      <c r="D868" s="1353"/>
      <c r="E868" s="1353"/>
      <c r="F868" s="1353"/>
      <c r="G868" s="1353"/>
      <c r="H868" s="1353"/>
      <c r="I868" s="1353"/>
      <c r="J868" s="1353"/>
      <c r="K868" s="1387"/>
      <c r="L868" s="1353"/>
      <c r="M868" s="1353"/>
      <c r="N868" s="1353"/>
    </row>
    <row r="869" spans="1:14" x14ac:dyDescent="0.25">
      <c r="A869" s="1353"/>
      <c r="B869" s="1353"/>
      <c r="C869" s="1353"/>
      <c r="D869" s="1353"/>
      <c r="E869" s="1353"/>
      <c r="F869" s="1353"/>
      <c r="G869" s="1353"/>
      <c r="H869" s="1353"/>
      <c r="I869" s="1353"/>
      <c r="J869" s="1353"/>
      <c r="K869" s="1387"/>
      <c r="L869" s="1353"/>
      <c r="M869" s="1353"/>
      <c r="N869" s="1353"/>
    </row>
    <row r="870" spans="1:14" x14ac:dyDescent="0.25">
      <c r="A870" s="1353"/>
      <c r="B870" s="1353"/>
      <c r="C870" s="1353"/>
      <c r="D870" s="1353"/>
      <c r="E870" s="1353"/>
      <c r="F870" s="1353"/>
      <c r="G870" s="1353"/>
      <c r="H870" s="1353"/>
      <c r="I870" s="1353"/>
      <c r="J870" s="1353"/>
      <c r="K870" s="1387"/>
      <c r="L870" s="1353"/>
      <c r="M870" s="1353"/>
      <c r="N870" s="1353"/>
    </row>
    <row r="871" spans="1:14" x14ac:dyDescent="0.25">
      <c r="A871" s="1353"/>
      <c r="B871" s="1353"/>
      <c r="C871" s="1353"/>
      <c r="D871" s="1353"/>
      <c r="E871" s="1353"/>
      <c r="F871" s="1353"/>
      <c r="G871" s="1353"/>
      <c r="H871" s="1353"/>
      <c r="I871" s="1353"/>
      <c r="J871" s="1353"/>
      <c r="K871" s="1387"/>
      <c r="L871" s="1353"/>
      <c r="M871" s="1353"/>
      <c r="N871" s="1353"/>
    </row>
    <row r="872" spans="1:14" x14ac:dyDescent="0.25">
      <c r="A872" s="1353"/>
      <c r="B872" s="1353"/>
      <c r="C872" s="1353"/>
      <c r="D872" s="1353"/>
      <c r="E872" s="1353"/>
      <c r="F872" s="1353"/>
      <c r="G872" s="1353"/>
      <c r="H872" s="1353"/>
      <c r="I872" s="1353"/>
      <c r="J872" s="1353"/>
      <c r="K872" s="1387"/>
      <c r="L872" s="1353"/>
      <c r="M872" s="1353"/>
      <c r="N872" s="1353"/>
    </row>
    <row r="873" spans="1:14" x14ac:dyDescent="0.25">
      <c r="A873" s="1353"/>
      <c r="B873" s="1353"/>
      <c r="C873" s="1353"/>
      <c r="D873" s="1353"/>
      <c r="E873" s="1353"/>
      <c r="F873" s="1353"/>
      <c r="G873" s="1353"/>
      <c r="H873" s="1353"/>
      <c r="I873" s="1353"/>
      <c r="J873" s="1353"/>
      <c r="K873" s="1387"/>
      <c r="L873" s="1353"/>
      <c r="M873" s="1353"/>
      <c r="N873" s="1353"/>
    </row>
    <row r="874" spans="1:14" x14ac:dyDescent="0.25">
      <c r="A874" s="1353"/>
      <c r="B874" s="1353"/>
      <c r="C874" s="1353"/>
      <c r="D874" s="1353"/>
      <c r="E874" s="1353"/>
      <c r="F874" s="1353"/>
      <c r="G874" s="1353"/>
      <c r="H874" s="1353"/>
      <c r="I874" s="1353"/>
      <c r="J874" s="1353"/>
      <c r="K874" s="1387"/>
      <c r="L874" s="1353"/>
      <c r="M874" s="1353"/>
      <c r="N874" s="1353"/>
    </row>
    <row r="875" spans="1:14" x14ac:dyDescent="0.25">
      <c r="A875" s="1353"/>
      <c r="B875" s="1353"/>
      <c r="C875" s="1353"/>
      <c r="D875" s="1353"/>
      <c r="E875" s="1353"/>
      <c r="F875" s="1353"/>
      <c r="G875" s="1353"/>
      <c r="H875" s="1353"/>
      <c r="I875" s="1353"/>
      <c r="J875" s="1353"/>
      <c r="K875" s="1387"/>
      <c r="L875" s="1353"/>
      <c r="M875" s="1353"/>
      <c r="N875" s="1353"/>
    </row>
    <row r="876" spans="1:14" x14ac:dyDescent="0.25">
      <c r="A876" s="1353"/>
      <c r="B876" s="1353"/>
      <c r="C876" s="1353"/>
      <c r="D876" s="1353"/>
      <c r="E876" s="1353"/>
      <c r="F876" s="1353"/>
      <c r="G876" s="1353"/>
      <c r="H876" s="1353"/>
      <c r="I876" s="1353"/>
      <c r="J876" s="1353"/>
      <c r="K876" s="1387"/>
      <c r="L876" s="1353"/>
      <c r="M876" s="1353"/>
      <c r="N876" s="1353"/>
    </row>
    <row r="877" spans="1:14" x14ac:dyDescent="0.25">
      <c r="A877" s="1353"/>
      <c r="B877" s="1353"/>
      <c r="C877" s="1353"/>
      <c r="D877" s="1353"/>
      <c r="E877" s="1353"/>
      <c r="F877" s="1353"/>
      <c r="G877" s="1353"/>
      <c r="H877" s="1353"/>
      <c r="I877" s="1353"/>
      <c r="J877" s="1353"/>
      <c r="K877" s="1387"/>
      <c r="L877" s="1353"/>
      <c r="M877" s="1353"/>
      <c r="N877" s="1353"/>
    </row>
    <row r="878" spans="1:14" x14ac:dyDescent="0.25">
      <c r="A878" s="1353"/>
      <c r="B878" s="1353"/>
      <c r="C878" s="1353"/>
      <c r="D878" s="1353"/>
      <c r="E878" s="1353"/>
      <c r="F878" s="1353"/>
      <c r="G878" s="1353"/>
      <c r="H878" s="1353"/>
      <c r="I878" s="1353"/>
      <c r="J878" s="1353"/>
      <c r="K878" s="1387"/>
      <c r="L878" s="1353"/>
      <c r="M878" s="1353"/>
      <c r="N878" s="1353"/>
    </row>
    <row r="879" spans="1:14" x14ac:dyDescent="0.25">
      <c r="A879" s="1353"/>
      <c r="B879" s="1353"/>
      <c r="C879" s="1353"/>
      <c r="D879" s="1353"/>
      <c r="E879" s="1353"/>
      <c r="F879" s="1353"/>
      <c r="G879" s="1353"/>
      <c r="H879" s="1353"/>
      <c r="I879" s="1353"/>
      <c r="J879" s="1353"/>
      <c r="K879" s="1387"/>
      <c r="L879" s="1353"/>
      <c r="M879" s="1353"/>
      <c r="N879" s="1353"/>
    </row>
    <row r="880" spans="1:14" x14ac:dyDescent="0.25">
      <c r="A880" s="1353"/>
      <c r="B880" s="1353"/>
      <c r="C880" s="1353"/>
      <c r="D880" s="1353"/>
      <c r="E880" s="1353"/>
      <c r="F880" s="1353"/>
      <c r="G880" s="1353"/>
      <c r="H880" s="1353"/>
      <c r="I880" s="1353"/>
      <c r="J880" s="1353"/>
      <c r="K880" s="1387"/>
      <c r="L880" s="1353"/>
      <c r="M880" s="1353"/>
      <c r="N880" s="1353"/>
    </row>
    <row r="881" spans="1:14" x14ac:dyDescent="0.25">
      <c r="A881" s="1353"/>
      <c r="B881" s="1353"/>
      <c r="C881" s="1353"/>
      <c r="D881" s="1353"/>
      <c r="E881" s="1353"/>
      <c r="F881" s="1353"/>
      <c r="G881" s="1353"/>
      <c r="H881" s="1353"/>
      <c r="I881" s="1353"/>
      <c r="J881" s="1353"/>
      <c r="K881" s="1387"/>
      <c r="L881" s="1353"/>
      <c r="M881" s="1353"/>
      <c r="N881" s="1353"/>
    </row>
    <row r="882" spans="1:14" x14ac:dyDescent="0.25">
      <c r="A882" s="1353"/>
      <c r="B882" s="1353"/>
      <c r="C882" s="1353"/>
      <c r="D882" s="1353"/>
      <c r="E882" s="1353"/>
      <c r="F882" s="1353"/>
      <c r="G882" s="1353"/>
      <c r="H882" s="1353"/>
      <c r="I882" s="1353"/>
      <c r="J882" s="1353"/>
      <c r="K882" s="1387"/>
      <c r="L882" s="1353"/>
      <c r="M882" s="1353"/>
      <c r="N882" s="1353"/>
    </row>
    <row r="883" spans="1:14" x14ac:dyDescent="0.25">
      <c r="A883" s="1353"/>
      <c r="B883" s="1353"/>
      <c r="C883" s="1353"/>
      <c r="D883" s="1353"/>
      <c r="E883" s="1353"/>
      <c r="F883" s="1353"/>
      <c r="G883" s="1353"/>
      <c r="H883" s="1353"/>
      <c r="I883" s="1353"/>
      <c r="J883" s="1353"/>
      <c r="K883" s="1387"/>
      <c r="L883" s="1353"/>
      <c r="M883" s="1353"/>
      <c r="N883" s="1353"/>
    </row>
    <row r="884" spans="1:14" x14ac:dyDescent="0.25">
      <c r="A884" s="1353"/>
      <c r="B884" s="1353"/>
      <c r="C884" s="1353"/>
      <c r="D884" s="1353"/>
      <c r="E884" s="1353"/>
      <c r="F884" s="1353"/>
      <c r="G884" s="1353"/>
      <c r="H884" s="1353"/>
      <c r="I884" s="1353"/>
      <c r="J884" s="1353"/>
      <c r="K884" s="1387"/>
      <c r="L884" s="1353"/>
      <c r="M884" s="1353"/>
      <c r="N884" s="1353"/>
    </row>
    <row r="885" spans="1:14" x14ac:dyDescent="0.25">
      <c r="A885" s="1353"/>
      <c r="B885" s="1353"/>
      <c r="C885" s="1353"/>
      <c r="D885" s="1353"/>
      <c r="E885" s="1353"/>
      <c r="F885" s="1353"/>
      <c r="G885" s="1353"/>
      <c r="H885" s="1353"/>
      <c r="I885" s="1353"/>
      <c r="J885" s="1353"/>
      <c r="K885" s="1387"/>
      <c r="L885" s="1353"/>
      <c r="M885" s="1353"/>
      <c r="N885" s="1353"/>
    </row>
    <row r="886" spans="1:14" x14ac:dyDescent="0.25">
      <c r="A886" s="1353"/>
      <c r="B886" s="1353"/>
      <c r="C886" s="1353"/>
      <c r="D886" s="1353"/>
      <c r="E886" s="1353"/>
      <c r="F886" s="1353"/>
      <c r="G886" s="1353"/>
      <c r="H886" s="1353"/>
      <c r="I886" s="1353"/>
      <c r="J886" s="1353"/>
      <c r="K886" s="1387"/>
      <c r="L886" s="1353"/>
      <c r="M886" s="1353"/>
      <c r="N886" s="1353"/>
    </row>
    <row r="887" spans="1:14" x14ac:dyDescent="0.25">
      <c r="A887" s="1353"/>
      <c r="B887" s="1353"/>
      <c r="C887" s="1353"/>
      <c r="D887" s="1353"/>
      <c r="E887" s="1353"/>
      <c r="F887" s="1353"/>
      <c r="G887" s="1353"/>
      <c r="H887" s="1353"/>
      <c r="I887" s="1353"/>
      <c r="J887" s="1353"/>
      <c r="K887" s="1387"/>
      <c r="L887" s="1353"/>
      <c r="M887" s="1353"/>
      <c r="N887" s="1353"/>
    </row>
    <row r="888" spans="1:14" x14ac:dyDescent="0.25">
      <c r="A888" s="1353"/>
      <c r="B888" s="1353"/>
      <c r="C888" s="1353"/>
      <c r="D888" s="1353"/>
      <c r="E888" s="1353"/>
      <c r="F888" s="1353"/>
      <c r="G888" s="1353"/>
      <c r="H888" s="1353"/>
      <c r="I888" s="1353"/>
      <c r="J888" s="1353"/>
      <c r="K888" s="1387"/>
      <c r="L888" s="1353"/>
      <c r="M888" s="1353"/>
      <c r="N888" s="1353"/>
    </row>
    <row r="889" spans="1:14" x14ac:dyDescent="0.25">
      <c r="A889" s="1353"/>
      <c r="B889" s="1353"/>
      <c r="C889" s="1353"/>
      <c r="D889" s="1353"/>
      <c r="E889" s="1353"/>
      <c r="F889" s="1353"/>
      <c r="G889" s="1353"/>
      <c r="H889" s="1353"/>
      <c r="I889" s="1353"/>
      <c r="J889" s="1353"/>
      <c r="K889" s="1387"/>
      <c r="L889" s="1353"/>
      <c r="M889" s="1353"/>
      <c r="N889" s="1353"/>
    </row>
    <row r="890" spans="1:14" x14ac:dyDescent="0.25">
      <c r="A890" s="1353"/>
      <c r="B890" s="1353"/>
      <c r="C890" s="1353"/>
      <c r="D890" s="1353"/>
      <c r="E890" s="1353"/>
      <c r="F890" s="1353"/>
      <c r="G890" s="1353"/>
      <c r="H890" s="1353"/>
      <c r="I890" s="1353"/>
      <c r="J890" s="1353"/>
      <c r="K890" s="1387"/>
      <c r="L890" s="1353"/>
      <c r="M890" s="1353"/>
      <c r="N890" s="1353"/>
    </row>
    <row r="891" spans="1:14" x14ac:dyDescent="0.25">
      <c r="A891" s="1353"/>
      <c r="B891" s="1353"/>
      <c r="C891" s="1353"/>
      <c r="D891" s="1353"/>
      <c r="E891" s="1353"/>
      <c r="F891" s="1353"/>
      <c r="G891" s="1353"/>
      <c r="H891" s="1353"/>
      <c r="I891" s="1353"/>
      <c r="J891" s="1353"/>
      <c r="K891" s="1387"/>
      <c r="L891" s="1353"/>
      <c r="M891" s="1353"/>
      <c r="N891" s="1353"/>
    </row>
    <row r="892" spans="1:14" x14ac:dyDescent="0.25">
      <c r="A892" s="1353"/>
      <c r="B892" s="1353"/>
      <c r="C892" s="1353"/>
      <c r="D892" s="1353"/>
      <c r="E892" s="1353"/>
      <c r="F892" s="1353"/>
      <c r="G892" s="1353"/>
      <c r="H892" s="1353"/>
      <c r="I892" s="1353"/>
      <c r="J892" s="1353"/>
      <c r="K892" s="1387"/>
      <c r="L892" s="1353"/>
      <c r="M892" s="1353"/>
      <c r="N892" s="1353"/>
    </row>
    <row r="893" spans="1:14" x14ac:dyDescent="0.25">
      <c r="A893" s="1353"/>
      <c r="B893" s="1353"/>
      <c r="C893" s="1353"/>
      <c r="D893" s="1353"/>
      <c r="E893" s="1353"/>
      <c r="F893" s="1353"/>
      <c r="G893" s="1353"/>
      <c r="H893" s="1353"/>
      <c r="I893" s="1353"/>
      <c r="J893" s="1353"/>
      <c r="K893" s="1387"/>
      <c r="L893" s="1353"/>
      <c r="M893" s="1353"/>
      <c r="N893" s="1353"/>
    </row>
    <row r="894" spans="1:14" x14ac:dyDescent="0.25">
      <c r="A894" s="1353"/>
      <c r="B894" s="1353"/>
      <c r="C894" s="1353"/>
      <c r="D894" s="1353"/>
      <c r="E894" s="1353"/>
      <c r="F894" s="1353"/>
      <c r="G894" s="1353"/>
      <c r="H894" s="1353"/>
      <c r="I894" s="1353"/>
      <c r="J894" s="1353"/>
      <c r="K894" s="1387"/>
      <c r="L894" s="1353"/>
      <c r="M894" s="1353"/>
      <c r="N894" s="1353"/>
    </row>
    <row r="895" spans="1:14" x14ac:dyDescent="0.25">
      <c r="A895" s="1353"/>
      <c r="B895" s="1353"/>
      <c r="C895" s="1353"/>
      <c r="D895" s="1353"/>
      <c r="E895" s="1353"/>
      <c r="F895" s="1353"/>
      <c r="G895" s="1353"/>
      <c r="H895" s="1353"/>
      <c r="I895" s="1353"/>
      <c r="J895" s="1353"/>
      <c r="K895" s="1387"/>
      <c r="L895" s="1353"/>
      <c r="M895" s="1353"/>
      <c r="N895" s="1353"/>
    </row>
    <row r="896" spans="1:14" x14ac:dyDescent="0.25">
      <c r="A896" s="1353"/>
      <c r="B896" s="1353"/>
      <c r="C896" s="1353"/>
      <c r="D896" s="1353"/>
      <c r="E896" s="1353"/>
      <c r="F896" s="1353"/>
      <c r="G896" s="1353"/>
      <c r="H896" s="1353"/>
      <c r="I896" s="1353"/>
      <c r="J896" s="1353"/>
      <c r="K896" s="1387"/>
      <c r="L896" s="1353"/>
      <c r="M896" s="1353"/>
      <c r="N896" s="1353"/>
    </row>
    <row r="897" spans="1:14" x14ac:dyDescent="0.25">
      <c r="A897" s="1353"/>
      <c r="B897" s="1353"/>
      <c r="C897" s="1353"/>
      <c r="D897" s="1353"/>
      <c r="E897" s="1353"/>
      <c r="F897" s="1353"/>
      <c r="G897" s="1353"/>
      <c r="H897" s="1353"/>
      <c r="I897" s="1353"/>
      <c r="J897" s="1353"/>
      <c r="K897" s="1387"/>
      <c r="L897" s="1353"/>
      <c r="M897" s="1353"/>
      <c r="N897" s="1353"/>
    </row>
    <row r="898" spans="1:14" x14ac:dyDescent="0.25">
      <c r="A898" s="1353"/>
      <c r="B898" s="1353"/>
      <c r="C898" s="1353"/>
      <c r="D898" s="1353"/>
      <c r="E898" s="1353"/>
      <c r="F898" s="1353"/>
      <c r="G898" s="1353"/>
      <c r="H898" s="1353"/>
      <c r="I898" s="1353"/>
      <c r="J898" s="1353"/>
      <c r="K898" s="1387"/>
      <c r="L898" s="1353"/>
      <c r="M898" s="1353"/>
      <c r="N898" s="1353"/>
    </row>
    <row r="899" spans="1:14" x14ac:dyDescent="0.25">
      <c r="A899" s="1353"/>
      <c r="B899" s="1353"/>
      <c r="C899" s="1353"/>
      <c r="D899" s="1353"/>
      <c r="E899" s="1353"/>
      <c r="F899" s="1353"/>
      <c r="G899" s="1353"/>
      <c r="H899" s="1353"/>
      <c r="I899" s="1353"/>
      <c r="J899" s="1353"/>
      <c r="K899" s="1387"/>
      <c r="L899" s="1353"/>
      <c r="M899" s="1353"/>
      <c r="N899" s="1353"/>
    </row>
    <row r="900" spans="1:14" x14ac:dyDescent="0.25">
      <c r="A900" s="1353"/>
      <c r="B900" s="1353"/>
      <c r="C900" s="1353"/>
      <c r="D900" s="1353"/>
      <c r="E900" s="1353"/>
      <c r="F900" s="1353"/>
      <c r="G900" s="1353"/>
      <c r="H900" s="1353"/>
      <c r="I900" s="1353"/>
      <c r="J900" s="1353"/>
      <c r="K900" s="1387"/>
      <c r="L900" s="1353"/>
      <c r="M900" s="1353"/>
      <c r="N900" s="1353"/>
    </row>
    <row r="901" spans="1:14" x14ac:dyDescent="0.25">
      <c r="A901" s="1353"/>
      <c r="B901" s="1353"/>
      <c r="C901" s="1353"/>
      <c r="D901" s="1353"/>
      <c r="E901" s="1353"/>
      <c r="F901" s="1353"/>
      <c r="G901" s="1353"/>
      <c r="H901" s="1353"/>
      <c r="I901" s="1353"/>
      <c r="J901" s="1353"/>
      <c r="K901" s="1387"/>
      <c r="L901" s="1353"/>
      <c r="M901" s="1353"/>
      <c r="N901" s="1353"/>
    </row>
    <row r="902" spans="1:14" x14ac:dyDescent="0.25">
      <c r="A902" s="1353"/>
      <c r="B902" s="1353"/>
      <c r="C902" s="1353"/>
      <c r="D902" s="1353"/>
      <c r="E902" s="1353"/>
      <c r="F902" s="1353"/>
      <c r="G902" s="1353"/>
      <c r="H902" s="1353"/>
      <c r="I902" s="1353"/>
      <c r="J902" s="1353"/>
      <c r="K902" s="1387"/>
      <c r="L902" s="1353"/>
      <c r="M902" s="1353"/>
      <c r="N902" s="1353"/>
    </row>
    <row r="903" spans="1:14" x14ac:dyDescent="0.25">
      <c r="A903" s="1353"/>
      <c r="B903" s="1353"/>
      <c r="C903" s="1353"/>
      <c r="D903" s="1353"/>
      <c r="E903" s="1353"/>
      <c r="F903" s="1353"/>
      <c r="G903" s="1353"/>
      <c r="H903" s="1353"/>
      <c r="I903" s="1353"/>
      <c r="J903" s="1353"/>
      <c r="K903" s="1387"/>
      <c r="L903" s="1353"/>
      <c r="M903" s="1353"/>
      <c r="N903" s="1353"/>
    </row>
    <row r="904" spans="1:14" x14ac:dyDescent="0.25">
      <c r="A904" s="1353"/>
      <c r="B904" s="1353"/>
      <c r="C904" s="1353"/>
      <c r="D904" s="1353"/>
      <c r="E904" s="1353"/>
      <c r="F904" s="1353"/>
      <c r="G904" s="1353"/>
      <c r="H904" s="1353"/>
      <c r="I904" s="1353"/>
      <c r="J904" s="1353"/>
      <c r="K904" s="1387"/>
      <c r="L904" s="1353"/>
      <c r="M904" s="1353"/>
      <c r="N904" s="1353"/>
    </row>
    <row r="905" spans="1:14" x14ac:dyDescent="0.25">
      <c r="A905" s="1353"/>
      <c r="B905" s="1353"/>
      <c r="C905" s="1353"/>
      <c r="D905" s="1353"/>
      <c r="E905" s="1353"/>
      <c r="F905" s="1353"/>
      <c r="G905" s="1353"/>
      <c r="H905" s="1353"/>
      <c r="I905" s="1353"/>
      <c r="J905" s="1353"/>
      <c r="K905" s="1387"/>
      <c r="L905" s="1353"/>
      <c r="M905" s="1353"/>
      <c r="N905" s="1353"/>
    </row>
    <row r="906" spans="1:14" x14ac:dyDescent="0.25">
      <c r="A906" s="1353"/>
      <c r="B906" s="1353"/>
      <c r="C906" s="1353"/>
      <c r="D906" s="1353"/>
      <c r="E906" s="1353"/>
      <c r="F906" s="1353"/>
      <c r="G906" s="1353"/>
      <c r="H906" s="1353"/>
      <c r="I906" s="1353"/>
      <c r="J906" s="1353"/>
      <c r="K906" s="1387"/>
      <c r="L906" s="1353"/>
      <c r="M906" s="1353"/>
      <c r="N906" s="1353"/>
    </row>
    <row r="907" spans="1:14" x14ac:dyDescent="0.25">
      <c r="A907" s="1353"/>
      <c r="B907" s="1353"/>
      <c r="C907" s="1353"/>
      <c r="D907" s="1353"/>
      <c r="E907" s="1353"/>
      <c r="F907" s="1353"/>
      <c r="G907" s="1353"/>
      <c r="H907" s="1353"/>
      <c r="I907" s="1353"/>
      <c r="J907" s="1353"/>
      <c r="K907" s="1387"/>
      <c r="L907" s="1353"/>
      <c r="M907" s="1353"/>
      <c r="N907" s="1353"/>
    </row>
    <row r="908" spans="1:14" x14ac:dyDescent="0.25">
      <c r="A908" s="1353"/>
      <c r="B908" s="1353"/>
      <c r="C908" s="1353"/>
      <c r="D908" s="1353"/>
      <c r="E908" s="1353"/>
      <c r="F908" s="1353"/>
      <c r="G908" s="1353"/>
      <c r="H908" s="1353"/>
      <c r="I908" s="1353"/>
      <c r="J908" s="1353"/>
      <c r="K908" s="1387"/>
      <c r="L908" s="1353"/>
      <c r="M908" s="1353"/>
      <c r="N908" s="1353"/>
    </row>
    <row r="909" spans="1:14" x14ac:dyDescent="0.25">
      <c r="A909" s="1353"/>
      <c r="B909" s="1353"/>
      <c r="C909" s="1353"/>
      <c r="D909" s="1353"/>
      <c r="E909" s="1353"/>
      <c r="F909" s="1353"/>
      <c r="G909" s="1353"/>
      <c r="H909" s="1353"/>
      <c r="I909" s="1353"/>
      <c r="J909" s="1353"/>
      <c r="K909" s="1387"/>
      <c r="L909" s="1353"/>
      <c r="M909" s="1353"/>
      <c r="N909" s="1353"/>
    </row>
    <row r="910" spans="1:14" x14ac:dyDescent="0.25">
      <c r="A910" s="1353"/>
      <c r="B910" s="1353"/>
      <c r="C910" s="1353"/>
      <c r="D910" s="1353"/>
      <c r="E910" s="1353"/>
      <c r="F910" s="1353"/>
      <c r="G910" s="1353"/>
      <c r="H910" s="1353"/>
      <c r="I910" s="1353"/>
      <c r="J910" s="1353"/>
      <c r="K910" s="1387"/>
      <c r="L910" s="1353"/>
      <c r="M910" s="1353"/>
      <c r="N910" s="1353"/>
    </row>
    <row r="911" spans="1:14" x14ac:dyDescent="0.25">
      <c r="A911" s="1353"/>
      <c r="B911" s="1353"/>
      <c r="C911" s="1353"/>
      <c r="D911" s="1353"/>
      <c r="E911" s="1353"/>
      <c r="F911" s="1353"/>
      <c r="G911" s="1353"/>
      <c r="H911" s="1353"/>
      <c r="I911" s="1353"/>
      <c r="J911" s="1353"/>
      <c r="K911" s="1387"/>
      <c r="L911" s="1353"/>
      <c r="M911" s="1353"/>
      <c r="N911" s="1353"/>
    </row>
    <row r="912" spans="1:14" x14ac:dyDescent="0.25">
      <c r="A912" s="1353"/>
      <c r="B912" s="1353"/>
      <c r="C912" s="1353"/>
      <c r="D912" s="1353"/>
      <c r="E912" s="1353"/>
      <c r="F912" s="1353"/>
      <c r="G912" s="1353"/>
      <c r="H912" s="1353"/>
      <c r="I912" s="1353"/>
      <c r="J912" s="1353"/>
      <c r="K912" s="1387"/>
      <c r="L912" s="1353"/>
      <c r="M912" s="1353"/>
      <c r="N912" s="1353"/>
    </row>
    <row r="913" spans="1:14" x14ac:dyDescent="0.25">
      <c r="A913" s="1353"/>
      <c r="B913" s="1353"/>
      <c r="C913" s="1353"/>
      <c r="D913" s="1353"/>
      <c r="E913" s="1353"/>
      <c r="F913" s="1353"/>
      <c r="G913" s="1353"/>
      <c r="H913" s="1353"/>
      <c r="I913" s="1353"/>
      <c r="J913" s="1353"/>
      <c r="K913" s="1387"/>
      <c r="L913" s="1353"/>
      <c r="M913" s="1353"/>
      <c r="N913" s="1353"/>
    </row>
    <row r="914" spans="1:14" x14ac:dyDescent="0.25">
      <c r="A914" s="1353"/>
      <c r="B914" s="1353"/>
      <c r="C914" s="1353"/>
      <c r="D914" s="1353"/>
      <c r="E914" s="1353"/>
      <c r="F914" s="1353"/>
      <c r="G914" s="1353"/>
      <c r="H914" s="1353"/>
      <c r="I914" s="1353"/>
      <c r="J914" s="1353"/>
      <c r="K914" s="1387"/>
      <c r="L914" s="1353"/>
      <c r="M914" s="1353"/>
      <c r="N914" s="1353"/>
    </row>
    <row r="915" spans="1:14" x14ac:dyDescent="0.25">
      <c r="A915" s="1353"/>
      <c r="B915" s="1353"/>
      <c r="C915" s="1353"/>
      <c r="D915" s="1353"/>
      <c r="E915" s="1353"/>
      <c r="F915" s="1353"/>
      <c r="G915" s="1353"/>
      <c r="H915" s="1353"/>
      <c r="I915" s="1353"/>
      <c r="J915" s="1353"/>
      <c r="K915" s="1387"/>
      <c r="L915" s="1353"/>
      <c r="M915" s="1353"/>
      <c r="N915" s="1353"/>
    </row>
    <row r="916" spans="1:14" x14ac:dyDescent="0.25">
      <c r="A916" s="1353"/>
      <c r="B916" s="1353"/>
      <c r="C916" s="1353"/>
      <c r="D916" s="1353"/>
      <c r="E916" s="1353"/>
      <c r="F916" s="1353"/>
      <c r="G916" s="1353"/>
      <c r="H916" s="1353"/>
      <c r="I916" s="1353"/>
      <c r="J916" s="1353"/>
      <c r="K916" s="1387"/>
      <c r="L916" s="1353"/>
      <c r="M916" s="1353"/>
      <c r="N916" s="1353"/>
    </row>
    <row r="917" spans="1:14" x14ac:dyDescent="0.25">
      <c r="A917" s="1353"/>
      <c r="B917" s="1353"/>
      <c r="C917" s="1353"/>
      <c r="D917" s="1353"/>
      <c r="E917" s="1353"/>
      <c r="F917" s="1353"/>
      <c r="G917" s="1353"/>
      <c r="H917" s="1353"/>
      <c r="I917" s="1353"/>
      <c r="J917" s="1353"/>
      <c r="K917" s="1387"/>
      <c r="L917" s="1353"/>
      <c r="M917" s="1353"/>
      <c r="N917" s="1353"/>
    </row>
    <row r="918" spans="1:14" x14ac:dyDescent="0.25">
      <c r="A918" s="1353"/>
      <c r="B918" s="1353"/>
      <c r="C918" s="1353"/>
      <c r="D918" s="1353"/>
      <c r="E918" s="1353"/>
      <c r="F918" s="1353"/>
      <c r="G918" s="1353"/>
      <c r="H918" s="1353"/>
      <c r="I918" s="1353"/>
      <c r="J918" s="1353"/>
      <c r="K918" s="1387"/>
      <c r="L918" s="1353"/>
      <c r="M918" s="1353"/>
      <c r="N918" s="1353"/>
    </row>
    <row r="919" spans="1:14" x14ac:dyDescent="0.25">
      <c r="A919" s="1353"/>
      <c r="B919" s="1353"/>
      <c r="C919" s="1353"/>
      <c r="D919" s="1353"/>
      <c r="E919" s="1353"/>
      <c r="F919" s="1353"/>
      <c r="G919" s="1353"/>
      <c r="H919" s="1353"/>
      <c r="I919" s="1353"/>
      <c r="J919" s="1353"/>
      <c r="K919" s="1387"/>
      <c r="L919" s="1353"/>
      <c r="M919" s="1353"/>
      <c r="N919" s="1353"/>
    </row>
    <row r="920" spans="1:14" x14ac:dyDescent="0.25">
      <c r="A920" s="1353"/>
      <c r="B920" s="1353"/>
      <c r="C920" s="1353"/>
      <c r="D920" s="1353"/>
      <c r="E920" s="1353"/>
      <c r="F920" s="1353"/>
      <c r="G920" s="1353"/>
      <c r="H920" s="1353"/>
      <c r="I920" s="1353"/>
      <c r="J920" s="1353"/>
      <c r="K920" s="1387"/>
      <c r="L920" s="1353"/>
      <c r="M920" s="1353"/>
      <c r="N920" s="1353"/>
    </row>
    <row r="921" spans="1:14" x14ac:dyDescent="0.25">
      <c r="A921" s="1353"/>
      <c r="B921" s="1353"/>
      <c r="C921" s="1353"/>
      <c r="D921" s="1353"/>
      <c r="E921" s="1353"/>
      <c r="F921" s="1353"/>
      <c r="G921" s="1353"/>
      <c r="H921" s="1353"/>
      <c r="I921" s="1353"/>
      <c r="J921" s="1353"/>
      <c r="K921" s="1387"/>
      <c r="L921" s="1353"/>
      <c r="M921" s="1353"/>
      <c r="N921" s="1353"/>
    </row>
    <row r="922" spans="1:14" x14ac:dyDescent="0.25">
      <c r="A922" s="1353"/>
      <c r="B922" s="1353"/>
      <c r="C922" s="1353"/>
      <c r="D922" s="1353"/>
      <c r="E922" s="1353"/>
      <c r="F922" s="1353"/>
      <c r="G922" s="1353"/>
      <c r="H922" s="1353"/>
      <c r="I922" s="1353"/>
      <c r="J922" s="1353"/>
      <c r="K922" s="1387"/>
      <c r="L922" s="1353"/>
      <c r="M922" s="1353"/>
      <c r="N922" s="1353"/>
    </row>
    <row r="923" spans="1:14" x14ac:dyDescent="0.25">
      <c r="A923" s="1353"/>
      <c r="B923" s="1353"/>
      <c r="C923" s="1353"/>
      <c r="D923" s="1353"/>
      <c r="E923" s="1353"/>
      <c r="F923" s="1353"/>
      <c r="G923" s="1353"/>
      <c r="H923" s="1353"/>
      <c r="I923" s="1353"/>
      <c r="J923" s="1353"/>
      <c r="K923" s="1387"/>
      <c r="L923" s="1353"/>
      <c r="M923" s="1353"/>
      <c r="N923" s="1353"/>
    </row>
    <row r="924" spans="1:14" x14ac:dyDescent="0.25">
      <c r="A924" s="1353"/>
      <c r="B924" s="1353"/>
      <c r="C924" s="1353"/>
      <c r="D924" s="1353"/>
      <c r="E924" s="1353"/>
      <c r="F924" s="1353"/>
      <c r="G924" s="1353"/>
      <c r="H924" s="1353"/>
      <c r="I924" s="1353"/>
      <c r="J924" s="1353"/>
      <c r="K924" s="1387"/>
      <c r="L924" s="1353"/>
      <c r="M924" s="1353"/>
      <c r="N924" s="1353"/>
    </row>
    <row r="925" spans="1:14" x14ac:dyDescent="0.25">
      <c r="A925" s="1353"/>
      <c r="B925" s="1353"/>
      <c r="C925" s="1353"/>
      <c r="D925" s="1353"/>
      <c r="E925" s="1353"/>
      <c r="F925" s="1353"/>
      <c r="G925" s="1353"/>
      <c r="H925" s="1353"/>
      <c r="I925" s="1353"/>
      <c r="J925" s="1353"/>
      <c r="K925" s="1387"/>
      <c r="L925" s="1353"/>
      <c r="M925" s="1353"/>
      <c r="N925" s="1353"/>
    </row>
    <row r="926" spans="1:14" x14ac:dyDescent="0.25">
      <c r="A926" s="1353"/>
      <c r="B926" s="1353"/>
      <c r="C926" s="1353"/>
      <c r="D926" s="1353"/>
      <c r="E926" s="1353"/>
      <c r="F926" s="1353"/>
      <c r="G926" s="1353"/>
      <c r="H926" s="1353"/>
      <c r="I926" s="1353"/>
      <c r="J926" s="1353"/>
      <c r="K926" s="1387"/>
      <c r="L926" s="1353"/>
      <c r="M926" s="1353"/>
      <c r="N926" s="1353"/>
    </row>
    <row r="927" spans="1:14" x14ac:dyDescent="0.25">
      <c r="A927" s="1353"/>
      <c r="B927" s="1353"/>
      <c r="C927" s="1353"/>
      <c r="D927" s="1353"/>
      <c r="E927" s="1353"/>
      <c r="F927" s="1353"/>
      <c r="G927" s="1353"/>
      <c r="H927" s="1353"/>
      <c r="I927" s="1353"/>
      <c r="J927" s="1353"/>
      <c r="K927" s="1387"/>
      <c r="L927" s="1353"/>
      <c r="M927" s="1353"/>
      <c r="N927" s="1353"/>
    </row>
    <row r="928" spans="1:14" x14ac:dyDescent="0.25">
      <c r="A928" s="1353"/>
      <c r="B928" s="1353"/>
      <c r="C928" s="1353"/>
      <c r="D928" s="1353"/>
      <c r="E928" s="1353"/>
      <c r="F928" s="1353"/>
      <c r="G928" s="1353"/>
      <c r="H928" s="1353"/>
      <c r="I928" s="1353"/>
      <c r="J928" s="1353"/>
      <c r="K928" s="1387"/>
      <c r="L928" s="1353"/>
      <c r="M928" s="1353"/>
      <c r="N928" s="1353"/>
    </row>
    <row r="929" spans="1:14" x14ac:dyDescent="0.25">
      <c r="A929" s="1353"/>
      <c r="B929" s="1353"/>
      <c r="C929" s="1353"/>
      <c r="D929" s="1353"/>
      <c r="E929" s="1353"/>
      <c r="F929" s="1353"/>
      <c r="G929" s="1353"/>
      <c r="H929" s="1353"/>
      <c r="I929" s="1353"/>
      <c r="J929" s="1353"/>
      <c r="K929" s="1387"/>
      <c r="L929" s="1353"/>
      <c r="M929" s="1353"/>
      <c r="N929" s="1353"/>
    </row>
    <row r="930" spans="1:14" x14ac:dyDescent="0.25">
      <c r="A930" s="1353"/>
      <c r="B930" s="1353"/>
      <c r="C930" s="1353"/>
      <c r="D930" s="1353"/>
      <c r="E930" s="1353"/>
      <c r="F930" s="1353"/>
      <c r="G930" s="1353"/>
      <c r="H930" s="1353"/>
      <c r="I930" s="1353"/>
      <c r="J930" s="1353"/>
      <c r="K930" s="1387"/>
      <c r="L930" s="1353"/>
      <c r="M930" s="1353"/>
      <c r="N930" s="1353"/>
    </row>
    <row r="931" spans="1:14" x14ac:dyDescent="0.25">
      <c r="A931" s="1353"/>
      <c r="B931" s="1353"/>
      <c r="C931" s="1353"/>
      <c r="D931" s="1353"/>
      <c r="E931" s="1353"/>
      <c r="F931" s="1353"/>
      <c r="G931" s="1353"/>
      <c r="H931" s="1353"/>
      <c r="I931" s="1353"/>
      <c r="J931" s="1353"/>
      <c r="K931" s="1387"/>
      <c r="L931" s="1353"/>
      <c r="M931" s="1353"/>
      <c r="N931" s="1353"/>
    </row>
    <row r="932" spans="1:14" x14ac:dyDescent="0.25">
      <c r="A932" s="1353"/>
      <c r="B932" s="1353"/>
      <c r="C932" s="1353"/>
      <c r="D932" s="1353"/>
      <c r="E932" s="1353"/>
      <c r="F932" s="1353"/>
      <c r="G932" s="1353"/>
      <c r="H932" s="1353"/>
      <c r="I932" s="1353"/>
      <c r="J932" s="1353"/>
      <c r="K932" s="1387"/>
      <c r="L932" s="1353"/>
      <c r="M932" s="1353"/>
      <c r="N932" s="1353"/>
    </row>
    <row r="933" spans="1:14" x14ac:dyDescent="0.25">
      <c r="A933" s="1353"/>
      <c r="B933" s="1353"/>
      <c r="C933" s="1353"/>
      <c r="D933" s="1353"/>
      <c r="E933" s="1353"/>
      <c r="F933" s="1353"/>
      <c r="G933" s="1353"/>
      <c r="H933" s="1353"/>
      <c r="I933" s="1353"/>
      <c r="J933" s="1353"/>
      <c r="K933" s="1387"/>
      <c r="L933" s="1353"/>
      <c r="M933" s="1353"/>
      <c r="N933" s="1353"/>
    </row>
    <row r="934" spans="1:14" x14ac:dyDescent="0.25">
      <c r="A934" s="1353"/>
      <c r="B934" s="1353"/>
      <c r="C934" s="1353"/>
      <c r="D934" s="1353"/>
      <c r="E934" s="1353"/>
      <c r="F934" s="1353"/>
      <c r="G934" s="1353"/>
      <c r="H934" s="1353"/>
      <c r="I934" s="1353"/>
      <c r="J934" s="1353"/>
      <c r="K934" s="1387"/>
      <c r="L934" s="1353"/>
      <c r="M934" s="1353"/>
      <c r="N934" s="1353"/>
    </row>
    <row r="935" spans="1:14" x14ac:dyDescent="0.25">
      <c r="A935" s="1353"/>
      <c r="B935" s="1353"/>
      <c r="C935" s="1353"/>
      <c r="D935" s="1353"/>
      <c r="E935" s="1353"/>
      <c r="F935" s="1353"/>
      <c r="G935" s="1353"/>
      <c r="H935" s="1353"/>
      <c r="I935" s="1353"/>
      <c r="J935" s="1353"/>
      <c r="K935" s="1387"/>
      <c r="L935" s="1353"/>
      <c r="M935" s="1353"/>
      <c r="N935" s="1353"/>
    </row>
    <row r="936" spans="1:14" x14ac:dyDescent="0.25">
      <c r="A936" s="1353"/>
      <c r="B936" s="1353"/>
      <c r="C936" s="1353"/>
      <c r="D936" s="1353"/>
      <c r="E936" s="1353"/>
      <c r="F936" s="1353"/>
      <c r="G936" s="1353"/>
      <c r="H936" s="1353"/>
      <c r="I936" s="1353"/>
      <c r="J936" s="1353"/>
      <c r="K936" s="1387"/>
      <c r="L936" s="1353"/>
      <c r="M936" s="1353"/>
      <c r="N936" s="1353"/>
    </row>
    <row r="937" spans="1:14" x14ac:dyDescent="0.25">
      <c r="A937" s="1353"/>
      <c r="B937" s="1353"/>
      <c r="C937" s="1353"/>
      <c r="D937" s="1353"/>
      <c r="E937" s="1353"/>
      <c r="F937" s="1353"/>
      <c r="G937" s="1353"/>
      <c r="H937" s="1353"/>
      <c r="I937" s="1353"/>
      <c r="J937" s="1353"/>
      <c r="K937" s="1387"/>
      <c r="L937" s="1353"/>
      <c r="M937" s="1353"/>
      <c r="N937" s="1353"/>
    </row>
    <row r="938" spans="1:14" x14ac:dyDescent="0.25">
      <c r="A938" s="1353"/>
      <c r="B938" s="1353"/>
      <c r="C938" s="1353"/>
      <c r="D938" s="1353"/>
      <c r="E938" s="1353"/>
      <c r="F938" s="1353"/>
      <c r="G938" s="1353"/>
      <c r="H938" s="1353"/>
      <c r="I938" s="1353"/>
      <c r="J938" s="1353"/>
      <c r="K938" s="1387"/>
      <c r="L938" s="1353"/>
      <c r="M938" s="1353"/>
      <c r="N938" s="1353"/>
    </row>
    <row r="939" spans="1:14" x14ac:dyDescent="0.25">
      <c r="A939" s="1353"/>
      <c r="B939" s="1353"/>
      <c r="C939" s="1353"/>
      <c r="D939" s="1353"/>
      <c r="E939" s="1353"/>
      <c r="F939" s="1353"/>
      <c r="G939" s="1353"/>
      <c r="H939" s="1353"/>
      <c r="I939" s="1353"/>
      <c r="J939" s="1353"/>
      <c r="K939" s="1387"/>
      <c r="L939" s="1353"/>
      <c r="M939" s="1353"/>
      <c r="N939" s="1353"/>
    </row>
    <row r="940" spans="1:14" x14ac:dyDescent="0.25">
      <c r="A940" s="1353"/>
      <c r="B940" s="1353"/>
      <c r="C940" s="1353"/>
      <c r="D940" s="1353"/>
      <c r="E940" s="1353"/>
      <c r="F940" s="1353"/>
      <c r="G940" s="1353"/>
      <c r="H940" s="1353"/>
      <c r="I940" s="1353"/>
      <c r="J940" s="1353"/>
      <c r="K940" s="1387"/>
      <c r="L940" s="1353"/>
      <c r="M940" s="1353"/>
      <c r="N940" s="1353"/>
    </row>
    <row r="941" spans="1:14" x14ac:dyDescent="0.25">
      <c r="A941" s="1353"/>
      <c r="B941" s="1353"/>
      <c r="C941" s="1353"/>
      <c r="D941" s="1353"/>
      <c r="E941" s="1353"/>
      <c r="F941" s="1353"/>
      <c r="G941" s="1353"/>
      <c r="H941" s="1353"/>
      <c r="I941" s="1353"/>
      <c r="J941" s="1353"/>
      <c r="K941" s="1387"/>
      <c r="L941" s="1353"/>
      <c r="M941" s="1353"/>
      <c r="N941" s="1353"/>
    </row>
    <row r="942" spans="1:14" x14ac:dyDescent="0.25">
      <c r="A942" s="1353"/>
      <c r="B942" s="1353"/>
      <c r="C942" s="1353"/>
      <c r="D942" s="1353"/>
      <c r="E942" s="1353"/>
      <c r="F942" s="1353"/>
      <c r="G942" s="1353"/>
      <c r="H942" s="1353"/>
      <c r="I942" s="1353"/>
      <c r="J942" s="1353"/>
      <c r="K942" s="1387"/>
      <c r="L942" s="1353"/>
      <c r="M942" s="1353"/>
      <c r="N942" s="1353"/>
    </row>
    <row r="943" spans="1:14" x14ac:dyDescent="0.25">
      <c r="A943" s="1353"/>
      <c r="B943" s="1353"/>
      <c r="C943" s="1353"/>
      <c r="D943" s="1353"/>
      <c r="E943" s="1353"/>
      <c r="F943" s="1353"/>
      <c r="G943" s="1353"/>
      <c r="H943" s="1353"/>
      <c r="I943" s="1353"/>
      <c r="J943" s="1353"/>
      <c r="K943" s="1387"/>
      <c r="L943" s="1353"/>
      <c r="M943" s="1353"/>
      <c r="N943" s="1353"/>
    </row>
    <row r="944" spans="1:14" x14ac:dyDescent="0.25">
      <c r="A944" s="1353"/>
      <c r="B944" s="1353"/>
      <c r="C944" s="1353"/>
      <c r="D944" s="1353"/>
      <c r="E944" s="1353"/>
      <c r="F944" s="1353"/>
      <c r="G944" s="1353"/>
      <c r="H944" s="1353"/>
      <c r="I944" s="1353"/>
      <c r="J944" s="1353"/>
      <c r="K944" s="1387"/>
      <c r="L944" s="1353"/>
      <c r="M944" s="1353"/>
      <c r="N944" s="1353"/>
    </row>
    <row r="945" spans="1:14" x14ac:dyDescent="0.25">
      <c r="A945" s="1353"/>
      <c r="B945" s="1353"/>
      <c r="C945" s="1353"/>
      <c r="D945" s="1353"/>
      <c r="E945" s="1353"/>
      <c r="F945" s="1353"/>
      <c r="G945" s="1353"/>
      <c r="H945" s="1353"/>
      <c r="I945" s="1353"/>
      <c r="J945" s="1353"/>
      <c r="K945" s="1387"/>
      <c r="L945" s="1353"/>
      <c r="M945" s="1353"/>
      <c r="N945" s="1353"/>
    </row>
    <row r="946" spans="1:14" x14ac:dyDescent="0.25">
      <c r="A946" s="1353"/>
      <c r="B946" s="1353"/>
      <c r="C946" s="1353"/>
      <c r="D946" s="1353"/>
      <c r="E946" s="1353"/>
      <c r="F946" s="1353"/>
      <c r="G946" s="1353"/>
      <c r="H946" s="1353"/>
      <c r="I946" s="1353"/>
      <c r="J946" s="1353"/>
      <c r="K946" s="1387"/>
      <c r="L946" s="1353"/>
      <c r="M946" s="1353"/>
      <c r="N946" s="1353"/>
    </row>
    <row r="947" spans="1:14" x14ac:dyDescent="0.25">
      <c r="A947" s="1353"/>
      <c r="B947" s="1353"/>
      <c r="C947" s="1353"/>
      <c r="D947" s="1353"/>
      <c r="E947" s="1353"/>
      <c r="F947" s="1353"/>
      <c r="G947" s="1353"/>
      <c r="H947" s="1353"/>
      <c r="I947" s="1353"/>
      <c r="J947" s="1353"/>
      <c r="K947" s="1387"/>
      <c r="L947" s="1353"/>
      <c r="M947" s="1353"/>
      <c r="N947" s="1353"/>
    </row>
    <row r="948" spans="1:14" x14ac:dyDescent="0.25">
      <c r="A948" s="1353"/>
      <c r="B948" s="1353"/>
      <c r="C948" s="1353"/>
      <c r="D948" s="1353"/>
      <c r="E948" s="1353"/>
      <c r="F948" s="1353"/>
      <c r="G948" s="1353"/>
      <c r="H948" s="1353"/>
      <c r="I948" s="1353"/>
      <c r="J948" s="1353"/>
      <c r="K948" s="1387"/>
      <c r="L948" s="1353"/>
      <c r="M948" s="1353"/>
      <c r="N948" s="1353"/>
    </row>
    <row r="949" spans="1:14" x14ac:dyDescent="0.25">
      <c r="A949" s="1353"/>
      <c r="B949" s="1353"/>
      <c r="C949" s="1353"/>
      <c r="D949" s="1353"/>
      <c r="E949" s="1353"/>
      <c r="F949" s="1353"/>
      <c r="G949" s="1353"/>
      <c r="H949" s="1353"/>
      <c r="I949" s="1353"/>
      <c r="J949" s="1353"/>
      <c r="K949" s="1387"/>
      <c r="L949" s="1353"/>
      <c r="M949" s="1353"/>
      <c r="N949" s="1353"/>
    </row>
    <row r="950" spans="1:14" x14ac:dyDescent="0.25">
      <c r="A950" s="1353"/>
      <c r="B950" s="1353"/>
      <c r="C950" s="1353"/>
      <c r="D950" s="1353"/>
      <c r="E950" s="1353"/>
      <c r="F950" s="1353"/>
      <c r="G950" s="1353"/>
      <c r="H950" s="1353"/>
      <c r="I950" s="1353"/>
      <c r="J950" s="1353"/>
      <c r="K950" s="1387"/>
      <c r="L950" s="1353"/>
      <c r="M950" s="1353"/>
      <c r="N950" s="1353"/>
    </row>
    <row r="951" spans="1:14" x14ac:dyDescent="0.25">
      <c r="A951" s="1353"/>
      <c r="B951" s="1353"/>
      <c r="C951" s="1353"/>
      <c r="D951" s="1353"/>
      <c r="E951" s="1353"/>
      <c r="F951" s="1353"/>
      <c r="G951" s="1353"/>
      <c r="H951" s="1353"/>
      <c r="I951" s="1353"/>
      <c r="J951" s="1353"/>
      <c r="K951" s="1387"/>
      <c r="L951" s="1353"/>
      <c r="M951" s="1353"/>
      <c r="N951" s="1353"/>
    </row>
    <row r="952" spans="1:14" x14ac:dyDescent="0.25">
      <c r="A952" s="1353"/>
      <c r="B952" s="1353"/>
      <c r="C952" s="1353"/>
      <c r="D952" s="1353"/>
      <c r="E952" s="1353"/>
      <c r="F952" s="1353"/>
      <c r="G952" s="1353"/>
      <c r="H952" s="1353"/>
      <c r="I952" s="1353"/>
      <c r="J952" s="1353"/>
      <c r="K952" s="1387"/>
      <c r="L952" s="1353"/>
      <c r="M952" s="1353"/>
      <c r="N952" s="1353"/>
    </row>
    <row r="953" spans="1:14" x14ac:dyDescent="0.25">
      <c r="A953" s="1353"/>
      <c r="B953" s="1353"/>
      <c r="C953" s="1353"/>
      <c r="D953" s="1353"/>
      <c r="E953" s="1353"/>
      <c r="F953" s="1353"/>
      <c r="G953" s="1353"/>
      <c r="H953" s="1353"/>
      <c r="I953" s="1353"/>
      <c r="J953" s="1353"/>
      <c r="K953" s="1387"/>
      <c r="L953" s="1353"/>
      <c r="M953" s="1353"/>
      <c r="N953" s="1353"/>
    </row>
    <row r="954" spans="1:14" x14ac:dyDescent="0.25">
      <c r="A954" s="1353"/>
      <c r="B954" s="1353"/>
      <c r="C954" s="1353"/>
      <c r="D954" s="1353"/>
      <c r="E954" s="1353"/>
      <c r="F954" s="1353"/>
      <c r="G954" s="1353"/>
      <c r="H954" s="1353"/>
      <c r="I954" s="1353"/>
      <c r="J954" s="1353"/>
      <c r="K954" s="1387"/>
      <c r="L954" s="1353"/>
      <c r="M954" s="1353"/>
      <c r="N954" s="1353"/>
    </row>
    <row r="955" spans="1:14" x14ac:dyDescent="0.25">
      <c r="A955" s="1353"/>
      <c r="B955" s="1353"/>
      <c r="C955" s="1353"/>
      <c r="D955" s="1353"/>
      <c r="E955" s="1353"/>
      <c r="F955" s="1353"/>
      <c r="G955" s="1353"/>
      <c r="H955" s="1353"/>
      <c r="I955" s="1353"/>
      <c r="J955" s="1353"/>
      <c r="K955" s="1387"/>
      <c r="L955" s="1353"/>
      <c r="M955" s="1353"/>
      <c r="N955" s="1353"/>
    </row>
    <row r="956" spans="1:14" x14ac:dyDescent="0.25">
      <c r="A956" s="1353"/>
      <c r="B956" s="1353"/>
      <c r="C956" s="1353"/>
      <c r="D956" s="1353"/>
      <c r="E956" s="1353"/>
      <c r="F956" s="1353"/>
      <c r="G956" s="1353"/>
      <c r="H956" s="1353"/>
      <c r="I956" s="1353"/>
      <c r="J956" s="1353"/>
      <c r="K956" s="1387"/>
      <c r="L956" s="1353"/>
      <c r="M956" s="1353"/>
      <c r="N956" s="1353"/>
    </row>
    <row r="957" spans="1:14" x14ac:dyDescent="0.25">
      <c r="A957" s="1353"/>
      <c r="B957" s="1353"/>
      <c r="C957" s="1353"/>
      <c r="D957" s="1353"/>
      <c r="E957" s="1353"/>
      <c r="F957" s="1353"/>
      <c r="G957" s="1353"/>
      <c r="H957" s="1353"/>
      <c r="I957" s="1353"/>
      <c r="J957" s="1353"/>
      <c r="K957" s="1387"/>
      <c r="L957" s="1353"/>
      <c r="M957" s="1353"/>
      <c r="N957" s="1353"/>
    </row>
    <row r="958" spans="1:14" x14ac:dyDescent="0.25">
      <c r="A958" s="1353"/>
      <c r="B958" s="1353"/>
      <c r="C958" s="1353"/>
      <c r="D958" s="1353"/>
      <c r="E958" s="1353"/>
      <c r="F958" s="1353"/>
      <c r="G958" s="1353"/>
      <c r="H958" s="1353"/>
      <c r="I958" s="1353"/>
      <c r="J958" s="1353"/>
      <c r="K958" s="1387"/>
      <c r="L958" s="1353"/>
      <c r="M958" s="1353"/>
      <c r="N958" s="1353"/>
    </row>
    <row r="959" spans="1:14" x14ac:dyDescent="0.25">
      <c r="A959" s="1353"/>
      <c r="B959" s="1353"/>
      <c r="C959" s="1353"/>
      <c r="D959" s="1353"/>
      <c r="E959" s="1353"/>
      <c r="F959" s="1353"/>
      <c r="G959" s="1353"/>
      <c r="H959" s="1353"/>
      <c r="I959" s="1353"/>
      <c r="J959" s="1353"/>
      <c r="K959" s="1387"/>
      <c r="L959" s="1353"/>
      <c r="M959" s="1353"/>
      <c r="N959" s="1353"/>
    </row>
    <row r="960" spans="1:14" x14ac:dyDescent="0.25">
      <c r="A960" s="1353"/>
      <c r="B960" s="1353"/>
      <c r="C960" s="1353"/>
      <c r="D960" s="1353"/>
      <c r="E960" s="1353"/>
      <c r="F960" s="1353"/>
      <c r="G960" s="1353"/>
      <c r="H960" s="1353"/>
      <c r="I960" s="1353"/>
      <c r="J960" s="1353"/>
      <c r="K960" s="1387"/>
      <c r="L960" s="1353"/>
      <c r="M960" s="1353"/>
      <c r="N960" s="1353"/>
    </row>
    <row r="961" spans="1:14" x14ac:dyDescent="0.25">
      <c r="A961" s="1353"/>
      <c r="B961" s="1353"/>
      <c r="C961" s="1353"/>
      <c r="D961" s="1353"/>
      <c r="E961" s="1353"/>
      <c r="F961" s="1353"/>
      <c r="G961" s="1353"/>
      <c r="H961" s="1353"/>
      <c r="I961" s="1353"/>
      <c r="J961" s="1353"/>
      <c r="K961" s="1387"/>
      <c r="L961" s="1353"/>
      <c r="M961" s="1353"/>
      <c r="N961" s="1353"/>
    </row>
    <row r="962" spans="1:14" x14ac:dyDescent="0.25">
      <c r="A962" s="1353"/>
      <c r="B962" s="1353"/>
      <c r="C962" s="1353"/>
      <c r="D962" s="1353"/>
      <c r="E962" s="1353"/>
      <c r="F962" s="1353"/>
      <c r="G962" s="1353"/>
      <c r="H962" s="1353"/>
      <c r="I962" s="1353"/>
      <c r="J962" s="1353"/>
      <c r="K962" s="1387"/>
      <c r="L962" s="1353"/>
      <c r="M962" s="1353"/>
      <c r="N962" s="1353"/>
    </row>
    <row r="963" spans="1:14" x14ac:dyDescent="0.25">
      <c r="A963" s="1353"/>
      <c r="B963" s="1353"/>
      <c r="C963" s="1353"/>
      <c r="D963" s="1353"/>
      <c r="E963" s="1353"/>
      <c r="F963" s="1353"/>
      <c r="G963" s="1353"/>
      <c r="H963" s="1353"/>
      <c r="I963" s="1353"/>
      <c r="J963" s="1353"/>
      <c r="K963" s="1387"/>
      <c r="L963" s="1353"/>
      <c r="M963" s="1353"/>
      <c r="N963" s="1353"/>
    </row>
    <row r="964" spans="1:14" x14ac:dyDescent="0.25">
      <c r="A964" s="1353"/>
      <c r="B964" s="1353"/>
      <c r="C964" s="1353"/>
      <c r="D964" s="1353"/>
      <c r="E964" s="1353"/>
      <c r="F964" s="1353"/>
      <c r="G964" s="1353"/>
      <c r="H964" s="1353"/>
      <c r="I964" s="1353"/>
      <c r="J964" s="1353"/>
      <c r="K964" s="1387"/>
      <c r="L964" s="1353"/>
      <c r="M964" s="1353"/>
      <c r="N964" s="1353"/>
    </row>
    <row r="965" spans="1:14" x14ac:dyDescent="0.25">
      <c r="A965" s="1353"/>
      <c r="B965" s="1353"/>
      <c r="C965" s="1353"/>
      <c r="D965" s="1353"/>
      <c r="E965" s="1353"/>
      <c r="F965" s="1353"/>
      <c r="G965" s="1353"/>
      <c r="H965" s="1353"/>
      <c r="I965" s="1353"/>
      <c r="J965" s="1353"/>
      <c r="K965" s="1387"/>
      <c r="L965" s="1353"/>
      <c r="M965" s="1353"/>
      <c r="N965" s="1353"/>
    </row>
    <row r="966" spans="1:14" x14ac:dyDescent="0.25">
      <c r="A966" s="1353"/>
      <c r="B966" s="1353"/>
      <c r="C966" s="1353"/>
      <c r="D966" s="1353"/>
      <c r="E966" s="1353"/>
      <c r="F966" s="1353"/>
      <c r="G966" s="1353"/>
      <c r="H966" s="1353"/>
      <c r="I966" s="1353"/>
      <c r="J966" s="1353"/>
      <c r="K966" s="1387"/>
      <c r="L966" s="1353"/>
      <c r="M966" s="1353"/>
      <c r="N966" s="1353"/>
    </row>
    <row r="967" spans="1:14" x14ac:dyDescent="0.25">
      <c r="A967" s="1353"/>
      <c r="B967" s="1353"/>
      <c r="C967" s="1353"/>
      <c r="D967" s="1353"/>
      <c r="E967" s="1353"/>
      <c r="F967" s="1353"/>
      <c r="G967" s="1353"/>
      <c r="H967" s="1353"/>
      <c r="I967" s="1353"/>
      <c r="J967" s="1353"/>
      <c r="K967" s="1387"/>
      <c r="L967" s="1353"/>
      <c r="M967" s="1353"/>
      <c r="N967" s="1353"/>
    </row>
    <row r="968" spans="1:14" x14ac:dyDescent="0.25">
      <c r="A968" s="1353"/>
      <c r="B968" s="1353"/>
      <c r="C968" s="1353"/>
      <c r="D968" s="1353"/>
      <c r="E968" s="1353"/>
      <c r="F968" s="1353"/>
      <c r="G968" s="1353"/>
      <c r="H968" s="1353"/>
      <c r="I968" s="1353"/>
      <c r="J968" s="1353"/>
      <c r="K968" s="1387"/>
      <c r="L968" s="1353"/>
      <c r="M968" s="1353"/>
      <c r="N968" s="1353"/>
    </row>
    <row r="969" spans="1:14" x14ac:dyDescent="0.25">
      <c r="A969" s="1353"/>
      <c r="B969" s="1353"/>
      <c r="C969" s="1353"/>
      <c r="D969" s="1353"/>
      <c r="E969" s="1353"/>
      <c r="F969" s="1353"/>
      <c r="G969" s="1353"/>
      <c r="H969" s="1353"/>
      <c r="I969" s="1353"/>
      <c r="J969" s="1353"/>
      <c r="K969" s="1387"/>
      <c r="L969" s="1353"/>
      <c r="M969" s="1353"/>
      <c r="N969" s="1353"/>
    </row>
    <row r="970" spans="1:14" x14ac:dyDescent="0.25">
      <c r="A970" s="1353"/>
      <c r="B970" s="1353"/>
      <c r="C970" s="1353"/>
      <c r="D970" s="1353"/>
      <c r="E970" s="1353"/>
      <c r="F970" s="1353"/>
      <c r="G970" s="1353"/>
      <c r="H970" s="1353"/>
      <c r="I970" s="1353"/>
      <c r="J970" s="1353"/>
      <c r="K970" s="1387"/>
      <c r="L970" s="1353"/>
      <c r="M970" s="1353"/>
      <c r="N970" s="1353"/>
    </row>
    <row r="971" spans="1:14" x14ac:dyDescent="0.25">
      <c r="A971" s="1353"/>
      <c r="B971" s="1353"/>
      <c r="C971" s="1353"/>
      <c r="D971" s="1353"/>
      <c r="E971" s="1353"/>
      <c r="F971" s="1353"/>
      <c r="G971" s="1353"/>
      <c r="H971" s="1353"/>
      <c r="I971" s="1353"/>
      <c r="J971" s="1353"/>
      <c r="K971" s="1387"/>
      <c r="L971" s="1353"/>
      <c r="M971" s="1353"/>
      <c r="N971" s="1353"/>
    </row>
    <row r="972" spans="1:14" x14ac:dyDescent="0.25">
      <c r="A972" s="1353"/>
      <c r="B972" s="1353"/>
      <c r="C972" s="1353"/>
      <c r="D972" s="1353"/>
      <c r="E972" s="1353"/>
      <c r="F972" s="1353"/>
      <c r="G972" s="1353"/>
      <c r="H972" s="1353"/>
      <c r="I972" s="1353"/>
      <c r="J972" s="1353"/>
      <c r="K972" s="1387"/>
      <c r="L972" s="1353"/>
      <c r="M972" s="1353"/>
      <c r="N972" s="1353"/>
    </row>
    <row r="973" spans="1:14" x14ac:dyDescent="0.25">
      <c r="A973" s="1353"/>
      <c r="B973" s="1353"/>
      <c r="C973" s="1353"/>
      <c r="D973" s="1353"/>
      <c r="E973" s="1353"/>
      <c r="F973" s="1353"/>
      <c r="G973" s="1353"/>
      <c r="H973" s="1353"/>
      <c r="I973" s="1353"/>
      <c r="J973" s="1353"/>
      <c r="K973" s="1387"/>
      <c r="L973" s="1353"/>
      <c r="M973" s="1353"/>
      <c r="N973" s="1353"/>
    </row>
    <row r="974" spans="1:14" x14ac:dyDescent="0.25">
      <c r="A974" s="1353"/>
      <c r="B974" s="1353"/>
      <c r="C974" s="1353"/>
      <c r="D974" s="1353"/>
      <c r="E974" s="1353"/>
      <c r="F974" s="1353"/>
      <c r="G974" s="1353"/>
      <c r="H974" s="1353"/>
      <c r="I974" s="1353"/>
      <c r="J974" s="1353"/>
      <c r="K974" s="1387"/>
      <c r="L974" s="1353"/>
      <c r="M974" s="1353"/>
      <c r="N974" s="1353"/>
    </row>
    <row r="975" spans="1:14" x14ac:dyDescent="0.25">
      <c r="A975" s="1353"/>
      <c r="B975" s="1353"/>
      <c r="C975" s="1353"/>
      <c r="D975" s="1353"/>
      <c r="E975" s="1353"/>
      <c r="F975" s="1353"/>
      <c r="G975" s="1353"/>
      <c r="H975" s="1353"/>
      <c r="I975" s="1353"/>
      <c r="J975" s="1353"/>
      <c r="K975" s="1387"/>
      <c r="L975" s="1353"/>
      <c r="M975" s="1353"/>
      <c r="N975" s="1353"/>
    </row>
    <row r="976" spans="1:14" x14ac:dyDescent="0.25">
      <c r="A976" s="1353"/>
      <c r="B976" s="1353"/>
      <c r="C976" s="1353"/>
      <c r="D976" s="1353"/>
      <c r="E976" s="1353"/>
      <c r="F976" s="1353"/>
      <c r="G976" s="1353"/>
      <c r="H976" s="1353"/>
      <c r="I976" s="1353"/>
      <c r="J976" s="1353"/>
      <c r="K976" s="1387"/>
      <c r="L976" s="1353"/>
      <c r="M976" s="1353"/>
      <c r="N976" s="1353"/>
    </row>
    <row r="977" spans="1:14" x14ac:dyDescent="0.25">
      <c r="A977" s="1353"/>
      <c r="B977" s="1353"/>
      <c r="C977" s="1353"/>
      <c r="D977" s="1353"/>
      <c r="E977" s="1353"/>
      <c r="F977" s="1353"/>
      <c r="G977" s="1353"/>
      <c r="H977" s="1353"/>
      <c r="I977" s="1353"/>
      <c r="J977" s="1353"/>
      <c r="K977" s="1387"/>
      <c r="L977" s="1353"/>
      <c r="M977" s="1353"/>
      <c r="N977" s="1353"/>
    </row>
    <row r="978" spans="1:14" x14ac:dyDescent="0.25">
      <c r="A978" s="1353"/>
      <c r="B978" s="1353"/>
      <c r="C978" s="1353"/>
      <c r="D978" s="1353"/>
      <c r="E978" s="1353"/>
      <c r="F978" s="1353"/>
      <c r="G978" s="1353"/>
      <c r="H978" s="1353"/>
      <c r="I978" s="1353"/>
      <c r="J978" s="1353"/>
      <c r="K978" s="1387"/>
      <c r="L978" s="1353"/>
      <c r="M978" s="1353"/>
      <c r="N978" s="1353"/>
    </row>
    <row r="979" spans="1:14" x14ac:dyDescent="0.25">
      <c r="A979" s="1353"/>
      <c r="B979" s="1353"/>
      <c r="C979" s="1353"/>
      <c r="D979" s="1353"/>
      <c r="E979" s="1353"/>
      <c r="F979" s="1353"/>
      <c r="G979" s="1353"/>
      <c r="H979" s="1353"/>
      <c r="I979" s="1353"/>
      <c r="J979" s="1353"/>
      <c r="K979" s="1387"/>
      <c r="L979" s="1353"/>
      <c r="M979" s="1353"/>
      <c r="N979" s="1353"/>
    </row>
    <row r="980" spans="1:14" x14ac:dyDescent="0.25">
      <c r="A980" s="1353"/>
      <c r="B980" s="1353"/>
      <c r="C980" s="1353"/>
      <c r="D980" s="1353"/>
      <c r="E980" s="1353"/>
      <c r="F980" s="1353"/>
      <c r="G980" s="1353"/>
      <c r="H980" s="1353"/>
      <c r="I980" s="1353"/>
      <c r="J980" s="1353"/>
      <c r="K980" s="1387"/>
      <c r="L980" s="1353"/>
      <c r="M980" s="1353"/>
      <c r="N980" s="1353"/>
    </row>
    <row r="981" spans="1:14" x14ac:dyDescent="0.25">
      <c r="A981" s="1353"/>
      <c r="B981" s="1353"/>
      <c r="C981" s="1353"/>
      <c r="D981" s="1353"/>
      <c r="E981" s="1353"/>
      <c r="F981" s="1353"/>
      <c r="G981" s="1353"/>
      <c r="H981" s="1353"/>
      <c r="I981" s="1353"/>
      <c r="J981" s="1353"/>
      <c r="K981" s="1387"/>
      <c r="L981" s="1353"/>
      <c r="M981" s="1353"/>
      <c r="N981" s="1353"/>
    </row>
    <row r="982" spans="1:14" x14ac:dyDescent="0.25">
      <c r="A982" s="1353"/>
      <c r="B982" s="1353"/>
      <c r="C982" s="1353"/>
      <c r="D982" s="1353"/>
      <c r="E982" s="1353"/>
      <c r="F982" s="1353"/>
      <c r="G982" s="1353"/>
      <c r="H982" s="1353"/>
      <c r="I982" s="1353"/>
      <c r="J982" s="1353"/>
      <c r="K982" s="1387"/>
      <c r="L982" s="1353"/>
      <c r="M982" s="1353"/>
      <c r="N982" s="1353"/>
    </row>
    <row r="983" spans="1:14" x14ac:dyDescent="0.25">
      <c r="A983" s="1353"/>
      <c r="B983" s="1353"/>
      <c r="C983" s="1353"/>
      <c r="D983" s="1353"/>
      <c r="E983" s="1353"/>
      <c r="F983" s="1353"/>
      <c r="G983" s="1353"/>
      <c r="H983" s="1353"/>
      <c r="I983" s="1353"/>
      <c r="J983" s="1353"/>
      <c r="K983" s="1387"/>
      <c r="L983" s="1353"/>
      <c r="M983" s="1353"/>
      <c r="N983" s="1353"/>
    </row>
    <row r="984" spans="1:14" x14ac:dyDescent="0.25">
      <c r="A984" s="1353"/>
      <c r="B984" s="1353"/>
      <c r="C984" s="1353"/>
      <c r="D984" s="1353"/>
      <c r="E984" s="1353"/>
      <c r="F984" s="1353"/>
      <c r="G984" s="1353"/>
      <c r="H984" s="1353"/>
      <c r="I984" s="1353"/>
      <c r="J984" s="1353"/>
      <c r="K984" s="1387"/>
      <c r="L984" s="1353"/>
      <c r="M984" s="1353"/>
      <c r="N984" s="1353"/>
    </row>
    <row r="985" spans="1:14" x14ac:dyDescent="0.25">
      <c r="A985" s="1353"/>
      <c r="B985" s="1353"/>
      <c r="C985" s="1353"/>
      <c r="D985" s="1353"/>
      <c r="E985" s="1353"/>
      <c r="F985" s="1353"/>
      <c r="G985" s="1353"/>
      <c r="H985" s="1353"/>
      <c r="I985" s="1353"/>
      <c r="J985" s="1353"/>
      <c r="K985" s="1387"/>
      <c r="L985" s="1353"/>
      <c r="M985" s="1353"/>
      <c r="N985" s="1353"/>
    </row>
    <row r="986" spans="1:14" x14ac:dyDescent="0.25">
      <c r="A986" s="1353"/>
      <c r="B986" s="1353"/>
      <c r="C986" s="1353"/>
      <c r="D986" s="1353"/>
      <c r="E986" s="1353"/>
      <c r="F986" s="1353"/>
      <c r="G986" s="1353"/>
      <c r="H986" s="1353"/>
      <c r="I986" s="1353"/>
      <c r="J986" s="1353"/>
      <c r="K986" s="1387"/>
      <c r="L986" s="1353"/>
      <c r="M986" s="1353"/>
      <c r="N986" s="1353"/>
    </row>
    <row r="987" spans="1:14" x14ac:dyDescent="0.25">
      <c r="A987" s="1353"/>
      <c r="B987" s="1353"/>
      <c r="C987" s="1353"/>
      <c r="D987" s="1353"/>
      <c r="E987" s="1353"/>
      <c r="F987" s="1353"/>
      <c r="G987" s="1353"/>
      <c r="H987" s="1353"/>
      <c r="I987" s="1353"/>
      <c r="J987" s="1353"/>
      <c r="K987" s="1387"/>
      <c r="L987" s="1353"/>
      <c r="M987" s="1353"/>
      <c r="N987" s="1353"/>
    </row>
    <row r="988" spans="1:14" x14ac:dyDescent="0.25">
      <c r="A988" s="1353"/>
      <c r="B988" s="1353"/>
      <c r="C988" s="1353"/>
      <c r="D988" s="1353"/>
      <c r="E988" s="1353"/>
      <c r="F988" s="1353"/>
      <c r="G988" s="1353"/>
      <c r="H988" s="1353"/>
      <c r="I988" s="1353"/>
      <c r="J988" s="1353"/>
      <c r="K988" s="1387"/>
      <c r="L988" s="1353"/>
      <c r="M988" s="1353"/>
      <c r="N988" s="1353"/>
    </row>
    <row r="989" spans="1:14" x14ac:dyDescent="0.25">
      <c r="A989" s="1353"/>
      <c r="B989" s="1353"/>
      <c r="C989" s="1353"/>
      <c r="D989" s="1353"/>
      <c r="E989" s="1353"/>
      <c r="F989" s="1353"/>
      <c r="G989" s="1353"/>
      <c r="H989" s="1353"/>
      <c r="I989" s="1353"/>
      <c r="J989" s="1353"/>
      <c r="K989" s="1387"/>
      <c r="L989" s="1353"/>
      <c r="M989" s="1353"/>
      <c r="N989" s="1353"/>
    </row>
    <row r="990" spans="1:14" x14ac:dyDescent="0.25">
      <c r="A990" s="1353"/>
      <c r="B990" s="1353"/>
      <c r="C990" s="1353"/>
      <c r="D990" s="1353"/>
      <c r="E990" s="1353"/>
      <c r="F990" s="1353"/>
      <c r="G990" s="1353"/>
      <c r="H990" s="1353"/>
      <c r="I990" s="1353"/>
      <c r="J990" s="1353"/>
      <c r="K990" s="1387"/>
      <c r="L990" s="1353"/>
      <c r="M990" s="1353"/>
      <c r="N990" s="1353"/>
    </row>
    <row r="991" spans="1:14" x14ac:dyDescent="0.25">
      <c r="A991" s="1353"/>
      <c r="B991" s="1353"/>
      <c r="C991" s="1353"/>
      <c r="D991" s="1353"/>
      <c r="E991" s="1353"/>
      <c r="F991" s="1353"/>
      <c r="G991" s="1353"/>
      <c r="H991" s="1353"/>
      <c r="I991" s="1353"/>
      <c r="J991" s="1353"/>
      <c r="K991" s="1387"/>
      <c r="L991" s="1353"/>
      <c r="M991" s="1353"/>
      <c r="N991" s="1353"/>
    </row>
    <row r="992" spans="1:14" x14ac:dyDescent="0.25">
      <c r="A992" s="1353"/>
      <c r="B992" s="1353"/>
      <c r="C992" s="1353"/>
      <c r="D992" s="1353"/>
      <c r="E992" s="1353"/>
      <c r="F992" s="1353"/>
      <c r="G992" s="1353"/>
      <c r="H992" s="1353"/>
      <c r="I992" s="1353"/>
      <c r="J992" s="1353"/>
      <c r="K992" s="1387"/>
      <c r="L992" s="1353"/>
      <c r="M992" s="1353"/>
      <c r="N992" s="1353"/>
    </row>
    <row r="993" spans="1:14" x14ac:dyDescent="0.25">
      <c r="A993" s="1353"/>
      <c r="B993" s="1353"/>
      <c r="C993" s="1353"/>
      <c r="D993" s="1353"/>
      <c r="E993" s="1353"/>
      <c r="F993" s="1353"/>
      <c r="G993" s="1353"/>
      <c r="H993" s="1353"/>
      <c r="I993" s="1353"/>
      <c r="J993" s="1353"/>
      <c r="K993" s="1387"/>
      <c r="L993" s="1353"/>
      <c r="M993" s="1353"/>
      <c r="N993" s="1353"/>
    </row>
    <row r="994" spans="1:14" x14ac:dyDescent="0.25">
      <c r="A994" s="1353"/>
      <c r="B994" s="1353"/>
      <c r="C994" s="1353"/>
      <c r="D994" s="1353"/>
      <c r="E994" s="1353"/>
      <c r="F994" s="1353"/>
      <c r="G994" s="1353"/>
      <c r="H994" s="1353"/>
      <c r="I994" s="1353"/>
      <c r="J994" s="1353"/>
      <c r="K994" s="1387"/>
      <c r="L994" s="1353"/>
      <c r="M994" s="1353"/>
      <c r="N994" s="1353"/>
    </row>
    <row r="995" spans="1:14" x14ac:dyDescent="0.25">
      <c r="A995" s="1353"/>
      <c r="B995" s="1353"/>
      <c r="C995" s="1353"/>
      <c r="D995" s="1353"/>
      <c r="E995" s="1353"/>
      <c r="F995" s="1353"/>
      <c r="G995" s="1353"/>
      <c r="H995" s="1353"/>
      <c r="I995" s="1353"/>
      <c r="J995" s="1353"/>
      <c r="K995" s="1387"/>
      <c r="L995" s="1353"/>
      <c r="M995" s="1353"/>
      <c r="N995" s="1353"/>
    </row>
    <row r="996" spans="1:14" x14ac:dyDescent="0.25">
      <c r="A996" s="1353"/>
      <c r="B996" s="1353"/>
      <c r="C996" s="1353"/>
      <c r="D996" s="1353"/>
      <c r="E996" s="1353"/>
      <c r="F996" s="1353"/>
      <c r="G996" s="1353"/>
      <c r="H996" s="1353"/>
      <c r="I996" s="1353"/>
      <c r="J996" s="1353"/>
      <c r="K996" s="1387"/>
      <c r="L996" s="1353"/>
      <c r="M996" s="1353"/>
      <c r="N996" s="1353"/>
    </row>
    <row r="997" spans="1:14" x14ac:dyDescent="0.25">
      <c r="A997" s="1353"/>
      <c r="B997" s="1353"/>
      <c r="C997" s="1353"/>
      <c r="D997" s="1353"/>
      <c r="E997" s="1353"/>
      <c r="F997" s="1353"/>
      <c r="G997" s="1353"/>
      <c r="H997" s="1353"/>
      <c r="I997" s="1353"/>
      <c r="J997" s="1353"/>
      <c r="K997" s="1387"/>
      <c r="L997" s="1353"/>
      <c r="M997" s="1353"/>
      <c r="N997" s="1353"/>
    </row>
    <row r="998" spans="1:14" x14ac:dyDescent="0.25">
      <c r="A998" s="1353"/>
      <c r="B998" s="1353"/>
      <c r="C998" s="1353"/>
      <c r="D998" s="1353"/>
      <c r="E998" s="1353"/>
      <c r="F998" s="1353"/>
      <c r="G998" s="1353"/>
      <c r="H998" s="1353"/>
      <c r="I998" s="1353"/>
      <c r="J998" s="1353"/>
      <c r="K998" s="1387"/>
      <c r="L998" s="1353"/>
      <c r="M998" s="1353"/>
      <c r="N998" s="1353"/>
    </row>
    <row r="999" spans="1:14" x14ac:dyDescent="0.25">
      <c r="A999" s="1353"/>
      <c r="B999" s="1353"/>
      <c r="C999" s="1353"/>
      <c r="D999" s="1353"/>
      <c r="E999" s="1353"/>
      <c r="F999" s="1353"/>
      <c r="G999" s="1353"/>
      <c r="H999" s="1353"/>
      <c r="I999" s="1353"/>
      <c r="J999" s="1353"/>
      <c r="K999" s="1387"/>
      <c r="L999" s="1353"/>
      <c r="M999" s="1353"/>
      <c r="N999" s="1353"/>
    </row>
    <row r="1000" spans="1:14" x14ac:dyDescent="0.25">
      <c r="A1000" s="1353"/>
      <c r="B1000" s="1353"/>
      <c r="C1000" s="1353"/>
      <c r="D1000" s="1353"/>
      <c r="E1000" s="1353"/>
      <c r="F1000" s="1353"/>
      <c r="G1000" s="1353"/>
      <c r="H1000" s="1353"/>
      <c r="I1000" s="1353"/>
      <c r="J1000" s="1353"/>
      <c r="K1000" s="1387"/>
      <c r="L1000" s="1353"/>
      <c r="M1000" s="1353"/>
      <c r="N1000" s="1353"/>
    </row>
    <row r="1001" spans="1:14" x14ac:dyDescent="0.25">
      <c r="A1001" s="1353"/>
      <c r="B1001" s="1353"/>
      <c r="C1001" s="1353"/>
      <c r="D1001" s="1353"/>
      <c r="E1001" s="1353"/>
      <c r="F1001" s="1353"/>
      <c r="G1001" s="1353"/>
      <c r="H1001" s="1353"/>
      <c r="I1001" s="1353"/>
      <c r="J1001" s="1353"/>
      <c r="K1001" s="1387"/>
      <c r="L1001" s="1353"/>
      <c r="M1001" s="1353"/>
      <c r="N1001" s="1353"/>
    </row>
    <row r="1002" spans="1:14" x14ac:dyDescent="0.25">
      <c r="A1002" s="1353"/>
      <c r="B1002" s="1353"/>
      <c r="C1002" s="1353"/>
      <c r="D1002" s="1353"/>
      <c r="E1002" s="1353"/>
      <c r="F1002" s="1353"/>
      <c r="G1002" s="1353"/>
      <c r="H1002" s="1353"/>
      <c r="I1002" s="1353"/>
      <c r="J1002" s="1353"/>
      <c r="K1002" s="1387"/>
      <c r="L1002" s="1353"/>
      <c r="M1002" s="1353"/>
      <c r="N1002" s="1353"/>
    </row>
    <row r="1003" spans="1:14" x14ac:dyDescent="0.25">
      <c r="A1003" s="1353"/>
      <c r="B1003" s="1353"/>
      <c r="C1003" s="1353"/>
      <c r="D1003" s="1353"/>
      <c r="E1003" s="1353"/>
      <c r="F1003" s="1353"/>
      <c r="G1003" s="1353"/>
      <c r="H1003" s="1353"/>
      <c r="I1003" s="1353"/>
      <c r="J1003" s="1353"/>
      <c r="K1003" s="1387"/>
      <c r="L1003" s="1353"/>
      <c r="M1003" s="1353"/>
      <c r="N1003" s="1353"/>
    </row>
    <row r="1004" spans="1:14" x14ac:dyDescent="0.25">
      <c r="A1004" s="1353"/>
      <c r="B1004" s="1353"/>
      <c r="C1004" s="1353"/>
      <c r="D1004" s="1353"/>
      <c r="E1004" s="1353"/>
      <c r="F1004" s="1353"/>
      <c r="G1004" s="1353"/>
      <c r="H1004" s="1353"/>
      <c r="I1004" s="1353"/>
      <c r="J1004" s="1353"/>
      <c r="K1004" s="1387"/>
      <c r="L1004" s="1353"/>
      <c r="M1004" s="1353"/>
      <c r="N1004" s="1353"/>
    </row>
    <row r="1005" spans="1:14" x14ac:dyDescent="0.25">
      <c r="A1005" s="1353"/>
      <c r="B1005" s="1353"/>
      <c r="C1005" s="1353"/>
      <c r="D1005" s="1353"/>
      <c r="E1005" s="1353"/>
      <c r="F1005" s="1353"/>
      <c r="G1005" s="1353"/>
      <c r="H1005" s="1353"/>
      <c r="I1005" s="1353"/>
      <c r="J1005" s="1353"/>
      <c r="K1005" s="1387"/>
      <c r="L1005" s="1353"/>
      <c r="M1005" s="1353"/>
      <c r="N1005" s="1353"/>
    </row>
    <row r="1006" spans="1:14" x14ac:dyDescent="0.25">
      <c r="A1006" s="1353"/>
      <c r="B1006" s="1353"/>
      <c r="C1006" s="1353"/>
      <c r="D1006" s="1353"/>
      <c r="E1006" s="1353"/>
      <c r="F1006" s="1353"/>
      <c r="G1006" s="1353"/>
      <c r="H1006" s="1353"/>
      <c r="I1006" s="1353"/>
      <c r="J1006" s="1353"/>
      <c r="K1006" s="1387"/>
      <c r="L1006" s="1353"/>
      <c r="M1006" s="1353"/>
      <c r="N1006" s="1353"/>
    </row>
    <row r="1007" spans="1:14" x14ac:dyDescent="0.25">
      <c r="A1007" s="1353"/>
      <c r="B1007" s="1353"/>
      <c r="C1007" s="1353"/>
      <c r="D1007" s="1353"/>
      <c r="E1007" s="1353"/>
      <c r="F1007" s="1353"/>
      <c r="G1007" s="1353"/>
      <c r="H1007" s="1353"/>
      <c r="I1007" s="1353"/>
      <c r="J1007" s="1353"/>
      <c r="K1007" s="1387"/>
      <c r="L1007" s="1353"/>
      <c r="M1007" s="1353"/>
      <c r="N1007" s="1353"/>
    </row>
    <row r="1008" spans="1:14" x14ac:dyDescent="0.25">
      <c r="A1008" s="1353"/>
      <c r="B1008" s="1353"/>
      <c r="C1008" s="1353"/>
      <c r="D1008" s="1353"/>
      <c r="E1008" s="1353"/>
      <c r="F1008" s="1353"/>
      <c r="G1008" s="1353"/>
      <c r="H1008" s="1353"/>
      <c r="I1008" s="1353"/>
      <c r="J1008" s="1353"/>
      <c r="K1008" s="1387"/>
      <c r="L1008" s="1353"/>
      <c r="M1008" s="1353"/>
      <c r="N1008" s="1353"/>
    </row>
    <row r="1009" spans="1:14" x14ac:dyDescent="0.25">
      <c r="A1009" s="1353"/>
      <c r="B1009" s="1353"/>
      <c r="C1009" s="1353"/>
      <c r="D1009" s="1353"/>
      <c r="E1009" s="1353"/>
      <c r="F1009" s="1353"/>
      <c r="G1009" s="1353"/>
      <c r="H1009" s="1353"/>
      <c r="I1009" s="1353"/>
      <c r="J1009" s="1353"/>
      <c r="K1009" s="1387"/>
      <c r="L1009" s="1353"/>
      <c r="M1009" s="1353"/>
      <c r="N1009" s="1353"/>
    </row>
    <row r="1010" spans="1:14" x14ac:dyDescent="0.25">
      <c r="A1010" s="1353"/>
      <c r="B1010" s="1353"/>
      <c r="C1010" s="1353"/>
      <c r="D1010" s="1353"/>
      <c r="E1010" s="1353"/>
      <c r="F1010" s="1353"/>
      <c r="G1010" s="1353"/>
      <c r="H1010" s="1353"/>
      <c r="I1010" s="1353"/>
      <c r="J1010" s="1353"/>
      <c r="K1010" s="1387"/>
      <c r="L1010" s="1353"/>
      <c r="M1010" s="1353"/>
      <c r="N1010" s="1353"/>
    </row>
    <row r="1011" spans="1:14" x14ac:dyDescent="0.25">
      <c r="A1011" s="1353"/>
      <c r="B1011" s="1353"/>
      <c r="C1011" s="1353"/>
      <c r="D1011" s="1353"/>
      <c r="E1011" s="1353"/>
      <c r="F1011" s="1353"/>
      <c r="G1011" s="1353"/>
      <c r="H1011" s="1353"/>
      <c r="I1011" s="1353"/>
      <c r="J1011" s="1353"/>
      <c r="K1011" s="1387"/>
      <c r="L1011" s="1353"/>
      <c r="M1011" s="1353"/>
      <c r="N1011" s="1353"/>
    </row>
    <row r="1012" spans="1:14" x14ac:dyDescent="0.25">
      <c r="A1012" s="1353"/>
      <c r="B1012" s="1353"/>
      <c r="C1012" s="1353"/>
      <c r="D1012" s="1353"/>
      <c r="E1012" s="1353"/>
      <c r="F1012" s="1353"/>
      <c r="G1012" s="1353"/>
      <c r="H1012" s="1353"/>
      <c r="I1012" s="1353"/>
      <c r="J1012" s="1353"/>
      <c r="K1012" s="1387"/>
      <c r="L1012" s="1353"/>
      <c r="M1012" s="1353"/>
      <c r="N1012" s="1353"/>
    </row>
    <row r="1013" spans="1:14" x14ac:dyDescent="0.25">
      <c r="A1013" s="1353"/>
      <c r="B1013" s="1353"/>
      <c r="C1013" s="1353"/>
      <c r="D1013" s="1353"/>
      <c r="E1013" s="1353"/>
      <c r="F1013" s="1353"/>
      <c r="G1013" s="1353"/>
      <c r="H1013" s="1353"/>
      <c r="I1013" s="1353"/>
      <c r="J1013" s="1353"/>
      <c r="K1013" s="1387"/>
      <c r="L1013" s="1353"/>
      <c r="M1013" s="1353"/>
      <c r="N1013" s="1353"/>
    </row>
    <row r="1014" spans="1:14" x14ac:dyDescent="0.25">
      <c r="A1014" s="1353"/>
      <c r="B1014" s="1353"/>
      <c r="C1014" s="1353"/>
      <c r="D1014" s="1353"/>
      <c r="E1014" s="1353"/>
      <c r="F1014" s="1353"/>
      <c r="G1014" s="1353"/>
      <c r="H1014" s="1353"/>
      <c r="I1014" s="1353"/>
      <c r="J1014" s="1353"/>
      <c r="K1014" s="1387"/>
      <c r="L1014" s="1353"/>
      <c r="M1014" s="1353"/>
      <c r="N1014" s="1353"/>
    </row>
    <row r="1015" spans="1:14" x14ac:dyDescent="0.25">
      <c r="A1015" s="1353"/>
      <c r="B1015" s="1353"/>
      <c r="C1015" s="1353"/>
      <c r="D1015" s="1353"/>
      <c r="E1015" s="1353"/>
      <c r="F1015" s="1353"/>
      <c r="G1015" s="1353"/>
      <c r="H1015" s="1353"/>
      <c r="I1015" s="1353"/>
      <c r="J1015" s="1353"/>
      <c r="K1015" s="1387"/>
      <c r="L1015" s="1353"/>
      <c r="M1015" s="1353"/>
      <c r="N1015" s="1353"/>
    </row>
    <row r="1016" spans="1:14" x14ac:dyDescent="0.25">
      <c r="A1016" s="1353"/>
      <c r="B1016" s="1353"/>
      <c r="C1016" s="1353"/>
      <c r="D1016" s="1353"/>
      <c r="E1016" s="1353"/>
      <c r="F1016" s="1353"/>
      <c r="G1016" s="1353"/>
      <c r="H1016" s="1353"/>
      <c r="I1016" s="1353"/>
      <c r="J1016" s="1353"/>
      <c r="K1016" s="1387"/>
      <c r="L1016" s="1353"/>
      <c r="M1016" s="1353"/>
      <c r="N1016" s="1353"/>
    </row>
    <row r="1017" spans="1:14" x14ac:dyDescent="0.25">
      <c r="A1017" s="1353"/>
      <c r="B1017" s="1353"/>
      <c r="C1017" s="1353"/>
      <c r="D1017" s="1353"/>
      <c r="E1017" s="1353"/>
      <c r="F1017" s="1353"/>
      <c r="G1017" s="1353"/>
      <c r="H1017" s="1353"/>
      <c r="I1017" s="1353"/>
      <c r="J1017" s="1353"/>
      <c r="K1017" s="1387"/>
      <c r="L1017" s="1353"/>
      <c r="M1017" s="1353"/>
      <c r="N1017" s="1353"/>
    </row>
    <row r="1018" spans="1:14" x14ac:dyDescent="0.25">
      <c r="A1018" s="1353"/>
      <c r="B1018" s="1353"/>
      <c r="C1018" s="1353"/>
      <c r="D1018" s="1353"/>
      <c r="E1018" s="1353"/>
      <c r="F1018" s="1353"/>
      <c r="G1018" s="1353"/>
      <c r="H1018" s="1353"/>
      <c r="I1018" s="1353"/>
      <c r="J1018" s="1353"/>
      <c r="K1018" s="1387"/>
      <c r="L1018" s="1353"/>
      <c r="M1018" s="1353"/>
      <c r="N1018" s="1353"/>
    </row>
    <row r="1019" spans="1:14" x14ac:dyDescent="0.25">
      <c r="A1019" s="1353"/>
      <c r="B1019" s="1353"/>
      <c r="C1019" s="1353"/>
      <c r="D1019" s="1353"/>
      <c r="E1019" s="1353"/>
      <c r="F1019" s="1353"/>
      <c r="G1019" s="1353"/>
      <c r="H1019" s="1353"/>
      <c r="I1019" s="1353"/>
      <c r="J1019" s="1353"/>
      <c r="K1019" s="1387"/>
      <c r="L1019" s="1353"/>
      <c r="M1019" s="1353"/>
      <c r="N1019" s="1353"/>
    </row>
    <row r="1020" spans="1:14" x14ac:dyDescent="0.25">
      <c r="A1020" s="1353"/>
      <c r="B1020" s="1353"/>
      <c r="C1020" s="1353"/>
      <c r="D1020" s="1353"/>
      <c r="E1020" s="1353"/>
      <c r="F1020" s="1353"/>
      <c r="G1020" s="1353"/>
      <c r="H1020" s="1353"/>
      <c r="I1020" s="1353"/>
      <c r="J1020" s="1353"/>
      <c r="K1020" s="1387"/>
      <c r="L1020" s="1353"/>
      <c r="M1020" s="1353"/>
      <c r="N1020" s="1353"/>
    </row>
    <row r="1021" spans="1:14" x14ac:dyDescent="0.25">
      <c r="A1021" s="1353"/>
      <c r="B1021" s="1353"/>
      <c r="C1021" s="1353"/>
      <c r="D1021" s="1353"/>
      <c r="E1021" s="1353"/>
      <c r="F1021" s="1353"/>
      <c r="G1021" s="1353"/>
      <c r="H1021" s="1353"/>
      <c r="I1021" s="1353"/>
      <c r="J1021" s="1353"/>
      <c r="K1021" s="1387"/>
      <c r="L1021" s="1353"/>
      <c r="M1021" s="1353"/>
      <c r="N1021" s="1353"/>
    </row>
    <row r="1022" spans="1:14" x14ac:dyDescent="0.25">
      <c r="A1022" s="1353"/>
      <c r="B1022" s="1353"/>
      <c r="C1022" s="1353"/>
      <c r="D1022" s="1353"/>
      <c r="E1022" s="1353"/>
      <c r="F1022" s="1353"/>
      <c r="G1022" s="1353"/>
      <c r="H1022" s="1353"/>
      <c r="I1022" s="1353"/>
      <c r="J1022" s="1353"/>
      <c r="K1022" s="1387"/>
      <c r="L1022" s="1353"/>
      <c r="M1022" s="1353"/>
      <c r="N1022" s="1353"/>
    </row>
    <row r="1023" spans="1:14" x14ac:dyDescent="0.25">
      <c r="A1023" s="1353"/>
      <c r="B1023" s="1353"/>
      <c r="C1023" s="1353"/>
      <c r="D1023" s="1353"/>
      <c r="E1023" s="1353"/>
      <c r="F1023" s="1353"/>
      <c r="G1023" s="1353"/>
      <c r="H1023" s="1353"/>
      <c r="I1023" s="1353"/>
      <c r="J1023" s="1353"/>
      <c r="K1023" s="1387"/>
      <c r="L1023" s="1353"/>
      <c r="M1023" s="1353"/>
      <c r="N1023" s="1353"/>
    </row>
    <row r="1024" spans="1:14" x14ac:dyDescent="0.25">
      <c r="A1024" s="1353"/>
      <c r="B1024" s="1353"/>
      <c r="C1024" s="1353"/>
      <c r="D1024" s="1353"/>
      <c r="E1024" s="1353"/>
      <c r="F1024" s="1353"/>
      <c r="G1024" s="1353"/>
      <c r="H1024" s="1353"/>
      <c r="I1024" s="1353"/>
      <c r="J1024" s="1353"/>
      <c r="K1024" s="1387"/>
      <c r="L1024" s="1353"/>
      <c r="M1024" s="1353"/>
      <c r="N1024" s="1353"/>
    </row>
    <row r="1025" spans="1:14" x14ac:dyDescent="0.25">
      <c r="A1025" s="1353"/>
      <c r="B1025" s="1353"/>
      <c r="C1025" s="1353"/>
      <c r="D1025" s="1353"/>
      <c r="E1025" s="1353"/>
      <c r="F1025" s="1353"/>
      <c r="G1025" s="1353"/>
      <c r="H1025" s="1353"/>
      <c r="I1025" s="1353"/>
      <c r="J1025" s="1353"/>
      <c r="K1025" s="1387"/>
      <c r="L1025" s="1353"/>
      <c r="M1025" s="1353"/>
      <c r="N1025" s="1353"/>
    </row>
    <row r="1026" spans="1:14" x14ac:dyDescent="0.25">
      <c r="A1026" s="1353"/>
      <c r="B1026" s="1353"/>
      <c r="C1026" s="1353"/>
      <c r="D1026" s="1353"/>
      <c r="E1026" s="1353"/>
      <c r="F1026" s="1353"/>
      <c r="G1026" s="1353"/>
      <c r="H1026" s="1353"/>
      <c r="I1026" s="1353"/>
      <c r="J1026" s="1353"/>
      <c r="K1026" s="1387"/>
      <c r="L1026" s="1353"/>
      <c r="M1026" s="1353"/>
      <c r="N1026" s="1353"/>
    </row>
    <row r="1027" spans="1:14" x14ac:dyDescent="0.25">
      <c r="A1027" s="1353"/>
      <c r="B1027" s="1353"/>
      <c r="C1027" s="1353"/>
      <c r="D1027" s="1353"/>
      <c r="E1027" s="1353"/>
      <c r="F1027" s="1353"/>
      <c r="G1027" s="1353"/>
      <c r="H1027" s="1353"/>
      <c r="I1027" s="1353"/>
      <c r="J1027" s="1353"/>
      <c r="K1027" s="1387"/>
      <c r="L1027" s="1353"/>
      <c r="M1027" s="1353"/>
      <c r="N1027" s="1353"/>
    </row>
    <row r="1028" spans="1:14" x14ac:dyDescent="0.25">
      <c r="A1028" s="1353"/>
      <c r="B1028" s="1353"/>
      <c r="C1028" s="1353"/>
      <c r="D1028" s="1353"/>
      <c r="E1028" s="1353"/>
      <c r="F1028" s="1353"/>
      <c r="G1028" s="1353"/>
      <c r="H1028" s="1353"/>
      <c r="I1028" s="1353"/>
      <c r="J1028" s="1353"/>
      <c r="K1028" s="1387"/>
      <c r="L1028" s="1353"/>
      <c r="M1028" s="1353"/>
      <c r="N1028" s="1353"/>
    </row>
    <row r="1029" spans="1:14" x14ac:dyDescent="0.25">
      <c r="A1029" s="1353"/>
      <c r="B1029" s="1353"/>
      <c r="C1029" s="1353"/>
      <c r="D1029" s="1353"/>
      <c r="E1029" s="1353"/>
      <c r="F1029" s="1353"/>
      <c r="G1029" s="1353"/>
      <c r="H1029" s="1353"/>
      <c r="I1029" s="1353"/>
      <c r="J1029" s="1353"/>
      <c r="K1029" s="1387"/>
      <c r="L1029" s="1353"/>
      <c r="M1029" s="1353"/>
      <c r="N1029" s="1353"/>
    </row>
    <row r="1030" spans="1:14" x14ac:dyDescent="0.25">
      <c r="A1030" s="1353"/>
      <c r="B1030" s="1353"/>
      <c r="C1030" s="1353"/>
      <c r="D1030" s="1353"/>
      <c r="E1030" s="1353"/>
      <c r="F1030" s="1353"/>
      <c r="G1030" s="1353"/>
      <c r="H1030" s="1353"/>
      <c r="I1030" s="1353"/>
      <c r="J1030" s="1353"/>
      <c r="K1030" s="1387"/>
      <c r="L1030" s="1353"/>
      <c r="M1030" s="1353"/>
      <c r="N1030" s="1353"/>
    </row>
    <row r="1031" spans="1:14" x14ac:dyDescent="0.25">
      <c r="A1031" s="1353"/>
      <c r="B1031" s="1353"/>
      <c r="C1031" s="1353"/>
      <c r="D1031" s="1353"/>
      <c r="E1031" s="1353"/>
      <c r="F1031" s="1353"/>
      <c r="G1031" s="1353"/>
      <c r="H1031" s="1353"/>
      <c r="I1031" s="1353"/>
      <c r="J1031" s="1353"/>
      <c r="K1031" s="1387"/>
      <c r="L1031" s="1353"/>
      <c r="M1031" s="1353"/>
      <c r="N1031" s="1353"/>
    </row>
    <row r="1032" spans="1:14" x14ac:dyDescent="0.25">
      <c r="A1032" s="1353"/>
      <c r="B1032" s="1353"/>
      <c r="C1032" s="1353"/>
      <c r="D1032" s="1353"/>
      <c r="E1032" s="1353"/>
      <c r="F1032" s="1353"/>
      <c r="G1032" s="1353"/>
      <c r="H1032" s="1353"/>
      <c r="I1032" s="1353"/>
      <c r="J1032" s="1353"/>
      <c r="K1032" s="1387"/>
      <c r="L1032" s="1353"/>
      <c r="M1032" s="1353"/>
      <c r="N1032" s="1353"/>
    </row>
    <row r="1033" spans="1:14" x14ac:dyDescent="0.25">
      <c r="A1033" s="1353"/>
      <c r="B1033" s="1353"/>
      <c r="C1033" s="1353"/>
      <c r="D1033" s="1353"/>
      <c r="E1033" s="1353"/>
      <c r="F1033" s="1353"/>
      <c r="G1033" s="1353"/>
      <c r="H1033" s="1353"/>
      <c r="I1033" s="1353"/>
      <c r="J1033" s="1353"/>
      <c r="K1033" s="1387"/>
      <c r="L1033" s="1353"/>
      <c r="M1033" s="1353"/>
      <c r="N1033" s="1353"/>
    </row>
    <row r="1034" spans="1:14" x14ac:dyDescent="0.25">
      <c r="A1034" s="1353"/>
      <c r="B1034" s="1353"/>
      <c r="C1034" s="1353"/>
      <c r="D1034" s="1353"/>
      <c r="E1034" s="1353"/>
      <c r="F1034" s="1353"/>
      <c r="G1034" s="1353"/>
      <c r="H1034" s="1353"/>
      <c r="I1034" s="1353"/>
      <c r="J1034" s="1353"/>
      <c r="K1034" s="1387"/>
      <c r="L1034" s="1353"/>
      <c r="M1034" s="1353"/>
      <c r="N1034" s="1353"/>
    </row>
    <row r="1035" spans="1:14" x14ac:dyDescent="0.25">
      <c r="A1035" s="1353"/>
      <c r="B1035" s="1353"/>
      <c r="C1035" s="1353"/>
      <c r="D1035" s="1353"/>
      <c r="E1035" s="1353"/>
      <c r="F1035" s="1353"/>
      <c r="G1035" s="1353"/>
      <c r="H1035" s="1353"/>
      <c r="I1035" s="1353"/>
      <c r="J1035" s="1353"/>
      <c r="K1035" s="1387"/>
      <c r="L1035" s="1353"/>
      <c r="M1035" s="1353"/>
      <c r="N1035" s="1353"/>
    </row>
    <row r="1036" spans="1:14" x14ac:dyDescent="0.25">
      <c r="A1036" s="1353"/>
      <c r="B1036" s="1353"/>
      <c r="C1036" s="1353"/>
      <c r="D1036" s="1353"/>
      <c r="E1036" s="1353"/>
      <c r="F1036" s="1353"/>
      <c r="G1036" s="1353"/>
      <c r="H1036" s="1353"/>
      <c r="I1036" s="1353"/>
      <c r="J1036" s="1353"/>
      <c r="K1036" s="1387"/>
      <c r="L1036" s="1353"/>
      <c r="M1036" s="1353"/>
      <c r="N1036" s="1353"/>
    </row>
    <row r="1037" spans="1:14" x14ac:dyDescent="0.25">
      <c r="A1037" s="1353"/>
      <c r="B1037" s="1353"/>
      <c r="C1037" s="1353"/>
      <c r="D1037" s="1353"/>
      <c r="E1037" s="1353"/>
      <c r="F1037" s="1353"/>
      <c r="G1037" s="1353"/>
      <c r="H1037" s="1353"/>
      <c r="I1037" s="1353"/>
      <c r="J1037" s="1353"/>
      <c r="K1037" s="1387"/>
      <c r="L1037" s="1353"/>
      <c r="M1037" s="1353"/>
      <c r="N1037" s="1353"/>
    </row>
    <row r="1038" spans="1:14" x14ac:dyDescent="0.25">
      <c r="A1038" s="1353"/>
      <c r="B1038" s="1353"/>
      <c r="C1038" s="1353"/>
      <c r="D1038" s="1353"/>
      <c r="E1038" s="1353"/>
      <c r="F1038" s="1353"/>
      <c r="G1038" s="1353"/>
      <c r="H1038" s="1353"/>
      <c r="I1038" s="1353"/>
      <c r="J1038" s="1353"/>
      <c r="K1038" s="1387"/>
      <c r="L1038" s="1353"/>
      <c r="M1038" s="1353"/>
      <c r="N1038" s="1353"/>
    </row>
    <row r="1039" spans="1:14" x14ac:dyDescent="0.25">
      <c r="A1039" s="1353"/>
      <c r="B1039" s="1353"/>
      <c r="C1039" s="1353"/>
      <c r="D1039" s="1353"/>
      <c r="E1039" s="1353"/>
      <c r="F1039" s="1353"/>
      <c r="G1039" s="1353"/>
      <c r="H1039" s="1353"/>
      <c r="I1039" s="1353"/>
      <c r="J1039" s="1353"/>
      <c r="K1039" s="1387"/>
      <c r="L1039" s="1353"/>
      <c r="M1039" s="1353"/>
      <c r="N1039" s="1353"/>
    </row>
    <row r="1040" spans="1:14" x14ac:dyDescent="0.25">
      <c r="A1040" s="1353"/>
      <c r="B1040" s="1353"/>
      <c r="C1040" s="1353"/>
      <c r="D1040" s="1353"/>
      <c r="E1040" s="1353"/>
      <c r="F1040" s="1353"/>
      <c r="G1040" s="1353"/>
      <c r="H1040" s="1353"/>
      <c r="I1040" s="1353"/>
      <c r="J1040" s="1353"/>
      <c r="K1040" s="1387"/>
      <c r="L1040" s="1353"/>
      <c r="M1040" s="1353"/>
      <c r="N1040" s="1353"/>
    </row>
    <row r="1041" spans="1:14" x14ac:dyDescent="0.25">
      <c r="A1041" s="1353"/>
      <c r="B1041" s="1353"/>
      <c r="C1041" s="1353"/>
      <c r="D1041" s="1353"/>
      <c r="E1041" s="1353"/>
      <c r="F1041" s="1353"/>
      <c r="G1041" s="1353"/>
      <c r="H1041" s="1353"/>
      <c r="I1041" s="1353"/>
      <c r="J1041" s="1353"/>
      <c r="K1041" s="1387"/>
      <c r="L1041" s="1353"/>
      <c r="M1041" s="1353"/>
      <c r="N1041" s="1353"/>
    </row>
    <row r="1042" spans="1:14" x14ac:dyDescent="0.25">
      <c r="A1042" s="1353"/>
      <c r="B1042" s="1353"/>
      <c r="C1042" s="1353"/>
      <c r="D1042" s="1353"/>
      <c r="E1042" s="1353"/>
      <c r="F1042" s="1353"/>
      <c r="G1042" s="1353"/>
      <c r="H1042" s="1353"/>
      <c r="I1042" s="1353"/>
      <c r="J1042" s="1353"/>
      <c r="K1042" s="1387"/>
      <c r="L1042" s="1353"/>
      <c r="M1042" s="1353"/>
      <c r="N1042" s="1353"/>
    </row>
    <row r="1043" spans="1:14" x14ac:dyDescent="0.25">
      <c r="A1043" s="1353"/>
      <c r="B1043" s="1353"/>
      <c r="C1043" s="1353"/>
      <c r="D1043" s="1353"/>
      <c r="E1043" s="1353"/>
      <c r="F1043" s="1353"/>
      <c r="G1043" s="1353"/>
      <c r="H1043" s="1353"/>
      <c r="I1043" s="1353"/>
      <c r="J1043" s="1353"/>
      <c r="K1043" s="1387"/>
      <c r="L1043" s="1353"/>
      <c r="M1043" s="1353"/>
      <c r="N1043" s="1353"/>
    </row>
    <row r="1044" spans="1:14" x14ac:dyDescent="0.25">
      <c r="A1044" s="1353"/>
      <c r="B1044" s="1353"/>
      <c r="C1044" s="1353"/>
      <c r="D1044" s="1353"/>
      <c r="E1044" s="1353"/>
      <c r="F1044" s="1353"/>
      <c r="G1044" s="1353"/>
      <c r="H1044" s="1353"/>
      <c r="I1044" s="1353"/>
      <c r="J1044" s="1353"/>
      <c r="K1044" s="1387"/>
      <c r="L1044" s="1353"/>
      <c r="M1044" s="1353"/>
      <c r="N1044" s="1353"/>
    </row>
    <row r="1045" spans="1:14" x14ac:dyDescent="0.25">
      <c r="A1045" s="1353"/>
      <c r="B1045" s="1353"/>
      <c r="C1045" s="1353"/>
      <c r="D1045" s="1353"/>
      <c r="E1045" s="1353"/>
      <c r="F1045" s="1353"/>
      <c r="G1045" s="1353"/>
      <c r="H1045" s="1353"/>
      <c r="I1045" s="1353"/>
      <c r="J1045" s="1353"/>
      <c r="K1045" s="1387"/>
      <c r="L1045" s="1353"/>
      <c r="M1045" s="1353"/>
      <c r="N1045" s="1353"/>
    </row>
    <row r="1046" spans="1:14" x14ac:dyDescent="0.25">
      <c r="A1046" s="1353"/>
      <c r="B1046" s="1353"/>
      <c r="C1046" s="1353"/>
      <c r="D1046" s="1353"/>
      <c r="E1046" s="1353"/>
      <c r="F1046" s="1353"/>
      <c r="G1046" s="1353"/>
      <c r="H1046" s="1353"/>
      <c r="I1046" s="1353"/>
      <c r="J1046" s="1353"/>
      <c r="K1046" s="1387"/>
      <c r="L1046" s="1353"/>
      <c r="M1046" s="1353"/>
      <c r="N1046" s="1353"/>
    </row>
    <row r="1047" spans="1:14" x14ac:dyDescent="0.25">
      <c r="A1047" s="1353"/>
      <c r="B1047" s="1353"/>
      <c r="C1047" s="1353"/>
      <c r="D1047" s="1353"/>
      <c r="E1047" s="1353"/>
      <c r="F1047" s="1353"/>
      <c r="G1047" s="1353"/>
      <c r="H1047" s="1353"/>
      <c r="I1047" s="1353"/>
      <c r="J1047" s="1353"/>
      <c r="K1047" s="1387"/>
      <c r="L1047" s="1353"/>
      <c r="M1047" s="1353"/>
      <c r="N1047" s="1353"/>
    </row>
    <row r="1048" spans="1:14" x14ac:dyDescent="0.25">
      <c r="A1048" s="1353"/>
      <c r="B1048" s="1353"/>
      <c r="C1048" s="1353"/>
      <c r="D1048" s="1353"/>
      <c r="E1048" s="1353"/>
      <c r="F1048" s="1353"/>
      <c r="G1048" s="1353"/>
      <c r="H1048" s="1353"/>
      <c r="I1048" s="1353"/>
      <c r="J1048" s="1353"/>
      <c r="K1048" s="1387"/>
      <c r="L1048" s="1353"/>
      <c r="M1048" s="1353"/>
      <c r="N1048" s="1353"/>
    </row>
    <row r="1049" spans="1:14" x14ac:dyDescent="0.25">
      <c r="A1049" s="1353"/>
      <c r="B1049" s="1353"/>
      <c r="C1049" s="1353"/>
      <c r="D1049" s="1353"/>
      <c r="E1049" s="1353"/>
      <c r="F1049" s="1353"/>
      <c r="G1049" s="1353"/>
      <c r="H1049" s="1353"/>
      <c r="I1049" s="1353"/>
      <c r="J1049" s="1353"/>
      <c r="K1049" s="1387"/>
      <c r="L1049" s="1353"/>
      <c r="M1049" s="1353"/>
      <c r="N1049" s="1353"/>
    </row>
    <row r="1050" spans="1:14" x14ac:dyDescent="0.25">
      <c r="A1050" s="1353"/>
      <c r="B1050" s="1353"/>
      <c r="C1050" s="1353"/>
      <c r="D1050" s="1353"/>
      <c r="E1050" s="1353"/>
      <c r="F1050" s="1353"/>
      <c r="G1050" s="1353"/>
      <c r="H1050" s="1353"/>
      <c r="I1050" s="1353"/>
      <c r="J1050" s="1353"/>
      <c r="K1050" s="1387"/>
      <c r="L1050" s="1353"/>
      <c r="M1050" s="1353"/>
      <c r="N1050" s="1353"/>
    </row>
    <row r="1051" spans="1:14" x14ac:dyDescent="0.25">
      <c r="A1051" s="1353"/>
      <c r="B1051" s="1353"/>
      <c r="C1051" s="1353"/>
      <c r="D1051" s="1353"/>
      <c r="E1051" s="1353"/>
      <c r="F1051" s="1353"/>
      <c r="G1051" s="1353"/>
      <c r="H1051" s="1353"/>
      <c r="I1051" s="1353"/>
      <c r="J1051" s="1353"/>
      <c r="K1051" s="1387"/>
      <c r="L1051" s="1353"/>
      <c r="M1051" s="1353"/>
      <c r="N1051" s="1353"/>
    </row>
    <row r="1052" spans="1:14" x14ac:dyDescent="0.25">
      <c r="A1052" s="1353"/>
      <c r="B1052" s="1353"/>
      <c r="C1052" s="1353"/>
      <c r="D1052" s="1353"/>
      <c r="E1052" s="1353"/>
      <c r="F1052" s="1353"/>
      <c r="G1052" s="1353"/>
      <c r="H1052" s="1353"/>
      <c r="I1052" s="1353"/>
      <c r="J1052" s="1353"/>
      <c r="K1052" s="1387"/>
      <c r="L1052" s="1353"/>
      <c r="M1052" s="1353"/>
      <c r="N1052" s="1353"/>
    </row>
    <row r="1053" spans="1:14" x14ac:dyDescent="0.25">
      <c r="A1053" s="1353"/>
      <c r="B1053" s="1353"/>
      <c r="C1053" s="1353"/>
      <c r="D1053" s="1353"/>
      <c r="E1053" s="1353"/>
      <c r="F1053" s="1353"/>
      <c r="G1053" s="1353"/>
      <c r="H1053" s="1353"/>
      <c r="I1053" s="1353"/>
      <c r="J1053" s="1353"/>
      <c r="K1053" s="1387"/>
      <c r="L1053" s="1353"/>
      <c r="M1053" s="1353"/>
      <c r="N1053" s="1353"/>
    </row>
    <row r="1054" spans="1:14" x14ac:dyDescent="0.25">
      <c r="A1054" s="1353"/>
      <c r="B1054" s="1353"/>
      <c r="C1054" s="1353"/>
      <c r="D1054" s="1353"/>
      <c r="E1054" s="1353"/>
      <c r="F1054" s="1353"/>
      <c r="G1054" s="1353"/>
      <c r="H1054" s="1353"/>
      <c r="I1054" s="1353"/>
      <c r="J1054" s="1353"/>
      <c r="K1054" s="1387"/>
      <c r="L1054" s="1353"/>
      <c r="M1054" s="1353"/>
      <c r="N1054" s="1353"/>
    </row>
    <row r="1055" spans="1:14" x14ac:dyDescent="0.25">
      <c r="A1055" s="1353"/>
      <c r="B1055" s="1353"/>
      <c r="C1055" s="1353"/>
      <c r="D1055" s="1353"/>
      <c r="E1055" s="1353"/>
      <c r="F1055" s="1353"/>
      <c r="G1055" s="1353"/>
      <c r="H1055" s="1353"/>
      <c r="I1055" s="1353"/>
      <c r="J1055" s="1353"/>
      <c r="K1055" s="1387"/>
      <c r="L1055" s="1353"/>
      <c r="M1055" s="1353"/>
      <c r="N1055" s="1353"/>
    </row>
    <row r="1056" spans="1:14" x14ac:dyDescent="0.25">
      <c r="A1056" s="1353"/>
      <c r="B1056" s="1353"/>
      <c r="C1056" s="1353"/>
      <c r="D1056" s="1353"/>
      <c r="E1056" s="1353"/>
      <c r="F1056" s="1353"/>
      <c r="G1056" s="1353"/>
      <c r="H1056" s="1353"/>
      <c r="I1056" s="1353"/>
      <c r="J1056" s="1353"/>
      <c r="K1056" s="1387"/>
      <c r="L1056" s="1353"/>
      <c r="M1056" s="1353"/>
      <c r="N1056" s="1353"/>
    </row>
    <row r="1057" spans="1:14" x14ac:dyDescent="0.25">
      <c r="A1057" s="1353"/>
      <c r="B1057" s="1353"/>
      <c r="C1057" s="1353"/>
      <c r="D1057" s="1353"/>
      <c r="E1057" s="1353"/>
      <c r="F1057" s="1353"/>
      <c r="G1057" s="1353"/>
      <c r="H1057" s="1353"/>
      <c r="I1057" s="1353"/>
      <c r="J1057" s="1353"/>
      <c r="K1057" s="1387"/>
      <c r="L1057" s="1353"/>
      <c r="M1057" s="1353"/>
      <c r="N1057" s="1353"/>
    </row>
    <row r="1058" spans="1:14" x14ac:dyDescent="0.25">
      <c r="A1058" s="1353"/>
      <c r="B1058" s="1353"/>
      <c r="C1058" s="1353"/>
      <c r="D1058" s="1353"/>
      <c r="E1058" s="1353"/>
      <c r="F1058" s="1353"/>
      <c r="G1058" s="1353"/>
      <c r="H1058" s="1353"/>
      <c r="I1058" s="1353"/>
      <c r="J1058" s="1353"/>
      <c r="K1058" s="1387"/>
      <c r="L1058" s="1353"/>
      <c r="M1058" s="1353"/>
      <c r="N1058" s="1353"/>
    </row>
    <row r="1059" spans="1:14" x14ac:dyDescent="0.25">
      <c r="A1059" s="1353"/>
      <c r="B1059" s="1353"/>
      <c r="C1059" s="1353"/>
      <c r="D1059" s="1353"/>
      <c r="E1059" s="1353"/>
      <c r="F1059" s="1353"/>
      <c r="G1059" s="1353"/>
      <c r="H1059" s="1353"/>
      <c r="I1059" s="1353"/>
      <c r="J1059" s="1353"/>
      <c r="K1059" s="1387"/>
      <c r="L1059" s="1353"/>
      <c r="M1059" s="1353"/>
      <c r="N1059" s="1353"/>
    </row>
    <row r="1060" spans="1:14" x14ac:dyDescent="0.25">
      <c r="A1060" s="1353"/>
      <c r="B1060" s="1353"/>
      <c r="C1060" s="1353"/>
      <c r="D1060" s="1353"/>
      <c r="E1060" s="1353"/>
      <c r="F1060" s="1353"/>
      <c r="G1060" s="1353"/>
      <c r="H1060" s="1353"/>
      <c r="I1060" s="1353"/>
      <c r="J1060" s="1353"/>
      <c r="K1060" s="1387"/>
      <c r="L1060" s="1353"/>
      <c r="M1060" s="1353"/>
      <c r="N1060" s="1353"/>
    </row>
    <row r="1061" spans="1:14" x14ac:dyDescent="0.25">
      <c r="A1061" s="1353"/>
      <c r="B1061" s="1353"/>
      <c r="C1061" s="1353"/>
      <c r="D1061" s="1353"/>
      <c r="E1061" s="1353"/>
      <c r="F1061" s="1353"/>
      <c r="G1061" s="1353"/>
      <c r="H1061" s="1353"/>
      <c r="I1061" s="1353"/>
      <c r="J1061" s="1353"/>
      <c r="K1061" s="1387"/>
      <c r="L1061" s="1353"/>
      <c r="M1061" s="1353"/>
      <c r="N1061" s="1353"/>
    </row>
    <row r="1062" spans="1:14" x14ac:dyDescent="0.25">
      <c r="A1062" s="1353"/>
      <c r="B1062" s="1353"/>
      <c r="C1062" s="1353"/>
      <c r="D1062" s="1353"/>
      <c r="E1062" s="1353"/>
      <c r="F1062" s="1353"/>
      <c r="G1062" s="1353"/>
      <c r="H1062" s="1353"/>
      <c r="I1062" s="1353"/>
      <c r="J1062" s="1353"/>
      <c r="K1062" s="1387"/>
      <c r="L1062" s="1353"/>
      <c r="M1062" s="1353"/>
      <c r="N1062" s="1353"/>
    </row>
    <row r="1063" spans="1:14" x14ac:dyDescent="0.25">
      <c r="A1063" s="1353"/>
      <c r="B1063" s="1353"/>
      <c r="C1063" s="1353"/>
      <c r="D1063" s="1353"/>
      <c r="E1063" s="1353"/>
      <c r="F1063" s="1353"/>
      <c r="G1063" s="1353"/>
      <c r="H1063" s="1353"/>
      <c r="I1063" s="1353"/>
      <c r="J1063" s="1353"/>
      <c r="K1063" s="1387"/>
      <c r="L1063" s="1353"/>
      <c r="M1063" s="1353"/>
      <c r="N1063" s="1353"/>
    </row>
    <row r="1064" spans="1:14" x14ac:dyDescent="0.25">
      <c r="A1064" s="1353"/>
      <c r="B1064" s="1353"/>
      <c r="C1064" s="1353"/>
      <c r="D1064" s="1353"/>
      <c r="E1064" s="1353"/>
      <c r="F1064" s="1353"/>
      <c r="G1064" s="1353"/>
      <c r="H1064" s="1353"/>
      <c r="I1064" s="1353"/>
      <c r="J1064" s="1353"/>
      <c r="K1064" s="1387"/>
      <c r="L1064" s="1353"/>
      <c r="M1064" s="1353"/>
      <c r="N1064" s="1353"/>
    </row>
    <row r="1065" spans="1:14" x14ac:dyDescent="0.25">
      <c r="A1065" s="1353"/>
      <c r="B1065" s="1353"/>
      <c r="C1065" s="1353"/>
      <c r="D1065" s="1353"/>
      <c r="E1065" s="1353"/>
      <c r="F1065" s="1353"/>
      <c r="G1065" s="1353"/>
      <c r="H1065" s="1353"/>
      <c r="I1065" s="1353"/>
      <c r="J1065" s="1353"/>
      <c r="K1065" s="1387"/>
      <c r="L1065" s="1353"/>
      <c r="M1065" s="1353"/>
      <c r="N1065" s="1353"/>
    </row>
    <row r="1066" spans="1:14" x14ac:dyDescent="0.25">
      <c r="A1066" s="1353"/>
      <c r="B1066" s="1353"/>
      <c r="C1066" s="1353"/>
      <c r="D1066" s="1353"/>
      <c r="E1066" s="1353"/>
      <c r="F1066" s="1353"/>
      <c r="G1066" s="1353"/>
      <c r="H1066" s="1353"/>
      <c r="I1066" s="1353"/>
      <c r="J1066" s="1353"/>
      <c r="K1066" s="1387"/>
      <c r="L1066" s="1353"/>
      <c r="M1066" s="1353"/>
      <c r="N1066" s="1353"/>
    </row>
    <row r="1067" spans="1:14" x14ac:dyDescent="0.25">
      <c r="A1067" s="1353"/>
      <c r="B1067" s="1353"/>
      <c r="C1067" s="1353"/>
      <c r="D1067" s="1353"/>
      <c r="E1067" s="1353"/>
      <c r="F1067" s="1353"/>
      <c r="G1067" s="1353"/>
      <c r="H1067" s="1353"/>
      <c r="I1067" s="1353"/>
      <c r="J1067" s="1353"/>
      <c r="K1067" s="1387"/>
      <c r="L1067" s="1353"/>
      <c r="M1067" s="1353"/>
      <c r="N1067" s="1353"/>
    </row>
    <row r="1068" spans="1:14" x14ac:dyDescent="0.25">
      <c r="A1068" s="1353"/>
      <c r="B1068" s="1353"/>
      <c r="C1068" s="1353"/>
      <c r="D1068" s="1353"/>
      <c r="E1068" s="1353"/>
      <c r="F1068" s="1353"/>
      <c r="G1068" s="1353"/>
      <c r="H1068" s="1353"/>
      <c r="I1068" s="1353"/>
      <c r="J1068" s="1353"/>
      <c r="K1068" s="1387"/>
      <c r="L1068" s="1353"/>
      <c r="M1068" s="1353"/>
      <c r="N1068" s="1353"/>
    </row>
    <row r="1069" spans="1:14" x14ac:dyDescent="0.25">
      <c r="A1069" s="1353"/>
      <c r="B1069" s="1353"/>
      <c r="C1069" s="1353"/>
      <c r="D1069" s="1353"/>
      <c r="E1069" s="1353"/>
      <c r="F1069" s="1353"/>
      <c r="G1069" s="1353"/>
      <c r="H1069" s="1353"/>
      <c r="I1069" s="1353"/>
      <c r="J1069" s="1353"/>
      <c r="K1069" s="1387"/>
      <c r="L1069" s="1353"/>
      <c r="M1069" s="1353"/>
      <c r="N1069" s="1353"/>
    </row>
    <row r="1070" spans="1:14" x14ac:dyDescent="0.25">
      <c r="A1070" s="1353"/>
      <c r="B1070" s="1353"/>
      <c r="C1070" s="1353"/>
      <c r="D1070" s="1353"/>
      <c r="E1070" s="1353"/>
      <c r="F1070" s="1353"/>
      <c r="G1070" s="1353"/>
      <c r="H1070" s="1353"/>
      <c r="I1070" s="1353"/>
      <c r="J1070" s="1353"/>
      <c r="K1070" s="1387"/>
      <c r="L1070" s="1353"/>
      <c r="M1070" s="1353"/>
      <c r="N1070" s="1353"/>
    </row>
    <row r="1071" spans="1:14" x14ac:dyDescent="0.25">
      <c r="A1071" s="1353"/>
      <c r="B1071" s="1353"/>
      <c r="C1071" s="1353"/>
      <c r="D1071" s="1353"/>
      <c r="E1071" s="1353"/>
      <c r="F1071" s="1353"/>
      <c r="G1071" s="1353"/>
      <c r="H1071" s="1353"/>
      <c r="I1071" s="1353"/>
      <c r="J1071" s="1353"/>
      <c r="K1071" s="1387"/>
      <c r="L1071" s="1353"/>
      <c r="M1071" s="1353"/>
      <c r="N1071" s="1353"/>
    </row>
    <row r="1072" spans="1:14" x14ac:dyDescent="0.25">
      <c r="A1072" s="1353"/>
      <c r="B1072" s="1353"/>
      <c r="C1072" s="1353"/>
      <c r="D1072" s="1353"/>
      <c r="E1072" s="1353"/>
      <c r="F1072" s="1353"/>
      <c r="G1072" s="1353"/>
      <c r="H1072" s="1353"/>
      <c r="I1072" s="1353"/>
      <c r="J1072" s="1353"/>
      <c r="K1072" s="1387"/>
      <c r="L1072" s="1353"/>
      <c r="M1072" s="1353"/>
      <c r="N1072" s="1353"/>
    </row>
    <row r="1073" spans="1:14" x14ac:dyDescent="0.25">
      <c r="A1073" s="1353"/>
      <c r="B1073" s="1353"/>
      <c r="C1073" s="1353"/>
      <c r="D1073" s="1353"/>
      <c r="E1073" s="1353"/>
      <c r="F1073" s="1353"/>
      <c r="G1073" s="1353"/>
      <c r="H1073" s="1353"/>
      <c r="I1073" s="1353"/>
      <c r="J1073" s="1353"/>
      <c r="K1073" s="1387"/>
      <c r="L1073" s="1353"/>
      <c r="M1073" s="1353"/>
      <c r="N1073" s="1353"/>
    </row>
    <row r="1074" spans="1:14" x14ac:dyDescent="0.25">
      <c r="A1074" s="1353"/>
      <c r="B1074" s="1353"/>
      <c r="C1074" s="1353"/>
      <c r="D1074" s="1353"/>
      <c r="E1074" s="1353"/>
      <c r="F1074" s="1353"/>
      <c r="G1074" s="1353"/>
      <c r="H1074" s="1353"/>
      <c r="I1074" s="1353"/>
      <c r="J1074" s="1353"/>
      <c r="K1074" s="1387"/>
      <c r="L1074" s="1353"/>
      <c r="M1074" s="1353"/>
      <c r="N1074" s="1353"/>
    </row>
    <row r="1075" spans="1:14" x14ac:dyDescent="0.25">
      <c r="A1075" s="1353"/>
      <c r="B1075" s="1353"/>
      <c r="C1075" s="1353"/>
      <c r="D1075" s="1353"/>
      <c r="E1075" s="1353"/>
      <c r="F1075" s="1353"/>
      <c r="G1075" s="1353"/>
      <c r="H1075" s="1353"/>
      <c r="I1075" s="1353"/>
      <c r="J1075" s="1353"/>
      <c r="K1075" s="1387"/>
      <c r="L1075" s="1353"/>
      <c r="M1075" s="1353"/>
      <c r="N1075" s="1353"/>
    </row>
    <row r="1076" spans="1:14" x14ac:dyDescent="0.25">
      <c r="A1076" s="1353"/>
      <c r="B1076" s="1353"/>
      <c r="C1076" s="1353"/>
      <c r="D1076" s="1353"/>
      <c r="E1076" s="1353"/>
      <c r="F1076" s="1353"/>
      <c r="G1076" s="1353"/>
      <c r="H1076" s="1353"/>
      <c r="I1076" s="1353"/>
      <c r="J1076" s="1353"/>
      <c r="K1076" s="1387"/>
      <c r="L1076" s="1353"/>
      <c r="M1076" s="1353"/>
      <c r="N1076" s="1353"/>
    </row>
    <row r="1077" spans="1:14" x14ac:dyDescent="0.25">
      <c r="A1077" s="1353"/>
      <c r="B1077" s="1353"/>
      <c r="C1077" s="1353"/>
      <c r="D1077" s="1353"/>
      <c r="E1077" s="1353"/>
      <c r="F1077" s="1353"/>
      <c r="G1077" s="1353"/>
      <c r="H1077" s="1353"/>
      <c r="I1077" s="1353"/>
      <c r="J1077" s="1353"/>
      <c r="K1077" s="1387"/>
      <c r="L1077" s="1353"/>
      <c r="M1077" s="1353"/>
      <c r="N1077" s="1353"/>
    </row>
    <row r="1078" spans="1:14" x14ac:dyDescent="0.25">
      <c r="A1078" s="1353"/>
      <c r="B1078" s="1353"/>
      <c r="C1078" s="1353"/>
      <c r="D1078" s="1353"/>
      <c r="E1078" s="1353"/>
      <c r="F1078" s="1353"/>
      <c r="G1078" s="1353"/>
      <c r="H1078" s="1353"/>
      <c r="I1078" s="1353"/>
      <c r="J1078" s="1353"/>
      <c r="K1078" s="1387"/>
      <c r="L1078" s="1353"/>
      <c r="M1078" s="1353"/>
      <c r="N1078" s="1353"/>
    </row>
    <row r="1079" spans="1:14" x14ac:dyDescent="0.25">
      <c r="A1079" s="1353"/>
      <c r="B1079" s="1353"/>
      <c r="C1079" s="1353"/>
      <c r="D1079" s="1353"/>
      <c r="E1079" s="1353"/>
      <c r="F1079" s="1353"/>
      <c r="G1079" s="1353"/>
      <c r="H1079" s="1353"/>
      <c r="I1079" s="1353"/>
      <c r="J1079" s="1353"/>
      <c r="K1079" s="1387"/>
      <c r="L1079" s="1353"/>
      <c r="M1079" s="1353"/>
      <c r="N1079" s="1353"/>
    </row>
    <row r="1080" spans="1:14" x14ac:dyDescent="0.25">
      <c r="A1080" s="1353"/>
      <c r="B1080" s="1353"/>
      <c r="C1080" s="1353"/>
      <c r="D1080" s="1353"/>
      <c r="E1080" s="1353"/>
      <c r="F1080" s="1353"/>
      <c r="G1080" s="1353"/>
      <c r="H1080" s="1353"/>
      <c r="I1080" s="1353"/>
      <c r="J1080" s="1353"/>
      <c r="K1080" s="1387"/>
      <c r="L1080" s="1353"/>
      <c r="M1080" s="1353"/>
      <c r="N1080" s="1353"/>
    </row>
    <row r="1081" spans="1:14" x14ac:dyDescent="0.25">
      <c r="A1081" s="1353"/>
      <c r="B1081" s="1353"/>
      <c r="C1081" s="1353"/>
      <c r="D1081" s="1353"/>
      <c r="E1081" s="1353"/>
      <c r="F1081" s="1353"/>
      <c r="G1081" s="1353"/>
      <c r="H1081" s="1353"/>
      <c r="I1081" s="1353"/>
      <c r="J1081" s="1353"/>
      <c r="K1081" s="1387"/>
      <c r="L1081" s="1353"/>
      <c r="M1081" s="1353"/>
      <c r="N1081" s="1353"/>
    </row>
    <row r="1082" spans="1:14" x14ac:dyDescent="0.25">
      <c r="A1082" s="1353"/>
      <c r="B1082" s="1353"/>
      <c r="C1082" s="1353"/>
      <c r="D1082" s="1353"/>
      <c r="E1082" s="1353"/>
      <c r="F1082" s="1353"/>
      <c r="G1082" s="1353"/>
      <c r="H1082" s="1353"/>
      <c r="I1082" s="1353"/>
      <c r="J1082" s="1353"/>
      <c r="K1082" s="1387"/>
      <c r="L1082" s="1353"/>
      <c r="M1082" s="1353"/>
      <c r="N1082" s="1353"/>
    </row>
    <row r="1083" spans="1:14" x14ac:dyDescent="0.25">
      <c r="A1083" s="1353"/>
      <c r="B1083" s="1353"/>
      <c r="C1083" s="1353"/>
      <c r="D1083" s="1353"/>
      <c r="E1083" s="1353"/>
      <c r="F1083" s="1353"/>
      <c r="G1083" s="1353"/>
      <c r="H1083" s="1353"/>
      <c r="I1083" s="1353"/>
      <c r="J1083" s="1353"/>
      <c r="K1083" s="1387"/>
      <c r="L1083" s="1353"/>
      <c r="M1083" s="1353"/>
      <c r="N1083" s="1353"/>
    </row>
    <row r="1084" spans="1:14" x14ac:dyDescent="0.25">
      <c r="A1084" s="1353"/>
      <c r="B1084" s="1353"/>
      <c r="C1084" s="1353"/>
      <c r="D1084" s="1353"/>
      <c r="E1084" s="1353"/>
      <c r="F1084" s="1353"/>
      <c r="G1084" s="1353"/>
      <c r="H1084" s="1353"/>
      <c r="I1084" s="1353"/>
      <c r="J1084" s="1353"/>
      <c r="K1084" s="1387"/>
      <c r="L1084" s="1353"/>
      <c r="M1084" s="1353"/>
      <c r="N1084" s="1353"/>
    </row>
    <row r="1085" spans="1:14" x14ac:dyDescent="0.25">
      <c r="A1085" s="1353"/>
      <c r="B1085" s="1353"/>
      <c r="C1085" s="1353"/>
      <c r="D1085" s="1353"/>
      <c r="E1085" s="1353"/>
      <c r="F1085" s="1353"/>
      <c r="G1085" s="1353"/>
      <c r="H1085" s="1353"/>
      <c r="I1085" s="1353"/>
      <c r="J1085" s="1353"/>
      <c r="K1085" s="1387"/>
      <c r="L1085" s="1353"/>
      <c r="M1085" s="1353"/>
      <c r="N1085" s="1353"/>
    </row>
    <row r="1086" spans="1:14" x14ac:dyDescent="0.25">
      <c r="A1086" s="1353"/>
      <c r="B1086" s="1353"/>
      <c r="C1086" s="1353"/>
      <c r="D1086" s="1353"/>
      <c r="E1086" s="1353"/>
      <c r="F1086" s="1353"/>
      <c r="G1086" s="1353"/>
      <c r="H1086" s="1353"/>
      <c r="I1086" s="1353"/>
      <c r="J1086" s="1353"/>
      <c r="K1086" s="1387"/>
      <c r="L1086" s="1353"/>
      <c r="M1086" s="1353"/>
      <c r="N1086" s="1353"/>
    </row>
    <row r="1087" spans="1:14" x14ac:dyDescent="0.25">
      <c r="A1087" s="1353"/>
      <c r="B1087" s="1353"/>
      <c r="C1087" s="1353"/>
      <c r="D1087" s="1353"/>
      <c r="E1087" s="1353"/>
      <c r="F1087" s="1353"/>
      <c r="G1087" s="1353"/>
      <c r="H1087" s="1353"/>
      <c r="I1087" s="1353"/>
      <c r="J1087" s="1353"/>
      <c r="K1087" s="1387"/>
      <c r="L1087" s="1353"/>
      <c r="M1087" s="1353"/>
      <c r="N1087" s="1353"/>
    </row>
    <row r="1088" spans="1:14" x14ac:dyDescent="0.25">
      <c r="A1088" s="1353"/>
      <c r="B1088" s="1353"/>
      <c r="C1088" s="1353"/>
      <c r="D1088" s="1353"/>
      <c r="E1088" s="1353"/>
      <c r="F1088" s="1353"/>
      <c r="G1088" s="1353"/>
      <c r="H1088" s="1353"/>
      <c r="I1088" s="1353"/>
      <c r="J1088" s="1353"/>
      <c r="K1088" s="1387"/>
      <c r="L1088" s="1353"/>
      <c r="M1088" s="1353"/>
      <c r="N1088" s="1353"/>
    </row>
    <row r="1089" spans="1:14" x14ac:dyDescent="0.25">
      <c r="A1089" s="1353"/>
      <c r="B1089" s="1353"/>
      <c r="C1089" s="1353"/>
      <c r="D1089" s="1353"/>
      <c r="E1089" s="1353"/>
      <c r="F1089" s="1353"/>
      <c r="G1089" s="1353"/>
      <c r="H1089" s="1353"/>
      <c r="I1089" s="1353"/>
      <c r="J1089" s="1353"/>
      <c r="K1089" s="1387"/>
      <c r="L1089" s="1353"/>
      <c r="M1089" s="1353"/>
      <c r="N1089" s="1353"/>
    </row>
    <row r="1090" spans="1:14" x14ac:dyDescent="0.25">
      <c r="A1090" s="1353"/>
      <c r="B1090" s="1353"/>
      <c r="C1090" s="1353"/>
      <c r="D1090" s="1353"/>
      <c r="E1090" s="1353"/>
      <c r="F1090" s="1353"/>
      <c r="G1090" s="1353"/>
      <c r="H1090" s="1353"/>
      <c r="I1090" s="1353"/>
      <c r="J1090" s="1353"/>
      <c r="K1090" s="1387"/>
      <c r="L1090" s="1353"/>
      <c r="M1090" s="1353"/>
      <c r="N1090" s="1353"/>
    </row>
    <row r="1091" spans="1:14" x14ac:dyDescent="0.25">
      <c r="A1091" s="1353"/>
      <c r="B1091" s="1353"/>
      <c r="C1091" s="1353"/>
      <c r="D1091" s="1353"/>
      <c r="E1091" s="1353"/>
      <c r="F1091" s="1353"/>
      <c r="G1091" s="1353"/>
      <c r="H1091" s="1353"/>
      <c r="I1091" s="1353"/>
      <c r="J1091" s="1353"/>
      <c r="K1091" s="1387"/>
      <c r="L1091" s="1353"/>
      <c r="M1091" s="1353"/>
      <c r="N1091" s="1353"/>
    </row>
    <row r="1092" spans="1:14" x14ac:dyDescent="0.25">
      <c r="A1092" s="1353"/>
      <c r="B1092" s="1353"/>
      <c r="C1092" s="1353"/>
      <c r="D1092" s="1353"/>
      <c r="E1092" s="1353"/>
      <c r="F1092" s="1353"/>
      <c r="G1092" s="1353"/>
      <c r="H1092" s="1353"/>
      <c r="I1092" s="1353"/>
      <c r="J1092" s="1353"/>
      <c r="K1092" s="1387"/>
      <c r="L1092" s="1353"/>
      <c r="M1092" s="1353"/>
      <c r="N1092" s="1353"/>
    </row>
    <row r="1093" spans="1:14" x14ac:dyDescent="0.25">
      <c r="A1093" s="1353"/>
      <c r="B1093" s="1353"/>
      <c r="C1093" s="1353"/>
      <c r="D1093" s="1353"/>
      <c r="E1093" s="1353"/>
      <c r="F1093" s="1353"/>
      <c r="G1093" s="1353"/>
      <c r="H1093" s="1353"/>
      <c r="I1093" s="1353"/>
      <c r="J1093" s="1353"/>
      <c r="K1093" s="1387"/>
      <c r="L1093" s="1353"/>
      <c r="M1093" s="1353"/>
      <c r="N1093" s="1353"/>
    </row>
    <row r="1094" spans="1:14" x14ac:dyDescent="0.25">
      <c r="A1094" s="1353"/>
      <c r="B1094" s="1353"/>
      <c r="C1094" s="1353"/>
      <c r="D1094" s="1353"/>
      <c r="E1094" s="1353"/>
      <c r="F1094" s="1353"/>
      <c r="G1094" s="1353"/>
      <c r="H1094" s="1353"/>
      <c r="I1094" s="1353"/>
      <c r="J1094" s="1353"/>
      <c r="K1094" s="1387"/>
      <c r="L1094" s="1353"/>
      <c r="M1094" s="1353"/>
      <c r="N1094" s="1353"/>
    </row>
    <row r="1095" spans="1:14" x14ac:dyDescent="0.25">
      <c r="A1095" s="1353"/>
      <c r="B1095" s="1353"/>
      <c r="C1095" s="1353"/>
      <c r="D1095" s="1353"/>
      <c r="E1095" s="1353"/>
      <c r="F1095" s="1353"/>
      <c r="G1095" s="1353"/>
      <c r="H1095" s="1353"/>
      <c r="I1095" s="1353"/>
      <c r="J1095" s="1353"/>
      <c r="K1095" s="1387"/>
      <c r="L1095" s="1353"/>
      <c r="M1095" s="1353"/>
      <c r="N1095" s="1353"/>
    </row>
    <row r="1096" spans="1:14" x14ac:dyDescent="0.25">
      <c r="A1096" s="1353"/>
      <c r="B1096" s="1353"/>
      <c r="C1096" s="1353"/>
      <c r="D1096" s="1353"/>
      <c r="E1096" s="1353"/>
      <c r="F1096" s="1353"/>
      <c r="G1096" s="1353"/>
      <c r="H1096" s="1353"/>
      <c r="I1096" s="1353"/>
      <c r="J1096" s="1353"/>
      <c r="K1096" s="1387"/>
      <c r="L1096" s="1353"/>
      <c r="M1096" s="1353"/>
      <c r="N1096" s="1353"/>
    </row>
    <row r="1097" spans="1:14" x14ac:dyDescent="0.25">
      <c r="A1097" s="1353"/>
      <c r="B1097" s="1353"/>
      <c r="C1097" s="1353"/>
      <c r="D1097" s="1353"/>
      <c r="E1097" s="1353"/>
      <c r="F1097" s="1353"/>
      <c r="G1097" s="1353"/>
      <c r="H1097" s="1353"/>
      <c r="I1097" s="1353"/>
      <c r="J1097" s="1353"/>
      <c r="K1097" s="1387"/>
      <c r="L1097" s="1353"/>
      <c r="M1097" s="1353"/>
      <c r="N1097" s="1353"/>
    </row>
    <row r="1098" spans="1:14" x14ac:dyDescent="0.25">
      <c r="A1098" s="1353"/>
      <c r="B1098" s="1353"/>
      <c r="C1098" s="1353"/>
      <c r="D1098" s="1353"/>
      <c r="E1098" s="1353"/>
      <c r="F1098" s="1353"/>
      <c r="G1098" s="1353"/>
      <c r="H1098" s="1353"/>
      <c r="I1098" s="1353"/>
      <c r="J1098" s="1353"/>
      <c r="K1098" s="1387"/>
      <c r="L1098" s="1353"/>
      <c r="M1098" s="1353"/>
      <c r="N1098" s="1353"/>
    </row>
    <row r="1099" spans="1:14" x14ac:dyDescent="0.25">
      <c r="A1099" s="1353"/>
      <c r="B1099" s="1353"/>
      <c r="C1099" s="1353"/>
      <c r="D1099" s="1353"/>
      <c r="E1099" s="1353"/>
      <c r="F1099" s="1353"/>
      <c r="G1099" s="1353"/>
      <c r="H1099" s="1353"/>
      <c r="I1099" s="1353"/>
      <c r="J1099" s="1353"/>
      <c r="K1099" s="1387"/>
      <c r="L1099" s="1353"/>
      <c r="M1099" s="1353"/>
      <c r="N1099" s="1353"/>
    </row>
    <row r="1100" spans="1:14" x14ac:dyDescent="0.25">
      <c r="A1100" s="1353"/>
      <c r="B1100" s="1353"/>
      <c r="C1100" s="1353"/>
      <c r="D1100" s="1353"/>
      <c r="E1100" s="1353"/>
      <c r="F1100" s="1353"/>
      <c r="G1100" s="1353"/>
      <c r="H1100" s="1353"/>
      <c r="I1100" s="1353"/>
      <c r="J1100" s="1353"/>
      <c r="K1100" s="1387"/>
      <c r="L1100" s="1353"/>
      <c r="M1100" s="1353"/>
      <c r="N1100" s="1353"/>
    </row>
    <row r="1101" spans="1:14" x14ac:dyDescent="0.25">
      <c r="A1101" s="1353"/>
      <c r="B1101" s="1353"/>
      <c r="C1101" s="1353"/>
      <c r="D1101" s="1353"/>
      <c r="E1101" s="1353"/>
      <c r="F1101" s="1353"/>
      <c r="G1101" s="1353"/>
      <c r="H1101" s="1353"/>
      <c r="I1101" s="1353"/>
      <c r="J1101" s="1353"/>
      <c r="K1101" s="1387"/>
      <c r="L1101" s="1353"/>
      <c r="M1101" s="1353"/>
      <c r="N1101" s="1353"/>
    </row>
    <row r="1102" spans="1:14" x14ac:dyDescent="0.25">
      <c r="A1102" s="1353"/>
      <c r="B1102" s="1353"/>
      <c r="C1102" s="1353"/>
      <c r="D1102" s="1353"/>
      <c r="E1102" s="1353"/>
      <c r="F1102" s="1353"/>
      <c r="G1102" s="1353"/>
      <c r="H1102" s="1353"/>
      <c r="I1102" s="1353"/>
      <c r="J1102" s="1353"/>
      <c r="K1102" s="1387"/>
      <c r="L1102" s="1353"/>
      <c r="M1102" s="1353"/>
      <c r="N1102" s="1353"/>
    </row>
    <row r="1103" spans="1:14" x14ac:dyDescent="0.25">
      <c r="A1103" s="1353"/>
      <c r="B1103" s="1353"/>
      <c r="C1103" s="1353"/>
      <c r="D1103" s="1353"/>
      <c r="E1103" s="1353"/>
      <c r="F1103" s="1353"/>
      <c r="G1103" s="1353"/>
      <c r="H1103" s="1353"/>
      <c r="I1103" s="1353"/>
      <c r="J1103" s="1353"/>
      <c r="K1103" s="1387"/>
      <c r="L1103" s="1353"/>
      <c r="M1103" s="1353"/>
      <c r="N1103" s="1353"/>
    </row>
    <row r="1104" spans="1:14" x14ac:dyDescent="0.25">
      <c r="A1104" s="1353"/>
      <c r="B1104" s="1353"/>
      <c r="C1104" s="1353"/>
      <c r="D1104" s="1353"/>
      <c r="E1104" s="1353"/>
      <c r="F1104" s="1353"/>
      <c r="G1104" s="1353"/>
      <c r="H1104" s="1353"/>
      <c r="I1104" s="1353"/>
      <c r="J1104" s="1353"/>
      <c r="K1104" s="1387"/>
      <c r="L1104" s="1353"/>
      <c r="M1104" s="1353"/>
      <c r="N1104" s="1353"/>
    </row>
    <row r="1105" spans="1:14" x14ac:dyDescent="0.25">
      <c r="A1105" s="1353"/>
      <c r="B1105" s="1353"/>
      <c r="C1105" s="1353"/>
      <c r="D1105" s="1353"/>
      <c r="E1105" s="1353"/>
      <c r="F1105" s="1353"/>
      <c r="G1105" s="1353"/>
      <c r="H1105" s="1353"/>
      <c r="I1105" s="1353"/>
      <c r="J1105" s="1353"/>
      <c r="K1105" s="1387"/>
      <c r="L1105" s="1353"/>
      <c r="M1105" s="1353"/>
      <c r="N1105" s="1353"/>
    </row>
    <row r="1106" spans="1:14" x14ac:dyDescent="0.25">
      <c r="A1106" s="1353"/>
      <c r="B1106" s="1353"/>
      <c r="C1106" s="1353"/>
      <c r="D1106" s="1353"/>
      <c r="E1106" s="1353"/>
      <c r="F1106" s="1353"/>
      <c r="G1106" s="1353"/>
      <c r="H1106" s="1353"/>
      <c r="I1106" s="1353"/>
      <c r="J1106" s="1353"/>
      <c r="K1106" s="1387"/>
      <c r="L1106" s="1353"/>
      <c r="M1106" s="1353"/>
      <c r="N1106" s="1353"/>
    </row>
    <row r="1107" spans="1:14" x14ac:dyDescent="0.25">
      <c r="A1107" s="1353"/>
      <c r="B1107" s="1353"/>
      <c r="C1107" s="1353"/>
      <c r="D1107" s="1353"/>
      <c r="E1107" s="1353"/>
      <c r="F1107" s="1353"/>
      <c r="G1107" s="1353"/>
      <c r="H1107" s="1353"/>
      <c r="I1107" s="1353"/>
      <c r="J1107" s="1353"/>
      <c r="K1107" s="1387"/>
      <c r="L1107" s="1353"/>
      <c r="M1107" s="1353"/>
      <c r="N1107" s="1353"/>
    </row>
    <row r="1108" spans="1:14" x14ac:dyDescent="0.25">
      <c r="A1108" s="1353"/>
      <c r="B1108" s="1353"/>
      <c r="C1108" s="1353"/>
      <c r="D1108" s="1353"/>
      <c r="E1108" s="1353"/>
      <c r="F1108" s="1353"/>
      <c r="G1108" s="1353"/>
      <c r="H1108" s="1353"/>
      <c r="I1108" s="1353"/>
      <c r="J1108" s="1353"/>
      <c r="K1108" s="1387"/>
      <c r="L1108" s="1353"/>
      <c r="M1108" s="1353"/>
      <c r="N1108" s="1353"/>
    </row>
    <row r="1109" spans="1:14" x14ac:dyDescent="0.25">
      <c r="A1109" s="1353"/>
      <c r="B1109" s="1353"/>
      <c r="C1109" s="1353"/>
      <c r="D1109" s="1353"/>
      <c r="E1109" s="1353"/>
      <c r="F1109" s="1353"/>
      <c r="G1109" s="1353"/>
      <c r="H1109" s="1353"/>
      <c r="I1109" s="1353"/>
      <c r="J1109" s="1353"/>
      <c r="K1109" s="1387"/>
      <c r="L1109" s="1353"/>
      <c r="M1109" s="1353"/>
      <c r="N1109" s="1353"/>
    </row>
    <row r="1110" spans="1:14" x14ac:dyDescent="0.25">
      <c r="A1110" s="1353"/>
      <c r="B1110" s="1353"/>
      <c r="C1110" s="1353"/>
      <c r="D1110" s="1353"/>
      <c r="E1110" s="1353"/>
      <c r="F1110" s="1353"/>
      <c r="G1110" s="1353"/>
      <c r="H1110" s="1353"/>
      <c r="I1110" s="1353"/>
      <c r="J1110" s="1353"/>
      <c r="K1110" s="1387"/>
      <c r="L1110" s="1353"/>
      <c r="M1110" s="1353"/>
      <c r="N1110" s="1353"/>
    </row>
    <row r="1111" spans="1:14" x14ac:dyDescent="0.25">
      <c r="A1111" s="1353"/>
      <c r="B1111" s="1353"/>
      <c r="C1111" s="1353"/>
      <c r="D1111" s="1353"/>
      <c r="E1111" s="1353"/>
      <c r="F1111" s="1353"/>
      <c r="G1111" s="1353"/>
      <c r="H1111" s="1353"/>
      <c r="I1111" s="1353"/>
      <c r="J1111" s="1353"/>
      <c r="K1111" s="1387"/>
      <c r="L1111" s="1353"/>
      <c r="M1111" s="1353"/>
      <c r="N1111" s="1353"/>
    </row>
    <row r="1112" spans="1:14" x14ac:dyDescent="0.25">
      <c r="A1112" s="1353"/>
      <c r="B1112" s="1353"/>
      <c r="C1112" s="1353"/>
      <c r="D1112" s="1353"/>
      <c r="E1112" s="1353"/>
      <c r="F1112" s="1353"/>
      <c r="G1112" s="1353"/>
      <c r="H1112" s="1353"/>
      <c r="I1112" s="1353"/>
      <c r="J1112" s="1353"/>
      <c r="K1112" s="1387"/>
      <c r="L1112" s="1353"/>
      <c r="M1112" s="1353"/>
      <c r="N1112" s="1353"/>
    </row>
    <row r="1113" spans="1:14" x14ac:dyDescent="0.25">
      <c r="A1113" s="1353"/>
      <c r="B1113" s="1353"/>
      <c r="C1113" s="1353"/>
      <c r="D1113" s="1353"/>
      <c r="E1113" s="1353"/>
      <c r="F1113" s="1353"/>
      <c r="G1113" s="1353"/>
      <c r="H1113" s="1353"/>
      <c r="I1113" s="1353"/>
      <c r="J1113" s="1353"/>
      <c r="K1113" s="1387"/>
      <c r="L1113" s="1353"/>
      <c r="M1113" s="1353"/>
      <c r="N1113" s="1353"/>
    </row>
    <row r="1114" spans="1:14" x14ac:dyDescent="0.25">
      <c r="A1114" s="1353"/>
      <c r="B1114" s="1353"/>
      <c r="C1114" s="1353"/>
      <c r="D1114" s="1353"/>
      <c r="E1114" s="1353"/>
      <c r="F1114" s="1353"/>
      <c r="G1114" s="1353"/>
      <c r="H1114" s="1353"/>
      <c r="I1114" s="1353"/>
      <c r="J1114" s="1353"/>
      <c r="K1114" s="1387"/>
      <c r="L1114" s="1353"/>
      <c r="M1114" s="1353"/>
      <c r="N1114" s="1353"/>
    </row>
    <row r="1115" spans="1:14" x14ac:dyDescent="0.25">
      <c r="A1115" s="1353"/>
      <c r="B1115" s="1353"/>
      <c r="C1115" s="1353"/>
      <c r="D1115" s="1353"/>
      <c r="E1115" s="1353"/>
      <c r="F1115" s="1353"/>
      <c r="G1115" s="1353"/>
      <c r="H1115" s="1353"/>
      <c r="I1115" s="1353"/>
      <c r="J1115" s="1353"/>
      <c r="K1115" s="1387"/>
      <c r="L1115" s="1353"/>
      <c r="M1115" s="1353"/>
      <c r="N1115" s="1353"/>
    </row>
    <row r="1116" spans="1:14" x14ac:dyDescent="0.25">
      <c r="A1116" s="1353"/>
      <c r="B1116" s="1353"/>
      <c r="C1116" s="1353"/>
      <c r="D1116" s="1353"/>
      <c r="E1116" s="1353"/>
      <c r="F1116" s="1353"/>
      <c r="G1116" s="1353"/>
      <c r="H1116" s="1353"/>
      <c r="I1116" s="1353"/>
      <c r="J1116" s="1353"/>
      <c r="K1116" s="1387"/>
      <c r="L1116" s="1353"/>
      <c r="M1116" s="1353"/>
      <c r="N1116" s="1353"/>
    </row>
    <row r="1117" spans="1:14" x14ac:dyDescent="0.25">
      <c r="A1117" s="1353"/>
      <c r="B1117" s="1353"/>
      <c r="C1117" s="1353"/>
      <c r="D1117" s="1353"/>
      <c r="E1117" s="1353"/>
      <c r="F1117" s="1353"/>
      <c r="G1117" s="1353"/>
      <c r="H1117" s="1353"/>
      <c r="I1117" s="1353"/>
      <c r="J1117" s="1353"/>
      <c r="K1117" s="1387"/>
      <c r="L1117" s="1353"/>
      <c r="M1117" s="1353"/>
      <c r="N1117" s="1353"/>
    </row>
    <row r="1118" spans="1:14" x14ac:dyDescent="0.25">
      <c r="A1118" s="1353"/>
      <c r="B1118" s="1353"/>
      <c r="C1118" s="1353"/>
      <c r="D1118" s="1353"/>
      <c r="E1118" s="1353"/>
      <c r="F1118" s="1353"/>
      <c r="G1118" s="1353"/>
      <c r="H1118" s="1353"/>
      <c r="I1118" s="1353"/>
      <c r="J1118" s="1353"/>
      <c r="K1118" s="1387"/>
      <c r="L1118" s="1353"/>
      <c r="M1118" s="1353"/>
      <c r="N1118" s="1353"/>
    </row>
    <row r="1119" spans="1:14" x14ac:dyDescent="0.25">
      <c r="A1119" s="1353"/>
      <c r="B1119" s="1353"/>
      <c r="C1119" s="1353"/>
      <c r="D1119" s="1353"/>
      <c r="E1119" s="1353"/>
      <c r="F1119" s="1353"/>
      <c r="G1119" s="1353"/>
      <c r="H1119" s="1353"/>
      <c r="I1119" s="1353"/>
      <c r="J1119" s="1353"/>
      <c r="K1119" s="1387"/>
      <c r="L1119" s="1353"/>
      <c r="M1119" s="1353"/>
      <c r="N1119" s="1353"/>
    </row>
    <row r="1120" spans="1:14" x14ac:dyDescent="0.25">
      <c r="A1120" s="1353"/>
      <c r="B1120" s="1353"/>
      <c r="C1120" s="1353"/>
      <c r="D1120" s="1353"/>
      <c r="E1120" s="1353"/>
      <c r="F1120" s="1353"/>
      <c r="G1120" s="1353"/>
      <c r="H1120" s="1353"/>
      <c r="I1120" s="1353"/>
      <c r="J1120" s="1353"/>
      <c r="K1120" s="1387"/>
      <c r="L1120" s="1353"/>
      <c r="M1120" s="1353"/>
      <c r="N1120" s="1353"/>
    </row>
    <row r="1121" spans="1:14" x14ac:dyDescent="0.25">
      <c r="A1121" s="1353"/>
      <c r="B1121" s="1353"/>
      <c r="C1121" s="1353"/>
      <c r="D1121" s="1353"/>
      <c r="E1121" s="1353"/>
      <c r="F1121" s="1353"/>
      <c r="G1121" s="1353"/>
      <c r="H1121" s="1353"/>
      <c r="I1121" s="1353"/>
      <c r="J1121" s="1353"/>
      <c r="K1121" s="1387"/>
      <c r="L1121" s="1353"/>
      <c r="M1121" s="1353"/>
      <c r="N1121" s="1353"/>
    </row>
    <row r="1122" spans="1:14" x14ac:dyDescent="0.25">
      <c r="A1122" s="1353"/>
      <c r="B1122" s="1353"/>
      <c r="C1122" s="1353"/>
      <c r="D1122" s="1353"/>
      <c r="E1122" s="1353"/>
      <c r="F1122" s="1353"/>
      <c r="G1122" s="1353"/>
      <c r="H1122" s="1353"/>
      <c r="I1122" s="1353"/>
      <c r="J1122" s="1353"/>
      <c r="K1122" s="1387"/>
      <c r="L1122" s="1353"/>
      <c r="M1122" s="1353"/>
      <c r="N1122" s="1353"/>
    </row>
    <row r="1123" spans="1:14" x14ac:dyDescent="0.25">
      <c r="A1123" s="1353"/>
      <c r="B1123" s="1353"/>
      <c r="C1123" s="1353"/>
      <c r="D1123" s="1353"/>
      <c r="E1123" s="1353"/>
      <c r="F1123" s="1353"/>
      <c r="G1123" s="1353"/>
      <c r="H1123" s="1353"/>
      <c r="I1123" s="1353"/>
      <c r="J1123" s="1353"/>
      <c r="K1123" s="1387"/>
      <c r="L1123" s="1353"/>
      <c r="M1123" s="1353"/>
      <c r="N1123" s="1353"/>
    </row>
    <row r="1124" spans="1:14" x14ac:dyDescent="0.25">
      <c r="A1124" s="1353"/>
      <c r="B1124" s="1353"/>
      <c r="C1124" s="1353"/>
      <c r="D1124" s="1353"/>
      <c r="E1124" s="1353"/>
      <c r="F1124" s="1353"/>
      <c r="G1124" s="1353"/>
      <c r="H1124" s="1353"/>
      <c r="I1124" s="1353"/>
      <c r="J1124" s="1353"/>
      <c r="K1124" s="1387"/>
      <c r="L1124" s="1353"/>
      <c r="M1124" s="1353"/>
      <c r="N1124" s="1353"/>
    </row>
    <row r="1125" spans="1:14" x14ac:dyDescent="0.25">
      <c r="A1125" s="1353"/>
      <c r="B1125" s="1353"/>
      <c r="C1125" s="1353"/>
      <c r="D1125" s="1353"/>
      <c r="E1125" s="1353"/>
      <c r="F1125" s="1353"/>
      <c r="G1125" s="1353"/>
      <c r="H1125" s="1353"/>
      <c r="I1125" s="1353"/>
      <c r="J1125" s="1353"/>
      <c r="K1125" s="1387"/>
      <c r="L1125" s="1353"/>
      <c r="M1125" s="1353"/>
      <c r="N1125" s="1353"/>
    </row>
    <row r="1126" spans="1:14" x14ac:dyDescent="0.25">
      <c r="A1126" s="1353"/>
      <c r="B1126" s="1353"/>
      <c r="C1126" s="1353"/>
      <c r="D1126" s="1353"/>
      <c r="E1126" s="1353"/>
      <c r="F1126" s="1353"/>
      <c r="G1126" s="1353"/>
      <c r="H1126" s="1353"/>
      <c r="I1126" s="1353"/>
      <c r="J1126" s="1353"/>
      <c r="K1126" s="1387"/>
      <c r="L1126" s="1353"/>
      <c r="M1126" s="1353"/>
      <c r="N1126" s="1353"/>
    </row>
    <row r="1127" spans="1:14" x14ac:dyDescent="0.25">
      <c r="A1127" s="1353"/>
      <c r="B1127" s="1353"/>
      <c r="C1127" s="1353"/>
      <c r="D1127" s="1353"/>
      <c r="E1127" s="1353"/>
      <c r="F1127" s="1353"/>
      <c r="G1127" s="1353"/>
      <c r="H1127" s="1353"/>
      <c r="I1127" s="1353"/>
      <c r="J1127" s="1353"/>
      <c r="K1127" s="1387"/>
      <c r="L1127" s="1353"/>
      <c r="M1127" s="1353"/>
      <c r="N1127" s="1353"/>
    </row>
    <row r="1128" spans="1:14" x14ac:dyDescent="0.25">
      <c r="A1128" s="1353"/>
      <c r="B1128" s="1353"/>
      <c r="C1128" s="1353"/>
      <c r="D1128" s="1353"/>
      <c r="E1128" s="1353"/>
      <c r="F1128" s="1353"/>
      <c r="G1128" s="1353"/>
      <c r="H1128" s="1353"/>
      <c r="I1128" s="1353"/>
      <c r="J1128" s="1353"/>
      <c r="K1128" s="1387"/>
      <c r="L1128" s="1353"/>
      <c r="M1128" s="1353"/>
      <c r="N1128" s="1353"/>
    </row>
    <row r="1129" spans="1:14" x14ac:dyDescent="0.25">
      <c r="A1129" s="1353"/>
      <c r="B1129" s="1353"/>
      <c r="C1129" s="1353"/>
      <c r="D1129" s="1353"/>
      <c r="E1129" s="1353"/>
      <c r="F1129" s="1353"/>
      <c r="G1129" s="1353"/>
      <c r="H1129" s="1353"/>
      <c r="I1129" s="1353"/>
      <c r="J1129" s="1353"/>
      <c r="K1129" s="1387"/>
      <c r="L1129" s="1353"/>
      <c r="M1129" s="1353"/>
      <c r="N1129" s="1353"/>
    </row>
    <row r="1130" spans="1:14" x14ac:dyDescent="0.25">
      <c r="A1130" s="1353"/>
      <c r="B1130" s="1353"/>
      <c r="C1130" s="1353"/>
      <c r="D1130" s="1353"/>
      <c r="E1130" s="1353"/>
      <c r="F1130" s="1353"/>
      <c r="G1130" s="1353"/>
      <c r="H1130" s="1353"/>
      <c r="I1130" s="1353"/>
      <c r="J1130" s="1353"/>
      <c r="K1130" s="1387"/>
      <c r="L1130" s="1353"/>
      <c r="M1130" s="1353"/>
      <c r="N1130" s="1353"/>
    </row>
    <row r="1131" spans="1:14" x14ac:dyDescent="0.25">
      <c r="A1131" s="1353"/>
      <c r="B1131" s="1353"/>
      <c r="C1131" s="1353"/>
      <c r="D1131" s="1353"/>
      <c r="E1131" s="1353"/>
      <c r="F1131" s="1353"/>
      <c r="G1131" s="1353"/>
      <c r="H1131" s="1353"/>
      <c r="I1131" s="1353"/>
      <c r="J1131" s="1353"/>
      <c r="K1131" s="1387"/>
      <c r="L1131" s="1353"/>
      <c r="M1131" s="1353"/>
      <c r="N1131" s="1353"/>
    </row>
    <row r="1132" spans="1:14" x14ac:dyDescent="0.25">
      <c r="A1132" s="1353"/>
      <c r="B1132" s="1353"/>
      <c r="C1132" s="1353"/>
      <c r="D1132" s="1353"/>
      <c r="E1132" s="1353"/>
      <c r="F1132" s="1353"/>
      <c r="G1132" s="1353"/>
      <c r="H1132" s="1353"/>
      <c r="I1132" s="1353"/>
      <c r="J1132" s="1353"/>
      <c r="K1132" s="1387"/>
      <c r="L1132" s="1353"/>
      <c r="M1132" s="1353"/>
      <c r="N1132" s="1353"/>
    </row>
    <row r="1133" spans="1:14" x14ac:dyDescent="0.25">
      <c r="A1133" s="1353"/>
      <c r="B1133" s="1353"/>
      <c r="C1133" s="1353"/>
      <c r="D1133" s="1353"/>
      <c r="E1133" s="1353"/>
      <c r="F1133" s="1353"/>
      <c r="G1133" s="1353"/>
      <c r="H1133" s="1353"/>
      <c r="I1133" s="1353"/>
      <c r="J1133" s="1353"/>
      <c r="K1133" s="1387"/>
      <c r="L1133" s="1353"/>
      <c r="M1133" s="1353"/>
      <c r="N1133" s="1353"/>
    </row>
    <row r="1134" spans="1:14" x14ac:dyDescent="0.25">
      <c r="A1134" s="1353"/>
      <c r="B1134" s="1353"/>
      <c r="C1134" s="1353"/>
      <c r="D1134" s="1353"/>
      <c r="E1134" s="1353"/>
      <c r="F1134" s="1353"/>
      <c r="G1134" s="1353"/>
      <c r="H1134" s="1353"/>
      <c r="I1134" s="1353"/>
      <c r="J1134" s="1353"/>
      <c r="K1134" s="1387"/>
      <c r="L1134" s="1353"/>
      <c r="M1134" s="1353"/>
      <c r="N1134" s="1353"/>
    </row>
    <row r="1135" spans="1:14" x14ac:dyDescent="0.25">
      <c r="A1135" s="1353"/>
      <c r="B1135" s="1353"/>
      <c r="C1135" s="1353"/>
      <c r="D1135" s="1353"/>
      <c r="E1135" s="1353"/>
      <c r="F1135" s="1353"/>
      <c r="G1135" s="1353"/>
      <c r="H1135" s="1353"/>
      <c r="I1135" s="1353"/>
      <c r="J1135" s="1353"/>
      <c r="K1135" s="1387"/>
      <c r="L1135" s="1353"/>
      <c r="M1135" s="1353"/>
      <c r="N1135" s="1353"/>
    </row>
    <row r="1136" spans="1:14" x14ac:dyDescent="0.25">
      <c r="A1136" s="1353"/>
      <c r="B1136" s="1353"/>
      <c r="C1136" s="1353"/>
      <c r="D1136" s="1353"/>
      <c r="E1136" s="1353"/>
      <c r="F1136" s="1353"/>
      <c r="G1136" s="1353"/>
      <c r="H1136" s="1353"/>
      <c r="I1136" s="1353"/>
      <c r="J1136" s="1353"/>
      <c r="K1136" s="1387"/>
      <c r="L1136" s="1353"/>
      <c r="M1136" s="1353"/>
      <c r="N1136" s="1353"/>
    </row>
    <row r="1137" spans="1:14" x14ac:dyDescent="0.25">
      <c r="A1137" s="1353"/>
      <c r="B1137" s="1353"/>
      <c r="C1137" s="1353"/>
      <c r="D1137" s="1353"/>
      <c r="E1137" s="1353"/>
      <c r="F1137" s="1353"/>
      <c r="G1137" s="1353"/>
      <c r="H1137" s="1353"/>
      <c r="I1137" s="1353"/>
      <c r="J1137" s="1353"/>
      <c r="K1137" s="1387"/>
      <c r="L1137" s="1353"/>
      <c r="M1137" s="1353"/>
      <c r="N1137" s="1353"/>
    </row>
    <row r="1138" spans="1:14" x14ac:dyDescent="0.25">
      <c r="A1138" s="1353"/>
      <c r="B1138" s="1353"/>
      <c r="C1138" s="1353"/>
      <c r="D1138" s="1353"/>
      <c r="E1138" s="1353"/>
      <c r="F1138" s="1353"/>
      <c r="G1138" s="1353"/>
      <c r="H1138" s="1353"/>
      <c r="I1138" s="1353"/>
      <c r="J1138" s="1353"/>
      <c r="K1138" s="1387"/>
      <c r="L1138" s="1353"/>
      <c r="M1138" s="1353"/>
      <c r="N1138" s="1353"/>
    </row>
    <row r="1139" spans="1:14" x14ac:dyDescent="0.25">
      <c r="A1139" s="1353"/>
      <c r="B1139" s="1353"/>
      <c r="C1139" s="1353"/>
      <c r="D1139" s="1353"/>
      <c r="E1139" s="1353"/>
      <c r="F1139" s="1353"/>
      <c r="G1139" s="1353"/>
      <c r="H1139" s="1353"/>
      <c r="I1139" s="1353"/>
      <c r="J1139" s="1353"/>
      <c r="K1139" s="1387"/>
      <c r="L1139" s="1353"/>
      <c r="M1139" s="1353"/>
      <c r="N1139" s="1353"/>
    </row>
    <row r="1140" spans="1:14" x14ac:dyDescent="0.25">
      <c r="A1140" s="1353"/>
      <c r="B1140" s="1353"/>
      <c r="C1140" s="1353"/>
      <c r="D1140" s="1353"/>
      <c r="E1140" s="1353"/>
      <c r="F1140" s="1353"/>
      <c r="G1140" s="1353"/>
      <c r="H1140" s="1353"/>
      <c r="I1140" s="1353"/>
      <c r="J1140" s="1353"/>
      <c r="K1140" s="1387"/>
      <c r="L1140" s="1353"/>
      <c r="M1140" s="1353"/>
      <c r="N1140" s="1353"/>
    </row>
    <row r="1141" spans="1:14" x14ac:dyDescent="0.25">
      <c r="A1141" s="1353"/>
      <c r="B1141" s="1353"/>
      <c r="C1141" s="1353"/>
      <c r="D1141" s="1353"/>
      <c r="E1141" s="1353"/>
      <c r="F1141" s="1353"/>
      <c r="G1141" s="1353"/>
      <c r="H1141" s="1353"/>
      <c r="I1141" s="1353"/>
      <c r="J1141" s="1353"/>
      <c r="K1141" s="1387"/>
      <c r="L1141" s="1353"/>
      <c r="M1141" s="1353"/>
      <c r="N1141" s="1353"/>
    </row>
    <row r="1142" spans="1:14" x14ac:dyDescent="0.25">
      <c r="A1142" s="1353"/>
      <c r="B1142" s="1353"/>
      <c r="C1142" s="1353"/>
      <c r="D1142" s="1353"/>
      <c r="E1142" s="1353"/>
      <c r="F1142" s="1353"/>
      <c r="G1142" s="1353"/>
      <c r="H1142" s="1353"/>
      <c r="I1142" s="1353"/>
      <c r="J1142" s="1353"/>
      <c r="K1142" s="1387"/>
      <c r="L1142" s="1353"/>
      <c r="M1142" s="1353"/>
      <c r="N1142" s="1353"/>
    </row>
    <row r="1143" spans="1:14" x14ac:dyDescent="0.25">
      <c r="A1143" s="1353"/>
      <c r="B1143" s="1353"/>
      <c r="C1143" s="1353"/>
      <c r="D1143" s="1353"/>
      <c r="E1143" s="1353"/>
      <c r="F1143" s="1353"/>
      <c r="G1143" s="1353"/>
      <c r="H1143" s="1353"/>
      <c r="I1143" s="1353"/>
      <c r="J1143" s="1353"/>
      <c r="K1143" s="1387"/>
      <c r="L1143" s="1353"/>
      <c r="M1143" s="1353"/>
      <c r="N1143" s="1353"/>
    </row>
    <row r="1144" spans="1:14" x14ac:dyDescent="0.25">
      <c r="A1144" s="1353"/>
      <c r="B1144" s="1353"/>
      <c r="C1144" s="1353"/>
      <c r="D1144" s="1353"/>
      <c r="E1144" s="1353"/>
      <c r="F1144" s="1353"/>
      <c r="G1144" s="1353"/>
      <c r="H1144" s="1353"/>
      <c r="I1144" s="1353"/>
      <c r="J1144" s="1353"/>
      <c r="K1144" s="1387"/>
      <c r="L1144" s="1353"/>
      <c r="M1144" s="1353"/>
      <c r="N1144" s="1353"/>
    </row>
    <row r="1145" spans="1:14" x14ac:dyDescent="0.25">
      <c r="A1145" s="1353"/>
      <c r="B1145" s="1353"/>
      <c r="C1145" s="1353"/>
      <c r="D1145" s="1353"/>
      <c r="E1145" s="1353"/>
      <c r="F1145" s="1353"/>
      <c r="G1145" s="1353"/>
      <c r="H1145" s="1353"/>
      <c r="I1145" s="1353"/>
      <c r="J1145" s="1353"/>
      <c r="K1145" s="1387"/>
      <c r="L1145" s="1353"/>
      <c r="M1145" s="1353"/>
      <c r="N1145" s="1353"/>
    </row>
    <row r="1146" spans="1:14" x14ac:dyDescent="0.25">
      <c r="A1146" s="1353"/>
      <c r="B1146" s="1353"/>
      <c r="C1146" s="1353"/>
      <c r="D1146" s="1353"/>
      <c r="E1146" s="1353"/>
      <c r="F1146" s="1353"/>
      <c r="G1146" s="1353"/>
      <c r="H1146" s="1353"/>
      <c r="I1146" s="1353"/>
      <c r="J1146" s="1353"/>
      <c r="K1146" s="1387"/>
      <c r="L1146" s="1353"/>
      <c r="M1146" s="1353"/>
      <c r="N1146" s="1353"/>
    </row>
    <row r="1147" spans="1:14" x14ac:dyDescent="0.25">
      <c r="A1147" s="1353"/>
      <c r="B1147" s="1353"/>
      <c r="C1147" s="1353"/>
      <c r="D1147" s="1353"/>
      <c r="E1147" s="1353"/>
      <c r="F1147" s="1353"/>
      <c r="G1147" s="1353"/>
      <c r="H1147" s="1353"/>
      <c r="I1147" s="1353"/>
      <c r="J1147" s="1353"/>
      <c r="K1147" s="1387"/>
      <c r="L1147" s="1353"/>
      <c r="M1147" s="1353"/>
      <c r="N1147" s="1353"/>
    </row>
    <row r="1148" spans="1:14" x14ac:dyDescent="0.25">
      <c r="A1148" s="1353"/>
      <c r="B1148" s="1353"/>
      <c r="C1148" s="1353"/>
      <c r="D1148" s="1353"/>
      <c r="E1148" s="1353"/>
      <c r="F1148" s="1353"/>
      <c r="G1148" s="1353"/>
      <c r="H1148" s="1353"/>
      <c r="I1148" s="1353"/>
      <c r="J1148" s="1353"/>
      <c r="K1148" s="1387"/>
      <c r="L1148" s="1353"/>
      <c r="M1148" s="1353"/>
      <c r="N1148" s="1353"/>
    </row>
    <row r="1149" spans="1:14" x14ac:dyDescent="0.25">
      <c r="A1149" s="1353"/>
      <c r="B1149" s="1353"/>
      <c r="C1149" s="1353"/>
      <c r="D1149" s="1353"/>
      <c r="E1149" s="1353"/>
      <c r="F1149" s="1353"/>
      <c r="G1149" s="1353"/>
      <c r="H1149" s="1353"/>
      <c r="I1149" s="1353"/>
      <c r="J1149" s="1353"/>
      <c r="K1149" s="1387"/>
      <c r="L1149" s="1353"/>
      <c r="M1149" s="1353"/>
      <c r="N1149" s="1353"/>
    </row>
    <row r="1150" spans="1:14" x14ac:dyDescent="0.25">
      <c r="A1150" s="1353"/>
      <c r="B1150" s="1353"/>
      <c r="C1150" s="1353"/>
      <c r="D1150" s="1353"/>
      <c r="E1150" s="1353"/>
      <c r="F1150" s="1353"/>
      <c r="G1150" s="1353"/>
      <c r="H1150" s="1353"/>
      <c r="I1150" s="1353"/>
      <c r="J1150" s="1353"/>
      <c r="K1150" s="1387"/>
      <c r="L1150" s="1353"/>
      <c r="M1150" s="1353"/>
      <c r="N1150" s="1353"/>
    </row>
    <row r="1151" spans="1:14" x14ac:dyDescent="0.25">
      <c r="A1151" s="1353"/>
      <c r="B1151" s="1353"/>
      <c r="C1151" s="1353"/>
      <c r="D1151" s="1353"/>
      <c r="E1151" s="1353"/>
      <c r="F1151" s="1353"/>
      <c r="G1151" s="1353"/>
      <c r="H1151" s="1353"/>
      <c r="I1151" s="1353"/>
      <c r="J1151" s="1353"/>
      <c r="K1151" s="1387"/>
      <c r="L1151" s="1353"/>
      <c r="M1151" s="1353"/>
      <c r="N1151" s="1353"/>
    </row>
    <row r="1152" spans="1:14" x14ac:dyDescent="0.25">
      <c r="A1152" s="1353"/>
      <c r="B1152" s="1353"/>
      <c r="C1152" s="1353"/>
      <c r="D1152" s="1353"/>
      <c r="E1152" s="1353"/>
      <c r="F1152" s="1353"/>
      <c r="G1152" s="1353"/>
      <c r="H1152" s="1353"/>
      <c r="I1152" s="1353"/>
      <c r="J1152" s="1353"/>
      <c r="K1152" s="1387"/>
      <c r="L1152" s="1353"/>
      <c r="M1152" s="1353"/>
      <c r="N1152" s="1353"/>
    </row>
    <row r="1153" spans="1:14" x14ac:dyDescent="0.25">
      <c r="A1153" s="1353"/>
      <c r="B1153" s="1353"/>
      <c r="C1153" s="1353"/>
      <c r="D1153" s="1353"/>
      <c r="E1153" s="1353"/>
      <c r="F1153" s="1353"/>
      <c r="G1153" s="1353"/>
      <c r="H1153" s="1353"/>
      <c r="I1153" s="1353"/>
      <c r="J1153" s="1353"/>
      <c r="K1153" s="1387"/>
      <c r="L1153" s="1353"/>
      <c r="M1153" s="1353"/>
      <c r="N1153" s="1353"/>
    </row>
    <row r="1154" spans="1:14" x14ac:dyDescent="0.25">
      <c r="A1154" s="1353"/>
      <c r="B1154" s="1353"/>
      <c r="C1154" s="1353"/>
      <c r="D1154" s="1353"/>
      <c r="E1154" s="1353"/>
      <c r="F1154" s="1353"/>
      <c r="G1154" s="1353"/>
      <c r="H1154" s="1353"/>
      <c r="I1154" s="1353"/>
      <c r="J1154" s="1353"/>
      <c r="K1154" s="1387"/>
      <c r="L1154" s="1353"/>
      <c r="M1154" s="1353"/>
      <c r="N1154" s="1353"/>
    </row>
    <row r="1155" spans="1:14" x14ac:dyDescent="0.25">
      <c r="A1155" s="1353"/>
      <c r="B1155" s="1353"/>
      <c r="C1155" s="1353"/>
      <c r="D1155" s="1353"/>
      <c r="E1155" s="1353"/>
      <c r="F1155" s="1353"/>
      <c r="G1155" s="1353"/>
      <c r="H1155" s="1353"/>
      <c r="I1155" s="1353"/>
      <c r="J1155" s="1353"/>
      <c r="K1155" s="1387"/>
      <c r="L1155" s="1353"/>
      <c r="M1155" s="1353"/>
      <c r="N1155" s="1353"/>
    </row>
    <row r="1156" spans="1:14" x14ac:dyDescent="0.25">
      <c r="A1156" s="1353"/>
      <c r="B1156" s="1353"/>
      <c r="C1156" s="1353"/>
      <c r="D1156" s="1353"/>
      <c r="E1156" s="1353"/>
      <c r="F1156" s="1353"/>
      <c r="G1156" s="1353"/>
      <c r="H1156" s="1353"/>
      <c r="I1156" s="1353"/>
      <c r="J1156" s="1353"/>
      <c r="K1156" s="1387"/>
      <c r="L1156" s="1353"/>
      <c r="M1156" s="1353"/>
      <c r="N1156" s="1353"/>
    </row>
    <row r="1157" spans="1:14" x14ac:dyDescent="0.25">
      <c r="A1157" s="1353"/>
      <c r="B1157" s="1353"/>
      <c r="C1157" s="1353"/>
      <c r="D1157" s="1353"/>
      <c r="E1157" s="1353"/>
      <c r="F1157" s="1353"/>
      <c r="G1157" s="1353"/>
      <c r="H1157" s="1353"/>
      <c r="I1157" s="1353"/>
      <c r="J1157" s="1353"/>
      <c r="K1157" s="1387"/>
      <c r="L1157" s="1353"/>
      <c r="M1157" s="1353"/>
      <c r="N1157" s="1353"/>
    </row>
    <row r="1158" spans="1:14" x14ac:dyDescent="0.25">
      <c r="A1158" s="1353"/>
      <c r="B1158" s="1353"/>
      <c r="C1158" s="1353"/>
      <c r="D1158" s="1353"/>
      <c r="E1158" s="1353"/>
      <c r="F1158" s="1353"/>
      <c r="G1158" s="1353"/>
      <c r="H1158" s="1353"/>
      <c r="I1158" s="1353"/>
      <c r="J1158" s="1353"/>
      <c r="K1158" s="1387"/>
      <c r="L1158" s="1353"/>
      <c r="M1158" s="1353"/>
      <c r="N1158" s="1353"/>
    </row>
    <row r="1159" spans="1:14" x14ac:dyDescent="0.25">
      <c r="A1159" s="1353"/>
      <c r="B1159" s="1353"/>
      <c r="C1159" s="1353"/>
      <c r="D1159" s="1353"/>
      <c r="E1159" s="1353"/>
      <c r="F1159" s="1353"/>
      <c r="G1159" s="1353"/>
      <c r="H1159" s="1353"/>
      <c r="I1159" s="1353"/>
      <c r="J1159" s="1353"/>
      <c r="K1159" s="1387"/>
      <c r="L1159" s="1353"/>
      <c r="M1159" s="1353"/>
      <c r="N1159" s="1353"/>
    </row>
    <row r="1160" spans="1:14" x14ac:dyDescent="0.25">
      <c r="A1160" s="1353"/>
      <c r="B1160" s="1353"/>
      <c r="C1160" s="1353"/>
      <c r="D1160" s="1353"/>
      <c r="E1160" s="1353"/>
      <c r="F1160" s="1353"/>
      <c r="G1160" s="1353"/>
      <c r="H1160" s="1353"/>
      <c r="I1160" s="1353"/>
      <c r="J1160" s="1353"/>
      <c r="K1160" s="1387"/>
      <c r="L1160" s="1353"/>
      <c r="M1160" s="1353"/>
      <c r="N1160" s="1353"/>
    </row>
    <row r="1161" spans="1:14" x14ac:dyDescent="0.25">
      <c r="A1161" s="1353"/>
      <c r="B1161" s="1353"/>
      <c r="C1161" s="1353"/>
      <c r="D1161" s="1353"/>
      <c r="E1161" s="1353"/>
      <c r="F1161" s="1353"/>
      <c r="G1161" s="1353"/>
      <c r="H1161" s="1353"/>
      <c r="I1161" s="1353"/>
      <c r="J1161" s="1353"/>
      <c r="K1161" s="1387"/>
      <c r="L1161" s="1353"/>
      <c r="M1161" s="1353"/>
      <c r="N1161" s="1353"/>
    </row>
    <row r="1162" spans="1:14" x14ac:dyDescent="0.25">
      <c r="A1162" s="1353"/>
      <c r="B1162" s="1353"/>
      <c r="C1162" s="1353"/>
      <c r="D1162" s="1353"/>
      <c r="E1162" s="1353"/>
      <c r="F1162" s="1353"/>
      <c r="G1162" s="1353"/>
      <c r="H1162" s="1353"/>
      <c r="I1162" s="1353"/>
      <c r="J1162" s="1353"/>
      <c r="K1162" s="1387"/>
      <c r="L1162" s="1353"/>
      <c r="M1162" s="1353"/>
      <c r="N1162" s="1353"/>
    </row>
    <row r="1163" spans="1:14" x14ac:dyDescent="0.25">
      <c r="A1163" s="1353"/>
      <c r="B1163" s="1353"/>
      <c r="C1163" s="1353"/>
      <c r="D1163" s="1353"/>
      <c r="E1163" s="1353"/>
      <c r="F1163" s="1353"/>
      <c r="G1163" s="1353"/>
      <c r="H1163" s="1353"/>
      <c r="I1163" s="1353"/>
      <c r="J1163" s="1353"/>
      <c r="K1163" s="1387"/>
      <c r="L1163" s="1353"/>
      <c r="M1163" s="1353"/>
      <c r="N1163" s="1353"/>
    </row>
    <row r="1164" spans="1:14" x14ac:dyDescent="0.25">
      <c r="A1164" s="1353"/>
      <c r="B1164" s="1353"/>
      <c r="C1164" s="1353"/>
      <c r="D1164" s="1353"/>
      <c r="E1164" s="1353"/>
      <c r="F1164" s="1353"/>
      <c r="G1164" s="1353"/>
      <c r="H1164" s="1353"/>
      <c r="I1164" s="1353"/>
      <c r="J1164" s="1353"/>
      <c r="K1164" s="1387"/>
      <c r="L1164" s="1353"/>
      <c r="M1164" s="1353"/>
      <c r="N1164" s="1353"/>
    </row>
    <row r="1165" spans="1:14" x14ac:dyDescent="0.25">
      <c r="A1165" s="1353"/>
      <c r="B1165" s="1353"/>
      <c r="C1165" s="1353"/>
      <c r="D1165" s="1353"/>
      <c r="E1165" s="1353"/>
      <c r="F1165" s="1353"/>
      <c r="G1165" s="1353"/>
      <c r="H1165" s="1353"/>
      <c r="I1165" s="1353"/>
      <c r="J1165" s="1353"/>
      <c r="K1165" s="1387"/>
      <c r="L1165" s="1353"/>
      <c r="M1165" s="1353"/>
      <c r="N1165" s="1353"/>
    </row>
    <row r="1166" spans="1:14" x14ac:dyDescent="0.25">
      <c r="A1166" s="1353"/>
      <c r="B1166" s="1353"/>
      <c r="C1166" s="1353"/>
      <c r="D1166" s="1353"/>
      <c r="E1166" s="1353"/>
      <c r="F1166" s="1353"/>
      <c r="G1166" s="1353"/>
      <c r="H1166" s="1353"/>
      <c r="I1166" s="1353"/>
      <c r="J1166" s="1353"/>
      <c r="K1166" s="1387"/>
      <c r="L1166" s="1353"/>
      <c r="M1166" s="1353"/>
      <c r="N1166" s="1353"/>
    </row>
    <row r="1167" spans="1:14" x14ac:dyDescent="0.25">
      <c r="A1167" s="1353"/>
      <c r="B1167" s="1353"/>
      <c r="C1167" s="1353"/>
      <c r="D1167" s="1353"/>
      <c r="E1167" s="1353"/>
      <c r="F1167" s="1353"/>
      <c r="G1167" s="1353"/>
      <c r="H1167" s="1353"/>
      <c r="I1167" s="1353"/>
      <c r="J1167" s="1353"/>
      <c r="K1167" s="1387"/>
      <c r="L1167" s="1353"/>
      <c r="M1167" s="1353"/>
      <c r="N1167" s="1353"/>
    </row>
    <row r="1168" spans="1:14" x14ac:dyDescent="0.25">
      <c r="A1168" s="1353"/>
      <c r="B1168" s="1353"/>
      <c r="C1168" s="1353"/>
      <c r="D1168" s="1353"/>
      <c r="E1168" s="1353"/>
      <c r="F1168" s="1353"/>
      <c r="G1168" s="1353"/>
      <c r="H1168" s="1353"/>
      <c r="I1168" s="1353"/>
      <c r="J1168" s="1353"/>
      <c r="K1168" s="1387"/>
      <c r="L1168" s="1353"/>
      <c r="M1168" s="1353"/>
      <c r="N1168" s="1353"/>
    </row>
    <row r="1169" spans="1:14" x14ac:dyDescent="0.25">
      <c r="A1169" s="1353"/>
      <c r="B1169" s="1353"/>
      <c r="C1169" s="1353"/>
      <c r="D1169" s="1353"/>
      <c r="E1169" s="1353"/>
      <c r="F1169" s="1353"/>
      <c r="G1169" s="1353"/>
      <c r="H1169" s="1353"/>
      <c r="I1169" s="1353"/>
      <c r="J1169" s="1353"/>
      <c r="K1169" s="1387"/>
      <c r="L1169" s="1353"/>
      <c r="M1169" s="1353"/>
      <c r="N1169" s="1353"/>
    </row>
    <row r="1170" spans="1:14" x14ac:dyDescent="0.25">
      <c r="A1170" s="1353"/>
      <c r="B1170" s="1353"/>
      <c r="C1170" s="1353"/>
      <c r="D1170" s="1353"/>
      <c r="E1170" s="1353"/>
      <c r="F1170" s="1353"/>
      <c r="G1170" s="1353"/>
      <c r="H1170" s="1353"/>
      <c r="I1170" s="1353"/>
      <c r="J1170" s="1353"/>
      <c r="K1170" s="1387"/>
      <c r="L1170" s="1353"/>
      <c r="M1170" s="1353"/>
      <c r="N1170" s="1353"/>
    </row>
    <row r="1171" spans="1:14" x14ac:dyDescent="0.25">
      <c r="A1171" s="1353"/>
      <c r="B1171" s="1353"/>
      <c r="C1171" s="1353"/>
      <c r="D1171" s="1353"/>
      <c r="E1171" s="1353"/>
      <c r="F1171" s="1353"/>
      <c r="G1171" s="1353"/>
      <c r="H1171" s="1353"/>
      <c r="I1171" s="1353"/>
      <c r="J1171" s="1353"/>
      <c r="K1171" s="1387"/>
      <c r="L1171" s="1353"/>
      <c r="M1171" s="1353"/>
      <c r="N1171" s="1353"/>
    </row>
    <row r="1172" spans="1:14" x14ac:dyDescent="0.25">
      <c r="A1172" s="1353"/>
      <c r="B1172" s="1353"/>
      <c r="C1172" s="1353"/>
      <c r="D1172" s="1353"/>
      <c r="E1172" s="1353"/>
      <c r="F1172" s="1353"/>
      <c r="G1172" s="1353"/>
      <c r="H1172" s="1353"/>
      <c r="I1172" s="1353"/>
      <c r="J1172" s="1353"/>
      <c r="K1172" s="1387"/>
      <c r="L1172" s="1353"/>
      <c r="M1172" s="1353"/>
      <c r="N1172" s="1353"/>
    </row>
    <row r="1173" spans="1:14" x14ac:dyDescent="0.25">
      <c r="A1173" s="1353"/>
      <c r="B1173" s="1353"/>
      <c r="C1173" s="1353"/>
      <c r="D1173" s="1353"/>
      <c r="E1173" s="1353"/>
      <c r="F1173" s="1353"/>
      <c r="G1173" s="1353"/>
      <c r="H1173" s="1353"/>
      <c r="I1173" s="1353"/>
      <c r="J1173" s="1353"/>
      <c r="K1173" s="1387"/>
      <c r="L1173" s="1353"/>
      <c r="M1173" s="1353"/>
      <c r="N1173" s="1353"/>
    </row>
    <row r="1174" spans="1:14" x14ac:dyDescent="0.25">
      <c r="A1174" s="1353"/>
      <c r="B1174" s="1353"/>
      <c r="C1174" s="1353"/>
      <c r="D1174" s="1353"/>
      <c r="E1174" s="1353"/>
      <c r="F1174" s="1353"/>
      <c r="G1174" s="1353"/>
      <c r="H1174" s="1353"/>
      <c r="I1174" s="1353"/>
      <c r="J1174" s="1353"/>
      <c r="K1174" s="1387"/>
      <c r="L1174" s="1353"/>
      <c r="M1174" s="1353"/>
      <c r="N1174" s="1353"/>
    </row>
    <row r="1175" spans="1:14" x14ac:dyDescent="0.25">
      <c r="A1175" s="1353"/>
      <c r="B1175" s="1353"/>
      <c r="C1175" s="1353"/>
      <c r="D1175" s="1353"/>
      <c r="E1175" s="1353"/>
      <c r="F1175" s="1353"/>
      <c r="G1175" s="1353"/>
      <c r="H1175" s="1353"/>
      <c r="I1175" s="1353"/>
      <c r="J1175" s="1353"/>
      <c r="K1175" s="1387"/>
      <c r="L1175" s="1353"/>
      <c r="M1175" s="1353"/>
      <c r="N1175" s="1353"/>
    </row>
  </sheetData>
  <sheetProtection sheet="1" objects="1" scenarios="1" selectLockedCells="1"/>
  <mergeCells count="6">
    <mergeCell ref="C3:K3"/>
    <mergeCell ref="R5:T5"/>
    <mergeCell ref="C5:F5"/>
    <mergeCell ref="G5:H5"/>
    <mergeCell ref="I5:J5"/>
    <mergeCell ref="O5:P5"/>
  </mergeCells>
  <dataValidations count="6">
    <dataValidation type="list" showInputMessage="1" showErrorMessage="1" sqref="F8:F33">
      <formula1>TiposFalta.Codigo</formula1>
    </dataValidation>
    <dataValidation type="list" showInputMessage="1" showErrorMessage="1" sqref="J8:J33 H8:H33">
      <formula1>NaturezaFaltas.Codigo</formula1>
    </dataValidation>
    <dataValidation type="whole" allowBlank="1" showInputMessage="1" showErrorMessage="1" sqref="C8:C33">
      <formula1>999999</formula1>
      <formula2>99999999</formula2>
    </dataValidation>
    <dataValidation type="whole" showInputMessage="1" showErrorMessage="1" sqref="D8:D33">
      <formula1>1</formula1>
      <formula2>9</formula2>
    </dataValidation>
    <dataValidation type="date" showInputMessage="1" showErrorMessage="1" sqref="E8:E33">
      <formula1>25569</formula1>
      <formula2>TODAY()</formula2>
    </dataValidation>
    <dataValidation type="whole" allowBlank="1" showInputMessage="1" showErrorMessage="1" sqref="G8:G34 I8:I33">
      <formula1>1</formula1>
      <formula2>108</formula2>
    </dataValidation>
  </dataValidations>
  <pageMargins left="0.25" right="0.25" top="0.75" bottom="0.75" header="0.3" footer="0.3"/>
  <pageSetup paperSize="9" orientation="landscape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aMenusSisap"/>
  <dimension ref="A1:I132"/>
  <sheetViews>
    <sheetView topLeftCell="A85" workbookViewId="0">
      <selection activeCell="B123" sqref="B123"/>
    </sheetView>
  </sheetViews>
  <sheetFormatPr defaultRowHeight="15" x14ac:dyDescent="0.25"/>
  <cols>
    <col min="1" max="1" width="67.28515625" customWidth="1"/>
    <col min="2" max="2" width="9.42578125" customWidth="1"/>
    <col min="3" max="3" width="16" customWidth="1"/>
    <col min="4" max="4" width="17.5703125" customWidth="1"/>
    <col min="5" max="5" width="10.5703125" customWidth="1"/>
    <col min="6" max="6" width="8.5703125" customWidth="1"/>
    <col min="7" max="7" width="13.7109375" customWidth="1"/>
  </cols>
  <sheetData>
    <row r="1" spans="1:9" x14ac:dyDescent="0.25">
      <c r="A1" t="s">
        <v>9479</v>
      </c>
      <c r="B1" t="s">
        <v>9484</v>
      </c>
      <c r="C1" t="s">
        <v>9477</v>
      </c>
      <c r="D1" t="s">
        <v>9478</v>
      </c>
      <c r="E1" t="s">
        <v>9480</v>
      </c>
      <c r="F1" t="s">
        <v>9481</v>
      </c>
      <c r="G1" t="s">
        <v>9565</v>
      </c>
      <c r="H1" t="s">
        <v>9563</v>
      </c>
      <c r="I1" t="s">
        <v>9564</v>
      </c>
    </row>
    <row r="2" spans="1:9" x14ac:dyDescent="0.25">
      <c r="B2">
        <v>1</v>
      </c>
      <c r="C2" t="s">
        <v>9483</v>
      </c>
      <c r="D2" t="s">
        <v>9482</v>
      </c>
      <c r="I2">
        <f>LEN(ArvoreMenus[[#This Row],[Titulo_Tela]])</f>
        <v>0</v>
      </c>
    </row>
    <row r="3" spans="1:9" x14ac:dyDescent="0.25">
      <c r="A3" t="s">
        <v>9487</v>
      </c>
      <c r="B3">
        <v>2</v>
      </c>
      <c r="C3" t="s">
        <v>9486</v>
      </c>
      <c r="D3" t="s">
        <v>9485</v>
      </c>
      <c r="F3">
        <v>1</v>
      </c>
      <c r="G3">
        <v>8</v>
      </c>
      <c r="H3">
        <v>20</v>
      </c>
      <c r="I3">
        <f>LEN(ArvoreMenus[[#This Row],[Titulo_Tela]])</f>
        <v>18</v>
      </c>
    </row>
    <row r="4" spans="1:9" x14ac:dyDescent="0.25">
      <c r="A4" t="s">
        <v>9487</v>
      </c>
      <c r="B4">
        <v>3</v>
      </c>
      <c r="C4" t="s">
        <v>9489</v>
      </c>
      <c r="D4" t="s">
        <v>9488</v>
      </c>
      <c r="F4">
        <v>2</v>
      </c>
      <c r="I4">
        <f>LEN(ArvoreMenus[[#This Row],[Titulo_Tela]])</f>
        <v>18</v>
      </c>
    </row>
    <row r="5" spans="1:9" x14ac:dyDescent="0.25">
      <c r="A5" t="s">
        <v>9490</v>
      </c>
      <c r="B5">
        <v>4</v>
      </c>
      <c r="C5" t="s">
        <v>9489</v>
      </c>
      <c r="D5" t="s">
        <v>9491</v>
      </c>
      <c r="F5">
        <v>3</v>
      </c>
      <c r="I5">
        <f>LEN(ArvoreMenus[[#This Row],[Titulo_Tela]])</f>
        <v>17</v>
      </c>
    </row>
    <row r="6" spans="1:9" x14ac:dyDescent="0.25">
      <c r="A6" t="s">
        <v>9492</v>
      </c>
      <c r="B6">
        <v>5</v>
      </c>
      <c r="C6" t="s">
        <v>9489</v>
      </c>
      <c r="D6" t="s">
        <v>9493</v>
      </c>
      <c r="F6">
        <v>4</v>
      </c>
      <c r="I6">
        <f>LEN(ArvoreMenus[[#This Row],[Titulo_Tela]])</f>
        <v>26</v>
      </c>
    </row>
    <row r="7" spans="1:9" x14ac:dyDescent="0.25">
      <c r="A7" t="s">
        <v>9494</v>
      </c>
      <c r="B7">
        <v>6</v>
      </c>
      <c r="C7" t="s">
        <v>9496</v>
      </c>
      <c r="D7" t="s">
        <v>9495</v>
      </c>
      <c r="F7">
        <v>5</v>
      </c>
      <c r="I7">
        <f>LEN(ArvoreMenus[[#This Row],[Titulo_Tela]])</f>
        <v>28</v>
      </c>
    </row>
    <row r="8" spans="1:9" x14ac:dyDescent="0.25">
      <c r="A8" t="s">
        <v>9497</v>
      </c>
      <c r="B8">
        <v>7</v>
      </c>
      <c r="C8" t="s">
        <v>9499</v>
      </c>
      <c r="D8" t="s">
        <v>9498</v>
      </c>
      <c r="F8">
        <v>5</v>
      </c>
      <c r="I8">
        <f>LEN(ArvoreMenus[[#This Row],[Titulo_Tela]])</f>
        <v>26</v>
      </c>
    </row>
    <row r="9" spans="1:9" x14ac:dyDescent="0.25">
      <c r="A9" t="s">
        <v>9500</v>
      </c>
      <c r="B9">
        <v>8</v>
      </c>
      <c r="C9" t="s">
        <v>9502</v>
      </c>
      <c r="D9" t="s">
        <v>9501</v>
      </c>
      <c r="F9">
        <v>5</v>
      </c>
      <c r="I9">
        <f>LEN(ArvoreMenus[[#This Row],[Titulo_Tela]])</f>
        <v>38</v>
      </c>
    </row>
    <row r="10" spans="1:9" x14ac:dyDescent="0.25">
      <c r="A10" t="s">
        <v>9503</v>
      </c>
      <c r="B10">
        <v>9</v>
      </c>
      <c r="C10" t="s">
        <v>9505</v>
      </c>
      <c r="D10" t="s">
        <v>9504</v>
      </c>
      <c r="F10">
        <v>5</v>
      </c>
      <c r="I10">
        <f>LEN(ArvoreMenus[[#This Row],[Titulo_Tela]])</f>
        <v>32</v>
      </c>
    </row>
    <row r="11" spans="1:9" x14ac:dyDescent="0.25">
      <c r="A11" t="s">
        <v>9506</v>
      </c>
      <c r="B11">
        <v>10</v>
      </c>
      <c r="C11" t="s">
        <v>9507</v>
      </c>
      <c r="D11" t="s">
        <v>9485</v>
      </c>
      <c r="F11">
        <v>1</v>
      </c>
      <c r="I11">
        <f>LEN(ArvoreMenus[[#This Row],[Titulo_Tela]])</f>
        <v>10</v>
      </c>
    </row>
    <row r="12" spans="1:9" x14ac:dyDescent="0.25">
      <c r="A12" t="s">
        <v>9508</v>
      </c>
      <c r="B12">
        <v>11</v>
      </c>
      <c r="C12" t="s">
        <v>9510</v>
      </c>
      <c r="D12" t="s">
        <v>9509</v>
      </c>
      <c r="F12">
        <v>10</v>
      </c>
      <c r="I12">
        <f>LEN(ArvoreMenus[[#This Row],[Titulo_Tela]])</f>
        <v>18</v>
      </c>
    </row>
    <row r="13" spans="1:9" x14ac:dyDescent="0.25">
      <c r="A13" t="s">
        <v>9508</v>
      </c>
      <c r="B13">
        <v>12</v>
      </c>
      <c r="C13" t="s">
        <v>9512</v>
      </c>
      <c r="D13" t="s">
        <v>9511</v>
      </c>
      <c r="F13">
        <v>10</v>
      </c>
      <c r="I13">
        <f>LEN(ArvoreMenus[[#This Row],[Titulo_Tela]])</f>
        <v>18</v>
      </c>
    </row>
    <row r="14" spans="1:9" x14ac:dyDescent="0.25">
      <c r="A14" t="s">
        <v>9513</v>
      </c>
      <c r="B14">
        <v>13</v>
      </c>
      <c r="C14" t="s">
        <v>9515</v>
      </c>
      <c r="D14" t="s">
        <v>9514</v>
      </c>
      <c r="F14">
        <v>10</v>
      </c>
      <c r="I14">
        <f>LEN(ArvoreMenus[[#This Row],[Titulo_Tela]])</f>
        <v>28</v>
      </c>
    </row>
    <row r="15" spans="1:9" x14ac:dyDescent="0.25">
      <c r="A15" t="s">
        <v>9516</v>
      </c>
      <c r="B15">
        <v>14</v>
      </c>
      <c r="C15" t="s">
        <v>9518</v>
      </c>
      <c r="D15" t="s">
        <v>9517</v>
      </c>
      <c r="F15">
        <v>10</v>
      </c>
      <c r="I15">
        <f>LEN(ArvoreMenus[[#This Row],[Titulo_Tela]])</f>
        <v>22</v>
      </c>
    </row>
    <row r="16" spans="1:9" x14ac:dyDescent="0.25">
      <c r="A16" t="s">
        <v>9519</v>
      </c>
      <c r="B16">
        <v>15</v>
      </c>
      <c r="C16" t="s">
        <v>9521</v>
      </c>
      <c r="D16" t="s">
        <v>9520</v>
      </c>
      <c r="F16">
        <v>10</v>
      </c>
      <c r="I16">
        <f>LEN(ArvoreMenus[[#This Row],[Titulo_Tela]])</f>
        <v>30</v>
      </c>
    </row>
    <row r="17" spans="1:9" x14ac:dyDescent="0.25">
      <c r="A17" t="s">
        <v>9490</v>
      </c>
      <c r="B17">
        <v>16</v>
      </c>
      <c r="C17" t="s">
        <v>9523</v>
      </c>
      <c r="D17" t="s">
        <v>9522</v>
      </c>
      <c r="F17">
        <v>10</v>
      </c>
      <c r="I17">
        <f>LEN(ArvoreMenus[[#This Row],[Titulo_Tela]])</f>
        <v>17</v>
      </c>
    </row>
    <row r="18" spans="1:9" x14ac:dyDescent="0.25">
      <c r="A18" t="s">
        <v>9519</v>
      </c>
      <c r="B18">
        <v>17</v>
      </c>
      <c r="C18" t="s">
        <v>9525</v>
      </c>
      <c r="D18" t="s">
        <v>9524</v>
      </c>
      <c r="F18">
        <v>10</v>
      </c>
      <c r="I18">
        <f>LEN(ArvoreMenus[[#This Row],[Titulo_Tela]])</f>
        <v>30</v>
      </c>
    </row>
    <row r="19" spans="1:9" x14ac:dyDescent="0.25">
      <c r="A19" t="s">
        <v>9764</v>
      </c>
      <c r="B19">
        <v>18</v>
      </c>
      <c r="C19" t="s">
        <v>9765</v>
      </c>
      <c r="D19" t="s">
        <v>9485</v>
      </c>
      <c r="F19">
        <v>1</v>
      </c>
      <c r="I19">
        <f>LEN(ArvoreMenus[[#This Row],[Titulo_Tela]])</f>
        <v>22</v>
      </c>
    </row>
    <row r="20" spans="1:9" x14ac:dyDescent="0.25">
      <c r="A20" t="s">
        <v>9526</v>
      </c>
      <c r="B20">
        <v>19</v>
      </c>
      <c r="C20" t="s">
        <v>9528</v>
      </c>
      <c r="D20" t="s">
        <v>9527</v>
      </c>
      <c r="F20">
        <v>10</v>
      </c>
      <c r="I20">
        <f>LEN(ArvoreMenus[[#This Row],[Titulo_Tela]])</f>
        <v>18</v>
      </c>
    </row>
    <row r="21" spans="1:9" x14ac:dyDescent="0.25">
      <c r="A21" t="s">
        <v>9508</v>
      </c>
      <c r="B21">
        <v>20</v>
      </c>
      <c r="C21" t="s">
        <v>9530</v>
      </c>
      <c r="D21" t="s">
        <v>9529</v>
      </c>
      <c r="F21">
        <v>10</v>
      </c>
      <c r="I21">
        <f>LEN(ArvoreMenus[[#This Row],[Titulo_Tela]])</f>
        <v>18</v>
      </c>
    </row>
    <row r="22" spans="1:9" x14ac:dyDescent="0.25">
      <c r="A22" t="s">
        <v>9531</v>
      </c>
      <c r="B22">
        <v>21</v>
      </c>
      <c r="C22" t="s">
        <v>9533</v>
      </c>
      <c r="D22" t="s">
        <v>9532</v>
      </c>
      <c r="F22">
        <v>79</v>
      </c>
      <c r="I22">
        <f>LEN(ArvoreMenus[[#This Row],[Titulo_Tela]])</f>
        <v>34</v>
      </c>
    </row>
    <row r="23" spans="1:9" x14ac:dyDescent="0.25">
      <c r="A23" t="s">
        <v>9534</v>
      </c>
      <c r="B23">
        <v>22</v>
      </c>
      <c r="C23" t="s">
        <v>9535</v>
      </c>
      <c r="D23" t="s">
        <v>9536</v>
      </c>
      <c r="F23">
        <v>4</v>
      </c>
      <c r="I23">
        <f>LEN(ArvoreMenus[[#This Row],[Titulo_Tela]])</f>
        <v>29</v>
      </c>
    </row>
    <row r="24" spans="1:9" x14ac:dyDescent="0.25">
      <c r="A24" t="s">
        <v>9537</v>
      </c>
      <c r="B24">
        <v>23</v>
      </c>
      <c r="C24" t="s">
        <v>9538</v>
      </c>
      <c r="D24" t="s">
        <v>9539</v>
      </c>
      <c r="F24">
        <v>4</v>
      </c>
      <c r="I24">
        <f>LEN(ArvoreMenus[[#This Row],[Titulo_Tela]])</f>
        <v>28</v>
      </c>
    </row>
    <row r="25" spans="1:9" x14ac:dyDescent="0.25">
      <c r="A25" t="s">
        <v>9540</v>
      </c>
      <c r="B25">
        <v>24</v>
      </c>
      <c r="C25" t="s">
        <v>9541</v>
      </c>
      <c r="D25" t="s">
        <v>9542</v>
      </c>
      <c r="F25">
        <v>4</v>
      </c>
      <c r="I25">
        <f>LEN(ArvoreMenus[[#This Row],[Titulo_Tela]])</f>
        <v>37</v>
      </c>
    </row>
    <row r="26" spans="1:9" x14ac:dyDescent="0.25">
      <c r="A26" t="s">
        <v>9543</v>
      </c>
      <c r="B26">
        <v>25</v>
      </c>
      <c r="C26" t="s">
        <v>9544</v>
      </c>
      <c r="D26" t="s">
        <v>9545</v>
      </c>
      <c r="F26">
        <v>4</v>
      </c>
      <c r="I26">
        <f>LEN(ArvoreMenus[[#This Row],[Titulo_Tela]])</f>
        <v>32</v>
      </c>
    </row>
    <row r="27" spans="1:9" x14ac:dyDescent="0.25">
      <c r="A27" t="s">
        <v>9679</v>
      </c>
      <c r="B27">
        <v>26</v>
      </c>
      <c r="C27" t="s">
        <v>9609</v>
      </c>
      <c r="D27" t="s">
        <v>9610</v>
      </c>
      <c r="F27">
        <v>35</v>
      </c>
      <c r="I27" s="1367">
        <f>LEN(ArvoreMenus[[#This Row],[Titulo_Tela]])</f>
        <v>42</v>
      </c>
    </row>
    <row r="28" spans="1:9" x14ac:dyDescent="0.25">
      <c r="A28" t="s">
        <v>9546</v>
      </c>
      <c r="B28">
        <v>27</v>
      </c>
      <c r="C28" t="s">
        <v>9547</v>
      </c>
      <c r="D28" t="s">
        <v>9548</v>
      </c>
      <c r="F28">
        <v>1</v>
      </c>
      <c r="I28">
        <f>LEN(ArvoreMenus[[#This Row],[Titulo_Tela]])</f>
        <v>24</v>
      </c>
    </row>
    <row r="29" spans="1:9" x14ac:dyDescent="0.25">
      <c r="A29" t="s">
        <v>9546</v>
      </c>
      <c r="B29">
        <v>28</v>
      </c>
      <c r="C29" t="s">
        <v>9521</v>
      </c>
      <c r="D29" t="s">
        <v>9488</v>
      </c>
      <c r="F29">
        <v>27</v>
      </c>
      <c r="I29">
        <f>LEN(ArvoreMenus[[#This Row],[Titulo_Tela]])</f>
        <v>24</v>
      </c>
    </row>
    <row r="30" spans="1:9" x14ac:dyDescent="0.25">
      <c r="A30" t="s">
        <v>9546</v>
      </c>
      <c r="B30">
        <v>29</v>
      </c>
      <c r="C30" t="s">
        <v>9549</v>
      </c>
      <c r="D30" t="s">
        <v>9550</v>
      </c>
      <c r="F30">
        <v>27</v>
      </c>
      <c r="I30">
        <f>LEN(ArvoreMenus[[#This Row],[Titulo_Tela]])</f>
        <v>24</v>
      </c>
    </row>
    <row r="31" spans="1:9" x14ac:dyDescent="0.25">
      <c r="A31" t="s">
        <v>9551</v>
      </c>
      <c r="B31">
        <v>30</v>
      </c>
      <c r="C31" t="s">
        <v>9552</v>
      </c>
      <c r="D31" t="s">
        <v>9553</v>
      </c>
      <c r="F31">
        <v>1</v>
      </c>
      <c r="I31">
        <f>LEN(ArvoreMenus[[#This Row],[Titulo_Tela]])</f>
        <v>27</v>
      </c>
    </row>
    <row r="32" spans="1:9" x14ac:dyDescent="0.25">
      <c r="A32" t="s">
        <v>9554</v>
      </c>
      <c r="B32">
        <v>31</v>
      </c>
      <c r="C32" t="s">
        <v>9555</v>
      </c>
      <c r="D32" t="s">
        <v>9556</v>
      </c>
      <c r="F32">
        <v>27</v>
      </c>
      <c r="I32">
        <f>LEN(ArvoreMenus[[#This Row],[Titulo_Tela]])</f>
        <v>18</v>
      </c>
    </row>
    <row r="33" spans="1:9" x14ac:dyDescent="0.25">
      <c r="A33" t="s">
        <v>9560</v>
      </c>
      <c r="B33">
        <v>32</v>
      </c>
      <c r="C33" t="s">
        <v>9561</v>
      </c>
      <c r="D33" t="s">
        <v>9562</v>
      </c>
      <c r="F33">
        <v>1</v>
      </c>
      <c r="I33">
        <f>LEN(ArvoreMenus[[#This Row],[Titulo_Tela]])</f>
        <v>19</v>
      </c>
    </row>
    <row r="34" spans="1:9" x14ac:dyDescent="0.25">
      <c r="A34" t="s">
        <v>9557</v>
      </c>
      <c r="B34">
        <v>33</v>
      </c>
      <c r="C34" t="s">
        <v>9558</v>
      </c>
      <c r="D34" t="s">
        <v>9559</v>
      </c>
      <c r="F34">
        <v>32</v>
      </c>
      <c r="I34">
        <f>LEN(ArvoreMenus[[#This Row],[Titulo_Tela]])</f>
        <v>23</v>
      </c>
    </row>
    <row r="35" spans="1:9" x14ac:dyDescent="0.25">
      <c r="A35" t="s">
        <v>9566</v>
      </c>
      <c r="B35">
        <v>34</v>
      </c>
      <c r="C35" t="s">
        <v>9567</v>
      </c>
      <c r="D35" t="s">
        <v>9568</v>
      </c>
      <c r="F35">
        <v>3</v>
      </c>
      <c r="I35">
        <f>LEN(ArvoreMenus[[#This Row],[Titulo_Tela]])</f>
        <v>29</v>
      </c>
    </row>
    <row r="36" spans="1:9" x14ac:dyDescent="0.25">
      <c r="A36" t="s">
        <v>9569</v>
      </c>
      <c r="B36">
        <v>35</v>
      </c>
      <c r="C36" t="s">
        <v>9570</v>
      </c>
      <c r="D36" t="s">
        <v>9548</v>
      </c>
      <c r="F36">
        <v>1</v>
      </c>
      <c r="I36">
        <f>LEN(ArvoreMenus[[#This Row],[Titulo_Tela]])</f>
        <v>26</v>
      </c>
    </row>
    <row r="37" spans="1:9" x14ac:dyDescent="0.25">
      <c r="A37" t="s">
        <v>9571</v>
      </c>
      <c r="B37">
        <v>36</v>
      </c>
      <c r="C37" t="s">
        <v>9521</v>
      </c>
      <c r="D37" t="s">
        <v>9488</v>
      </c>
      <c r="F37">
        <v>35</v>
      </c>
      <c r="I37">
        <f>LEN(ArvoreMenus[[#This Row],[Titulo_Tela]])</f>
        <v>31</v>
      </c>
    </row>
    <row r="38" spans="1:9" x14ac:dyDescent="0.25">
      <c r="A38" t="s">
        <v>9657</v>
      </c>
      <c r="B38">
        <v>37</v>
      </c>
      <c r="C38" t="s">
        <v>9572</v>
      </c>
      <c r="D38" t="s">
        <v>9573</v>
      </c>
      <c r="F38">
        <v>36</v>
      </c>
      <c r="I38" s="1367">
        <f>LEN(ArvoreMenus[[#This Row],[Titulo_Tela]])</f>
        <v>47</v>
      </c>
    </row>
    <row r="39" spans="1:9" x14ac:dyDescent="0.25">
      <c r="A39" t="s">
        <v>9574</v>
      </c>
      <c r="B39">
        <v>38</v>
      </c>
      <c r="C39" t="s">
        <v>9575</v>
      </c>
      <c r="D39" t="s">
        <v>9576</v>
      </c>
      <c r="F39">
        <v>1</v>
      </c>
      <c r="I39">
        <f>LEN(ArvoreMenus[[#This Row],[Titulo_Tela]])</f>
        <v>31</v>
      </c>
    </row>
    <row r="40" spans="1:9" x14ac:dyDescent="0.25">
      <c r="A40" t="s">
        <v>9577</v>
      </c>
      <c r="B40">
        <v>39</v>
      </c>
      <c r="C40" t="s">
        <v>9521</v>
      </c>
      <c r="D40" t="s">
        <v>9520</v>
      </c>
      <c r="F40">
        <v>38</v>
      </c>
      <c r="I40">
        <f>LEN(ArvoreMenus[[#This Row],[Titulo_Tela]])</f>
        <v>26</v>
      </c>
    </row>
    <row r="41" spans="1:9" x14ac:dyDescent="0.25">
      <c r="A41" t="s">
        <v>9577</v>
      </c>
      <c r="B41">
        <v>40</v>
      </c>
      <c r="C41" t="s">
        <v>9578</v>
      </c>
      <c r="D41" t="s">
        <v>9579</v>
      </c>
      <c r="F41">
        <v>39</v>
      </c>
      <c r="I41">
        <f>LEN(ArvoreMenus[[#This Row],[Titulo_Tela]])</f>
        <v>26</v>
      </c>
    </row>
    <row r="42" spans="1:9" x14ac:dyDescent="0.25">
      <c r="A42" t="s">
        <v>9577</v>
      </c>
      <c r="B42">
        <v>41</v>
      </c>
      <c r="C42" t="s">
        <v>9580</v>
      </c>
      <c r="D42" t="s">
        <v>9579</v>
      </c>
      <c r="F42">
        <v>39</v>
      </c>
      <c r="I42">
        <f>LEN(ArvoreMenus[[#This Row],[Titulo_Tela]])</f>
        <v>26</v>
      </c>
    </row>
    <row r="43" spans="1:9" x14ac:dyDescent="0.25">
      <c r="A43" t="s">
        <v>9581</v>
      </c>
      <c r="B43">
        <v>42</v>
      </c>
      <c r="C43" t="s">
        <v>9582</v>
      </c>
      <c r="D43" t="s">
        <v>9583</v>
      </c>
      <c r="F43">
        <v>1</v>
      </c>
      <c r="I43">
        <f>LEN(ArvoreMenus[[#This Row],[Titulo_Tela]])</f>
        <v>36</v>
      </c>
    </row>
    <row r="44" spans="1:9" x14ac:dyDescent="0.25">
      <c r="A44" t="s">
        <v>9584</v>
      </c>
      <c r="B44">
        <v>43</v>
      </c>
      <c r="C44" t="s">
        <v>9521</v>
      </c>
      <c r="D44" t="s">
        <v>9520</v>
      </c>
      <c r="F44">
        <v>1</v>
      </c>
      <c r="I44">
        <f>LEN(ArvoreMenus[[#This Row],[Titulo_Tela]])</f>
        <v>48</v>
      </c>
    </row>
    <row r="45" spans="1:9" x14ac:dyDescent="0.25">
      <c r="A45" t="s">
        <v>9584</v>
      </c>
      <c r="B45">
        <v>44</v>
      </c>
      <c r="C45" t="s">
        <v>9585</v>
      </c>
      <c r="D45" t="s">
        <v>9586</v>
      </c>
      <c r="F45">
        <v>42</v>
      </c>
      <c r="I45">
        <f>LEN(ArvoreMenus[[#This Row],[Titulo_Tela]])</f>
        <v>48</v>
      </c>
    </row>
    <row r="46" spans="1:9" x14ac:dyDescent="0.25">
      <c r="A46" t="s">
        <v>9587</v>
      </c>
      <c r="B46">
        <v>45</v>
      </c>
      <c r="C46" t="s">
        <v>9521</v>
      </c>
      <c r="D46" t="s">
        <v>9520</v>
      </c>
      <c r="F46">
        <v>2</v>
      </c>
      <c r="I46">
        <f>LEN(ArvoreMenus[[#This Row],[Titulo_Tela]])</f>
        <v>23</v>
      </c>
    </row>
    <row r="47" spans="1:9" x14ac:dyDescent="0.25">
      <c r="A47" t="s">
        <v>9587</v>
      </c>
      <c r="B47">
        <v>46</v>
      </c>
      <c r="C47" t="s">
        <v>9588</v>
      </c>
      <c r="D47" t="s">
        <v>9589</v>
      </c>
      <c r="F47">
        <v>2</v>
      </c>
      <c r="I47">
        <f>LEN(ArvoreMenus[[#This Row],[Titulo_Tela]])</f>
        <v>23</v>
      </c>
    </row>
    <row r="48" spans="1:9" x14ac:dyDescent="0.25">
      <c r="A48" t="s">
        <v>9526</v>
      </c>
      <c r="B48">
        <v>47</v>
      </c>
      <c r="C48" t="s">
        <v>9521</v>
      </c>
      <c r="D48" t="s">
        <v>9520</v>
      </c>
      <c r="F48">
        <v>10</v>
      </c>
      <c r="I48">
        <f>LEN(ArvoreMenus[[#This Row],[Titulo_Tela]])</f>
        <v>18</v>
      </c>
    </row>
    <row r="49" spans="1:9" x14ac:dyDescent="0.25">
      <c r="A49" t="s">
        <v>9526</v>
      </c>
      <c r="B49">
        <v>48</v>
      </c>
      <c r="C49" t="s">
        <v>9578</v>
      </c>
      <c r="D49" t="s">
        <v>9579</v>
      </c>
      <c r="F49">
        <v>47</v>
      </c>
      <c r="I49">
        <f>LEN(ArvoreMenus[[#This Row],[Titulo_Tela]])</f>
        <v>18</v>
      </c>
    </row>
    <row r="50" spans="1:9" x14ac:dyDescent="0.25">
      <c r="A50" t="s">
        <v>9516</v>
      </c>
      <c r="B50">
        <v>49</v>
      </c>
      <c r="C50" t="s">
        <v>9590</v>
      </c>
      <c r="D50" t="s">
        <v>9591</v>
      </c>
      <c r="I50">
        <f>LEN(ArvoreMenus[[#This Row],[Titulo_Tela]])</f>
        <v>22</v>
      </c>
    </row>
    <row r="51" spans="1:9" x14ac:dyDescent="0.25">
      <c r="A51" t="s">
        <v>9508</v>
      </c>
      <c r="B51">
        <v>50</v>
      </c>
      <c r="C51" t="s">
        <v>9592</v>
      </c>
      <c r="D51" t="s">
        <v>9579</v>
      </c>
      <c r="F51">
        <v>20</v>
      </c>
      <c r="I51">
        <f>LEN(ArvoreMenus[[#This Row],[Titulo_Tela]])</f>
        <v>18</v>
      </c>
    </row>
    <row r="52" spans="1:9" x14ac:dyDescent="0.25">
      <c r="A52" t="s">
        <v>9526</v>
      </c>
      <c r="B52">
        <v>51</v>
      </c>
      <c r="C52" t="s">
        <v>9592</v>
      </c>
      <c r="D52" t="s">
        <v>9579</v>
      </c>
      <c r="F52">
        <v>47</v>
      </c>
      <c r="I52">
        <f>LEN(ArvoreMenus[[#This Row],[Titulo_Tela]])</f>
        <v>18</v>
      </c>
    </row>
    <row r="53" spans="1:9" x14ac:dyDescent="0.25">
      <c r="A53" t="s">
        <v>9508</v>
      </c>
      <c r="B53">
        <v>52</v>
      </c>
      <c r="C53" t="s">
        <v>9578</v>
      </c>
      <c r="D53" t="s">
        <v>9579</v>
      </c>
      <c r="F53">
        <v>20</v>
      </c>
      <c r="I53">
        <f>LEN(ArvoreMenus[[#This Row],[Titulo_Tela]])</f>
        <v>18</v>
      </c>
    </row>
    <row r="54" spans="1:9" x14ac:dyDescent="0.25">
      <c r="A54" t="s">
        <v>9593</v>
      </c>
      <c r="B54">
        <v>53</v>
      </c>
      <c r="C54" t="s">
        <v>9594</v>
      </c>
      <c r="D54" t="s">
        <v>9595</v>
      </c>
      <c r="F54">
        <v>27</v>
      </c>
      <c r="I54">
        <f>LEN(ArvoreMenus[[#This Row],[Titulo_Tela]])</f>
        <v>36</v>
      </c>
    </row>
    <row r="55" spans="1:9" x14ac:dyDescent="0.25">
      <c r="A55" t="s">
        <v>9584</v>
      </c>
      <c r="B55">
        <v>54</v>
      </c>
      <c r="C55" t="s">
        <v>9596</v>
      </c>
      <c r="D55" t="s">
        <v>9529</v>
      </c>
      <c r="F55">
        <v>1</v>
      </c>
      <c r="I55">
        <f>LEN(ArvoreMenus[[#This Row],[Titulo_Tela]])</f>
        <v>48</v>
      </c>
    </row>
    <row r="56" spans="1:9" x14ac:dyDescent="0.25">
      <c r="A56" t="s">
        <v>9600</v>
      </c>
      <c r="B56">
        <v>55</v>
      </c>
      <c r="C56" t="s">
        <v>9601</v>
      </c>
      <c r="D56" t="s">
        <v>9485</v>
      </c>
      <c r="I56">
        <f>LEN(ArvoreMenus[[#This Row],[Titulo_Tela]])</f>
        <v>33</v>
      </c>
    </row>
    <row r="57" spans="1:9" x14ac:dyDescent="0.25">
      <c r="A57" t="s">
        <v>9602</v>
      </c>
      <c r="B57">
        <v>56</v>
      </c>
      <c r="C57" t="s">
        <v>9603</v>
      </c>
      <c r="D57" t="s">
        <v>9604</v>
      </c>
      <c r="F57">
        <v>55</v>
      </c>
      <c r="I57">
        <f>LEN(ArvoreMenus[[#This Row],[Titulo_Tela]])</f>
        <v>31</v>
      </c>
    </row>
    <row r="58" spans="1:9" x14ac:dyDescent="0.25">
      <c r="A58" t="s">
        <v>9605</v>
      </c>
      <c r="B58">
        <v>57</v>
      </c>
      <c r="C58" t="s">
        <v>9606</v>
      </c>
      <c r="D58" t="s">
        <v>9607</v>
      </c>
      <c r="F58">
        <v>55</v>
      </c>
      <c r="I58">
        <f>LEN(ArvoreMenus[[#This Row],[Titulo_Tela]])</f>
        <v>44</v>
      </c>
    </row>
    <row r="59" spans="1:9" x14ac:dyDescent="0.25">
      <c r="B59">
        <v>58</v>
      </c>
      <c r="C59" t="s">
        <v>9521</v>
      </c>
      <c r="D59" t="s">
        <v>9520</v>
      </c>
      <c r="F59">
        <v>38</v>
      </c>
      <c r="I59">
        <f>LEN(ArvoreMenus[[#This Row],[Titulo_Tela]])</f>
        <v>0</v>
      </c>
    </row>
    <row r="60" spans="1:9" x14ac:dyDescent="0.25">
      <c r="A60" t="s">
        <v>9608</v>
      </c>
      <c r="B60">
        <v>59</v>
      </c>
      <c r="C60" t="s">
        <v>9609</v>
      </c>
      <c r="D60" t="s">
        <v>9610</v>
      </c>
      <c r="F60">
        <v>38</v>
      </c>
      <c r="I60">
        <f>LEN(ArvoreMenus[[#This Row],[Titulo_Tela]])</f>
        <v>43</v>
      </c>
    </row>
    <row r="61" spans="1:9" x14ac:dyDescent="0.25">
      <c r="A61" t="s">
        <v>9608</v>
      </c>
      <c r="B61">
        <v>60</v>
      </c>
      <c r="C61" t="s">
        <v>9611</v>
      </c>
      <c r="D61" t="s">
        <v>9579</v>
      </c>
      <c r="F61">
        <v>58</v>
      </c>
      <c r="I61">
        <f>LEN(ArvoreMenus[[#This Row],[Titulo_Tela]])</f>
        <v>43</v>
      </c>
    </row>
    <row r="62" spans="1:9" x14ac:dyDescent="0.25">
      <c r="A62" t="s">
        <v>9569</v>
      </c>
      <c r="B62">
        <v>61</v>
      </c>
      <c r="C62" t="s">
        <v>9521</v>
      </c>
      <c r="D62" t="s">
        <v>9520</v>
      </c>
      <c r="F62">
        <v>35</v>
      </c>
      <c r="I62">
        <f>LEN(ArvoreMenus[[#This Row],[Titulo_Tela]])</f>
        <v>26</v>
      </c>
    </row>
    <row r="63" spans="1:9" x14ac:dyDescent="0.25">
      <c r="A63" t="s">
        <v>9569</v>
      </c>
      <c r="B63">
        <v>62</v>
      </c>
      <c r="C63" t="s">
        <v>9611</v>
      </c>
      <c r="D63" t="s">
        <v>9579</v>
      </c>
      <c r="F63">
        <v>61</v>
      </c>
      <c r="I63">
        <f>LEN(ArvoreMenus[[#This Row],[Titulo_Tela]])</f>
        <v>26</v>
      </c>
    </row>
    <row r="64" spans="1:9" x14ac:dyDescent="0.25">
      <c r="A64" t="s">
        <v>9569</v>
      </c>
      <c r="B64">
        <v>63</v>
      </c>
      <c r="C64" t="s">
        <v>9592</v>
      </c>
      <c r="D64" t="s">
        <v>9579</v>
      </c>
      <c r="F64">
        <v>61</v>
      </c>
      <c r="I64">
        <f>LEN(ArvoreMenus[[#This Row],[Titulo_Tela]])</f>
        <v>26</v>
      </c>
    </row>
    <row r="65" spans="1:9" x14ac:dyDescent="0.25">
      <c r="A65" t="s">
        <v>9617</v>
      </c>
      <c r="B65">
        <v>64</v>
      </c>
      <c r="C65" t="s">
        <v>9521</v>
      </c>
      <c r="D65" t="s">
        <v>9520</v>
      </c>
      <c r="F65">
        <v>35</v>
      </c>
      <c r="I65">
        <f>LEN(ArvoreMenus[[#This Row],[Titulo_Tela]])</f>
        <v>34</v>
      </c>
    </row>
    <row r="66" spans="1:9" x14ac:dyDescent="0.25">
      <c r="A66" t="s">
        <v>9618</v>
      </c>
      <c r="B66">
        <v>65</v>
      </c>
      <c r="C66" t="s">
        <v>9609</v>
      </c>
      <c r="D66" t="s">
        <v>9610</v>
      </c>
      <c r="F66">
        <v>35</v>
      </c>
      <c r="I66">
        <f>LEN(ArvoreMenus[[#This Row],[Titulo_Tela]])</f>
        <v>43</v>
      </c>
    </row>
    <row r="67" spans="1:9" x14ac:dyDescent="0.25">
      <c r="A67" t="s">
        <v>9618</v>
      </c>
      <c r="B67">
        <v>66</v>
      </c>
      <c r="C67" t="s">
        <v>9609</v>
      </c>
      <c r="D67" t="s">
        <v>9529</v>
      </c>
      <c r="F67">
        <v>35</v>
      </c>
      <c r="I67">
        <f>LEN(ArvoreMenus[[#This Row],[Titulo_Tela]])</f>
        <v>43</v>
      </c>
    </row>
    <row r="68" spans="1:9" x14ac:dyDescent="0.25">
      <c r="A68" t="s">
        <v>9618</v>
      </c>
      <c r="B68">
        <v>67</v>
      </c>
      <c r="C68" t="s">
        <v>9592</v>
      </c>
      <c r="D68" t="s">
        <v>9579</v>
      </c>
      <c r="F68">
        <v>64</v>
      </c>
      <c r="I68">
        <f>LEN(ArvoreMenus[[#This Row],[Titulo_Tela]])</f>
        <v>43</v>
      </c>
    </row>
    <row r="69" spans="1:9" x14ac:dyDescent="0.25">
      <c r="A69" t="s">
        <v>9619</v>
      </c>
      <c r="B69">
        <v>68</v>
      </c>
      <c r="C69" t="s">
        <v>9521</v>
      </c>
      <c r="D69" t="s">
        <v>9520</v>
      </c>
      <c r="F69">
        <v>35</v>
      </c>
      <c r="I69">
        <f>LEN(ArvoreMenus[[#This Row],[Titulo_Tela]])</f>
        <v>19</v>
      </c>
    </row>
    <row r="70" spans="1:9" x14ac:dyDescent="0.25">
      <c r="A70" t="s">
        <v>9619</v>
      </c>
      <c r="B70">
        <v>69</v>
      </c>
      <c r="C70" t="s">
        <v>9620</v>
      </c>
      <c r="D70" t="s">
        <v>9621</v>
      </c>
      <c r="F70">
        <v>68</v>
      </c>
      <c r="I70">
        <f>LEN(ArvoreMenus[[#This Row],[Titulo_Tela]])</f>
        <v>19</v>
      </c>
    </row>
    <row r="71" spans="1:9" x14ac:dyDescent="0.25">
      <c r="B71">
        <v>70</v>
      </c>
      <c r="C71" t="s">
        <v>9521</v>
      </c>
      <c r="D71" t="s">
        <v>9488</v>
      </c>
      <c r="F71">
        <v>35</v>
      </c>
      <c r="I71">
        <f>LEN(ArvoreMenus[[#This Row],[Titulo_Tela]])</f>
        <v>0</v>
      </c>
    </row>
    <row r="72" spans="1:9" x14ac:dyDescent="0.25">
      <c r="A72" t="s">
        <v>9622</v>
      </c>
      <c r="B72">
        <v>71</v>
      </c>
      <c r="C72" t="s">
        <v>9623</v>
      </c>
      <c r="D72" t="s">
        <v>9624</v>
      </c>
      <c r="F72">
        <v>35</v>
      </c>
      <c r="I72">
        <f>LEN(ArvoreMenus[[#This Row],[Titulo_Tela]])</f>
        <v>28</v>
      </c>
    </row>
    <row r="73" spans="1:9" x14ac:dyDescent="0.25">
      <c r="A73" t="s">
        <v>9625</v>
      </c>
      <c r="B73">
        <v>72</v>
      </c>
      <c r="C73" t="s">
        <v>9521</v>
      </c>
      <c r="D73" t="s">
        <v>9520</v>
      </c>
      <c r="F73">
        <v>35</v>
      </c>
      <c r="I73">
        <f>LEN(ArvoreMenus[[#This Row],[Titulo_Tela]])</f>
        <v>46</v>
      </c>
    </row>
    <row r="74" spans="1:9" x14ac:dyDescent="0.25">
      <c r="A74" t="s">
        <v>9625</v>
      </c>
      <c r="B74">
        <v>73</v>
      </c>
      <c r="C74" t="s">
        <v>9626</v>
      </c>
      <c r="D74" t="s">
        <v>9627</v>
      </c>
      <c r="F74">
        <v>35</v>
      </c>
      <c r="I74">
        <f>LEN(ArvoreMenus[[#This Row],[Titulo_Tela]])</f>
        <v>46</v>
      </c>
    </row>
    <row r="75" spans="1:9" x14ac:dyDescent="0.25">
      <c r="A75" t="s">
        <v>9628</v>
      </c>
      <c r="B75">
        <v>74</v>
      </c>
      <c r="C75" t="s">
        <v>9629</v>
      </c>
      <c r="D75" t="s">
        <v>9630</v>
      </c>
      <c r="F75">
        <v>27</v>
      </c>
      <c r="I75">
        <f>LEN(ArvoreMenus[[#This Row],[Titulo_Tela]])</f>
        <v>20</v>
      </c>
    </row>
    <row r="76" spans="1:9" x14ac:dyDescent="0.25">
      <c r="A76" t="s">
        <v>9631</v>
      </c>
      <c r="B76">
        <v>75</v>
      </c>
      <c r="C76" t="s">
        <v>9632</v>
      </c>
      <c r="D76" t="s">
        <v>9485</v>
      </c>
      <c r="F76">
        <v>1</v>
      </c>
      <c r="I76">
        <f>LEN(ArvoreMenus[[#This Row],[Titulo_Tela]])</f>
        <v>20</v>
      </c>
    </row>
    <row r="77" spans="1:9" x14ac:dyDescent="0.25">
      <c r="A77" t="s">
        <v>9633</v>
      </c>
      <c r="B77">
        <v>76</v>
      </c>
      <c r="C77" t="s">
        <v>9634</v>
      </c>
      <c r="D77" t="s">
        <v>9635</v>
      </c>
      <c r="F77">
        <v>75</v>
      </c>
      <c r="I77">
        <f>LEN(ArvoreMenus[[#This Row],[Titulo_Tela]])</f>
        <v>32</v>
      </c>
    </row>
    <row r="78" spans="1:9" x14ac:dyDescent="0.25">
      <c r="A78" t="s">
        <v>9636</v>
      </c>
      <c r="B78">
        <v>77</v>
      </c>
      <c r="C78" t="s">
        <v>9521</v>
      </c>
      <c r="D78" t="s">
        <v>9488</v>
      </c>
      <c r="F78">
        <v>2</v>
      </c>
      <c r="I78">
        <f>LEN(ArvoreMenus[[#This Row],[Titulo_Tela]])</f>
        <v>26</v>
      </c>
    </row>
    <row r="79" spans="1:9" x14ac:dyDescent="0.25">
      <c r="A79" t="s">
        <v>9636</v>
      </c>
      <c r="B79">
        <v>78</v>
      </c>
      <c r="C79" t="s">
        <v>9637</v>
      </c>
      <c r="D79" t="s">
        <v>9638</v>
      </c>
      <c r="F79">
        <v>2</v>
      </c>
      <c r="I79">
        <f>LEN(ArvoreMenus[[#This Row],[Titulo_Tela]])</f>
        <v>26</v>
      </c>
    </row>
    <row r="80" spans="1:9" x14ac:dyDescent="0.25">
      <c r="A80" t="s">
        <v>9531</v>
      </c>
      <c r="B80">
        <v>79</v>
      </c>
      <c r="C80" t="s">
        <v>9639</v>
      </c>
      <c r="D80" t="s">
        <v>9640</v>
      </c>
      <c r="F80">
        <v>2</v>
      </c>
      <c r="I80">
        <f>LEN(ArvoreMenus[[#This Row],[Titulo_Tela]])</f>
        <v>34</v>
      </c>
    </row>
    <row r="81" spans="1:9" x14ac:dyDescent="0.25">
      <c r="A81" t="s">
        <v>9531</v>
      </c>
      <c r="B81">
        <v>80</v>
      </c>
      <c r="C81" t="s">
        <v>9521</v>
      </c>
      <c r="D81" t="s">
        <v>9520</v>
      </c>
      <c r="F81">
        <v>79</v>
      </c>
      <c r="I81">
        <f>LEN(ArvoreMenus[[#This Row],[Titulo_Tela]])</f>
        <v>34</v>
      </c>
    </row>
    <row r="82" spans="1:9" x14ac:dyDescent="0.25">
      <c r="A82" t="s">
        <v>9641</v>
      </c>
      <c r="B82">
        <v>81</v>
      </c>
      <c r="C82" t="s">
        <v>9642</v>
      </c>
      <c r="D82" t="s">
        <v>9643</v>
      </c>
      <c r="F82">
        <v>1</v>
      </c>
      <c r="I82">
        <f>LEN(ArvoreMenus[[#This Row],[Titulo_Tela]])</f>
        <v>25</v>
      </c>
    </row>
    <row r="83" spans="1:9" x14ac:dyDescent="0.25">
      <c r="A83" t="s">
        <v>9644</v>
      </c>
      <c r="B83">
        <v>82</v>
      </c>
      <c r="C83" t="s">
        <v>9645</v>
      </c>
      <c r="D83" t="s">
        <v>9646</v>
      </c>
      <c r="F83">
        <v>1</v>
      </c>
      <c r="I83">
        <f>LEN(ArvoreMenus[[#This Row],[Titulo_Tela]])</f>
        <v>32</v>
      </c>
    </row>
    <row r="84" spans="1:9" x14ac:dyDescent="0.25">
      <c r="B84">
        <v>83</v>
      </c>
      <c r="C84" t="s">
        <v>9647</v>
      </c>
      <c r="D84" t="s">
        <v>9648</v>
      </c>
      <c r="F84">
        <v>82</v>
      </c>
      <c r="I84">
        <f>LEN(ArvoreMenus[[#This Row],[Titulo_Tela]])</f>
        <v>0</v>
      </c>
    </row>
    <row r="85" spans="1:9" x14ac:dyDescent="0.25">
      <c r="A85" t="s">
        <v>9649</v>
      </c>
      <c r="B85">
        <v>84</v>
      </c>
      <c r="C85" t="s">
        <v>9650</v>
      </c>
      <c r="D85" t="s">
        <v>9651</v>
      </c>
      <c r="F85">
        <v>82</v>
      </c>
      <c r="I85">
        <f>LEN(ArvoreMenus[[#This Row],[Titulo_Tela]])</f>
        <v>19</v>
      </c>
    </row>
    <row r="86" spans="1:9" x14ac:dyDescent="0.25">
      <c r="A86" t="s">
        <v>9649</v>
      </c>
      <c r="B86">
        <v>85</v>
      </c>
      <c r="C86" t="s">
        <v>9650</v>
      </c>
      <c r="D86" t="s">
        <v>9652</v>
      </c>
      <c r="F86">
        <v>84</v>
      </c>
      <c r="I86">
        <f>LEN(ArvoreMenus[[#This Row],[Titulo_Tela]])</f>
        <v>19</v>
      </c>
    </row>
    <row r="87" spans="1:9" x14ac:dyDescent="0.25">
      <c r="A87" t="s">
        <v>9557</v>
      </c>
      <c r="B87">
        <v>86</v>
      </c>
      <c r="C87" t="s">
        <v>9521</v>
      </c>
      <c r="D87" t="s">
        <v>9488</v>
      </c>
      <c r="F87">
        <v>32</v>
      </c>
      <c r="I87">
        <f>LEN(ArvoreMenus[[#This Row],[Titulo_Tela]])</f>
        <v>23</v>
      </c>
    </row>
    <row r="88" spans="1:9" x14ac:dyDescent="0.25">
      <c r="A88" t="s">
        <v>9656</v>
      </c>
      <c r="B88">
        <v>87</v>
      </c>
      <c r="C88" t="s">
        <v>9653</v>
      </c>
      <c r="D88" t="s">
        <v>9654</v>
      </c>
      <c r="F88">
        <v>33</v>
      </c>
      <c r="I88">
        <f>LEN(ArvoreMenus[[#This Row],[Titulo_Tela]])</f>
        <v>49</v>
      </c>
    </row>
    <row r="89" spans="1:9" x14ac:dyDescent="0.25">
      <c r="A89" t="s">
        <v>9655</v>
      </c>
      <c r="B89">
        <v>88</v>
      </c>
      <c r="C89" t="s">
        <v>9653</v>
      </c>
      <c r="D89" t="s">
        <v>9654</v>
      </c>
      <c r="F89">
        <v>33</v>
      </c>
      <c r="I89" s="1367">
        <f>LEN(ArvoreMenus[[#This Row],[Titulo_Tela]])</f>
        <v>50</v>
      </c>
    </row>
    <row r="90" spans="1:9" x14ac:dyDescent="0.25">
      <c r="A90" t="s">
        <v>9494</v>
      </c>
      <c r="B90">
        <v>89</v>
      </c>
      <c r="C90" t="s">
        <v>9658</v>
      </c>
      <c r="D90" t="s">
        <v>9488</v>
      </c>
      <c r="F90">
        <v>2</v>
      </c>
      <c r="I90" s="1367">
        <f>LEN(ArvoreMenus[[#This Row],[Titulo_Tela]])</f>
        <v>28</v>
      </c>
    </row>
    <row r="91" spans="1:9" x14ac:dyDescent="0.25">
      <c r="A91" t="s">
        <v>9494</v>
      </c>
      <c r="B91">
        <v>90</v>
      </c>
      <c r="C91" t="s">
        <v>9658</v>
      </c>
      <c r="D91" t="s">
        <v>9659</v>
      </c>
      <c r="F91">
        <v>89</v>
      </c>
      <c r="I91" s="1367">
        <f>LEN(ArvoreMenus[[#This Row],[Titulo_Tela]])</f>
        <v>28</v>
      </c>
    </row>
    <row r="92" spans="1:9" x14ac:dyDescent="0.25">
      <c r="A92" t="s">
        <v>9534</v>
      </c>
      <c r="B92">
        <v>91</v>
      </c>
      <c r="C92" t="s">
        <v>9521</v>
      </c>
      <c r="D92" t="s">
        <v>9520</v>
      </c>
      <c r="F92">
        <v>2</v>
      </c>
      <c r="I92" s="1367">
        <f>LEN(ArvoreMenus[[#This Row],[Titulo_Tela]])</f>
        <v>29</v>
      </c>
    </row>
    <row r="93" spans="1:9" x14ac:dyDescent="0.25">
      <c r="A93" t="s">
        <v>9660</v>
      </c>
      <c r="B93">
        <v>92</v>
      </c>
      <c r="C93" t="s">
        <v>9661</v>
      </c>
      <c r="D93" t="s">
        <v>9662</v>
      </c>
      <c r="F93">
        <v>91</v>
      </c>
      <c r="I93" s="1367">
        <f>LEN(ArvoreMenus[[#This Row],[Titulo_Tela]])</f>
        <v>45</v>
      </c>
    </row>
    <row r="94" spans="1:9" x14ac:dyDescent="0.25">
      <c r="A94" t="s">
        <v>9663</v>
      </c>
      <c r="B94">
        <v>93</v>
      </c>
      <c r="C94" t="s">
        <v>9521</v>
      </c>
      <c r="D94" t="s">
        <v>9520</v>
      </c>
      <c r="F94">
        <v>2</v>
      </c>
      <c r="I94" s="1367">
        <f>LEN(ArvoreMenus[[#This Row],[Titulo_Tela]])</f>
        <v>31</v>
      </c>
    </row>
    <row r="95" spans="1:9" x14ac:dyDescent="0.25">
      <c r="A95" t="s">
        <v>9663</v>
      </c>
      <c r="B95">
        <v>94</v>
      </c>
      <c r="D95" t="s">
        <v>9664</v>
      </c>
      <c r="F95">
        <v>2</v>
      </c>
      <c r="I95" s="1367">
        <f>LEN(ArvoreMenus[[#This Row],[Titulo_Tela]])</f>
        <v>31</v>
      </c>
    </row>
    <row r="96" spans="1:9" x14ac:dyDescent="0.25">
      <c r="A96" t="s">
        <v>9665</v>
      </c>
      <c r="B96">
        <v>95</v>
      </c>
      <c r="C96" t="s">
        <v>9521</v>
      </c>
      <c r="D96" t="s">
        <v>9520</v>
      </c>
      <c r="F96">
        <v>1</v>
      </c>
      <c r="I96" s="1367">
        <f>LEN(ArvoreMenus[[#This Row],[Titulo_Tela]])</f>
        <v>44</v>
      </c>
    </row>
    <row r="97" spans="1:9" x14ac:dyDescent="0.25">
      <c r="A97" t="s">
        <v>9665</v>
      </c>
      <c r="B97">
        <v>96</v>
      </c>
      <c r="C97" t="s">
        <v>9585</v>
      </c>
      <c r="D97" t="s">
        <v>9586</v>
      </c>
      <c r="F97">
        <v>42</v>
      </c>
      <c r="I97" s="1367">
        <f>LEN(ArvoreMenus[[#This Row],[Titulo_Tela]])</f>
        <v>44</v>
      </c>
    </row>
    <row r="98" spans="1:9" x14ac:dyDescent="0.25">
      <c r="A98" t="s">
        <v>9665</v>
      </c>
      <c r="B98">
        <v>97</v>
      </c>
      <c r="C98" t="s">
        <v>9596</v>
      </c>
      <c r="D98" t="s">
        <v>9529</v>
      </c>
      <c r="F98">
        <v>1</v>
      </c>
      <c r="I98" s="1367">
        <f>LEN(ArvoreMenus[[#This Row],[Titulo_Tela]])</f>
        <v>44</v>
      </c>
    </row>
    <row r="99" spans="1:9" x14ac:dyDescent="0.25">
      <c r="A99" t="s">
        <v>9666</v>
      </c>
      <c r="B99">
        <v>98</v>
      </c>
      <c r="C99" t="s">
        <v>9667</v>
      </c>
      <c r="D99" t="s">
        <v>9548</v>
      </c>
      <c r="F99">
        <v>1</v>
      </c>
      <c r="I99" s="1367">
        <f>LEN(ArvoreMenus[[#This Row],[Titulo_Tela]])</f>
        <v>17</v>
      </c>
    </row>
    <row r="100" spans="1:9" x14ac:dyDescent="0.25">
      <c r="A100" t="s">
        <v>9668</v>
      </c>
      <c r="B100">
        <v>99</v>
      </c>
      <c r="C100" t="s">
        <v>9669</v>
      </c>
      <c r="D100" t="s">
        <v>9670</v>
      </c>
      <c r="F100">
        <v>98</v>
      </c>
      <c r="I100" s="1367">
        <f>LEN(ArvoreMenus[[#This Row],[Titulo_Tela]])</f>
        <v>27</v>
      </c>
    </row>
    <row r="101" spans="1:9" x14ac:dyDescent="0.25">
      <c r="A101" t="s">
        <v>9671</v>
      </c>
      <c r="B101">
        <v>100</v>
      </c>
      <c r="C101" t="s">
        <v>9672</v>
      </c>
      <c r="D101" t="s">
        <v>9673</v>
      </c>
      <c r="F101">
        <v>99</v>
      </c>
      <c r="I101" s="1367">
        <f>LEN(ArvoreMenus[[#This Row],[Titulo_Tela]])</f>
        <v>30</v>
      </c>
    </row>
    <row r="102" spans="1:9" x14ac:dyDescent="0.25">
      <c r="A102" t="s">
        <v>9674</v>
      </c>
      <c r="B102">
        <v>101</v>
      </c>
      <c r="C102" t="s">
        <v>9675</v>
      </c>
      <c r="D102" t="s">
        <v>9485</v>
      </c>
      <c r="F102">
        <v>2</v>
      </c>
      <c r="I102" s="1367">
        <f>LEN(ArvoreMenus[[#This Row],[Titulo_Tela]])</f>
        <v>18</v>
      </c>
    </row>
    <row r="103" spans="1:9" x14ac:dyDescent="0.25">
      <c r="A103" t="s">
        <v>9676</v>
      </c>
      <c r="B103">
        <v>102</v>
      </c>
      <c r="C103" t="s">
        <v>9677</v>
      </c>
      <c r="D103" t="s">
        <v>9678</v>
      </c>
      <c r="F103">
        <v>101</v>
      </c>
      <c r="I103" s="1367">
        <f>LEN(ArvoreMenus[[#This Row],[Titulo_Tela]])</f>
        <v>46</v>
      </c>
    </row>
    <row r="104" spans="1:9" x14ac:dyDescent="0.25">
      <c r="A104" t="s">
        <v>9679</v>
      </c>
      <c r="B104">
        <v>103</v>
      </c>
      <c r="C104" t="s">
        <v>9611</v>
      </c>
      <c r="D104" t="s">
        <v>9579</v>
      </c>
      <c r="F104">
        <v>64</v>
      </c>
      <c r="I104" s="1367">
        <f>LEN(ArvoreMenus[[#This Row],[Titulo_Tela]])</f>
        <v>42</v>
      </c>
    </row>
    <row r="105" spans="1:9" x14ac:dyDescent="0.25">
      <c r="A105" t="s">
        <v>9679</v>
      </c>
      <c r="B105">
        <v>104</v>
      </c>
      <c r="C105" t="s">
        <v>9592</v>
      </c>
      <c r="D105" t="s">
        <v>9579</v>
      </c>
      <c r="F105">
        <v>64</v>
      </c>
      <c r="I105" s="1367">
        <f>LEN(ArvoreMenus[[#This Row],[Titulo_Tela]])</f>
        <v>42</v>
      </c>
    </row>
    <row r="106" spans="1:9" x14ac:dyDescent="0.25">
      <c r="A106" t="s">
        <v>9680</v>
      </c>
      <c r="B106">
        <v>105</v>
      </c>
      <c r="C106" t="s">
        <v>9681</v>
      </c>
      <c r="D106" t="s">
        <v>9682</v>
      </c>
      <c r="F106">
        <v>109</v>
      </c>
      <c r="I106" s="1367">
        <f>LEN(ArvoreMenus[[#This Row],[Titulo_Tela]])</f>
        <v>29</v>
      </c>
    </row>
    <row r="107" spans="1:9" x14ac:dyDescent="0.25">
      <c r="A107" t="s">
        <v>9683</v>
      </c>
      <c r="B107">
        <v>106</v>
      </c>
      <c r="C107" t="s">
        <v>9521</v>
      </c>
      <c r="D107" t="s">
        <v>9520</v>
      </c>
      <c r="F107">
        <v>105</v>
      </c>
      <c r="I107" s="1367">
        <f>LEN(ArvoreMenus[[#This Row],[Titulo_Tela]])</f>
        <v>36</v>
      </c>
    </row>
    <row r="108" spans="1:9" x14ac:dyDescent="0.25">
      <c r="A108" t="s">
        <v>9490</v>
      </c>
      <c r="B108">
        <v>107</v>
      </c>
      <c r="C108" t="s">
        <v>9684</v>
      </c>
      <c r="D108" t="s">
        <v>9685</v>
      </c>
      <c r="F108">
        <v>106</v>
      </c>
      <c r="I108" s="1367">
        <f>LEN(ArvoreMenus[[#This Row],[Titulo_Tela]])</f>
        <v>17</v>
      </c>
    </row>
    <row r="109" spans="1:9" x14ac:dyDescent="0.25">
      <c r="A109" t="s">
        <v>9566</v>
      </c>
      <c r="B109">
        <v>108</v>
      </c>
      <c r="C109" t="s">
        <v>9686</v>
      </c>
      <c r="D109" t="s">
        <v>9687</v>
      </c>
      <c r="F109">
        <v>105</v>
      </c>
      <c r="I109" s="1367">
        <f>LEN(ArvoreMenus[[#This Row],[Titulo_Tela]])</f>
        <v>29</v>
      </c>
    </row>
    <row r="110" spans="1:9" x14ac:dyDescent="0.25">
      <c r="A110" t="s">
        <v>9680</v>
      </c>
      <c r="B110">
        <v>109</v>
      </c>
      <c r="C110" t="s">
        <v>9688</v>
      </c>
      <c r="D110" t="s">
        <v>9689</v>
      </c>
      <c r="F110">
        <v>1</v>
      </c>
      <c r="I110" s="1367">
        <f>LEN(ArvoreMenus[[#This Row],[Titulo_Tela]])</f>
        <v>29</v>
      </c>
    </row>
    <row r="111" spans="1:9" x14ac:dyDescent="0.25">
      <c r="A111" t="s">
        <v>9690</v>
      </c>
      <c r="B111">
        <v>110</v>
      </c>
      <c r="C111" t="s">
        <v>9691</v>
      </c>
      <c r="D111" t="s">
        <v>9692</v>
      </c>
      <c r="F111">
        <v>109</v>
      </c>
      <c r="I111" s="1367">
        <f>LEN(ArvoreMenus[[#This Row],[Titulo_Tela]])</f>
        <v>21</v>
      </c>
    </row>
    <row r="112" spans="1:9" x14ac:dyDescent="0.25">
      <c r="A112" t="s">
        <v>9693</v>
      </c>
      <c r="B112">
        <v>111</v>
      </c>
      <c r="C112" t="s">
        <v>9521</v>
      </c>
      <c r="D112" t="s">
        <v>9520</v>
      </c>
      <c r="F112">
        <v>110</v>
      </c>
      <c r="I112" s="1367">
        <f>LEN(ArvoreMenus[[#This Row],[Titulo_Tela]])</f>
        <v>31</v>
      </c>
    </row>
    <row r="113" spans="1:9" x14ac:dyDescent="0.25">
      <c r="A113" t="s">
        <v>9566</v>
      </c>
      <c r="B113">
        <v>112</v>
      </c>
      <c r="C113" t="s">
        <v>9694</v>
      </c>
      <c r="D113" t="s">
        <v>9687</v>
      </c>
      <c r="F113">
        <v>110</v>
      </c>
      <c r="I113" s="1367">
        <f>LEN(ArvoreMenus[[#This Row],[Titulo_Tela]])</f>
        <v>29</v>
      </c>
    </row>
    <row r="114" spans="1:9" x14ac:dyDescent="0.25">
      <c r="B114">
        <v>113</v>
      </c>
      <c r="C114" t="s">
        <v>9695</v>
      </c>
      <c r="D114" t="s">
        <v>9529</v>
      </c>
      <c r="F114">
        <v>111</v>
      </c>
      <c r="I114" s="1367">
        <f>LEN(ArvoreMenus[[#This Row],[Titulo_Tela]])</f>
        <v>0</v>
      </c>
    </row>
    <row r="115" spans="1:9" x14ac:dyDescent="0.25">
      <c r="A115" t="s">
        <v>9490</v>
      </c>
      <c r="B115">
        <v>114</v>
      </c>
      <c r="C115" t="s">
        <v>9695</v>
      </c>
      <c r="D115" t="s">
        <v>9696</v>
      </c>
      <c r="F115">
        <v>110</v>
      </c>
      <c r="I115" s="1367">
        <f>LEN(ArvoreMenus[[#This Row],[Titulo_Tela]])</f>
        <v>17</v>
      </c>
    </row>
    <row r="116" spans="1:9" x14ac:dyDescent="0.25">
      <c r="A116" t="s">
        <v>9697</v>
      </c>
      <c r="B116">
        <v>115</v>
      </c>
      <c r="C116" t="s">
        <v>9698</v>
      </c>
      <c r="D116" t="s">
        <v>9692</v>
      </c>
      <c r="F116">
        <v>109</v>
      </c>
      <c r="I116" s="1367">
        <f>LEN(ArvoreMenus[[#This Row],[Titulo_Tela]])</f>
        <v>15</v>
      </c>
    </row>
    <row r="117" spans="1:9" x14ac:dyDescent="0.25">
      <c r="A117" t="s">
        <v>9699</v>
      </c>
      <c r="B117">
        <v>116</v>
      </c>
      <c r="C117" t="s">
        <v>9521</v>
      </c>
      <c r="D117" t="s">
        <v>9520</v>
      </c>
      <c r="F117">
        <v>115</v>
      </c>
      <c r="I117" s="1367">
        <f>LEN(ArvoreMenus[[#This Row],[Titulo_Tela]])</f>
        <v>25</v>
      </c>
    </row>
    <row r="118" spans="1:9" x14ac:dyDescent="0.25">
      <c r="A118" t="s">
        <v>9490</v>
      </c>
      <c r="B118">
        <v>117</v>
      </c>
      <c r="C118" t="s">
        <v>9700</v>
      </c>
      <c r="D118" t="s">
        <v>9701</v>
      </c>
      <c r="F118">
        <v>115</v>
      </c>
      <c r="I118" s="1367">
        <f>LEN(ArvoreMenus[[#This Row],[Titulo_Tela]])</f>
        <v>17</v>
      </c>
    </row>
    <row r="119" spans="1:9" x14ac:dyDescent="0.25">
      <c r="A119" t="s">
        <v>9566</v>
      </c>
      <c r="B119">
        <v>118</v>
      </c>
      <c r="C119" t="s">
        <v>9702</v>
      </c>
      <c r="D119" t="s">
        <v>9687</v>
      </c>
      <c r="F119">
        <v>115</v>
      </c>
      <c r="I119" s="1367">
        <f>LEN(ArvoreMenus[[#This Row],[Titulo_Tela]])</f>
        <v>29</v>
      </c>
    </row>
    <row r="120" spans="1:9" x14ac:dyDescent="0.25">
      <c r="A120" t="s">
        <v>9577</v>
      </c>
      <c r="B120">
        <v>119</v>
      </c>
      <c r="C120" t="s">
        <v>9592</v>
      </c>
      <c r="D120" t="s">
        <v>9579</v>
      </c>
      <c r="F120">
        <v>39</v>
      </c>
      <c r="I120" s="1367">
        <f>LEN(ArvoreMenus[[#This Row],[Titulo_Tela]])</f>
        <v>26</v>
      </c>
    </row>
    <row r="121" spans="1:9" x14ac:dyDescent="0.25">
      <c r="A121" t="s">
        <v>9566</v>
      </c>
      <c r="B121">
        <v>120</v>
      </c>
      <c r="C121" t="s">
        <v>9596</v>
      </c>
      <c r="D121" t="s">
        <v>9687</v>
      </c>
      <c r="F121">
        <v>1</v>
      </c>
      <c r="I121" s="1367">
        <f>LEN(ArvoreMenus[[#This Row],[Titulo_Tela]])</f>
        <v>29</v>
      </c>
    </row>
    <row r="122" spans="1:9" x14ac:dyDescent="0.25">
      <c r="A122" t="s">
        <v>9710</v>
      </c>
      <c r="B122">
        <v>121</v>
      </c>
      <c r="C122" t="s">
        <v>9711</v>
      </c>
      <c r="D122" t="s">
        <v>9712</v>
      </c>
      <c r="F122">
        <v>1</v>
      </c>
      <c r="I122" s="1367">
        <f>LEN(ArvoreMenus[[#This Row],[Titulo_Tela]])</f>
        <v>31</v>
      </c>
    </row>
    <row r="123" spans="1:9" x14ac:dyDescent="0.25">
      <c r="A123" t="s">
        <v>9713</v>
      </c>
      <c r="B123">
        <v>122</v>
      </c>
      <c r="C123" t="s">
        <v>9521</v>
      </c>
      <c r="D123" t="s">
        <v>9520</v>
      </c>
      <c r="F123">
        <v>121</v>
      </c>
      <c r="I123" s="1367">
        <f>LEN(ArvoreMenus[[#This Row],[Titulo_Tela]])</f>
        <v>27</v>
      </c>
    </row>
    <row r="124" spans="1:9" x14ac:dyDescent="0.25">
      <c r="A124" t="s">
        <v>9566</v>
      </c>
      <c r="B124">
        <v>123</v>
      </c>
      <c r="C124" t="s">
        <v>9711</v>
      </c>
      <c r="D124" t="s">
        <v>9687</v>
      </c>
      <c r="F124">
        <v>121</v>
      </c>
      <c r="I124" s="1367">
        <f>LEN(ArvoreMenus[[#This Row],[Titulo_Tela]])</f>
        <v>29</v>
      </c>
    </row>
    <row r="125" spans="1:9" x14ac:dyDescent="0.25">
      <c r="A125" t="s">
        <v>9713</v>
      </c>
      <c r="B125">
        <v>124</v>
      </c>
      <c r="C125" t="s">
        <v>9714</v>
      </c>
      <c r="D125" t="s">
        <v>9715</v>
      </c>
      <c r="F125">
        <v>121</v>
      </c>
      <c r="I125" s="1367">
        <f>LEN(ArvoreMenus[[#This Row],[Titulo_Tela]])</f>
        <v>27</v>
      </c>
    </row>
    <row r="126" spans="1:9" x14ac:dyDescent="0.25">
      <c r="A126" t="s">
        <v>9713</v>
      </c>
      <c r="B126">
        <v>125</v>
      </c>
      <c r="C126" t="s">
        <v>9716</v>
      </c>
      <c r="D126" t="s">
        <v>9717</v>
      </c>
      <c r="F126">
        <v>121</v>
      </c>
      <c r="I126" s="1367">
        <f>LEN(ArvoreMenus[[#This Row],[Titulo_Tela]])</f>
        <v>27</v>
      </c>
    </row>
    <row r="127" spans="1:9" x14ac:dyDescent="0.25">
      <c r="A127" t="s">
        <v>9713</v>
      </c>
      <c r="B127">
        <v>126</v>
      </c>
      <c r="C127" t="s">
        <v>9718</v>
      </c>
      <c r="D127" t="s">
        <v>9719</v>
      </c>
      <c r="F127">
        <v>121</v>
      </c>
      <c r="I127" s="1367">
        <f>LEN(ArvoreMenus[[#This Row],[Titulo_Tela]])</f>
        <v>27</v>
      </c>
    </row>
    <row r="128" spans="1:9" x14ac:dyDescent="0.25">
      <c r="A128" t="s">
        <v>9766</v>
      </c>
      <c r="B128">
        <v>127</v>
      </c>
      <c r="C128" t="s">
        <v>9767</v>
      </c>
      <c r="D128" t="s">
        <v>9712</v>
      </c>
      <c r="F128">
        <v>1</v>
      </c>
      <c r="I128" s="1367">
        <f>LEN(ArvoreMenus[[#This Row],[Titulo_Tela]])</f>
        <v>19</v>
      </c>
    </row>
    <row r="129" spans="1:9" x14ac:dyDescent="0.25">
      <c r="A129" t="s">
        <v>9768</v>
      </c>
      <c r="B129">
        <v>128</v>
      </c>
      <c r="C129" t="s">
        <v>9521</v>
      </c>
      <c r="D129" t="s">
        <v>9520</v>
      </c>
      <c r="F129">
        <v>127</v>
      </c>
      <c r="I129" s="1367">
        <f>LEN(ArvoreMenus[[#This Row],[Titulo_Tela]])</f>
        <v>40</v>
      </c>
    </row>
    <row r="130" spans="1:9" x14ac:dyDescent="0.25">
      <c r="A130" t="s">
        <v>9768</v>
      </c>
      <c r="B130">
        <v>129</v>
      </c>
      <c r="C130" t="s">
        <v>9714</v>
      </c>
      <c r="D130" t="s">
        <v>9715</v>
      </c>
      <c r="F130">
        <v>127</v>
      </c>
      <c r="I130" s="1367">
        <f>LEN(ArvoreMenus[[#This Row],[Titulo_Tela]])</f>
        <v>40</v>
      </c>
    </row>
    <row r="131" spans="1:9" x14ac:dyDescent="0.25">
      <c r="A131" t="s">
        <v>9768</v>
      </c>
      <c r="B131">
        <v>130</v>
      </c>
      <c r="C131" t="s">
        <v>9716</v>
      </c>
      <c r="D131" t="s">
        <v>9717</v>
      </c>
      <c r="F131">
        <v>127</v>
      </c>
      <c r="I131" s="1367">
        <f>LEN(ArvoreMenus[[#This Row],[Titulo_Tela]])</f>
        <v>40</v>
      </c>
    </row>
    <row r="132" spans="1:9" x14ac:dyDescent="0.25">
      <c r="A132" t="s">
        <v>9566</v>
      </c>
      <c r="B132">
        <v>131</v>
      </c>
      <c r="C132" t="s">
        <v>9533</v>
      </c>
      <c r="D132" t="s">
        <v>9687</v>
      </c>
      <c r="F132">
        <v>79</v>
      </c>
      <c r="I132" s="1367">
        <f>LEN(ArvoreMenus[[#This Row],[Titulo_Tela]])</f>
        <v>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>
    <pageSetUpPr fitToPage="1"/>
  </sheetPr>
  <dimension ref="B1:AP109"/>
  <sheetViews>
    <sheetView showGridLines="0" topLeftCell="B1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47" width="2.7109375" style="1" customWidth="1"/>
    <col min="48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  <c r="X3" s="634"/>
      <c r="Y3" s="635"/>
      <c r="Z3" s="635"/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1722"/>
    </row>
    <row r="4" spans="2:42" ht="15.95" customHeight="1" thickBot="1" x14ac:dyDescent="0.45">
      <c r="B4" s="628"/>
      <c r="C4" s="195" t="str">
        <f>RIGHT(Q8,4)</f>
        <v>2014</v>
      </c>
      <c r="D4" s="163"/>
      <c r="E4" s="2673" t="s">
        <v>8161</v>
      </c>
      <c r="F4" s="2673"/>
      <c r="G4" s="2673"/>
      <c r="H4" s="2673"/>
      <c r="I4" s="2673"/>
      <c r="J4" s="2673"/>
      <c r="K4" s="2673"/>
      <c r="L4" s="2673"/>
      <c r="M4" s="2673"/>
      <c r="N4" s="2675" t="s">
        <v>8162</v>
      </c>
      <c r="O4" s="2675"/>
      <c r="P4" s="2675"/>
      <c r="Q4" s="2674">
        <v>2017</v>
      </c>
      <c r="R4" s="2674"/>
      <c r="S4" s="1728" t="str">
        <f>LEFT(Q8,4)</f>
        <v>0310</v>
      </c>
      <c r="T4" s="1728"/>
      <c r="U4" s="196" t="str">
        <f>RIGHT(S4,2)</f>
        <v>10</v>
      </c>
      <c r="V4" s="630"/>
      <c r="X4" s="44"/>
      <c r="Y4" s="1732" t="s">
        <v>347</v>
      </c>
      <c r="Z4" s="1733"/>
      <c r="AA4" s="1733"/>
      <c r="AB4" s="1733" t="s">
        <v>348</v>
      </c>
      <c r="AC4" s="1733"/>
      <c r="AD4" s="1733"/>
      <c r="AE4" s="1733"/>
      <c r="AF4" s="1733"/>
      <c r="AG4" s="1736" t="s">
        <v>349</v>
      </c>
      <c r="AH4" s="1737"/>
      <c r="AI4" s="1737"/>
      <c r="AJ4" s="1737"/>
      <c r="AK4" s="1738"/>
      <c r="AL4" s="1723"/>
      <c r="AM4" s="42"/>
      <c r="AN4" s="42"/>
      <c r="AO4" s="42"/>
      <c r="AP4" s="42"/>
    </row>
    <row r="5" spans="2:42" ht="3" customHeight="1" thickBot="1" x14ac:dyDescent="0.45">
      <c r="B5" s="629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631"/>
      <c r="X5" s="44"/>
      <c r="Y5" s="2776"/>
      <c r="Z5" s="2777"/>
      <c r="AA5" s="2777"/>
      <c r="AB5" s="2777"/>
      <c r="AC5" s="2777"/>
      <c r="AD5" s="2777"/>
      <c r="AE5" s="2777"/>
      <c r="AF5" s="2777"/>
      <c r="AG5" s="1739"/>
      <c r="AH5" s="1740"/>
      <c r="AI5" s="1740"/>
      <c r="AJ5" s="1740"/>
      <c r="AK5" s="1741"/>
      <c r="AL5" s="1723"/>
      <c r="AM5" s="42"/>
      <c r="AN5" s="42"/>
      <c r="AO5" s="42"/>
      <c r="AP5" s="42"/>
    </row>
    <row r="6" spans="2:42" ht="15.95" customHeight="1" x14ac:dyDescent="0.4">
      <c r="B6" s="629"/>
      <c r="C6" s="1752" t="s">
        <v>3</v>
      </c>
      <c r="D6" s="1753"/>
      <c r="E6" s="1753"/>
      <c r="F6" s="1753"/>
      <c r="G6" s="2788" t="s">
        <v>8160</v>
      </c>
      <c r="H6" s="2788"/>
      <c r="I6" s="2788"/>
      <c r="J6" s="2788"/>
      <c r="K6" s="2788"/>
      <c r="L6" s="2788"/>
      <c r="M6" s="2788"/>
      <c r="N6" s="2788"/>
      <c r="O6" s="2788"/>
      <c r="P6" s="2788"/>
      <c r="Q6" s="2788"/>
      <c r="R6" s="1755" t="s">
        <v>1</v>
      </c>
      <c r="S6" s="1755"/>
      <c r="T6" s="2789">
        <v>13740287</v>
      </c>
      <c r="U6" s="2790"/>
      <c r="V6" s="631"/>
      <c r="X6" s="44"/>
      <c r="Y6" s="1758" t="str">
        <f>Geral!C21</f>
        <v>PEBD1A</v>
      </c>
      <c r="Z6" s="1759"/>
      <c r="AA6" s="1759"/>
      <c r="AB6" s="1675">
        <f>Geral!E21</f>
        <v>1982.54</v>
      </c>
      <c r="AC6" s="1675"/>
      <c r="AD6" s="1675"/>
      <c r="AE6" s="1675"/>
      <c r="AF6" s="1675"/>
      <c r="AG6" s="2778">
        <v>1</v>
      </c>
      <c r="AH6" s="2779"/>
      <c r="AI6" s="2779"/>
      <c r="AJ6" s="2779"/>
      <c r="AK6" s="2780"/>
      <c r="AL6" s="1723"/>
      <c r="AM6" s="43"/>
      <c r="AN6" s="43"/>
      <c r="AO6" s="43"/>
      <c r="AP6" s="43"/>
    </row>
    <row r="7" spans="2:42" ht="26.1" customHeight="1" thickBot="1" x14ac:dyDescent="0.45">
      <c r="B7" s="629"/>
      <c r="C7" s="2781" t="s">
        <v>361</v>
      </c>
      <c r="D7" s="2782"/>
      <c r="E7" s="2782"/>
      <c r="F7" s="2782"/>
      <c r="G7" s="636">
        <v>1</v>
      </c>
      <c r="H7" s="184"/>
      <c r="I7" s="184"/>
      <c r="J7" s="184"/>
      <c r="K7" s="184"/>
      <c r="L7" s="184"/>
      <c r="M7" s="184"/>
      <c r="N7" s="184"/>
      <c r="O7" s="184"/>
      <c r="P7" s="177"/>
      <c r="Q7" s="182"/>
      <c r="R7" s="182"/>
      <c r="S7" s="178"/>
      <c r="T7" s="182"/>
      <c r="U7" s="183"/>
      <c r="V7" s="631"/>
      <c r="X7" s="44"/>
      <c r="Y7" s="2769" t="str">
        <f>Geral!G21</f>
        <v>PEBS1A</v>
      </c>
      <c r="Z7" s="2770"/>
      <c r="AA7" s="2771"/>
      <c r="AB7" s="2772">
        <f>Geral!I21</f>
        <v>1883.39</v>
      </c>
      <c r="AC7" s="2773"/>
      <c r="AD7" s="2773"/>
      <c r="AE7" s="2773"/>
      <c r="AF7" s="2774"/>
      <c r="AG7" s="2761"/>
      <c r="AH7" s="2762"/>
      <c r="AI7" s="2762"/>
      <c r="AJ7" s="2762"/>
      <c r="AK7" s="2763"/>
      <c r="AL7" s="1723"/>
      <c r="AM7" s="43"/>
      <c r="AN7" s="43"/>
      <c r="AO7" s="43"/>
      <c r="AP7" s="43"/>
    </row>
    <row r="8" spans="2:42" ht="3" customHeight="1" thickBot="1" x14ac:dyDescent="0.45">
      <c r="B8" s="629"/>
      <c r="C8" s="2783"/>
      <c r="D8" s="2784"/>
      <c r="E8" s="2784"/>
      <c r="F8" s="2784"/>
      <c r="G8" s="179"/>
      <c r="H8" s="2785" t="str">
        <f>IF(AG6=1,Y6,IF(AG6=2,Y7,IF(AG6=3,J13,IF(AG6=4,Y11,IF(AG6=5,Y12,IF(AG6=6,Y13,IF(AG6=7,Y9,IF(AG6=8,J13))))))))</f>
        <v>PEBD1A</v>
      </c>
      <c r="I8" s="2785"/>
      <c r="J8" s="2785"/>
      <c r="K8" s="2785"/>
      <c r="L8" s="2785"/>
      <c r="M8" s="2785"/>
      <c r="N8" s="2785"/>
      <c r="O8" s="2785"/>
      <c r="P8" s="180" t="s">
        <v>406</v>
      </c>
      <c r="Q8" s="2786" t="str">
        <f>IF(Q11&lt;100000,"0"&amp;LEFT(Q11,3)&amp;20&amp;RIGHT(Q11,2),LEFT(Q11,4)&amp;20&amp;RIGHT(Q11,2))</f>
        <v>03102014</v>
      </c>
      <c r="R8" s="2786"/>
      <c r="S8" s="181" t="s">
        <v>405</v>
      </c>
      <c r="T8" s="2786" t="str">
        <f>IF(Q12&lt;100000,"0"&amp;LEFT(Q12,3)&amp;20&amp;RIGHT(Q12,2),LEFT(Q12,4)&amp;20&amp;RIGHT(Q12,2))</f>
        <v>24102014</v>
      </c>
      <c r="U8" s="2787"/>
      <c r="V8" s="631"/>
      <c r="X8" s="44"/>
      <c r="Y8" s="1709"/>
      <c r="Z8" s="1710"/>
      <c r="AA8" s="1711"/>
      <c r="AB8" s="1715"/>
      <c r="AC8" s="1716"/>
      <c r="AD8" s="1716"/>
      <c r="AE8" s="1716"/>
      <c r="AF8" s="1717"/>
      <c r="AG8" s="1684"/>
      <c r="AH8" s="1685"/>
      <c r="AI8" s="1685"/>
      <c r="AJ8" s="1685"/>
      <c r="AK8" s="1686"/>
      <c r="AL8" s="1723"/>
      <c r="AM8" s="43"/>
      <c r="AN8" s="43"/>
      <c r="AO8" s="43"/>
      <c r="AP8" s="43"/>
    </row>
    <row r="9" spans="2:42" ht="15.95" customHeight="1" thickBot="1" x14ac:dyDescent="0.45">
      <c r="B9" s="629"/>
      <c r="C9" s="1699" t="s">
        <v>4</v>
      </c>
      <c r="D9" s="1700"/>
      <c r="E9" s="1701"/>
      <c r="F9" s="51">
        <f>IF(G9&lt;100,4,5)</f>
        <v>5</v>
      </c>
      <c r="G9" s="2768">
        <v>159999</v>
      </c>
      <c r="H9" s="2768"/>
      <c r="I9" s="1703" t="str">
        <f>IF(ISERROR(VLOOKUP(G9,Escolas!C5:K269,3,FALSE)),"",VLOOKUP(G9,Escolas!C5:K269,3,FALSE))</f>
        <v>E.E. Professor Alceu Novaes</v>
      </c>
      <c r="J9" s="1703"/>
      <c r="K9" s="1703"/>
      <c r="L9" s="1703"/>
      <c r="M9" s="1703"/>
      <c r="N9" s="1703"/>
      <c r="O9" s="1703"/>
      <c r="P9" s="1703"/>
      <c r="Q9" s="1703"/>
      <c r="R9" s="1704" t="str">
        <f>IF(ISERROR(VLOOKUP(G9,Escolas!C5:K269,7,FALSE)),"",VLOOKUP(G9,Escolas!C5:K269,7,FALSE))</f>
        <v>Uberaba</v>
      </c>
      <c r="S9" s="1704"/>
      <c r="T9" s="1704"/>
      <c r="U9" s="1705"/>
      <c r="V9" s="631"/>
      <c r="X9" s="44"/>
      <c r="Y9" s="2769" t="str">
        <f>Geral!K21</f>
        <v>ASBD1A</v>
      </c>
      <c r="Z9" s="2770"/>
      <c r="AA9" s="2771"/>
      <c r="AB9" s="2772">
        <f>Geral!M21</f>
        <v>1047.8399999999999</v>
      </c>
      <c r="AC9" s="2773"/>
      <c r="AD9" s="2773"/>
      <c r="AE9" s="2773"/>
      <c r="AF9" s="2774"/>
      <c r="AG9" s="2761"/>
      <c r="AH9" s="2762"/>
      <c r="AI9" s="2762"/>
      <c r="AJ9" s="2762"/>
      <c r="AK9" s="2763"/>
      <c r="AL9" s="1723"/>
    </row>
    <row r="10" spans="2:42" ht="3" customHeight="1" thickBot="1" x14ac:dyDescent="0.45">
      <c r="B10" s="629"/>
      <c r="C10" s="1549"/>
      <c r="D10" s="1550"/>
      <c r="E10" s="1550"/>
      <c r="F10" s="1550"/>
      <c r="G10" s="1550"/>
      <c r="H10" s="1550"/>
      <c r="I10" s="1550"/>
      <c r="J10" s="1550"/>
      <c r="K10" s="1550"/>
      <c r="L10" s="1550"/>
      <c r="M10" s="1550"/>
      <c r="N10" s="1550"/>
      <c r="O10" s="1550"/>
      <c r="P10" s="1550"/>
      <c r="Q10" s="1550"/>
      <c r="R10" s="1550"/>
      <c r="S10" s="1550"/>
      <c r="T10" s="1550"/>
      <c r="U10" s="1687"/>
      <c r="V10" s="631"/>
      <c r="X10" s="44"/>
      <c r="Y10" s="1709"/>
      <c r="Z10" s="1710"/>
      <c r="AA10" s="1711"/>
      <c r="AB10" s="1715"/>
      <c r="AC10" s="1716"/>
      <c r="AD10" s="1716"/>
      <c r="AE10" s="1716"/>
      <c r="AF10" s="1717"/>
      <c r="AG10" s="1684"/>
      <c r="AH10" s="1685"/>
      <c r="AI10" s="1685"/>
      <c r="AJ10" s="1685"/>
      <c r="AK10" s="1686"/>
      <c r="AL10" s="1723"/>
    </row>
    <row r="11" spans="2:42" ht="18" customHeight="1" thickBot="1" x14ac:dyDescent="0.45">
      <c r="B11" s="629"/>
      <c r="C11" s="1688"/>
      <c r="D11" s="1689"/>
      <c r="E11" s="1689"/>
      <c r="F11" s="1689"/>
      <c r="G11" s="1689"/>
      <c r="H11" s="1689"/>
      <c r="I11" s="1692" t="s">
        <v>8008</v>
      </c>
      <c r="J11" s="1692"/>
      <c r="K11" s="1692"/>
      <c r="L11" s="1692"/>
      <c r="M11" s="1650" t="s">
        <v>8004</v>
      </c>
      <c r="N11" s="1651"/>
      <c r="O11" s="1651"/>
      <c r="P11" s="1651"/>
      <c r="Q11" s="2764">
        <v>31014</v>
      </c>
      <c r="R11" s="2764"/>
      <c r="S11" s="1694">
        <f>DATEVALUE( TEXT( Q8, "##""/""##""/""####" ) &amp; "" )</f>
        <v>41915</v>
      </c>
      <c r="T11" s="1694"/>
      <c r="U11" s="1695"/>
      <c r="V11" s="631"/>
      <c r="X11" s="44"/>
      <c r="Y11" s="2765" t="str">
        <f>Geral!O21</f>
        <v>EEBD1A</v>
      </c>
      <c r="Z11" s="2766"/>
      <c r="AA11" s="2766"/>
      <c r="AB11" s="2767">
        <f>Geral!Q21</f>
        <v>1982.54</v>
      </c>
      <c r="AC11" s="2767"/>
      <c r="AD11" s="2767"/>
      <c r="AE11" s="2767"/>
      <c r="AF11" s="2767"/>
      <c r="AG11" s="2753"/>
      <c r="AH11" s="2754"/>
      <c r="AI11" s="2754"/>
      <c r="AJ11" s="2754"/>
      <c r="AK11" s="2755"/>
      <c r="AL11" s="1723"/>
    </row>
    <row r="12" spans="2:42" ht="18" customHeight="1" thickBot="1" x14ac:dyDescent="0.45">
      <c r="B12" s="629"/>
      <c r="C12" s="1690"/>
      <c r="D12" s="1691"/>
      <c r="E12" s="1691"/>
      <c r="F12" s="1691"/>
      <c r="G12" s="1691"/>
      <c r="H12" s="1691"/>
      <c r="I12" s="164"/>
      <c r="J12" s="164"/>
      <c r="K12" s="164"/>
      <c r="L12" s="164"/>
      <c r="M12" s="1676" t="s">
        <v>403</v>
      </c>
      <c r="N12" s="1677"/>
      <c r="O12" s="1677"/>
      <c r="P12" s="1677"/>
      <c r="Q12" s="2791">
        <v>241014</v>
      </c>
      <c r="R12" s="2791"/>
      <c r="S12" s="1679">
        <f>DATEVALUE( TEXT( T8, "##""/""##""/""####" ) &amp; "" )</f>
        <v>41936</v>
      </c>
      <c r="T12" s="1679"/>
      <c r="U12" s="1680"/>
      <c r="V12" s="631"/>
      <c r="X12" s="44"/>
      <c r="Y12" s="2760" t="str">
        <f>Geral!S21</f>
        <v>ATBD1A</v>
      </c>
      <c r="Z12" s="2682"/>
      <c r="AA12" s="2683"/>
      <c r="AB12" s="2750">
        <f>Geral!T21</f>
        <v>1369.7</v>
      </c>
      <c r="AC12" s="2751"/>
      <c r="AD12" s="2751"/>
      <c r="AE12" s="2751"/>
      <c r="AF12" s="2752"/>
      <c r="AG12" s="2753"/>
      <c r="AH12" s="2754"/>
      <c r="AI12" s="2754"/>
      <c r="AJ12" s="2754"/>
      <c r="AK12" s="2755"/>
      <c r="AL12" s="1723"/>
    </row>
    <row r="13" spans="2:42" ht="30" customHeight="1" thickTop="1" thickBot="1" x14ac:dyDescent="0.45">
      <c r="B13" s="629"/>
      <c r="C13" s="1690"/>
      <c r="D13" s="1691"/>
      <c r="E13" s="1691"/>
      <c r="F13" s="1691"/>
      <c r="G13" s="1691"/>
      <c r="H13" s="1691"/>
      <c r="I13" s="176" t="s">
        <v>408</v>
      </c>
      <c r="J13" s="2775" t="s">
        <v>8157</v>
      </c>
      <c r="K13" s="2775"/>
      <c r="L13" s="329"/>
      <c r="M13" s="1646" t="s">
        <v>7998</v>
      </c>
      <c r="N13" s="1647"/>
      <c r="O13" s="1650"/>
      <c r="P13" s="1651"/>
      <c r="Q13" s="1651"/>
      <c r="R13" s="1651"/>
      <c r="S13" s="1651"/>
      <c r="T13" s="1651"/>
      <c r="U13" s="1652"/>
      <c r="V13" s="631"/>
      <c r="X13" s="44"/>
      <c r="Y13" s="2760" t="str">
        <f>Geral!S24</f>
        <v>ANEID1A</v>
      </c>
      <c r="Z13" s="2682"/>
      <c r="AA13" s="2683"/>
      <c r="AB13" s="2750">
        <f>Geral!T24</f>
        <v>4956.3599999999997</v>
      </c>
      <c r="AC13" s="2751"/>
      <c r="AD13" s="2751"/>
      <c r="AE13" s="2751"/>
      <c r="AF13" s="2752"/>
      <c r="AG13" s="2753"/>
      <c r="AH13" s="2754"/>
      <c r="AI13" s="2754"/>
      <c r="AJ13" s="2754"/>
      <c r="AK13" s="2755"/>
      <c r="AL13" s="1723"/>
    </row>
    <row r="14" spans="2:42" ht="18" customHeight="1" thickBot="1" x14ac:dyDescent="0.45">
      <c r="B14" s="629"/>
      <c r="C14" s="1628" t="s">
        <v>407</v>
      </c>
      <c r="D14" s="1629"/>
      <c r="E14" s="1629"/>
      <c r="F14" s="1630">
        <f>IF(AG6=1,AB6,IF(AG6=2,AB7,IF(AG6=3,K14+K15+K16,IF(AG6=4,AB11,IF(AG6=5,AB12,IF(AG6=6,AB13,IF(AG6=7,AB9,IF(AG6=8,K14+K15+K16))))))))</f>
        <v>1982.54</v>
      </c>
      <c r="G14" s="1630"/>
      <c r="H14" s="1631"/>
      <c r="I14" s="1632" t="s">
        <v>8005</v>
      </c>
      <c r="J14" s="1633"/>
      <c r="K14" s="2748">
        <v>870.25</v>
      </c>
      <c r="L14" s="2749"/>
      <c r="M14" s="1646"/>
      <c r="N14" s="1647"/>
      <c r="O14" s="1636" t="str">
        <f>LEFT(Q12,4)</f>
        <v>2410</v>
      </c>
      <c r="P14" s="1638" t="str">
        <f>LEFT(Q12,2)</f>
        <v>24</v>
      </c>
      <c r="Q14" s="1660"/>
      <c r="R14" s="327"/>
      <c r="S14" s="327"/>
      <c r="T14" s="1662" t="s">
        <v>8003</v>
      </c>
      <c r="U14" s="1665">
        <f>IF(AND(O14="2902",Y45="SIM"),S12-S11+2,IF(AND(O14="2802",Y45="SIM"),S12-S11+3,IF(Q12=Q11,1,IF(P14="31",S12-S11,S12-S11+1))))</f>
        <v>22</v>
      </c>
      <c r="V14" s="631"/>
      <c r="X14" s="44"/>
      <c r="Y14" s="153"/>
      <c r="Z14" s="154"/>
      <c r="AA14" s="155"/>
      <c r="AB14" s="156"/>
      <c r="AC14" s="157"/>
      <c r="AD14" s="157"/>
      <c r="AE14" s="157"/>
      <c r="AF14" s="158"/>
      <c r="AG14" s="159"/>
      <c r="AH14" s="154"/>
      <c r="AI14" s="154"/>
      <c r="AJ14" s="154"/>
      <c r="AK14" s="160"/>
      <c r="AL14" s="1723"/>
    </row>
    <row r="15" spans="2:42" ht="18" customHeight="1" thickBot="1" x14ac:dyDescent="0.45">
      <c r="B15" s="629"/>
      <c r="C15" s="331" t="s">
        <v>7994</v>
      </c>
      <c r="D15" s="637">
        <v>16</v>
      </c>
      <c r="E15" s="1640" t="s">
        <v>7995</v>
      </c>
      <c r="F15" s="1640"/>
      <c r="G15" s="1641"/>
      <c r="H15" s="332" t="s">
        <v>7997</v>
      </c>
      <c r="I15" s="1642" t="s">
        <v>8006</v>
      </c>
      <c r="J15" s="1643"/>
      <c r="K15" s="2748"/>
      <c r="L15" s="2749"/>
      <c r="M15" s="1646"/>
      <c r="N15" s="1647"/>
      <c r="O15" s="1636"/>
      <c r="P15" s="1638"/>
      <c r="Q15" s="1660"/>
      <c r="R15" s="327"/>
      <c r="S15" s="327"/>
      <c r="T15" s="2756"/>
      <c r="U15" s="1665"/>
      <c r="V15" s="631"/>
      <c r="X15" s="44"/>
      <c r="Y15" s="633"/>
      <c r="Z15" s="633"/>
      <c r="AA15" s="633"/>
      <c r="AB15" s="632"/>
      <c r="AC15" s="632"/>
      <c r="AD15" s="632"/>
      <c r="AE15" s="632"/>
      <c r="AF15" s="632"/>
      <c r="AG15" s="633"/>
      <c r="AH15" s="633"/>
      <c r="AI15" s="633"/>
      <c r="AJ15" s="633"/>
      <c r="AK15" s="633"/>
      <c r="AL15" s="1723"/>
    </row>
    <row r="16" spans="2:42" ht="18" customHeight="1" thickBot="1" x14ac:dyDescent="0.45">
      <c r="B16" s="629"/>
      <c r="C16" s="1644" t="s">
        <v>7996</v>
      </c>
      <c r="D16" s="1645"/>
      <c r="E16" s="1667">
        <f>IF(AG6=1,F14/'C Horária'!D23,IF(AG6=2,F14/'C Horária'!D23,IF(AG6=3,F14/H16)))</f>
        <v>18.35685185185185</v>
      </c>
      <c r="F16" s="1667"/>
      <c r="G16" s="1667"/>
      <c r="H16" s="330">
        <f>IF(AG6&gt;3,"",IF(OR(AG6=1,AG6=2),'C Horária'!D23,IF(ISERROR(VLOOKUP(D15,'C Horária'!C8:E23,2,FALSE)),"",VLOOKUP(D15,'C Horária'!C8:E23,2,FALSE))))</f>
        <v>108</v>
      </c>
      <c r="I16" s="1668" t="s">
        <v>8007</v>
      </c>
      <c r="J16" s="1669"/>
      <c r="K16" s="2758"/>
      <c r="L16" s="2759"/>
      <c r="M16" s="1648"/>
      <c r="N16" s="1649"/>
      <c r="O16" s="1637"/>
      <c r="P16" s="1639"/>
      <c r="Q16" s="1661"/>
      <c r="R16" s="328"/>
      <c r="S16" s="328"/>
      <c r="T16" s="2757"/>
      <c r="U16" s="1666"/>
      <c r="V16" s="631"/>
      <c r="X16" s="50"/>
      <c r="Y16" s="1672" t="s">
        <v>8002</v>
      </c>
      <c r="Z16" s="1673"/>
      <c r="AA16" s="1673"/>
      <c r="AB16" s="1673"/>
      <c r="AC16" s="1673"/>
      <c r="AD16" s="1674" t="str">
        <f>IF(AK16=1,"Cargo Vago", IF(AK16=2,"Substituição"))</f>
        <v>Cargo Vago</v>
      </c>
      <c r="AE16" s="1674"/>
      <c r="AF16" s="1674"/>
      <c r="AG16" s="1674"/>
      <c r="AH16" s="1674"/>
      <c r="AI16" s="1674"/>
      <c r="AJ16" s="1674"/>
      <c r="AK16" s="638">
        <v>1</v>
      </c>
      <c r="AL16" s="1724"/>
    </row>
    <row r="17" spans="2:22" ht="3" customHeight="1" thickBot="1" x14ac:dyDescent="0.45">
      <c r="B17" s="629"/>
      <c r="C17" s="1625"/>
      <c r="D17" s="1626"/>
      <c r="E17" s="1626"/>
      <c r="F17" s="1626"/>
      <c r="G17" s="1626"/>
      <c r="H17" s="1626"/>
      <c r="I17" s="1626"/>
      <c r="J17" s="1626"/>
      <c r="K17" s="1626"/>
      <c r="L17" s="1626"/>
      <c r="M17" s="1626"/>
      <c r="N17" s="1626"/>
      <c r="O17" s="1626"/>
      <c r="P17" s="1626"/>
      <c r="Q17" s="1626"/>
      <c r="R17" s="1626"/>
      <c r="S17" s="1626"/>
      <c r="T17" s="1626"/>
      <c r="U17" s="1627"/>
      <c r="V17" s="631"/>
    </row>
    <row r="18" spans="2:22" ht="14.1" customHeight="1" x14ac:dyDescent="0.4">
      <c r="B18" s="629"/>
      <c r="C18" s="2670" t="s">
        <v>8214</v>
      </c>
      <c r="D18" s="2671"/>
      <c r="E18" s="2671"/>
      <c r="F18" s="2671"/>
      <c r="G18" s="2671"/>
      <c r="H18" s="2671"/>
      <c r="I18" s="2671"/>
      <c r="J18" s="2672"/>
      <c r="K18" s="559"/>
      <c r="L18" s="559" t="s">
        <v>7968</v>
      </c>
      <c r="M18" s="559" t="str">
        <f>IF(OR(AG6=1,AG6=2,AG6=3),"Aulas","")</f>
        <v>Aulas</v>
      </c>
      <c r="N18" s="672" t="str">
        <f>IF(OR(AG6=1,AG6=2,AG6=3),"Tabela","")</f>
        <v>Tabela</v>
      </c>
      <c r="O18" s="667" t="s">
        <v>8213</v>
      </c>
      <c r="P18" s="559" t="s">
        <v>7968</v>
      </c>
      <c r="Q18" s="559" t="str">
        <f>IF(OR(AG6=1,AG6=2,AG6=3),"Aulas","")</f>
        <v>Aulas</v>
      </c>
      <c r="R18" s="672" t="str">
        <f>IF(OR(AG6=1,AG6=2,AG6=3),"Tabela","")</f>
        <v>Tabela</v>
      </c>
      <c r="S18" s="670" t="str">
        <f>IF(OR(AG6=1,AG6=2,AG6=3),"Faltas","")</f>
        <v>Faltas</v>
      </c>
      <c r="T18" s="559" t="str">
        <f>IF(OR(AG6=1,AG6=2,AG6=3),"Total","")</f>
        <v>Total</v>
      </c>
      <c r="U18" s="560"/>
      <c r="V18" s="631"/>
    </row>
    <row r="19" spans="2:22" ht="14.1" customHeight="1" thickBot="1" x14ac:dyDescent="0.45">
      <c r="B19" s="629"/>
      <c r="C19" s="565">
        <f>Q4-1</f>
        <v>2016</v>
      </c>
      <c r="D19" s="2668" t="s">
        <v>8212</v>
      </c>
      <c r="E19" s="2668"/>
      <c r="F19" s="2668"/>
      <c r="G19" s="2668"/>
      <c r="H19" s="2668"/>
      <c r="I19" s="2668"/>
      <c r="J19" s="2669"/>
      <c r="K19" s="561"/>
      <c r="L19" s="561" t="s">
        <v>8164</v>
      </c>
      <c r="M19" s="561" t="str">
        <f>IF(OR(AG6=1,AG6=2,AG6=3),"R.B.","")</f>
        <v>R.B.</v>
      </c>
      <c r="N19" s="561" t="str">
        <f>IF(OR(AG6=1,AG6=2,AG6=3),"Mês","")</f>
        <v>Mês</v>
      </c>
      <c r="O19" s="561" t="str">
        <f>IF(OR(AG6=1,AG6=2,AG6=3),"H/A","Dias")</f>
        <v>H/A</v>
      </c>
      <c r="P19" s="561" t="str">
        <f>O19</f>
        <v>H/A</v>
      </c>
      <c r="Q19" s="563" t="str">
        <f>IF(OR(AG6=1,AG6=2,AG6=3),"A.E.C.","")</f>
        <v>A.E.C.</v>
      </c>
      <c r="R19" s="561" t="str">
        <f>IF(OR(AG6=1,AG6=2,AG6=3),"Mês","")</f>
        <v>Mês</v>
      </c>
      <c r="S19" s="671" t="str">
        <f>IF(OR(AG6=1,AG6=2,AG6=3),"h/a EC","")</f>
        <v>h/a EC</v>
      </c>
      <c r="T19" s="561" t="str">
        <f>IF(OR(AG6=1,AG6=2,AG6=3),"EC","")</f>
        <v>EC</v>
      </c>
      <c r="U19" s="562"/>
      <c r="V19" s="631"/>
    </row>
    <row r="20" spans="2:22" ht="18" customHeight="1" thickBot="1" x14ac:dyDescent="0.45">
      <c r="B20" s="574">
        <f>IF(D20="","",IF(H20=31,30,IF(H20&lt;31,H20,IF(H20&gt;31,"XX"))))</f>
        <v>28</v>
      </c>
      <c r="C20" s="553" t="s">
        <v>8163</v>
      </c>
      <c r="D20" s="569">
        <v>1</v>
      </c>
      <c r="E20" s="569">
        <v>2</v>
      </c>
      <c r="F20" s="556">
        <f>IF(D20&gt;0,Q4-1,"")</f>
        <v>2016</v>
      </c>
      <c r="G20" s="554" t="s">
        <v>7936</v>
      </c>
      <c r="H20" s="569">
        <v>28</v>
      </c>
      <c r="I20" s="569">
        <v>2</v>
      </c>
      <c r="J20" s="555">
        <f>IF(H20&gt;0,Q4-1,"")</f>
        <v>2016</v>
      </c>
      <c r="K20" s="554">
        <f>IF(D20="","",IF(H20=31,30,IF(H20&lt;31,H20,IF(H20&gt;31,"XX"))))</f>
        <v>28</v>
      </c>
      <c r="L20" s="566">
        <f>IF(D20="","",IF(AND(D20=H20,E20=I20),U20,IF(E20&lt;6,U20,V20)))</f>
        <v>30</v>
      </c>
      <c r="M20" s="557">
        <v>16</v>
      </c>
      <c r="N20" s="558">
        <f>IF(AG6&gt;3,"",IF(OR(M20=0,M20="x",M20="-",M20=""),"",IF(ISERROR(VLOOKUP(M20,'C Horária'!C8:E23,2,FALSE)),"",VLOOKUP(M20,'C Horária'!C8:E23,2,FALSE))))</f>
        <v>108</v>
      </c>
      <c r="O20" s="668"/>
      <c r="P20" s="558">
        <f>IF(OR(D20="",M20=""),"",IF(OR(AG6=1,AG6=2,AG6=3),ROUND(N20/30*L20-O20,0),L20-O20))</f>
        <v>108</v>
      </c>
      <c r="Q20" s="557">
        <v>2</v>
      </c>
      <c r="R20" s="558">
        <f>IF(AG6&gt;3,"",IF(OR(Q20=0,Q20="x",Q20="-",Q20=""),"",IF(ISERROR(VLOOKUP(Q20,'C Horária'!G8:I23,2,FALSE)),"",VLOOKUP(Q20,'C Horária'!G8:I23,2,FALSE))))</f>
        <v>14</v>
      </c>
      <c r="S20" s="669"/>
      <c r="T20" s="558">
        <f>IF(OR(D20="",Q20=""),"",IF(OR(AG6=1,AG6=2,AG6=3),ROUND(R20/30*L20-S20,0),""))</f>
        <v>14</v>
      </c>
      <c r="U20" s="564">
        <f t="shared" ref="U20:U34" si="0">IF(D20="","",IF(AND(D20=H20,E20=I20),1,IF(AND(E20=2,D20=28,I20=2,K20=28),1,IF(AND(E20=2,D20=28,I20=2,K20=29),2,IF(AND(E20=2,D20=29,I20=2,K20=29),1,IF(AND(E20=2,D20&lt;28,I20=2,K20=29),K20-D20+2,IF(AND(E20=2,D20&lt;28,I20=2,K20=28),K20-D20+3,IF(AND(E20=2,I20=2,K20&lt;28),K20-D20+1,IF(AND(E20=2,I20=3),30-D20+1+K20,IF(AND(E20=2,I20=4),30-D20+1+30+K20,IF(AND(E20=2,I20=5),30-D20+1+60+K20,IF(AND(E20=2,I20=6),30-D20+1+90+K20,IF(AND(E20=2,I20=7),30-D20+1+120+K20,IF(AND(E20=2,I20=8),30-D20+1+150+K20,IF(AND(E20=2,I20=9),30-D20+1+180+K20,IF(AND(E20=2,I20=10),30-D20+1+210+K20,IF(AND(E20=2,I20=11),30-D20+1+240+K20,IF(AND(E20=2,I20=12),30-D20+1+270+K20,IF(AND(E20=3,I20=3),K20-D20+1,IF(AND(E20=3,I20=4,D20=31),1+K20,IF(AND(E20=3,I20=4),30-D20+1+K20,IF(AND(E20=3,I20=5,D20=31),1+30+K20,IF(AND(E20=3,I20=5),30-D20+1+30+K20,IF(AND(E20=3,I20=6,D20=31),1+60+K20,IF(AND(E20=3,I20=6),30-D20+1+60+K20,IF(AND(E20=3,I20=7,D20=31),1+90+K20,IF(AND(E20=3,I20=7),30-D20+1+90+K20,IF(AND(E20=3,I20=8,D20=31),1+120+K20,IF(AND(E20=3,I20=8),30-D20+1+120+K20,IF(AND(E20=3,I20=9,D20=31),1+150+K20,IF(AND(E20=3,I20=9),30-D20+1+150+K20,IF(AND(E20=3,I20=10,D20=31),1+180+K20,IF(AND(E20=3,I20=10),30-D20+1+180+K20,IF(AND(E20=3,I20=11,D20=31),1+210+K20,IF(AND(E20=3,I20=11),30-D20+1+210+K20,IF(AND(E20=3,I20=12,D20=31),1+240+K20,IF(AND(E20=3,I20=12),30-D20+1+240+K20,IF(AND(E20=4,I20=4),K20-D20+1,IF(AND(E20=4,I20=5),30-D20+1+K20,IF(AND(E20=4,I20=6),30-D20+1+30+K20,IF(AND(E20=4,I20=7),30-D20+1+60+K20,IF(AND(E20=4,I20=8),30-D20+1+90+K20,IF(AND(E20=4,I20=9),30-D20+1+120+K20,IF(AND(E20=4,I20=10),30-D20+1+150+K20,IF(AND(E20=4,I20=11),30-D20+1+180+K20,IF(AND(E20=4,I20=12),30-D20+1+210+K20,IF(AND(E20=5,I20=5),K20-D20+1,IF(AND(E20=5,I20=6,D20=31),1+K20,IF(AND(E20=5,I20=6),30-D20+1+K20,IF(AND(E20=5,I20=7,D20=31),1+30+K20,IF(AND(E20=5,I20=7),30-D20+1+30+K20,IF(AND(E20=5,I20=8,D20=31),1+60+K20,IF(AND(E20=5,I20=8),30-D20+1+60+K20,IF(AND(E20=5,I20=9,D20=31),1+90+K20,IF(AND(E20=5,I20=9),30-D20+1+90+K20,IF(AND(E20=5,I20=10,D20=31),1+120+K20,IF(AND(E20=5,I20=10),30-D20+1+120+K20,IF(AND(E20=5,I20=11,D20=31),1+150+K20,IF(AND(E20=5,I20=11),30-D20+1+150+K20,IF(AND(E20=5,I20=12,D20=31),1+180+K20,IF(AND(E20=5,I20=12),30-D20+1+180+K20)))))))))))))))))))))))))))))))))))))))))))))))))))))))))))))</f>
        <v>30</v>
      </c>
      <c r="V20" s="567" t="b">
        <f>IF(D20="","",IF(AND(E20=6,I20=6),K20-D20+1,IF(AND(E20=6,I20=7),30-D20+1+K20,IF(AND(E20=6,I20=8),30-D20+1+30+K20,IF(AND(E20=6,I20=9),30-D20+1+60+K20,IF(AND(E20=6,I20=10),30-D20+1+90+K20,IF(AND(E20=6,I20=11),30-D20+1+120+K20,IF(AND(E20=6,I20=12),30-D20+1+150+K20,IF(AND(E20=7,I20=7),K20-D20+1,IF(AND(E20=7,I20=8,D20=31),1+K20,IF(AND(E20=7,I20=8),30-D20+1+K20,IF(AND(E20=7,I20=9,D20=31),1+30+K20,IF(AND(E20=7,I20=9),30-D20+1+30+K20,IF(AND(E20=7,I20=10,D20=31),1+60+K20,IF(AND(E20=7,I20=10),30-D20+1+60+K20,IF(AND(E20=7,I20=11,D20=31),1+90+K20,IF(AND(E20=7,I20=11),30-D20+1+90+K20,IF(AND(E20=7,I20=12,D20=31),1+120+K20,IF(AND(E20=7,I20=12),30-D20+1+120+K20,IF(AND(E20=8,I20=8),K20-D20+1,IF(AND(E20=8,I20=9,D20=31),1+K20,IF(AND(E20=8,I20=9),30-D20+1+K20,IF(AND(E20=8,I20=10,D20=31),1+30+K20,IF(AND(E20=8,I20=10),30-D20+1+30+K20,IF(AND(E20=8,I20=11,D20=31),1+60+K20,IF(AND(E20=8,I20=11),30-D20+1+60+K20,IF(AND(E20=8,I20=12,D20=31),1+90+K20,IF(AND(E20=8,I20=12),30-D20+1+90+K20,IF(AND(E20=9,I20=9),K20-D20+1,IF(AND(E20=9,I20=10),30-D20+1+K20,IF(AND(E20=9,I20=11),30-D20+1+30+K20,IF(AND(E20=9,I20=12),30-D20+1+60+K20,IF(AND(E20=10,I20=10),K20-D20+1,IF(AND(E20=10,I20=11,D20=31),1+K20,IF(AND(E20=10,I20=11),30-D20+1+K20,IF(AND(E20=10,I20=12,D20=31),1+30+K20,IF(AND(E20=10,I20=12),30-D20+1+30+K20,IF(AND(E20=11,I20=11),K20-D20+1,IF(AND(E20=11,I20=12),30-D20+1+K20,IF(AND(E20=12,I20=12),K20-D20+1))))))))))))))))))))))))))))))))))))))))</f>
        <v>0</v>
      </c>
    </row>
    <row r="21" spans="2:22" ht="18" customHeight="1" thickBot="1" x14ac:dyDescent="0.45">
      <c r="B21" s="574">
        <f t="shared" ref="B21:B34" si="1">IF(D21="","",IF(H21=31,30,IF(H21&lt;31,H21,IF(H21&gt;31,"XX"))))</f>
        <v>30</v>
      </c>
      <c r="C21" s="553" t="s">
        <v>8163</v>
      </c>
      <c r="D21" s="569">
        <v>1</v>
      </c>
      <c r="E21" s="569">
        <v>3</v>
      </c>
      <c r="F21" s="556">
        <f>IF(D21&gt;0,Q4-1,"")</f>
        <v>2016</v>
      </c>
      <c r="G21" s="554" t="s">
        <v>7936</v>
      </c>
      <c r="H21" s="569">
        <v>31</v>
      </c>
      <c r="I21" s="569">
        <v>3</v>
      </c>
      <c r="J21" s="555">
        <f>IF(H21&gt;0,Q4-1,"")</f>
        <v>2016</v>
      </c>
      <c r="K21" s="554">
        <f>IF(D21="","",IF(H21=31,30,IF(H21&lt;31,H21,IF(H21&gt;31,"XX"))))</f>
        <v>30</v>
      </c>
      <c r="L21" s="566">
        <f t="shared" ref="L21:L34" si="2">IF(D21="","",IF(AND(D21=H21,E21=I21),U21,IF(E21&lt;6,U21,V21)))</f>
        <v>30</v>
      </c>
      <c r="M21" s="557">
        <v>16</v>
      </c>
      <c r="N21" s="558">
        <f>IF(AG6&gt;3,"",IF(OR(M21=0,M21="x",M21="-",M21=""),"",IF(ISERROR(VLOOKUP(M21,'C Horária'!C8:E23,2,FALSE)),"",VLOOKUP(M21,'C Horária'!C8:E23,2,FALSE))))</f>
        <v>108</v>
      </c>
      <c r="O21" s="668"/>
      <c r="P21" s="558">
        <f>IF(OR(D21="",M21=""),"",IF(OR(AG6=1,AG6=2,AG6=3),ROUND(N21/30*L21-O21,0),L21-O21))</f>
        <v>108</v>
      </c>
      <c r="Q21" s="557">
        <v>2</v>
      </c>
      <c r="R21" s="558">
        <f>IF(AG6&gt;3,"",IF(OR(Q21=0,Q21="x",Q21="-",Q21=""),"",IF(ISERROR(VLOOKUP(Q21,'C Horária'!G8:I23,2,FALSE)),"",VLOOKUP(Q21,'C Horária'!G8:I23,2,FALSE))))</f>
        <v>14</v>
      </c>
      <c r="S21" s="669"/>
      <c r="T21" s="558">
        <f>IF(OR(D21="",Q21=""),"",IF(OR(AG6=1,AG6=2,AG6=3),ROUND(R21/30*L21-S21,0),""))</f>
        <v>14</v>
      </c>
      <c r="U21" s="564">
        <f t="shared" si="0"/>
        <v>30</v>
      </c>
      <c r="V21" s="567" t="b">
        <f>IF(D21="","",IF(AND(E21=6,I21=6),K21-D21+1,IF(AND(E21=6,I21=7),30-D21+1+K21,IF(AND(E21=6,I21=8),30-D21+1+30+K21,IF(AND(E21=6,I21=9),30-D21+1+60+K21,IF(AND(E21=6,I21=10),30-D21+1+90+K21,IF(AND(E21=6,I21=11),30-D21+1+120+K21,IF(AND(E21=6,I21=12),30-D21+1+150+K21,IF(AND(E21=7,I21=7),K21-D21+1,IF(AND(E21=7,I21=8,D21=31),1+K21,IF(AND(E21=7,I21=8),30-D21+1+K21,IF(AND(E21=7,I21=9,D21=31),1+30+K21,IF(AND(E21=7,I21=9),30-D21+1+30+K21,IF(AND(E21=7,I21=10,D21=31),1+60+K21,IF(AND(E21=7,I21=10),30-D21+1+60+K21,IF(AND(E21=7,I21=11,D21=31),1+90+K21,IF(AND(E21=7,I21=11),30-D21+1+90+K21,IF(AND(E21=7,I21=12,D21=31),1+120+K21,IF(AND(E21=7,I21=12),30-D21+1+120+K21,IF(AND(E21=8,I21=8),K21-D21+1,IF(AND(E21=8,I21=9,D21=31),1+K21,IF(AND(E21=8,I21=9),30-D21+1+K21,IF(AND(E21=8,I21=10,D21=31),1+30+K21,IF(AND(E21=8,I21=10),30-D21+1+30+K21,IF(AND(E21=8,I21=11,D21=31),1+60+K21,IF(AND(E21=8,I21=11),30-D21+1+60+K21,IF(AND(E21=8,I21=12,D21=31),1+90+K21,IF(AND(E21=8,I21=12),30-D21+1+90+K21,IF(AND(E21=9,I21=9),K21-D21+1,IF(AND(E21=9,I21=10),30-D21+1+K21,IF(AND(E21=9,I21=11),30-D21+1+30+K21,IF(AND(E21=9,I21=12),30-D21+1+60+K21,IF(AND(E21=10,I21=10),K21-D21+1,IF(AND(E21=10,I21=11,D21=31),1+K21,IF(AND(E21=10,I21=11),30-D21+1+K21,IF(AND(E21=10,I21=12,D21=31),1+30+K21,IF(AND(E21=10,I21=12),30-D21+1+30+K21,IF(AND(E21=11,I21=11),K21-D21+1,IF(AND(E21=11,I21=12),30-D21+1+K21,IF(AND(E21=12,I21=12),K21-D21+1))))))))))))))))))))))))))))))))))))))))</f>
        <v>0</v>
      </c>
    </row>
    <row r="22" spans="2:22" ht="18" customHeight="1" thickBot="1" x14ac:dyDescent="0.45">
      <c r="B22" s="574">
        <f t="shared" si="1"/>
        <v>30</v>
      </c>
      <c r="C22" s="553" t="s">
        <v>8163</v>
      </c>
      <c r="D22" s="569">
        <v>1</v>
      </c>
      <c r="E22" s="569">
        <v>4</v>
      </c>
      <c r="F22" s="556">
        <f>IF(D22&gt;0,Q4-1,"")</f>
        <v>2016</v>
      </c>
      <c r="G22" s="554" t="s">
        <v>7936</v>
      </c>
      <c r="H22" s="569">
        <v>30</v>
      </c>
      <c r="I22" s="569">
        <v>4</v>
      </c>
      <c r="J22" s="555">
        <f>IF(H22&gt;0,Q4-1,"")</f>
        <v>2016</v>
      </c>
      <c r="K22" s="554">
        <f t="shared" ref="K22:K34" si="3">IF(D22="","",IF(H22=31,30,IF(H22&lt;31,H22,IF(H22&gt;31,"XX"))))</f>
        <v>30</v>
      </c>
      <c r="L22" s="566">
        <f t="shared" si="2"/>
        <v>30</v>
      </c>
      <c r="M22" s="557">
        <v>16</v>
      </c>
      <c r="N22" s="558">
        <f>IF(AG6&gt;3,"",IF(OR(M22=0,M22="x",M22="-",M22=""),"",IF(ISERROR(VLOOKUP(M22,'C Horária'!C8:E23,2,FALSE)),"",VLOOKUP(M22,'C Horária'!C8:E23,2,FALSE))))</f>
        <v>108</v>
      </c>
      <c r="O22" s="668"/>
      <c r="P22" s="558">
        <f>IF(OR(D22="",M22=""),"",IF(OR(AG6=1,AG6=2,AG6=3),ROUND(N22/30*L22-O22,0),L22-O22))</f>
        <v>108</v>
      </c>
      <c r="Q22" s="557">
        <v>2</v>
      </c>
      <c r="R22" s="558">
        <f>IF(AG6&gt;3,"",IF(OR(Q22=0,Q22="x",Q22="-",Q22=""),"",IF(ISERROR(VLOOKUP(Q22,'C Horária'!G8:I23,2,FALSE)),"",VLOOKUP(Q22,'C Horária'!G8:I23,2,FALSE))))</f>
        <v>14</v>
      </c>
      <c r="S22" s="669"/>
      <c r="T22" s="558">
        <f>IF(OR(D22="",Q22=""),"",IF(OR(AG6=1,AG6=2,AG6=3),ROUND(R22/30*L22-S22,0),""))</f>
        <v>14</v>
      </c>
      <c r="U22" s="564">
        <f t="shared" si="0"/>
        <v>30</v>
      </c>
      <c r="V22" s="567" t="b">
        <f t="shared" ref="V22:V34" si="4">IF(D22="","",IF(AND(E22=6,I22=6),K22-D22+1,IF(AND(E22=6,I22=7),30-D22+1+K22,IF(AND(E22=6,I22=8),30-D22+1+30+K22,IF(AND(E22=6,I22=9),30-D22+1+60+K22,IF(AND(E22=6,I22=10),30-D22+1+90+K22,IF(AND(E22=6,I22=11),30-D22+1+120+K22,IF(AND(E22=6,I22=12),30-D22+1+150+K22,IF(AND(E22=7,I22=7),K22-D22+1,IF(AND(E22=7,I22=8,D22=31),1+K22,IF(AND(E22=7,I22=8),30-D22+1+K22,IF(AND(E22=7,I22=9,D22=31),1+30+K22,IF(AND(E22=7,I22=9),30-D22+1+30+K22,IF(AND(E22=7,I22=10,D22=31),1+60+K22,IF(AND(E22=7,I22=10),30-D22+1+60+K22,IF(AND(E22=7,I22=11,D22=31),1+90+K22,IF(AND(E22=7,I22=11),30-D22+1+90+K22,IF(AND(E22=7,I22=12,D22=31),1+120+K22,IF(AND(E22=7,I22=12),30-D22+1+120+K22,IF(AND(E22=8,I22=8),K22-D22+1,IF(AND(E22=8,I22=9,D22=31),1+K22,IF(AND(E22=8,I22=9),30-D22+1+K22,IF(AND(E22=8,I22=10,D22=31),1+30+K22,IF(AND(E22=8,I22=10),30-D22+1+30+K22,IF(AND(E22=8,I22=11,D22=31),1+60+K22,IF(AND(E22=8,I22=11),30-D22+1+60+K22,IF(AND(E22=8,I22=12,D22=31),1+90+K22,IF(AND(E22=8,I22=12),30-D22+1+90+K22,IF(AND(E22=9,I22=9),K22-D22+1,IF(AND(E22=9,I22=10),30-D22+1+K22,IF(AND(E22=9,I22=11),30-D22+1+30+K22,IF(AND(E22=9,I22=12),30-D22+1+60+K22,IF(AND(E22=10,I22=10),K22-D22+1,IF(AND(E22=10,I22=11,D22=31),1+K22,IF(AND(E22=10,I22=11),30-D22+1+K22,IF(AND(E22=10,I22=12,D22=31),1+30+K22,IF(AND(E22=10,I22=12),30-D22+1+30+K22,IF(AND(E22=11,I22=11),K22-D22+1,IF(AND(E22=11,I22=12),30-D22+1+K22,IF(AND(E22=12,I22=12),K22-D22+1))))))))))))))))))))))))))))))))))))))))</f>
        <v>0</v>
      </c>
    </row>
    <row r="23" spans="2:22" ht="18" customHeight="1" thickBot="1" x14ac:dyDescent="0.45">
      <c r="B23" s="574">
        <f t="shared" si="1"/>
        <v>30</v>
      </c>
      <c r="C23" s="553" t="s">
        <v>8163</v>
      </c>
      <c r="D23" s="569">
        <v>1</v>
      </c>
      <c r="E23" s="569">
        <v>5</v>
      </c>
      <c r="F23" s="556">
        <f>IF(D23&gt;0,Q4-1,"")</f>
        <v>2016</v>
      </c>
      <c r="G23" s="554" t="s">
        <v>7936</v>
      </c>
      <c r="H23" s="569">
        <v>31</v>
      </c>
      <c r="I23" s="569">
        <v>5</v>
      </c>
      <c r="J23" s="555">
        <f>IF(H23&gt;0,Q4-1,"")</f>
        <v>2016</v>
      </c>
      <c r="K23" s="554">
        <f t="shared" si="3"/>
        <v>30</v>
      </c>
      <c r="L23" s="566">
        <f t="shared" si="2"/>
        <v>30</v>
      </c>
      <c r="M23" s="557">
        <v>16</v>
      </c>
      <c r="N23" s="558">
        <f>IF(AG6&gt;3,"",IF(OR(M23=0,M23="x",M23="-",M23=""),"",IF(ISERROR(VLOOKUP(M23,'C Horária'!C8:E23,2,FALSE)),"",VLOOKUP(M23,'C Horária'!C8:E23,2,FALSE))))</f>
        <v>108</v>
      </c>
      <c r="O23" s="668"/>
      <c r="P23" s="558">
        <f>IF(OR(D23="",M23=""),"",IF(OR(AG6=1,AG6=2,AG6=3),ROUND(N23/30*L23-O23,0),L23-O23))</f>
        <v>108</v>
      </c>
      <c r="Q23" s="557">
        <v>2</v>
      </c>
      <c r="R23" s="558">
        <f>IF(AG6&gt;3,"",IF(OR(Q23=0,Q23="x",Q23="-",Q23=""),"",IF(ISERROR(VLOOKUP(Q23,'C Horária'!G8:I23,2,FALSE)),"",VLOOKUP(Q23,'C Horária'!G8:I23,2,FALSE))))</f>
        <v>14</v>
      </c>
      <c r="S23" s="669">
        <v>4</v>
      </c>
      <c r="T23" s="558">
        <f>IF(OR(D23="",Q23=""),"",IF(OR(AG6=1,AG6=2,AG6=3),ROUND(R23/30*L23-S23,0),""))</f>
        <v>10</v>
      </c>
      <c r="U23" s="564">
        <f t="shared" si="0"/>
        <v>30</v>
      </c>
      <c r="V23" s="567" t="b">
        <f t="shared" si="4"/>
        <v>0</v>
      </c>
    </row>
    <row r="24" spans="2:22" ht="18" customHeight="1" thickBot="1" x14ac:dyDescent="0.45">
      <c r="B24" s="574">
        <f t="shared" si="1"/>
        <v>30</v>
      </c>
      <c r="C24" s="553" t="s">
        <v>8163</v>
      </c>
      <c r="D24" s="569">
        <v>1</v>
      </c>
      <c r="E24" s="569">
        <v>6</v>
      </c>
      <c r="F24" s="556">
        <f>IF(D24&gt;0,Q4-1,"")</f>
        <v>2016</v>
      </c>
      <c r="G24" s="554" t="s">
        <v>7936</v>
      </c>
      <c r="H24" s="569">
        <v>30</v>
      </c>
      <c r="I24" s="569">
        <v>6</v>
      </c>
      <c r="J24" s="555">
        <f>IF(H24&gt;0,Q4-1,"")</f>
        <v>2016</v>
      </c>
      <c r="K24" s="554">
        <f t="shared" si="3"/>
        <v>30</v>
      </c>
      <c r="L24" s="566">
        <f t="shared" si="2"/>
        <v>30</v>
      </c>
      <c r="M24" s="557">
        <v>16</v>
      </c>
      <c r="N24" s="558">
        <f>IF(AG6&gt;3,"",IF(OR(M24=0,M24="x",M24="-",M24=""),"",IF(ISERROR(VLOOKUP(M24,'C Horária'!C8:E23,2,FALSE)),"",VLOOKUP(M24,'C Horária'!C8:E23,2,FALSE))))</f>
        <v>108</v>
      </c>
      <c r="O24" s="668"/>
      <c r="P24" s="558">
        <f>IF(OR(D24="",M24=""),"",IF(OR(AG6=1,AG6=2,AG6=3),ROUND(N24/30*L24-O24,0),L24-O24))</f>
        <v>108</v>
      </c>
      <c r="Q24" s="557">
        <v>2</v>
      </c>
      <c r="R24" s="558">
        <f>IF(AG6&gt;3,"",IF(OR(Q24=0,Q24="x",Q24="-",Q24=""),"",IF(ISERROR(VLOOKUP(Q24,'C Horária'!G8:I23,2,FALSE)),"",VLOOKUP(Q24,'C Horária'!G8:I23,2,FALSE))))</f>
        <v>14</v>
      </c>
      <c r="S24" s="669"/>
      <c r="T24" s="558">
        <f>IF(OR(D24="",Q24=""),"",IF(OR(AG6=1,AG6=2,AG6=3),ROUND(R24/30*L24-S24,0),""))</f>
        <v>14</v>
      </c>
      <c r="U24" s="564" t="b">
        <f t="shared" si="0"/>
        <v>0</v>
      </c>
      <c r="V24" s="567">
        <f t="shared" si="4"/>
        <v>30</v>
      </c>
    </row>
    <row r="25" spans="2:22" ht="18" customHeight="1" thickBot="1" x14ac:dyDescent="0.45">
      <c r="B25" s="574">
        <f t="shared" si="1"/>
        <v>30</v>
      </c>
      <c r="C25" s="553" t="s">
        <v>8163</v>
      </c>
      <c r="D25" s="569">
        <v>1</v>
      </c>
      <c r="E25" s="569">
        <v>7</v>
      </c>
      <c r="F25" s="556">
        <f>IF(D25&gt;0,Q4-1,"")</f>
        <v>2016</v>
      </c>
      <c r="G25" s="554" t="s">
        <v>7936</v>
      </c>
      <c r="H25" s="569">
        <v>31</v>
      </c>
      <c r="I25" s="569">
        <v>7</v>
      </c>
      <c r="J25" s="555">
        <f>IF(H25&gt;0,Q4-1,"")</f>
        <v>2016</v>
      </c>
      <c r="K25" s="554">
        <f t="shared" si="3"/>
        <v>30</v>
      </c>
      <c r="L25" s="566">
        <f t="shared" si="2"/>
        <v>30</v>
      </c>
      <c r="M25" s="557">
        <v>16</v>
      </c>
      <c r="N25" s="558">
        <f>IF(AG6&gt;3,"",IF(OR(M25=0,M25="x",M25="-",M25=""),"",IF(ISERROR(VLOOKUP(M25,'C Horária'!C8:E23,2,FALSE)),"",VLOOKUP(M25,'C Horária'!C8:E23,2,FALSE))))</f>
        <v>108</v>
      </c>
      <c r="O25" s="668"/>
      <c r="P25" s="558">
        <f>IF(OR(D25="",M25=""),"",IF(OR(AG6=1,AG6=2,AG6=3),ROUND(N25/30*L25-O25,0),L25-O25))</f>
        <v>108</v>
      </c>
      <c r="Q25" s="557">
        <v>2</v>
      </c>
      <c r="R25" s="558">
        <f>IF(AG6&gt;3,"",IF(OR(Q25=0,Q25="x",Q25="-",Q25=""),"",IF(ISERROR(VLOOKUP(Q25,'C Horária'!G8:I23,2,FALSE)),"",VLOOKUP(Q25,'C Horária'!G8:I23,2,FALSE))))</f>
        <v>14</v>
      </c>
      <c r="S25" s="669"/>
      <c r="T25" s="558">
        <f>IF(OR(D25="",Q25=""),"",IF(OR(AG6=1,AG6=2,AG6=3),ROUND(R25/30*L25-S25,0),""))</f>
        <v>14</v>
      </c>
      <c r="U25" s="564" t="b">
        <f t="shared" si="0"/>
        <v>0</v>
      </c>
      <c r="V25" s="567">
        <f t="shared" si="4"/>
        <v>30</v>
      </c>
    </row>
    <row r="26" spans="2:22" ht="18" customHeight="1" thickBot="1" x14ac:dyDescent="0.45">
      <c r="B26" s="574">
        <f t="shared" si="1"/>
        <v>25</v>
      </c>
      <c r="C26" s="553" t="s">
        <v>8163</v>
      </c>
      <c r="D26" s="569">
        <v>1</v>
      </c>
      <c r="E26" s="569">
        <v>8</v>
      </c>
      <c r="F26" s="556">
        <f>IF(D26&gt;0,Q4-1,"")</f>
        <v>2016</v>
      </c>
      <c r="G26" s="554" t="s">
        <v>7936</v>
      </c>
      <c r="H26" s="569">
        <v>25</v>
      </c>
      <c r="I26" s="569">
        <v>8</v>
      </c>
      <c r="J26" s="555">
        <f>IF(H26&gt;0,Q4-1,"")</f>
        <v>2016</v>
      </c>
      <c r="K26" s="554">
        <f t="shared" si="3"/>
        <v>25</v>
      </c>
      <c r="L26" s="566">
        <f t="shared" si="2"/>
        <v>25</v>
      </c>
      <c r="M26" s="557">
        <v>16</v>
      </c>
      <c r="N26" s="558">
        <f>IF(AG6&gt;3,"",IF(OR(M26=0,M26="x",M26="-",M26=""),"",IF(ISERROR(VLOOKUP(M26,'C Horária'!C8:E23,2,FALSE)),"",VLOOKUP(M26,'C Horária'!C8:E23,2,FALSE))))</f>
        <v>108</v>
      </c>
      <c r="O26" s="668"/>
      <c r="P26" s="558">
        <f>IF(OR(D26="",M26=""),"",IF(OR(AG6=1,AG6=2,AG6=3),ROUND(N26/30*L26-O26,0),L26-O26))</f>
        <v>90</v>
      </c>
      <c r="Q26" s="557">
        <v>2</v>
      </c>
      <c r="R26" s="558">
        <f>IF(AG6&gt;3,"",IF(OR(Q26=0,Q26="x",Q26="-",Q26=""),"",IF(ISERROR(VLOOKUP(Q26,'C Horária'!G8:I23,2,FALSE)),"",VLOOKUP(Q26,'C Horária'!G8:I23,2,FALSE))))</f>
        <v>14</v>
      </c>
      <c r="S26" s="669">
        <v>4</v>
      </c>
      <c r="T26" s="558">
        <f>IF(OR(D26="",Q26=""),"",IF(OR(AG6=1,AG6=2,AG6=3),ROUND(R26/30*L26-S26,0),""))</f>
        <v>8</v>
      </c>
      <c r="U26" s="564" t="b">
        <f t="shared" si="0"/>
        <v>0</v>
      </c>
      <c r="V26" s="567">
        <f t="shared" si="4"/>
        <v>25</v>
      </c>
    </row>
    <row r="27" spans="2:22" ht="18" customHeight="1" thickBot="1" x14ac:dyDescent="0.45">
      <c r="B27" s="574">
        <f t="shared" si="1"/>
        <v>30</v>
      </c>
      <c r="C27" s="553" t="s">
        <v>8163</v>
      </c>
      <c r="D27" s="569">
        <v>14</v>
      </c>
      <c r="E27" s="569">
        <v>9</v>
      </c>
      <c r="F27" s="556">
        <f>IF(D27&gt;0,Q4-1,"")</f>
        <v>2016</v>
      </c>
      <c r="G27" s="554" t="s">
        <v>7936</v>
      </c>
      <c r="H27" s="569">
        <v>30</v>
      </c>
      <c r="I27" s="569">
        <v>9</v>
      </c>
      <c r="J27" s="555">
        <f>IF(H27&gt;0,Q4-1,"")</f>
        <v>2016</v>
      </c>
      <c r="K27" s="554">
        <f t="shared" si="3"/>
        <v>30</v>
      </c>
      <c r="L27" s="566">
        <f t="shared" si="2"/>
        <v>17</v>
      </c>
      <c r="M27" s="557">
        <v>16</v>
      </c>
      <c r="N27" s="558">
        <f>IF(AG6&gt;3,"",IF(OR(M27=0,M27="x",M27="-",M27=""),"",IF(ISERROR(VLOOKUP(M27,'C Horária'!C8:E23,2,FALSE)),"",VLOOKUP(M27,'C Horária'!C8:E23,2,FALSE))))</f>
        <v>108</v>
      </c>
      <c r="O27" s="668"/>
      <c r="P27" s="558">
        <f>IF(OR(D27="",M27=""),"",IF(OR(AG6=1,AG6=2,AG6=3),ROUND(N27/30*L27-O27,0),L27-O27))</f>
        <v>61</v>
      </c>
      <c r="Q27" s="557">
        <v>2</v>
      </c>
      <c r="R27" s="558">
        <f>IF(AG6&gt;3,"",IF(OR(Q27=0,Q27="x",Q27="-",Q27=""),"",IF(ISERROR(VLOOKUP(Q27,'C Horária'!G8:I23,2,FALSE)),"",VLOOKUP(Q27,'C Horária'!G8:I23,2,FALSE))))</f>
        <v>14</v>
      </c>
      <c r="S27" s="669">
        <v>8</v>
      </c>
      <c r="T27" s="558">
        <f>IF(OR(D27="",Q27=""),"",IF(OR(AG6=1,AG6=2,AG6=3),ROUND(R27/30*L27-S27,0),""))</f>
        <v>0</v>
      </c>
      <c r="U27" s="564" t="b">
        <f t="shared" si="0"/>
        <v>0</v>
      </c>
      <c r="V27" s="567">
        <f t="shared" si="4"/>
        <v>17</v>
      </c>
    </row>
    <row r="28" spans="2:22" ht="18" customHeight="1" thickBot="1" x14ac:dyDescent="0.45">
      <c r="B28" s="574">
        <f t="shared" si="1"/>
        <v>30</v>
      </c>
      <c r="C28" s="553" t="s">
        <v>8163</v>
      </c>
      <c r="D28" s="569">
        <v>1</v>
      </c>
      <c r="E28" s="569">
        <v>10</v>
      </c>
      <c r="F28" s="556">
        <f>IF(D28&gt;0,Q4-1,"")</f>
        <v>2016</v>
      </c>
      <c r="G28" s="554" t="s">
        <v>7936</v>
      </c>
      <c r="H28" s="569">
        <v>31</v>
      </c>
      <c r="I28" s="569">
        <v>10</v>
      </c>
      <c r="J28" s="555">
        <f>IF(H28&gt;0,Q4-1,"")</f>
        <v>2016</v>
      </c>
      <c r="K28" s="554">
        <f t="shared" si="3"/>
        <v>30</v>
      </c>
      <c r="L28" s="566">
        <f t="shared" si="2"/>
        <v>30</v>
      </c>
      <c r="M28" s="557">
        <v>16</v>
      </c>
      <c r="N28" s="558">
        <f>IF(AG6&gt;3,"",IF(OR(M28=0,M28="x",M28="-",M28=""),"",IF(ISERROR(VLOOKUP(M28,'C Horária'!C8:E23,2,FALSE)),"",VLOOKUP(M28,'C Horária'!C8:E23,2,FALSE))))</f>
        <v>108</v>
      </c>
      <c r="O28" s="668"/>
      <c r="P28" s="558">
        <f>IF(OR(D28="",M28=""),"",IF(OR(AG6=1,AG6=2,AG6=3),ROUND(N28/30*L28-O28,0),L28-O28))</f>
        <v>108</v>
      </c>
      <c r="Q28" s="557">
        <v>2</v>
      </c>
      <c r="R28" s="558">
        <f>IF(AG6&gt;3,"",IF(OR(Q28=0,Q28="x",Q28="-",Q28=""),"",IF(ISERROR(VLOOKUP(Q28,'C Horária'!G8:I23,2,FALSE)),"",VLOOKUP(Q28,'C Horária'!G8:I23,2,FALSE))))</f>
        <v>14</v>
      </c>
      <c r="S28" s="669"/>
      <c r="T28" s="558">
        <f>IF(OR(D28="",Q28=""),"",IF(OR(AG6=1,AG6=2,AG6=3),ROUND(R28/30*L28-S28,0),""))</f>
        <v>14</v>
      </c>
      <c r="U28" s="564" t="b">
        <f t="shared" si="0"/>
        <v>0</v>
      </c>
      <c r="V28" s="567">
        <f t="shared" si="4"/>
        <v>30</v>
      </c>
    </row>
    <row r="29" spans="2:22" ht="18" customHeight="1" thickBot="1" x14ac:dyDescent="0.45">
      <c r="B29" s="574">
        <f t="shared" si="1"/>
        <v>30</v>
      </c>
      <c r="C29" s="553" t="s">
        <v>8163</v>
      </c>
      <c r="D29" s="569">
        <v>1</v>
      </c>
      <c r="E29" s="569">
        <v>11</v>
      </c>
      <c r="F29" s="556">
        <f>IF(D29&gt;0,Q4-1,"")</f>
        <v>2016</v>
      </c>
      <c r="G29" s="554" t="s">
        <v>7936</v>
      </c>
      <c r="H29" s="569">
        <v>30</v>
      </c>
      <c r="I29" s="569">
        <v>11</v>
      </c>
      <c r="J29" s="555">
        <f>IF(H29&gt;0,Q4-1,"")</f>
        <v>2016</v>
      </c>
      <c r="K29" s="554">
        <f t="shared" si="3"/>
        <v>30</v>
      </c>
      <c r="L29" s="566">
        <f t="shared" si="2"/>
        <v>30</v>
      </c>
      <c r="M29" s="557">
        <v>16</v>
      </c>
      <c r="N29" s="558">
        <f>IF(AG6&gt;3,"",IF(OR(M29=0,M29="x",M29="-",M29=""),"",IF(ISERROR(VLOOKUP(M29,'C Horária'!C8:E23,2,FALSE)),"",VLOOKUP(M29,'C Horária'!C8:E23,2,FALSE))))</f>
        <v>108</v>
      </c>
      <c r="O29" s="668"/>
      <c r="P29" s="558">
        <f>IF(OR(D29="",M29=""),"",IF(OR(AG6=1,AG6=2,AG6=3),ROUND(N29/30*L29-O29,0),L29-O29))</f>
        <v>108</v>
      </c>
      <c r="Q29" s="557">
        <v>2</v>
      </c>
      <c r="R29" s="558">
        <f>IF(AG6&gt;3,"",IF(OR(Q29=0,Q29="x",Q29="-",Q29=""),"",IF(ISERROR(VLOOKUP(Q29,'C Horária'!G8:I23,2,FALSE)),"",VLOOKUP(Q29,'C Horária'!G8:I23,2,FALSE))))</f>
        <v>14</v>
      </c>
      <c r="S29" s="669"/>
      <c r="T29" s="558">
        <f>IF(OR(D29="",Q29=""),"",IF(OR(AG6=1,AG6=2,AG6=3),ROUND(R29/30*L29-S29,0),""))</f>
        <v>14</v>
      </c>
      <c r="U29" s="564" t="b">
        <f t="shared" si="0"/>
        <v>0</v>
      </c>
      <c r="V29" s="567">
        <f t="shared" si="4"/>
        <v>30</v>
      </c>
    </row>
    <row r="30" spans="2:22" ht="18" customHeight="1" thickBot="1" x14ac:dyDescent="0.45">
      <c r="B30" s="574">
        <f t="shared" si="1"/>
        <v>30</v>
      </c>
      <c r="C30" s="553" t="s">
        <v>8163</v>
      </c>
      <c r="D30" s="569">
        <v>1</v>
      </c>
      <c r="E30" s="569">
        <v>12</v>
      </c>
      <c r="F30" s="556">
        <f>IF(D30&gt;0,Q4-1,"")</f>
        <v>2016</v>
      </c>
      <c r="G30" s="554" t="s">
        <v>7936</v>
      </c>
      <c r="H30" s="569">
        <v>31</v>
      </c>
      <c r="I30" s="569">
        <v>12</v>
      </c>
      <c r="J30" s="555">
        <f>IF(H30&gt;0,Q4-1,"")</f>
        <v>2016</v>
      </c>
      <c r="K30" s="554">
        <f t="shared" si="3"/>
        <v>30</v>
      </c>
      <c r="L30" s="566">
        <f t="shared" si="2"/>
        <v>30</v>
      </c>
      <c r="M30" s="557">
        <v>16</v>
      </c>
      <c r="N30" s="558">
        <f>IF(AG6&gt;3,"",IF(OR(M30=0,M30="x",M30="-",M30=""),"",IF(ISERROR(VLOOKUP(M30,'C Horária'!C8:E23,2,FALSE)),"",VLOOKUP(M30,'C Horária'!C8:E23,2,FALSE))))</f>
        <v>108</v>
      </c>
      <c r="O30" s="668"/>
      <c r="P30" s="558">
        <f>IF(OR(D30="",M30=""),"",IF(OR(AG6=1,AG6=2,AG6=3),ROUND(N30/30*L30-O30,0),L30-O30))</f>
        <v>108</v>
      </c>
      <c r="Q30" s="557">
        <v>2</v>
      </c>
      <c r="R30" s="558">
        <f>IF(AG6&gt;3,"",IF(OR(Q30=0,Q30="x",Q30="-",Q30=""),"",IF(ISERROR(VLOOKUP(Q30,'C Horária'!G8:I23,2,FALSE)),"",VLOOKUP(Q30,'C Horária'!G8:I23,2,FALSE))))</f>
        <v>14</v>
      </c>
      <c r="S30" s="669"/>
      <c r="T30" s="558">
        <f>IF(OR(D30="",Q30=""),"",IF(OR(AG6=1,AG6=2,AG6=3),ROUND(R30/30*L30-S30,0),""))</f>
        <v>14</v>
      </c>
      <c r="U30" s="564" t="b">
        <f t="shared" si="0"/>
        <v>0</v>
      </c>
      <c r="V30" s="567">
        <f t="shared" si="4"/>
        <v>30</v>
      </c>
    </row>
    <row r="31" spans="2:22" ht="18" customHeight="1" thickBot="1" x14ac:dyDescent="0.45">
      <c r="B31" s="574" t="str">
        <f t="shared" si="1"/>
        <v/>
      </c>
      <c r="C31" s="553" t="s">
        <v>8163</v>
      </c>
      <c r="D31" s="569"/>
      <c r="E31" s="569"/>
      <c r="F31" s="556" t="str">
        <f>IF(D31&gt;0,Q4-1,"")</f>
        <v/>
      </c>
      <c r="G31" s="554" t="s">
        <v>7936</v>
      </c>
      <c r="H31" s="569"/>
      <c r="I31" s="569"/>
      <c r="J31" s="555" t="str">
        <f>IF(H31&gt;0,Q4-1,"")</f>
        <v/>
      </c>
      <c r="K31" s="554" t="str">
        <f t="shared" si="3"/>
        <v/>
      </c>
      <c r="L31" s="566" t="str">
        <f t="shared" si="2"/>
        <v/>
      </c>
      <c r="M31" s="557"/>
      <c r="N31" s="558" t="str">
        <f>IF(AG6&gt;3,"",IF(OR(M31=0,M31="x",M31="-",M31=""),"",IF(ISERROR(VLOOKUP(M31,'C Horária'!C8:E23,2,FALSE)),"",VLOOKUP(M31,'C Horária'!C8:E23,2,FALSE))))</f>
        <v/>
      </c>
      <c r="O31" s="668"/>
      <c r="P31" s="558" t="str">
        <f>IF(OR(D31="",M31=""),"",IF(OR(AG6=1,AG6=2,AG6=3),ROUND(N31/30*L31-O31,0),L31-O31))</f>
        <v/>
      </c>
      <c r="Q31" s="557"/>
      <c r="R31" s="558" t="str">
        <f>IF(AG6&gt;3,"",IF(OR(Q31=0,Q31="x",Q31="-",Q31=""),"",IF(ISERROR(VLOOKUP(Q31,'C Horária'!G8:I23,2,FALSE)),"",VLOOKUP(Q31,'C Horária'!G8:I23,2,FALSE))))</f>
        <v/>
      </c>
      <c r="S31" s="669"/>
      <c r="T31" s="558" t="str">
        <f>IF(OR(D31="",Q31=""),"",IF(OR(AG6=1,AG6=2,AG6=3),ROUND(R31/30*L31-S31,0),""))</f>
        <v/>
      </c>
      <c r="U31" s="564" t="str">
        <f t="shared" si="0"/>
        <v/>
      </c>
      <c r="V31" s="567" t="str">
        <f t="shared" si="4"/>
        <v/>
      </c>
    </row>
    <row r="32" spans="2:22" ht="18" customHeight="1" thickBot="1" x14ac:dyDescent="0.45">
      <c r="B32" s="574" t="str">
        <f t="shared" si="1"/>
        <v/>
      </c>
      <c r="C32" s="553" t="s">
        <v>8163</v>
      </c>
      <c r="D32" s="569"/>
      <c r="E32" s="569"/>
      <c r="F32" s="556" t="str">
        <f>IF(D32&gt;0,Q4-1,"")</f>
        <v/>
      </c>
      <c r="G32" s="554" t="s">
        <v>7936</v>
      </c>
      <c r="H32" s="569"/>
      <c r="I32" s="569"/>
      <c r="J32" s="555" t="str">
        <f>IF(H32&gt;0,Q4-1,"")</f>
        <v/>
      </c>
      <c r="K32" s="554" t="str">
        <f t="shared" si="3"/>
        <v/>
      </c>
      <c r="L32" s="566" t="str">
        <f t="shared" si="2"/>
        <v/>
      </c>
      <c r="M32" s="557"/>
      <c r="N32" s="558" t="str">
        <f>IF(AG6&gt;3,"",IF(OR(M32=0,M32="x",M32="-",M32=""),"",IF(ISERROR(VLOOKUP(M32,'C Horária'!C8:E23,2,FALSE)),"",VLOOKUP(M32,'C Horária'!C8:E23,2,FALSE))))</f>
        <v/>
      </c>
      <c r="O32" s="668" t="str">
        <f>IF(N32="","",(N32/30)*L32)</f>
        <v/>
      </c>
      <c r="P32" s="558" t="str">
        <f>IF(OR(D32="",M32=""),"",IF(OR(AG6=1,AG6=2,AG6=3),ROUND(N32/30*L32-O32,0),L32-O32))</f>
        <v/>
      </c>
      <c r="Q32" s="557"/>
      <c r="R32" s="558" t="str">
        <f>IF(AG6&gt;3,"",IF(OR(Q32=0,Q32="x",Q32="-",Q32=""),"",IF(ISERROR(VLOOKUP(Q32,'C Horária'!G8:I23,2,FALSE)),"",VLOOKUP(Q32,'C Horária'!G8:I23,2,FALSE))))</f>
        <v/>
      </c>
      <c r="S32" s="669" t="str">
        <f>IF(R32="","",(R32/30)*L32)</f>
        <v/>
      </c>
      <c r="T32" s="558" t="str">
        <f>IF(OR(D32="",Q32=""),"",IF(OR(AG6=1,AG6=2,AG6=3),ROUND(R32/30*L32-S32,0),""))</f>
        <v/>
      </c>
      <c r="U32" s="564" t="str">
        <f t="shared" si="0"/>
        <v/>
      </c>
      <c r="V32" s="567" t="str">
        <f t="shared" si="4"/>
        <v/>
      </c>
    </row>
    <row r="33" spans="2:40" ht="18" customHeight="1" thickBot="1" x14ac:dyDescent="0.45">
      <c r="B33" s="574" t="str">
        <f t="shared" si="1"/>
        <v/>
      </c>
      <c r="C33" s="553" t="s">
        <v>8163</v>
      </c>
      <c r="D33" s="569"/>
      <c r="E33" s="569"/>
      <c r="F33" s="556" t="str">
        <f>IF(D33&gt;0,Q4-1,"")</f>
        <v/>
      </c>
      <c r="G33" s="554" t="s">
        <v>7936</v>
      </c>
      <c r="H33" s="569"/>
      <c r="I33" s="569"/>
      <c r="J33" s="555" t="str">
        <f>IF(H33&gt;0,Q4-1,"")</f>
        <v/>
      </c>
      <c r="K33" s="554" t="str">
        <f t="shared" si="3"/>
        <v/>
      </c>
      <c r="L33" s="566" t="str">
        <f t="shared" si="2"/>
        <v/>
      </c>
      <c r="M33" s="557"/>
      <c r="N33" s="558" t="str">
        <f>IF(AG6&gt;3,"",IF(OR(M33=0,M33="x",M33="-",M33=""),"",IF(ISERROR(VLOOKUP(M33,'C Horária'!C8:E23,2,FALSE)),"",VLOOKUP(M33,'C Horária'!C8:E23,2,FALSE))))</f>
        <v/>
      </c>
      <c r="O33" s="668" t="str">
        <f>IF(N33="","",(N33/30)*L33)</f>
        <v/>
      </c>
      <c r="P33" s="558" t="str">
        <f>IF(OR(D33="",M33=""),"",IF(OR(AG6=1,AG6=2,AG6=3),ROUND(N33/30*L33-O33,0),L33-O33))</f>
        <v/>
      </c>
      <c r="Q33" s="557"/>
      <c r="R33" s="558" t="str">
        <f>IF(AG6&gt;3,"",IF(OR(Q33=0,Q33="x",Q33="-",Q33=""),"",IF(ISERROR(VLOOKUP(Q33,'C Horária'!G8:I23,2,FALSE)),"",VLOOKUP(Q33,'C Horária'!G8:I23,2,FALSE))))</f>
        <v/>
      </c>
      <c r="S33" s="669" t="str">
        <f>IF(R33="","",(R33/30)*L33)</f>
        <v/>
      </c>
      <c r="T33" s="558" t="str">
        <f>IF(OR(D33="",Q33=""),"",IF(OR(AG6=1,AG6=2,AG6=3),ROUND(R33/30*L33-S33,0),""))</f>
        <v/>
      </c>
      <c r="U33" s="564" t="str">
        <f t="shared" si="0"/>
        <v/>
      </c>
      <c r="V33" s="567" t="str">
        <f t="shared" si="4"/>
        <v/>
      </c>
    </row>
    <row r="34" spans="2:40" ht="18" customHeight="1" thickBot="1" x14ac:dyDescent="0.45">
      <c r="B34" s="574" t="str">
        <f t="shared" si="1"/>
        <v/>
      </c>
      <c r="C34" s="553" t="s">
        <v>8163</v>
      </c>
      <c r="D34" s="569"/>
      <c r="E34" s="569"/>
      <c r="F34" s="556" t="str">
        <f>IF(D34&gt;0,Q4-1,"")</f>
        <v/>
      </c>
      <c r="G34" s="554" t="s">
        <v>7936</v>
      </c>
      <c r="H34" s="569"/>
      <c r="I34" s="569"/>
      <c r="J34" s="555" t="str">
        <f>IF(H34&gt;0,Q4-1,"")</f>
        <v/>
      </c>
      <c r="K34" s="554" t="str">
        <f t="shared" si="3"/>
        <v/>
      </c>
      <c r="L34" s="566" t="str">
        <f t="shared" si="2"/>
        <v/>
      </c>
      <c r="M34" s="557"/>
      <c r="N34" s="558" t="str">
        <f>IF(AG6&gt;3,"",IF(OR(M34=0,M34="x",M34="-",M34=""),"",IF(ISERROR(VLOOKUP(M34,'C Horária'!C8:E23,2,FALSE)),"",VLOOKUP(M34,'C Horária'!C8:E23,2,FALSE))))</f>
        <v/>
      </c>
      <c r="O34" s="668" t="str">
        <f>IF(N34="","",(N34/30)*L34)</f>
        <v/>
      </c>
      <c r="P34" s="558" t="str">
        <f>IF(OR(D34="",M34=""),"",IF(OR(AG6=1,AG6=2,AG6=3),ROUND(N34/30*L34-O34,0),L34-O34))</f>
        <v/>
      </c>
      <c r="Q34" s="557"/>
      <c r="R34" s="558" t="str">
        <f>IF(AG6&gt;3,"",IF(OR(Q34=0,Q34="x",Q34="-",Q34=""),"",IF(ISERROR(VLOOKUP(Q34,'C Horária'!G8:I23,2,FALSE)),"",VLOOKUP(Q34,'C Horária'!G8:I23,2,FALSE))))</f>
        <v/>
      </c>
      <c r="S34" s="669" t="str">
        <f>IF(R34="","",(R34/30)*L34)</f>
        <v/>
      </c>
      <c r="T34" s="558" t="str">
        <f>IF(OR(D34="",Q34=""),"",IF(OR(AG6=1,AG6=2,AG6=3),ROUND(R34/30*L34-S34,0),""))</f>
        <v/>
      </c>
      <c r="U34" s="564" t="str">
        <f t="shared" si="0"/>
        <v/>
      </c>
      <c r="V34" s="567" t="str">
        <f t="shared" si="4"/>
        <v/>
      </c>
    </row>
    <row r="35" spans="2:40" ht="18" customHeight="1" thickBot="1" x14ac:dyDescent="0.45">
      <c r="B35" s="629"/>
      <c r="C35" s="914">
        <f>SUMIF(E20:E34,2,M20:M34)</f>
        <v>16</v>
      </c>
      <c r="D35" s="913">
        <f>COUNTIF(E20:E34,2)</f>
        <v>1</v>
      </c>
      <c r="E35" s="913">
        <f>C35/D35</f>
        <v>16</v>
      </c>
      <c r="F35" s="914">
        <f>SUMIF(E20:E34,3,M20:M34)</f>
        <v>16</v>
      </c>
      <c r="G35" s="913">
        <f>COUNTIF(E20:E34,3)</f>
        <v>1</v>
      </c>
      <c r="H35" s="913">
        <f>F35/G35</f>
        <v>16</v>
      </c>
      <c r="I35" s="913">
        <f>SUMIF(E20:E34,4,M20:M34)</f>
        <v>16</v>
      </c>
      <c r="J35" s="913">
        <f>COUNTIF(E20:E34,4)</f>
        <v>1</v>
      </c>
      <c r="K35" s="913">
        <f>I35/J35</f>
        <v>16</v>
      </c>
      <c r="L35" s="566">
        <f>SUM(L20:L34)</f>
        <v>312</v>
      </c>
      <c r="M35" s="566">
        <f>((I20-E20+1)*(M20)+(E21-I21+1)*(M21)+(I22-E22+1)*(M22)+(E23-I23+1)*(M23)+(I24-E24+1)*(M24)+(E25-I25+1)*(M25)+(I26-E26+1)*(M26)+(E27-I27+1)*(M27)+(I28-E28+1)*(M28)+(E29-I29+1)*(M29)+(I30-E30+1)*(M30)+(E31-I31+1)*(M31)+(I32-E32+1)*(M32)+(E33-I33+1)*(M33)+(E34-I34+1)*(M34))</f>
        <v>176</v>
      </c>
      <c r="N35" s="566"/>
      <c r="O35" s="566"/>
      <c r="P35" s="568">
        <f>SUM(P20:P34)</f>
        <v>1123</v>
      </c>
      <c r="Q35" s="566">
        <f>((I20-E20+1)*(Q20)+(E21-I21+1)*(Q21)+(I22-E22+1)*(Q22)+(E23-I23+1)*(Q23)+(I24-E24+1)*(Q24)+(E25-I25+1)*(Q25)+(I26-E26+1)*(Q26)+(E27-I27+1)*(Q27)+(I28-E28+1)*(Q28)+(E29-I29+1)*(Q29)+(I30-E30+1)*(Q30)+(E31-I31+1)*(Q31)+(I32-E32+1)*(Q32)+(E33-I33+1)*(Q33)+(E34-I34+1)*(Q34))</f>
        <v>22</v>
      </c>
      <c r="R35" s="566" t="e">
        <f>((J20-F20+1)*(R20)+(F21-J21+1)*(R21)+(J22-F22+1)*(R22)+(F23-J23+1)*(R23)+(J24-F24+1)*(R24)+(F25-J25+1)*(R25)+(J26-F26+1)*(R26)+(F27-J27+1)*(R27)+(J28-F28+1)*(R28)+(F29-J29+1)*(R29)+(J30-F30+1)*(R30)+(F31-J31+1)*(R31)+(J32-F32+1)*(R32)+(F33-J33+1)*(R33)+(F34-J34+1)*(R34))</f>
        <v>#VALUE!</v>
      </c>
      <c r="S35" s="566" t="e">
        <f>((K20-G20+1)*(S20)+(G21-K21+1)*(S21)+(K22-G22+1)*(S22)+(G23-K23+1)*(S23)+(K24-G24+1)*(S24)+(G25-K25+1)*(S25)+(K26-G26+1)*(S26)+(G27-K27+1)*(S27)+(K28-G28+1)*(S28)+(G29-K29+1)*(S29)+(K30-G30+1)*(S30)+(G31-K31+1)*(S31)+(K32-G32+1)*(S32)+(G33-K33+1)*(S33)+(G34-K34+1)*(S34))</f>
        <v>#VALUE!</v>
      </c>
      <c r="T35" s="566" t="e">
        <f>((L20-H20+1)*(T20)+(H21-L21+1)*(T21)+(L22-H22+1)*(T22)+(H23-L23+1)*(T23)+(L24-H24+1)*(T24)+(H25-L25+1)*(T25)+(L26-H26+1)*(T26)+(H27-L27+1)*(T27)+(L28-H28+1)*(T28)+(H29-L29+1)*(T29)+(L30-H30+1)*(T30)+(H31-L31+1)*(T31)+(L32-H32+1)*(T32)+(H33-L33+1)*(T33)+(H34-L34+1)*(T34))</f>
        <v>#VALUE!</v>
      </c>
      <c r="U35" s="622"/>
      <c r="V35" s="631"/>
    </row>
    <row r="36" spans="2:40" ht="18" customHeight="1" thickBot="1" x14ac:dyDescent="0.45">
      <c r="B36" s="629"/>
      <c r="C36" s="915">
        <f>SUMIF(E20:E34,5,M20:M34)</f>
        <v>16</v>
      </c>
      <c r="D36" s="566">
        <f>COUNTIF(E20:E34,5)</f>
        <v>1</v>
      </c>
      <c r="E36" s="566">
        <f>C36/D36</f>
        <v>16</v>
      </c>
      <c r="F36" s="566">
        <f>SUMIF(E20:E34,6,M20:M34)</f>
        <v>16</v>
      </c>
      <c r="G36" s="566">
        <f>COUNTIF(E20:E34,6)</f>
        <v>1</v>
      </c>
      <c r="H36" s="566">
        <f>F36/G36</f>
        <v>16</v>
      </c>
      <c r="I36" s="566">
        <f>SUMIF(E20:E34,7,M20:M34)</f>
        <v>16</v>
      </c>
      <c r="J36" s="566">
        <f>COUNTIF(E20:E34,7)</f>
        <v>1</v>
      </c>
      <c r="K36" s="566">
        <f>I36/J36</f>
        <v>16</v>
      </c>
      <c r="L36" s="566">
        <v>11</v>
      </c>
      <c r="M36" s="566">
        <v>11</v>
      </c>
      <c r="N36" s="570"/>
      <c r="O36" s="571"/>
      <c r="P36" s="572">
        <v>11</v>
      </c>
      <c r="Q36" s="566">
        <v>11</v>
      </c>
      <c r="R36" s="566">
        <v>11</v>
      </c>
      <c r="S36" s="566">
        <v>11</v>
      </c>
      <c r="T36" s="566">
        <v>11</v>
      </c>
      <c r="U36" s="573"/>
      <c r="V36" s="631"/>
    </row>
    <row r="37" spans="2:40" ht="18" customHeight="1" thickBot="1" x14ac:dyDescent="0.45">
      <c r="B37" s="629"/>
      <c r="C37" s="916">
        <f>SUMIF(E20:E34,8,M20:M34)</f>
        <v>16</v>
      </c>
      <c r="D37" s="917">
        <f>COUNTIF(E20:E34,8)</f>
        <v>1</v>
      </c>
      <c r="E37" s="917">
        <f>C37/D37</f>
        <v>16</v>
      </c>
      <c r="F37" s="917">
        <f>SUMIF(E20:E34,9,M20:M34)</f>
        <v>16</v>
      </c>
      <c r="G37" s="917">
        <f>COUNTIF(E20:E34,9)</f>
        <v>1</v>
      </c>
      <c r="H37" s="917">
        <f>F37/G37</f>
        <v>16</v>
      </c>
      <c r="I37" s="917">
        <f>SUMIF(E20:E34,10,M20:M34)</f>
        <v>16</v>
      </c>
      <c r="J37" s="917">
        <f>COUNTIF(E20:E34,10)</f>
        <v>1</v>
      </c>
      <c r="K37" s="917">
        <f>I37/J37</f>
        <v>16</v>
      </c>
      <c r="L37" s="621">
        <f>ROUND(L35/L36,0)</f>
        <v>28</v>
      </c>
      <c r="M37" s="621">
        <f>ROUND(M35/M36,0)</f>
        <v>16</v>
      </c>
      <c r="N37" s="621"/>
      <c r="O37" s="621"/>
      <c r="P37" s="621">
        <f>ROUND(P35/P36,0)</f>
        <v>102</v>
      </c>
      <c r="Q37" s="621">
        <f>IF(Q35=0,"",ROUND(Q35/Q36,0))</f>
        <v>2</v>
      </c>
      <c r="R37" s="908" t="e">
        <f>IF(R35=0,"",ROUND(R35/R36,0))</f>
        <v>#VALUE!</v>
      </c>
      <c r="S37" s="908" t="e">
        <f>IF(S35=0,"",ROUND(S35/S36,0))</f>
        <v>#VALUE!</v>
      </c>
      <c r="T37" s="908" t="e">
        <f>IF(T35=0,"",ROUND(T35/T36,0))</f>
        <v>#VALUE!</v>
      </c>
      <c r="U37" s="622"/>
      <c r="V37" s="631"/>
    </row>
    <row r="38" spans="2:40" ht="18" customHeight="1" thickBot="1" x14ac:dyDescent="0.45">
      <c r="B38" s="911"/>
      <c r="C38" s="916">
        <f>SUMIF(E20:E34,11,M20:M34)</f>
        <v>16</v>
      </c>
      <c r="D38" s="917">
        <f>COUNTIF(E20:E34,11)</f>
        <v>1</v>
      </c>
      <c r="E38" s="917">
        <f>C38/D38</f>
        <v>16</v>
      </c>
      <c r="F38" s="917">
        <f>SUMIF(E20:E34,12,M20:M34)</f>
        <v>16</v>
      </c>
      <c r="G38" s="917">
        <f>COUNTIF(E20:E34,12)</f>
        <v>1</v>
      </c>
      <c r="H38" s="917">
        <f>F38/G38</f>
        <v>16</v>
      </c>
      <c r="I38" s="917"/>
      <c r="J38" s="917"/>
      <c r="K38" s="917"/>
      <c r="L38" s="909"/>
      <c r="M38" s="909"/>
      <c r="N38" s="909"/>
      <c r="O38" s="909"/>
      <c r="P38" s="909"/>
      <c r="Q38" s="909"/>
      <c r="R38" s="909"/>
      <c r="S38" s="909"/>
      <c r="T38" s="909"/>
      <c r="U38" s="910"/>
      <c r="V38" s="912"/>
    </row>
    <row r="39" spans="2:40" ht="3" customHeight="1" thickBot="1" x14ac:dyDescent="0.45">
      <c r="B39" s="629"/>
      <c r="C39" s="620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2"/>
      <c r="V39" s="631"/>
    </row>
    <row r="40" spans="2:40" ht="15.95" customHeight="1" thickBot="1" x14ac:dyDescent="0.45">
      <c r="B40" s="629"/>
      <c r="C40" s="1617" t="str">
        <f>IF(AG6&gt;3,"","Tipo de Aulas")</f>
        <v>Tipo de Aulas</v>
      </c>
      <c r="D40" s="1618"/>
      <c r="E40" s="1618"/>
      <c r="F40" s="152" t="str">
        <f>IF(AG6&gt;3,"","N.º")</f>
        <v>N.º</v>
      </c>
      <c r="G40" s="1619" t="str">
        <f>IF(AG6&gt;3,"","Mensal")</f>
        <v>Mensal</v>
      </c>
      <c r="H40" s="1619"/>
      <c r="I40" s="1619" t="str">
        <f>IF(AG6&gt;3,"","Diária")</f>
        <v>Diária</v>
      </c>
      <c r="J40" s="1619"/>
      <c r="K40" s="326" t="str">
        <f>IF(AG6&gt;3,"","Total")</f>
        <v>Total</v>
      </c>
      <c r="L40" s="1620" t="str">
        <f>IF(AG6&gt;3,"","Com Contribuição")</f>
        <v>Com Contribuição</v>
      </c>
      <c r="M40" s="1621"/>
      <c r="N40" s="1622"/>
      <c r="O40" s="1623" t="str">
        <f>IF(AG6&gt;3,"","A Pagar")</f>
        <v>A Pagar</v>
      </c>
      <c r="P40" s="1624"/>
      <c r="Q40" s="1619" t="s">
        <v>391</v>
      </c>
      <c r="R40" s="1619"/>
      <c r="S40" s="1602" t="s">
        <v>392</v>
      </c>
      <c r="T40" s="1603"/>
      <c r="U40" s="345" t="str">
        <f>IF(AG6&gt;3,"","Cód.")</f>
        <v>Cód.</v>
      </c>
      <c r="V40" s="631"/>
    </row>
    <row r="41" spans="2:40" ht="18" customHeight="1" thickTop="1" thickBot="1" x14ac:dyDescent="0.45">
      <c r="B41" s="629"/>
      <c r="C41" s="2735" t="str">
        <f>IF(AG6&gt;3,"","Obrigatórias:")</f>
        <v>Obrigatórias:</v>
      </c>
      <c r="D41" s="2736"/>
      <c r="E41" s="2736"/>
      <c r="F41" s="639">
        <v>16</v>
      </c>
      <c r="G41" s="2737">
        <f>IF(AG6&gt;3,"",IF(OR(F41=0,F41="x",F41="-"),"",IF(ISERROR(VLOOKUP(F41,'C Horária'!C8:E23,2,FALSE)),"",VLOOKUP(F41,'C Horária'!C8:E23,2,FALSE))))</f>
        <v>108</v>
      </c>
      <c r="H41" s="2737"/>
      <c r="I41" s="2738">
        <f>IF(AG6&gt;3,"",IF(OR(F41=0,F41=""),"",IF(F41="x","",IF(F41="-","",G41/30))))</f>
        <v>3.6</v>
      </c>
      <c r="J41" s="2738"/>
      <c r="K41" s="334" t="str">
        <f>IF(OR(F41="",F41="X",F41="-",F41=0),"",IF(AG6&gt;3,"",IF(I41*U14&lt;100,LEFT(I41*U14,4),LEFT(I41*U14,5))))</f>
        <v>79,2</v>
      </c>
      <c r="L41" s="2739"/>
      <c r="M41" s="2740"/>
      <c r="N41" s="2741"/>
      <c r="O41" s="2742">
        <f>IF(G41="","",E16*I41*U14)</f>
        <v>1453.8626666666667</v>
      </c>
      <c r="P41" s="2743"/>
      <c r="Q41" s="2744" t="str">
        <f>IF(O41="","",IF(OR(AG6=1,AG6=2),"2707","2705"))</f>
        <v>2707</v>
      </c>
      <c r="R41" s="2745"/>
      <c r="S41" s="2746"/>
      <c r="T41" s="2747"/>
      <c r="U41" s="640"/>
      <c r="V41" s="631"/>
      <c r="X41" s="337"/>
      <c r="Y41" s="1600" t="s">
        <v>7999</v>
      </c>
      <c r="Z41" s="1600"/>
      <c r="AA41" s="1600"/>
      <c r="AB41" s="1600"/>
      <c r="AC41" s="1600"/>
      <c r="AD41" s="1600" t="str">
        <f>IF(AH41=1,"AULAS", IF(AH41=2,"TURMAS"))</f>
        <v>AULAS</v>
      </c>
      <c r="AE41" s="1600"/>
      <c r="AF41" s="1600"/>
      <c r="AG41" s="1600"/>
      <c r="AH41" s="1600">
        <v>1</v>
      </c>
      <c r="AI41" s="1600"/>
      <c r="AJ41" s="1600"/>
      <c r="AK41" s="1600"/>
      <c r="AL41" s="338"/>
    </row>
    <row r="42" spans="2:40" ht="18" customHeight="1" thickTop="1" x14ac:dyDescent="0.4">
      <c r="B42" s="629"/>
      <c r="C42" s="2724" t="str">
        <f>IF(AND(F41&lt;16,F41&gt;0,AG6=1),"",IF(AND(F41&lt;16,F41&gt;0,AG6=2),"",IF(AG6&gt;3,"",IF(AND(F41&lt;16,F41&gt;0,Y54="DESIGNADO"),"","Exig. Curricular:"))))</f>
        <v>Exig. Curricular:</v>
      </c>
      <c r="D42" s="2725"/>
      <c r="E42" s="2725"/>
      <c r="F42" s="639">
        <v>4</v>
      </c>
      <c r="G42" s="2726">
        <f>IF(C42="","",IF(AG6&gt;3,"",IF(AND(F41&lt;16,F41&gt;0,Y54="DESIGNADO"),"",IF(ISERROR(VLOOKUP(F42,'C Horária'!G8:I12,2,FALSE)),"",VLOOKUP(F42,'C Horária'!G8:I12,2,FALSE)))))</f>
        <v>27</v>
      </c>
      <c r="H42" s="2726"/>
      <c r="I42" s="2727">
        <f>IF(AG6&gt;3,"",IF(G42="","",IF(F42=0,"",IF(F42="","",IF(F42&gt;0,G42/30)))))</f>
        <v>0.9</v>
      </c>
      <c r="J42" s="2727"/>
      <c r="K42" s="335" t="str">
        <f>IF(OR(I42="",F42="",F42="X",F42="-",F42=0),"",IF(AG6&gt;3,"",IF(I42*U14&lt;10,LEFT(I42*U14,3),LEFT(I42*U14,4))))</f>
        <v>19,8</v>
      </c>
      <c r="L42" s="2728"/>
      <c r="M42" s="2729"/>
      <c r="N42" s="2730"/>
      <c r="O42" s="2731">
        <f>IF(G42="","",E16*I42*U14)</f>
        <v>363.46566666666666</v>
      </c>
      <c r="P42" s="2732"/>
      <c r="Q42" s="2733" t="str">
        <f>IF(O42="","",IF(OR(AG6=1,AG6=2),"2881",IF(AND(AG6=3,AJ42=1),"2881",IF(AND(AG6=3,AJ42=2),"2883"))))</f>
        <v>2881</v>
      </c>
      <c r="R42" s="2734"/>
      <c r="S42" s="2722"/>
      <c r="T42" s="2723"/>
      <c r="U42" s="641" t="str">
        <f>IF(O42="","",IF(AND(AG6=1,AH41=2),"11 378",IF(AND(AG6=2,AH41=2),"11 378",IF(AND(AG6=1,AH41=1),"11 379",IF(AND(AG6=2,AH41=1),"11 379",IF(AND(AJ42=1,AH41=1),"11 379",IF(AND(AJ42=1,AH41=2),"11 378",IF(AND(AJ42=2,AH41=1),"11 279",IF(AND(AJ42=2,AH41=2),"11 278")))))))))</f>
        <v>11 379</v>
      </c>
      <c r="V42" s="631"/>
      <c r="X42" s="340"/>
      <c r="Y42" s="1598" t="s">
        <v>8000</v>
      </c>
      <c r="Z42" s="1598"/>
      <c r="AA42" s="1598"/>
      <c r="AB42" s="1598"/>
      <c r="AC42" s="1598"/>
      <c r="AD42" s="1598"/>
      <c r="AE42" s="1598"/>
      <c r="AF42" s="1598"/>
      <c r="AG42" s="1598"/>
      <c r="AH42" s="1598" t="str">
        <f>IF(AJ42=1,"SIM", IF(AJ42=2,"NÃO"))</f>
        <v>NÃO</v>
      </c>
      <c r="AI42" s="1598"/>
      <c r="AJ42" s="1598">
        <v>2</v>
      </c>
      <c r="AK42" s="1598"/>
      <c r="AL42" s="341"/>
    </row>
    <row r="43" spans="2:40" ht="18" customHeight="1" thickBot="1" x14ac:dyDescent="0.45">
      <c r="B43" s="629"/>
      <c r="C43" s="2724" t="str">
        <f>IF(OR(AG6&lt;&gt;3,AH41=2),"",IF(OR(AG6=1,AG6=2),"",IF(AND(F41&lt;16,Y54="DESIGNADO"),"",IF(Y54="DESIGNADO","","Extensão C.H.:"))))</f>
        <v/>
      </c>
      <c r="D43" s="2725"/>
      <c r="E43" s="2725"/>
      <c r="F43" s="639">
        <v>5</v>
      </c>
      <c r="G43" s="2726" t="str">
        <f>IF(C43="","",IF(AG6&gt;3,"",IF(ISERROR(VLOOKUP(F43,'C Horária'!C8:E23,2,FALSE)),"",VLOOKUP(F43,'C Horária'!C8:E23,2,FALSE))))</f>
        <v/>
      </c>
      <c r="H43" s="2726"/>
      <c r="I43" s="2727" t="str">
        <f>IF(AG6&gt;3,"",IF(G43="","",IF(F43=0,"",IF(F43="","",IF(F43&gt;0,G43/30)))))</f>
        <v/>
      </c>
      <c r="J43" s="2727"/>
      <c r="K43" s="335" t="str">
        <f>IF(C43="","",IF(OR(F43="",F43="X",F43="-",F43=0),"",IF(AG6&gt;3,"",IF(I43*U14&lt;100,LEFT(I43*U14,4),LEFT(I43*U14,5)))))</f>
        <v/>
      </c>
      <c r="L43" s="2728"/>
      <c r="M43" s="2729"/>
      <c r="N43" s="2730"/>
      <c r="O43" s="2731" t="str">
        <f>IF(G43="","",E16*I43*U14)</f>
        <v/>
      </c>
      <c r="P43" s="2732"/>
      <c r="Q43" s="2733" t="str">
        <f>IF(O43="","",IF(AND(AG6=3,AJ43=1),"2882",IF(AND(AG6=3,AJ43=2),"2884")))</f>
        <v/>
      </c>
      <c r="R43" s="2734"/>
      <c r="S43" s="2722"/>
      <c r="T43" s="2723"/>
      <c r="U43" s="641" t="str">
        <f>IF(O43="","",IF(AND(AK16=1,AJ43=1),"11 387",IF(AND(AK16=1,AJ43=2),"11 287",IF(AND(AK16=2,AJ43=1),"11 388",IF(AND(AK16=2,AJ43=2),"11 288")))))</f>
        <v/>
      </c>
      <c r="V43" s="631"/>
      <c r="W43" s="333"/>
      <c r="X43" s="342"/>
      <c r="Y43" s="1597" t="s">
        <v>8001</v>
      </c>
      <c r="Z43" s="1597"/>
      <c r="AA43" s="1597"/>
      <c r="AB43" s="1597"/>
      <c r="AC43" s="1597"/>
      <c r="AD43" s="1597"/>
      <c r="AE43" s="1597"/>
      <c r="AF43" s="1597"/>
      <c r="AG43" s="1597"/>
      <c r="AH43" s="1597">
        <v>1</v>
      </c>
      <c r="AI43" s="1597"/>
      <c r="AJ43" s="1597">
        <v>2</v>
      </c>
      <c r="AK43" s="1597"/>
      <c r="AL43" s="343"/>
      <c r="AM43" s="41"/>
      <c r="AN43" s="41"/>
    </row>
    <row r="44" spans="2:40" ht="18" customHeight="1" thickTop="1" thickBot="1" x14ac:dyDescent="0.45">
      <c r="B44" s="629"/>
      <c r="C44" s="2711" t="str">
        <f>IF(OR(AG6&lt;&gt;3,AH41=2),"",IF(OR(AG6=1,AG6=2),"",IF(AG6&gt;3,"",IF(Y54="DESIGNADO","","Exig. Cur. Ext.:"))))</f>
        <v/>
      </c>
      <c r="D44" s="2712"/>
      <c r="E44" s="2712"/>
      <c r="F44" s="642">
        <v>5</v>
      </c>
      <c r="G44" s="2713" t="str">
        <f>IF(C44="","",IF(AG6&gt;3,"",IF(AND(F43&lt;16,F43&gt;0,Y54="DESIGNADO"),"",IF(ISERROR(VLOOKUP(F44,'C Horária'!G8:I12,2,FALSE)),"",VLOOKUP(F44,'C Horária'!G8:I12,2,FALSE)))))</f>
        <v/>
      </c>
      <c r="H44" s="2713"/>
      <c r="I44" s="2714" t="str">
        <f>IF(AG6&gt;3,"",IF(G44="","",IF(F44=0,"",IF(F44="","",IF(F44&gt;0,G44/30)))))</f>
        <v/>
      </c>
      <c r="J44" s="2714"/>
      <c r="K44" s="336" t="str">
        <f>IF(G44="","",IF(I44*U14&lt;10,LEFT(I44*U14,3),LEFT(I44*U14,4)))</f>
        <v/>
      </c>
      <c r="L44" s="2715"/>
      <c r="M44" s="2716"/>
      <c r="N44" s="2717"/>
      <c r="O44" s="2718" t="str">
        <f>IF(G44="","",E16*I44*U14)</f>
        <v/>
      </c>
      <c r="P44" s="2719"/>
      <c r="Q44" s="2720" t="str">
        <f>IF(O44="","",IF(AND(AG6=3,AJ43=1),"2881",IF(AND(AG6=3,AJ43=2),"2883")))</f>
        <v/>
      </c>
      <c r="R44" s="2721"/>
      <c r="S44" s="2722"/>
      <c r="T44" s="2723"/>
      <c r="U44" s="641" t="str">
        <f>IF(O44="","",IF(AJ43=1,"11 389",IF(AJ43=2,"11 289")))</f>
        <v/>
      </c>
      <c r="V44" s="631"/>
      <c r="X44" s="44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131"/>
    </row>
    <row r="45" spans="2:40" ht="15.95" customHeight="1" thickBot="1" x14ac:dyDescent="0.45">
      <c r="B45" s="629"/>
      <c r="C45" s="1549"/>
      <c r="D45" s="1550"/>
      <c r="E45" s="1550"/>
      <c r="F45" s="623" t="s">
        <v>7959</v>
      </c>
      <c r="G45" s="2705"/>
      <c r="H45" s="2705"/>
      <c r="I45" s="1552" t="str">
        <f>IF(G45&lt;&gt;0,DATEVALUE( TEXT( G45, "##""/""##""/""##" ) &amp; "" ),"")</f>
        <v/>
      </c>
      <c r="J45" s="1552"/>
      <c r="K45" s="1552"/>
      <c r="L45" s="1552"/>
      <c r="M45" s="1552"/>
      <c r="N45" s="1553" t="s">
        <v>7961</v>
      </c>
      <c r="O45" s="1553"/>
      <c r="P45" s="1554"/>
      <c r="Q45" s="2706" t="str">
        <f>IF(OR(AG6=4,AG6=5,AG6=6,AG6=7),"2706",IF(AG6=8,2711,""))</f>
        <v/>
      </c>
      <c r="R45" s="2707"/>
      <c r="S45" s="2708">
        <f>IF(AG6&gt;3,F14/30*U14,IF(AND(Q41="",Q42="",Q43="",Q44="",Q45=""),"Aguard. Dados",IF(AND(O41&lt;&gt;"",O42&lt;&gt;"",O43&lt;&gt;"",O44&lt;&gt;""),O41+O42+O43+O44,IF(AND(O41&lt;&gt;"",O42="",O43="",O44&lt;&gt;""),O41+O44,IF(AND(O41="",O42&lt;&gt;"",O43&lt;&gt;"",O44&lt;&gt;""),O42+O43+O44,IF(AND(O41&lt;&gt;"",O42&lt;&gt;"",O43="",O44&lt;&gt;""),O41+O42+O44,IF(AND(O41&lt;&gt;"",O42="",O43="",O44=""),O41,IF(AND(O41&lt;&gt;"",O42&lt;&gt;"",O43&lt;&gt;"",O44=""),O41+O42+O43,IF(AND(O41="",O42&lt;&gt;"",O43="",O44=""),O42,IF(AND(O41="",O42&lt;&gt;"",O43&lt;&gt;"",O44=""),O42+O43,IF(AND(O41="",O42="",O43&lt;&gt;"",O44=""),O43,IF(AND(O41&lt;&gt;"",O42&lt;&gt;"",O43="",O44=""),O41+O42,IF(AND(O41&lt;&gt;"",O42="",O43&lt;&gt;"",O44=""),O41+O43,IF(AND(O41&lt;&gt;"",O42="",O43&lt;&gt;"",O44&lt;&gt;""),O41+O43+O44,IF(AND(O41="",O42&lt;&gt;"",O43="",O44&lt;&gt;""),O42+O44,IF(AND(O41="",O42="",O43&lt;&gt;"",O44&lt;&gt;""),O43+O44,IF(AND(O41="",O42="",O43="",O44&lt;&gt;""),O44)))))))))))))))))</f>
        <v>1817.3283333333334</v>
      </c>
      <c r="T45" s="2709"/>
      <c r="U45" s="2710"/>
      <c r="V45" s="631"/>
      <c r="X45" s="44"/>
      <c r="Y45" s="1527" t="str">
        <f>IF(AG45=1,"SIM", IF(AG45=2,"NÃO"))</f>
        <v>SIM</v>
      </c>
      <c r="Z45" s="1528"/>
      <c r="AA45" s="1528"/>
      <c r="AB45" s="1529"/>
      <c r="AC45" s="1529"/>
      <c r="AD45" s="1529"/>
      <c r="AE45" s="1529"/>
      <c r="AF45" s="1529"/>
      <c r="AG45" s="1530">
        <v>1</v>
      </c>
      <c r="AH45" s="1530"/>
      <c r="AI45" s="1530"/>
      <c r="AJ45" s="1530"/>
      <c r="AK45" s="1531"/>
      <c r="AL45" s="131"/>
    </row>
    <row r="46" spans="2:40" ht="15.95" customHeight="1" thickBot="1" x14ac:dyDescent="0.45">
      <c r="B46" s="629"/>
      <c r="C46" s="2688" t="e">
        <f>IF(S45="Aguard. Dados","(Aguardando a Digitação de Dados)",IF(Extenso!N4="","","(" &amp; Extenso!N4 &amp; ")"))</f>
        <v>#VALUE!</v>
      </c>
      <c r="D46" s="1522"/>
      <c r="E46" s="1522"/>
      <c r="F46" s="1522"/>
      <c r="G46" s="1522"/>
      <c r="H46" s="1522"/>
      <c r="I46" s="1522"/>
      <c r="J46" s="1522"/>
      <c r="K46" s="1522"/>
      <c r="L46" s="1522"/>
      <c r="M46" s="1522"/>
      <c r="N46" s="1522"/>
      <c r="O46" s="1522"/>
      <c r="P46" s="1522"/>
      <c r="Q46" s="1522"/>
      <c r="R46" s="1522"/>
      <c r="S46" s="1522"/>
      <c r="T46" s="1522"/>
      <c r="U46" s="1523"/>
      <c r="V46" s="631"/>
      <c r="X46" s="44"/>
      <c r="Y46" s="2689" t="s">
        <v>404</v>
      </c>
      <c r="Z46" s="2690"/>
      <c r="AA46" s="2690"/>
      <c r="AB46" s="2690"/>
      <c r="AC46" s="2690"/>
      <c r="AD46" s="2690"/>
      <c r="AE46" s="2690"/>
      <c r="AF46" s="2690"/>
      <c r="AG46" s="2690"/>
      <c r="AH46" s="2690"/>
      <c r="AI46" s="2690"/>
      <c r="AJ46" s="2690"/>
      <c r="AK46" s="2691"/>
      <c r="AL46" s="131"/>
    </row>
    <row r="47" spans="2:40" ht="15.95" customHeight="1" thickBot="1" x14ac:dyDescent="0.45">
      <c r="B47" s="629"/>
      <c r="C47" s="2698" t="s">
        <v>7863</v>
      </c>
      <c r="D47" s="2699"/>
      <c r="E47" s="2700" t="s">
        <v>8158</v>
      </c>
      <c r="F47" s="2701"/>
      <c r="G47" s="2701"/>
      <c r="H47" s="2701"/>
      <c r="I47" s="2701"/>
      <c r="J47" s="2701"/>
      <c r="K47" s="2701"/>
      <c r="L47" s="2701"/>
      <c r="M47" s="2701"/>
      <c r="N47" s="2701"/>
      <c r="O47" s="2701"/>
      <c r="P47" s="2701"/>
      <c r="Q47" s="2701"/>
      <c r="R47" s="2701"/>
      <c r="S47" s="2701"/>
      <c r="T47" s="2701"/>
      <c r="U47" s="2702"/>
      <c r="V47" s="631"/>
      <c r="X47" s="44"/>
      <c r="Y47" s="2692"/>
      <c r="Z47" s="2693"/>
      <c r="AA47" s="2693"/>
      <c r="AB47" s="2693"/>
      <c r="AC47" s="2693"/>
      <c r="AD47" s="2693"/>
      <c r="AE47" s="2693"/>
      <c r="AF47" s="2693"/>
      <c r="AG47" s="2693"/>
      <c r="AH47" s="2693"/>
      <c r="AI47" s="2693"/>
      <c r="AJ47" s="2693"/>
      <c r="AK47" s="2694"/>
      <c r="AL47" s="131"/>
    </row>
    <row r="48" spans="2:40" ht="15.95" customHeight="1" thickBot="1" x14ac:dyDescent="0.45">
      <c r="B48" s="629"/>
      <c r="C48" s="1502" t="str">
        <f>IF(S45="Aguard. Dados","Aguardando a Digitação de Dados",IF(Q45&lt;&gt;"",U14&amp;" dia(s)"&amp;" do mês "&amp;U4&amp;"/"&amp;C4&amp;", cargo "&amp;H8&amp;", Adm." &amp;G7&amp;".",IF(AND(Q41&lt;&gt;"",Q42&lt;&gt;"",Q43&lt;&gt;"",Q44&lt;&gt;""),K41&amp;" h/a Obrig.;  "&amp;K42&amp;" h/a de E.C.;  "&amp;K43&amp;" h/a de Ext. e "&amp;K44&amp;" h/a de E.C. Ext."&amp;" - mês "&amp;U4&amp;"/"&amp;C4&amp;", cargo "&amp;H8&amp;", Adm."&amp;G7&amp;".",IF(AND(Q41&lt;&gt;"",Q42="",Q43="",Q44&lt;&gt;""),K41&amp;" h/a Obrigatórias e "&amp;K44&amp;" h/a de E.C. Ext."&amp;" - mês "&amp;U4&amp;"/"&amp;C4&amp;", cargo "&amp;H8&amp;", Adm."&amp;G7&amp;".",IF(AND(Q41="",Q42="",Q43&lt;&gt;"",Q44&lt;&gt;""),K43&amp;" h/a de Ext. e "&amp;K44&amp;" h/a de E.C. Ext."&amp;" - mês "&amp;U4&amp;"/"&amp;C4&amp;", cargo "&amp;H8&amp;", Adm."&amp;G7&amp;".",IF(AND(Q41&lt;&gt;"",Q42="",Q43&lt;&gt;"",Q44&lt;&gt;""),K41&amp;" h/a Obrigatórias;  "&amp;K43&amp;" h/a de Ext. e "&amp;K44&amp;" h/a de E.C. Ext."&amp;" - mês "&amp;U4&amp;"/"&amp;C4&amp;", cargo "&amp;H8&amp;", Adm."&amp;G7&amp;".",IF(AND(Q41="",Q42="",Q43="",Q44&lt;&gt;""),K44&amp;" h/a de E.C. Ext."&amp;" - mês "&amp;U4&amp;"/"&amp;C4&amp;", cargo "&amp;H8&amp;", Adm."&amp;G7&amp;".",IF(AND(Q41="",Q42&lt;&gt;"",Q43="",Q44&lt;&gt;""),K42&amp;" h/a de E.C. e "&amp;K44&amp;" h/a de E.C. Ext."&amp;" - mês "&amp;U4&amp;"/"&amp;C4&amp;", cargo "&amp;H8&amp;", Adm."&amp;G7&amp;".",IF(AND(Q41&lt;&gt;"",Q42&lt;&gt;"",Q43="",Q44&lt;&gt;""),K41&amp;" h/a Obrigatórias;  "&amp;K42&amp;" h/a de E.C. e "&amp;K44&amp;" h/a de E.C. Ext."&amp;" - mês "&amp;U4&amp;"/"&amp;C4&amp;", cargo "&amp;H8&amp;", Adm."&amp;G7&amp;".",IF(AND(Q41="",Q42&lt;&gt;"",Q43="",Q44=""),K42&amp;" h/a de E.C."&amp;" do mês "&amp;U4&amp;"/"&amp;C4&amp;", cargo "&amp;H8&amp;", Adm."&amp;G7&amp;".",IF(AND(Q41&lt;&gt;"",Q42="",Q43="",Q44=""),K41&amp;" h/a Obrigatórias"&amp;" do mês "&amp;U4&amp;"/"&amp;C4&amp;", cargo "&amp;H8&amp;", Adm."&amp;G7&amp;".",IF(AND(Q41&lt;&gt;"",Q42&lt;&gt;"",Q43="",Q44=""),K41&amp;" h/a Obrigatórias"&amp;" e "&amp;K42&amp;" h/a de E.C."&amp;" - mês "&amp;U4&amp;"/"&amp;C4&amp;", cargo "&amp;H8&amp;", Adm."&amp;G7&amp;".",IF(AND(Q41&lt;&gt;"",Q42&lt;&gt;"",Q43&lt;&gt;"",Q44=""),K41&amp;" h/a Obrigatórias"&amp;";  "&amp;K42&amp;" h/a de E.C. e "&amp;K43&amp;" h/a de Ext."&amp;" - mês "&amp;U4&amp;"/"&amp;C4&amp;", cargo "&amp;H8&amp;", Adm."&amp;G7&amp;".",IF(AND(Q41&lt;&gt;"",Q42="",Q43&lt;&gt;"",Q44=""),K41&amp;" h/a Obrigatórias"&amp;" e "&amp;K43&amp;" h/A de Ext."&amp;" - mês "&amp;U4&amp;"/"&amp;C4&amp;", cargo "&amp;H8&amp;", Adm."&amp;G7&amp;".",IF(AND(Q41="",Q42="",Q43&lt;&gt;"",Q44=""),K43&amp;" h/a de Ext."&amp;" do mês "&amp;U4&amp;"/"&amp;C4&amp;", cargo "&amp;H8&amp;", Adm."&amp;G7&amp;".",IF(AND(Q41="",Q42&lt;&gt;"",Q43&lt;&gt;"",Q44=""),K42&amp;" h/a de E.C. e "&amp;K43&amp;" h/a de Ext."&amp;" - mês "&amp;U4&amp;"/"&amp;C4&amp;", cargo "&amp;H8&amp;", Adm."&amp;G7&amp;".",IF(AND(Q41="",Q42&lt;&gt;"",Q43&lt;&gt;"",Q44&lt;&gt;""),K42&amp;" h/a de E.C.;  "&amp;K43&amp;"h/a de Ext. e "&amp;K44&amp;" h/a de E.C. Ext."&amp;" - mês "&amp;U4&amp;"/"&amp;C4&amp;", cargo "&amp;H8&amp;", Adm."&amp;G7&amp;".")))))))))))))))))</f>
        <v>79,2 h/a Obrigatórias e 19,8 h/a de E.C. - mês 10/2014, cargo PEBD1A, Adm.1.</v>
      </c>
      <c r="D48" s="2703"/>
      <c r="E48" s="2703"/>
      <c r="F48" s="2703"/>
      <c r="G48" s="2703"/>
      <c r="H48" s="2703"/>
      <c r="I48" s="2703"/>
      <c r="J48" s="2703"/>
      <c r="K48" s="2703"/>
      <c r="L48" s="2703"/>
      <c r="M48" s="2703"/>
      <c r="N48" s="2703"/>
      <c r="O48" s="2703"/>
      <c r="P48" s="2703"/>
      <c r="Q48" s="2703"/>
      <c r="R48" s="2703"/>
      <c r="S48" s="2703"/>
      <c r="T48" s="2703"/>
      <c r="U48" s="2704"/>
      <c r="V48" s="631"/>
      <c r="X48" s="44"/>
      <c r="Y48" s="2695"/>
      <c r="Z48" s="2696"/>
      <c r="AA48" s="2696"/>
      <c r="AB48" s="2696"/>
      <c r="AC48" s="2696"/>
      <c r="AD48" s="2696"/>
      <c r="AE48" s="2696"/>
      <c r="AF48" s="2696"/>
      <c r="AG48" s="2696"/>
      <c r="AH48" s="2696"/>
      <c r="AI48" s="2696"/>
      <c r="AJ48" s="2696"/>
      <c r="AK48" s="2697"/>
      <c r="AL48" s="131"/>
    </row>
    <row r="49" spans="2:39" ht="15.95" customHeight="1" thickBot="1" x14ac:dyDescent="0.45">
      <c r="B49" s="2238"/>
      <c r="C49" s="2239"/>
      <c r="D49" s="2239"/>
      <c r="E49" s="2239"/>
      <c r="F49" s="2239"/>
      <c r="G49" s="2239"/>
      <c r="H49" s="2239"/>
      <c r="I49" s="2239"/>
      <c r="J49" s="2239"/>
      <c r="K49" s="2239"/>
      <c r="L49" s="2239"/>
      <c r="M49" s="2239"/>
      <c r="N49" s="2239"/>
      <c r="O49" s="2239"/>
      <c r="P49" s="2239"/>
      <c r="Q49" s="2239"/>
      <c r="R49" s="2239"/>
      <c r="S49" s="2239"/>
      <c r="T49" s="2239"/>
      <c r="U49" s="2239"/>
      <c r="V49" s="2240"/>
      <c r="X49" s="50"/>
      <c r="Y49" s="1481"/>
      <c r="Z49" s="1481"/>
      <c r="AA49" s="1481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4"/>
    </row>
    <row r="50" spans="2:39" ht="5.0999999999999996" customHeight="1" thickTop="1" thickBot="1" x14ac:dyDescent="0.45"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2:39" ht="15.95" customHeight="1" thickTop="1" thickBot="1" x14ac:dyDescent="0.45">
      <c r="B51" s="52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344"/>
      <c r="V51" s="55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2:39" s="3" customFormat="1" ht="15.95" customHeight="1" thickTop="1" thickBot="1" x14ac:dyDescent="0.3">
      <c r="B52" s="56"/>
      <c r="C52" s="627"/>
      <c r="D52" s="627"/>
      <c r="E52" s="1438" t="s">
        <v>352</v>
      </c>
      <c r="F52" s="1438"/>
      <c r="G52" s="1438"/>
      <c r="H52" s="1438"/>
      <c r="I52" s="1438"/>
      <c r="J52" s="1438"/>
      <c r="K52" s="1438"/>
      <c r="L52" s="1438"/>
      <c r="M52" s="1438"/>
      <c r="N52" s="1438"/>
      <c r="O52" s="1438"/>
      <c r="P52" s="1438"/>
      <c r="Q52" s="1438"/>
      <c r="R52" s="1438"/>
      <c r="S52" s="1438"/>
      <c r="T52" s="1438"/>
      <c r="U52" s="1438"/>
      <c r="V52" s="57"/>
      <c r="W52" s="161"/>
      <c r="X52" s="185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7"/>
      <c r="AM52" s="161"/>
    </row>
    <row r="53" spans="2:39" ht="15.95" customHeight="1" thickBot="1" x14ac:dyDescent="0.45">
      <c r="B53" s="58"/>
      <c r="C53" s="625"/>
      <c r="D53" s="626"/>
      <c r="E53" s="1438" t="s">
        <v>353</v>
      </c>
      <c r="F53" s="1438"/>
      <c r="G53" s="1438"/>
      <c r="H53" s="1438"/>
      <c r="I53" s="1438"/>
      <c r="J53" s="1438"/>
      <c r="K53" s="1438"/>
      <c r="L53" s="1438"/>
      <c r="M53" s="1438"/>
      <c r="N53" s="1438"/>
      <c r="O53" s="1438"/>
      <c r="P53" s="1438"/>
      <c r="Q53" s="1438"/>
      <c r="R53" s="1438"/>
      <c r="S53" s="1438"/>
      <c r="T53" s="1438"/>
      <c r="U53" s="1438"/>
      <c r="V53" s="59"/>
      <c r="W53" s="41"/>
      <c r="X53" s="188"/>
      <c r="Y53" s="1483" t="s">
        <v>7862</v>
      </c>
      <c r="Z53" s="1484"/>
      <c r="AA53" s="1484"/>
      <c r="AB53" s="1484"/>
      <c r="AC53" s="1484"/>
      <c r="AD53" s="1484"/>
      <c r="AE53" s="1484"/>
      <c r="AF53" s="1484"/>
      <c r="AG53" s="1484"/>
      <c r="AH53" s="1484"/>
      <c r="AI53" s="1484"/>
      <c r="AJ53" s="1484"/>
      <c r="AK53" s="1485"/>
      <c r="AL53" s="190"/>
      <c r="AM53" s="41"/>
    </row>
    <row r="54" spans="2:39" ht="15.95" customHeight="1" x14ac:dyDescent="0.4">
      <c r="B54" s="58"/>
      <c r="C54" s="1434"/>
      <c r="D54" s="1434"/>
      <c r="E54" s="1434"/>
      <c r="F54" s="1434"/>
      <c r="G54" s="1434"/>
      <c r="H54" s="1434"/>
      <c r="I54" s="1434"/>
      <c r="J54" s="1434"/>
      <c r="K54" s="1434"/>
      <c r="L54" s="1434"/>
      <c r="M54" s="1434"/>
      <c r="N54" s="1434"/>
      <c r="O54" s="1434"/>
      <c r="P54" s="1434"/>
      <c r="Q54" s="1434"/>
      <c r="R54" s="1434"/>
      <c r="S54" s="1434"/>
      <c r="T54" s="1434"/>
      <c r="U54" s="1434"/>
      <c r="V54" s="59"/>
      <c r="W54" s="41"/>
      <c r="X54" s="188"/>
      <c r="Y54" s="1471" t="str">
        <f>IF(AG54=1,"Efetivo/Efetivado",IF(AG54=2,"Designado"))</f>
        <v>Designado</v>
      </c>
      <c r="Z54" s="1472"/>
      <c r="AA54" s="1472"/>
      <c r="AB54" s="1472"/>
      <c r="AC54" s="1472"/>
      <c r="AD54" s="1472"/>
      <c r="AE54" s="1472"/>
      <c r="AF54" s="1473"/>
      <c r="AG54" s="2686">
        <v>2</v>
      </c>
      <c r="AH54" s="1472"/>
      <c r="AI54" s="1472"/>
      <c r="AJ54" s="1472"/>
      <c r="AK54" s="2687"/>
      <c r="AL54" s="190"/>
      <c r="AM54" s="41"/>
    </row>
    <row r="55" spans="2:39" ht="15.95" customHeight="1" x14ac:dyDescent="0.4">
      <c r="B55" s="58"/>
      <c r="C55" s="1460" t="s">
        <v>354</v>
      </c>
      <c r="D55" s="1460"/>
      <c r="E55" s="1460"/>
      <c r="F55" s="1460"/>
      <c r="G55" s="1460"/>
      <c r="H55" s="1460"/>
      <c r="I55" s="1433" t="str">
        <f>Geral!C6</f>
        <v>SECRETARIA DE ESTADO DE EDUCAÇÃO - MG</v>
      </c>
      <c r="J55" s="1433"/>
      <c r="K55" s="1433"/>
      <c r="L55" s="1433"/>
      <c r="M55" s="1433"/>
      <c r="N55" s="1433"/>
      <c r="O55" s="1433"/>
      <c r="P55" s="1433"/>
      <c r="Q55" s="1433"/>
      <c r="R55" s="1433"/>
      <c r="S55" s="1433"/>
      <c r="T55" s="1433"/>
      <c r="U55" s="1433"/>
      <c r="V55" s="59"/>
      <c r="X55" s="188"/>
      <c r="Y55" s="2681"/>
      <c r="Z55" s="2682"/>
      <c r="AA55" s="2682"/>
      <c r="AB55" s="2682"/>
      <c r="AC55" s="2682"/>
      <c r="AD55" s="2682"/>
      <c r="AE55" s="2682"/>
      <c r="AF55" s="2683"/>
      <c r="AG55" s="2684"/>
      <c r="AH55" s="2682"/>
      <c r="AI55" s="2682"/>
      <c r="AJ55" s="2682"/>
      <c r="AK55" s="2685"/>
      <c r="AL55" s="190"/>
    </row>
    <row r="56" spans="2:39" ht="15.95" customHeight="1" x14ac:dyDescent="0.4">
      <c r="B56" s="58"/>
      <c r="C56" s="1460" t="s">
        <v>356</v>
      </c>
      <c r="D56" s="1460"/>
      <c r="E56" s="1460"/>
      <c r="F56" s="1436" t="str">
        <f>Geral!C8</f>
        <v>Superintendência Regional Ensino de</v>
      </c>
      <c r="G56" s="1436"/>
      <c r="H56" s="1436"/>
      <c r="I56" s="1436"/>
      <c r="J56" s="1436"/>
      <c r="K56" s="1436"/>
      <c r="L56" s="1436"/>
      <c r="M56" s="1436"/>
      <c r="N56" s="1433" t="str">
        <f>Geral!I8</f>
        <v>Uberaba</v>
      </c>
      <c r="O56" s="1433"/>
      <c r="P56" s="1433"/>
      <c r="Q56" s="1433"/>
      <c r="R56" s="1433"/>
      <c r="S56" s="1433"/>
      <c r="T56" s="1433"/>
      <c r="U56" s="1433"/>
      <c r="V56" s="59"/>
      <c r="X56" s="188"/>
      <c r="Y56" s="2681"/>
      <c r="Z56" s="2682"/>
      <c r="AA56" s="2682"/>
      <c r="AB56" s="2682"/>
      <c r="AC56" s="2682"/>
      <c r="AD56" s="2682"/>
      <c r="AE56" s="2682"/>
      <c r="AF56" s="2683"/>
      <c r="AG56" s="2684"/>
      <c r="AH56" s="2682"/>
      <c r="AI56" s="2682"/>
      <c r="AJ56" s="2682"/>
      <c r="AK56" s="2685"/>
      <c r="AL56" s="190"/>
    </row>
    <row r="57" spans="2:39" ht="15.95" customHeight="1" thickBot="1" x14ac:dyDescent="0.45">
      <c r="B57" s="58"/>
      <c r="C57" s="625"/>
      <c r="D57" s="626"/>
      <c r="E57" s="626"/>
      <c r="F57" s="626"/>
      <c r="G57" s="626"/>
      <c r="H57" s="626"/>
      <c r="I57" s="626"/>
      <c r="J57" s="626"/>
      <c r="K57" s="626"/>
      <c r="L57" s="626"/>
      <c r="M57" s="626"/>
      <c r="N57" s="626"/>
      <c r="O57" s="626"/>
      <c r="P57" s="626"/>
      <c r="Q57" s="626"/>
      <c r="R57" s="626"/>
      <c r="S57" s="626"/>
      <c r="T57" s="626"/>
      <c r="U57" s="626"/>
      <c r="V57" s="59"/>
      <c r="X57" s="188"/>
      <c r="Y57" s="2676"/>
      <c r="Z57" s="2677"/>
      <c r="AA57" s="2677"/>
      <c r="AB57" s="2677"/>
      <c r="AC57" s="2677"/>
      <c r="AD57" s="2677"/>
      <c r="AE57" s="2677"/>
      <c r="AF57" s="2678"/>
      <c r="AG57" s="2679"/>
      <c r="AH57" s="2677"/>
      <c r="AI57" s="2677"/>
      <c r="AJ57" s="2677"/>
      <c r="AK57" s="2680"/>
      <c r="AL57" s="190"/>
    </row>
    <row r="58" spans="2:39" ht="15.95" customHeight="1" x14ac:dyDescent="0.4">
      <c r="B58" s="58"/>
      <c r="C58" s="1433"/>
      <c r="D58" s="1433"/>
      <c r="E58" s="1433"/>
      <c r="F58" s="1433"/>
      <c r="G58" s="1456" t="s">
        <v>358</v>
      </c>
      <c r="H58" s="1456"/>
      <c r="I58" s="1456"/>
      <c r="J58" s="1456"/>
      <c r="K58" s="1456"/>
      <c r="L58" s="1456"/>
      <c r="M58" s="1456"/>
      <c r="N58" s="1456"/>
      <c r="O58" s="1456"/>
      <c r="P58" s="1456"/>
      <c r="Q58" s="1456"/>
      <c r="R58" s="1456"/>
      <c r="S58" s="1456"/>
      <c r="T58" s="1456"/>
      <c r="U58" s="1456"/>
      <c r="V58" s="59"/>
      <c r="X58" s="188"/>
      <c r="Y58" s="1457"/>
      <c r="Z58" s="1457"/>
      <c r="AA58" s="1457"/>
      <c r="AB58" s="1457"/>
      <c r="AC58" s="1457"/>
      <c r="AD58" s="1457"/>
      <c r="AE58" s="1457"/>
      <c r="AF58" s="1457"/>
      <c r="AG58" s="1457"/>
      <c r="AH58" s="1457"/>
      <c r="AI58" s="1457"/>
      <c r="AJ58" s="1457"/>
      <c r="AK58" s="1457"/>
      <c r="AL58" s="190"/>
    </row>
    <row r="59" spans="2:39" ht="15.95" customHeight="1" x14ac:dyDescent="0.4">
      <c r="B59" s="58"/>
      <c r="C59" s="1458" t="str">
        <f>G6</f>
        <v>Renata Regina Resende Borges</v>
      </c>
      <c r="D59" s="1458"/>
      <c r="E59" s="1458"/>
      <c r="F59" s="1458"/>
      <c r="G59" s="1458"/>
      <c r="H59" s="1458"/>
      <c r="I59" s="1458"/>
      <c r="J59" s="1458"/>
      <c r="K59" s="1458"/>
      <c r="L59" s="1458"/>
      <c r="M59" s="1434" t="s">
        <v>360</v>
      </c>
      <c r="N59" s="1434"/>
      <c r="O59" s="1459">
        <f>IF(T6="","",T6)</f>
        <v>13740287</v>
      </c>
      <c r="P59" s="1459"/>
      <c r="Q59" s="1459"/>
      <c r="R59" s="1456" t="s">
        <v>359</v>
      </c>
      <c r="S59" s="1456"/>
      <c r="T59" s="1456"/>
      <c r="U59" s="1456"/>
      <c r="V59" s="59"/>
      <c r="X59" s="188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90"/>
    </row>
    <row r="60" spans="2:39" ht="15.95" customHeight="1" x14ac:dyDescent="0.4">
      <c r="B60" s="58"/>
      <c r="C60" s="1452">
        <f>S45</f>
        <v>1817.3283333333334</v>
      </c>
      <c r="D60" s="1452"/>
      <c r="E60" s="1452"/>
      <c r="F60" s="1453" t="e">
        <f>C46</f>
        <v>#VALUE!</v>
      </c>
      <c r="G60" s="1453"/>
      <c r="H60" s="1453"/>
      <c r="I60" s="1453"/>
      <c r="J60" s="1453"/>
      <c r="K60" s="1453"/>
      <c r="L60" s="1453"/>
      <c r="M60" s="1453"/>
      <c r="N60" s="1453"/>
      <c r="O60" s="1453"/>
      <c r="P60" s="1453"/>
      <c r="Q60" s="1453"/>
      <c r="R60" s="1453"/>
      <c r="S60" s="1453"/>
      <c r="T60" s="1453"/>
      <c r="U60" s="1453"/>
      <c r="V60" s="59"/>
      <c r="X60" s="188"/>
      <c r="Y60" s="189"/>
      <c r="Z60" s="189"/>
      <c r="AA60" s="189"/>
      <c r="AB60" s="191"/>
      <c r="AC60" s="189"/>
      <c r="AD60" s="189"/>
      <c r="AE60" s="189"/>
      <c r="AF60" s="189"/>
      <c r="AG60" s="189"/>
      <c r="AH60" s="189"/>
      <c r="AI60" s="189"/>
      <c r="AJ60" s="189"/>
      <c r="AK60" s="189"/>
      <c r="AL60" s="190"/>
    </row>
    <row r="61" spans="2:39" ht="15.95" customHeight="1" x14ac:dyDescent="0.4">
      <c r="B61" s="58"/>
      <c r="C61" s="1433" t="str">
        <f>C47&amp;" "&amp;E47</f>
        <v>Referente a acerto de:</v>
      </c>
      <c r="D61" s="1433"/>
      <c r="E61" s="1433"/>
      <c r="F61" s="1433"/>
      <c r="G61" s="1433"/>
      <c r="H61" s="1433"/>
      <c r="I61" s="1433"/>
      <c r="J61" s="1433"/>
      <c r="K61" s="1433"/>
      <c r="L61" s="1433"/>
      <c r="M61" s="1433"/>
      <c r="N61" s="1433"/>
      <c r="O61" s="1433"/>
      <c r="P61" s="1433"/>
      <c r="Q61" s="1433"/>
      <c r="R61" s="1433"/>
      <c r="S61" s="1433"/>
      <c r="T61" s="1433"/>
      <c r="U61" s="1433"/>
      <c r="V61" s="59"/>
      <c r="X61" s="188"/>
      <c r="Y61" s="189"/>
      <c r="Z61" s="189"/>
      <c r="AA61" s="189"/>
      <c r="AB61" s="191"/>
      <c r="AC61" s="189"/>
      <c r="AD61" s="189"/>
      <c r="AE61" s="189"/>
      <c r="AF61" s="189"/>
      <c r="AG61" s="189"/>
      <c r="AH61" s="189"/>
      <c r="AI61" s="189"/>
      <c r="AJ61" s="189"/>
      <c r="AK61" s="189"/>
      <c r="AL61" s="190"/>
    </row>
    <row r="62" spans="2:39" ht="15.95" customHeight="1" x14ac:dyDescent="0.4">
      <c r="B62" s="58"/>
      <c r="C62" s="1433" t="str">
        <f>"° "&amp;C48</f>
        <v>° 79,2 h/a Obrigatórias e 19,8 h/a de E.C. - mês 10/2014, cargo PEBD1A, Adm.1.</v>
      </c>
      <c r="D62" s="1433"/>
      <c r="E62" s="1433"/>
      <c r="F62" s="1433"/>
      <c r="G62" s="1433"/>
      <c r="H62" s="1433"/>
      <c r="I62" s="1433"/>
      <c r="J62" s="1433"/>
      <c r="K62" s="1433"/>
      <c r="L62" s="1433"/>
      <c r="M62" s="1433"/>
      <c r="N62" s="1433"/>
      <c r="O62" s="1433"/>
      <c r="P62" s="1433"/>
      <c r="Q62" s="1433"/>
      <c r="R62" s="1433"/>
      <c r="S62" s="1433"/>
      <c r="T62" s="1433"/>
      <c r="U62" s="1433"/>
      <c r="V62" s="59"/>
      <c r="X62" s="188"/>
      <c r="Y62" s="189"/>
      <c r="Z62" s="189"/>
      <c r="AA62" s="189"/>
      <c r="AB62" s="191"/>
      <c r="AC62" s="189"/>
      <c r="AD62" s="189"/>
      <c r="AE62" s="189"/>
      <c r="AF62" s="189"/>
      <c r="AG62" s="189"/>
      <c r="AH62" s="189"/>
      <c r="AI62" s="189"/>
      <c r="AJ62" s="189"/>
      <c r="AK62" s="189"/>
      <c r="AL62" s="190"/>
    </row>
    <row r="63" spans="2:39" ht="15.95" customHeight="1" x14ac:dyDescent="0.4">
      <c r="B63" s="58"/>
      <c r="C63" s="1433"/>
      <c r="D63" s="1433"/>
      <c r="E63" s="1433"/>
      <c r="F63" s="1433"/>
      <c r="G63" s="1433"/>
      <c r="H63" s="1433"/>
      <c r="I63" s="1433"/>
      <c r="J63" s="1433"/>
      <c r="K63" s="1433"/>
      <c r="L63" s="1433"/>
      <c r="M63" s="1433"/>
      <c r="N63" s="1433"/>
      <c r="O63" s="1433"/>
      <c r="P63" s="1433"/>
      <c r="Q63" s="1433"/>
      <c r="R63" s="1433"/>
      <c r="S63" s="1433"/>
      <c r="T63" s="1433"/>
      <c r="U63" s="1433"/>
      <c r="V63" s="59"/>
      <c r="X63" s="188"/>
      <c r="Y63" s="189"/>
      <c r="Z63" s="189"/>
      <c r="AA63" s="189"/>
      <c r="AB63" s="191"/>
      <c r="AC63" s="189"/>
      <c r="AD63" s="189"/>
      <c r="AE63" s="189"/>
      <c r="AF63" s="189"/>
      <c r="AG63" s="189"/>
      <c r="AH63" s="189"/>
      <c r="AI63" s="189"/>
      <c r="AJ63" s="189"/>
      <c r="AK63" s="189"/>
      <c r="AL63" s="190"/>
    </row>
    <row r="64" spans="2:39" ht="15.95" customHeight="1" x14ac:dyDescent="0.4">
      <c r="B64" s="58"/>
      <c r="C64" s="1434"/>
      <c r="D64" s="1434"/>
      <c r="E64" s="1434"/>
      <c r="F64" s="1434"/>
      <c r="G64" s="1434"/>
      <c r="H64" s="1434"/>
      <c r="I64" s="1434"/>
      <c r="J64" s="1434"/>
      <c r="K64" s="1434"/>
      <c r="L64" s="1434"/>
      <c r="M64" s="1434"/>
      <c r="N64" s="1434"/>
      <c r="O64" s="1434"/>
      <c r="P64" s="1434"/>
      <c r="Q64" s="1434"/>
      <c r="R64" s="1434"/>
      <c r="S64" s="1434"/>
      <c r="T64" s="1434"/>
      <c r="U64" s="1434"/>
      <c r="V64" s="59"/>
      <c r="X64" s="188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90"/>
    </row>
    <row r="65" spans="2:38" ht="15.95" customHeight="1" thickBot="1" x14ac:dyDescent="0.45">
      <c r="B65" s="58"/>
      <c r="C65" s="1433" t="s">
        <v>363</v>
      </c>
      <c r="D65" s="1433"/>
      <c r="E65" s="1433"/>
      <c r="F65" s="1433"/>
      <c r="G65" s="1433"/>
      <c r="H65" s="1434"/>
      <c r="I65" s="1434"/>
      <c r="J65" s="1434"/>
      <c r="K65" s="1434"/>
      <c r="L65" s="1434"/>
      <c r="M65" s="1434"/>
      <c r="N65" s="1434"/>
      <c r="O65" s="1434"/>
      <c r="P65" s="1434"/>
      <c r="Q65" s="1434"/>
      <c r="R65" s="1434"/>
      <c r="S65" s="1434"/>
      <c r="T65" s="1434"/>
      <c r="U65" s="1434"/>
      <c r="V65" s="59"/>
      <c r="X65" s="192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4"/>
    </row>
    <row r="66" spans="2:38" ht="15.95" customHeight="1" thickTop="1" x14ac:dyDescent="0.4">
      <c r="B66" s="58"/>
      <c r="C66" s="1433" t="str">
        <f>IF(Q45&lt;&gt;"",Q45,IF(S45="Aguard. Dados",S45,IF(AND(Q41="",Q42&lt;&gt;"",Q43&lt;&gt;""),Q42&amp;" - "&amp;Q43,IF(AND(Q41="",Q42="",Q43&lt;&gt;""),Q43,IF(AND(Q41="",Q42&lt;&gt;"",Q43=""),Q42,IF(AND(Q41&lt;&gt;"",Q42&lt;&gt;"",Q43=""),Q41&amp;" - "&amp;Q42,IF(AND(Q41&lt;&gt;"",Q42="",Q43&lt;&gt;""),Q41&amp;" - "&amp;Q43,IF(AND(Q41&lt;&gt;"",Q42="",Q43=""),Q41,IF(AND(Q41&lt;&gt;"",Q42&lt;&gt;"",Q43&lt;&gt;"",Q44&lt;&gt;""),Q41&amp;" - "&amp;Q42&amp;" - "&amp;Q43&amp;" - "&amp;Q44,IF(AND(Q41="",Q42="",Q43="",Q44&lt;&gt;""),Q44,IF(AND(Q41="",Q42="",Q43="",Q44="",Q45=""),"")))))))))))</f>
        <v>2707 - 2881</v>
      </c>
      <c r="D66" s="1433"/>
      <c r="E66" s="1433"/>
      <c r="F66" s="1433"/>
      <c r="G66" s="1433"/>
      <c r="H66" s="1433"/>
      <c r="I66" s="1433"/>
      <c r="J66" s="1433"/>
      <c r="K66" s="1433"/>
      <c r="L66" s="1433"/>
      <c r="M66" s="1433"/>
      <c r="N66" s="1433"/>
      <c r="O66" s="1433"/>
      <c r="P66" s="1433"/>
      <c r="Q66" s="1433"/>
      <c r="R66" s="1433"/>
      <c r="S66" s="1433"/>
      <c r="T66" s="1433"/>
      <c r="U66" s="1433"/>
      <c r="V66" s="59"/>
    </row>
    <row r="67" spans="2:38" ht="12" customHeight="1" x14ac:dyDescent="0.4">
      <c r="B67" s="58"/>
      <c r="C67" s="625"/>
      <c r="D67" s="626"/>
      <c r="E67" s="626"/>
      <c r="F67" s="626"/>
      <c r="G67" s="626"/>
      <c r="H67" s="626"/>
      <c r="I67" s="626"/>
      <c r="J67" s="626"/>
      <c r="K67" s="626"/>
      <c r="L67" s="626"/>
      <c r="M67" s="626"/>
      <c r="N67" s="626"/>
      <c r="O67" s="626"/>
      <c r="P67" s="626"/>
      <c r="Q67" s="626"/>
      <c r="R67" s="626"/>
      <c r="S67" s="626"/>
      <c r="T67" s="626"/>
      <c r="U67" s="626"/>
      <c r="V67" s="59"/>
    </row>
    <row r="68" spans="2:38" ht="12" customHeight="1" x14ac:dyDescent="0.4">
      <c r="B68" s="58"/>
      <c r="C68" s="625"/>
      <c r="D68" s="626"/>
      <c r="E68" s="626"/>
      <c r="F68" s="626"/>
      <c r="G68" s="626"/>
      <c r="H68" s="626"/>
      <c r="I68" s="626"/>
      <c r="J68" s="626"/>
      <c r="K68" s="626"/>
      <c r="L68" s="626"/>
      <c r="M68" s="626"/>
      <c r="N68" s="626"/>
      <c r="O68" s="626"/>
      <c r="P68" s="626"/>
      <c r="Q68" s="626"/>
      <c r="R68" s="626"/>
      <c r="S68" s="626"/>
      <c r="T68" s="626"/>
      <c r="U68" s="626"/>
      <c r="V68" s="59"/>
    </row>
    <row r="69" spans="2:38" ht="15.95" customHeight="1" x14ac:dyDescent="0.4">
      <c r="B69" s="58"/>
      <c r="C69" s="1434" t="s">
        <v>362</v>
      </c>
      <c r="D69" s="1434"/>
      <c r="E69" s="1434"/>
      <c r="F69" s="1442" t="str">
        <f>I9</f>
        <v>E.E. Professor Alceu Novaes</v>
      </c>
      <c r="G69" s="1442"/>
      <c r="H69" s="1442"/>
      <c r="I69" s="1442"/>
      <c r="J69" s="1442"/>
      <c r="K69" s="1442"/>
      <c r="L69" s="1442"/>
      <c r="M69" s="1442"/>
      <c r="N69" s="1442"/>
      <c r="O69" s="1443" t="s">
        <v>364</v>
      </c>
      <c r="P69" s="1443"/>
      <c r="Q69" s="1443"/>
      <c r="R69" s="1444" t="str">
        <f>R9</f>
        <v>Uberaba</v>
      </c>
      <c r="S69" s="1444"/>
      <c r="T69" s="1444"/>
      <c r="U69" s="1444"/>
      <c r="V69" s="59"/>
    </row>
    <row r="70" spans="2:38" ht="12" customHeight="1" x14ac:dyDescent="0.4">
      <c r="B70" s="58"/>
      <c r="C70" s="625"/>
      <c r="D70" s="626"/>
      <c r="E70" s="626"/>
      <c r="F70" s="626"/>
      <c r="G70" s="626"/>
      <c r="H70" s="626"/>
      <c r="I70" s="626"/>
      <c r="J70" s="626"/>
      <c r="K70" s="626"/>
      <c r="L70" s="626"/>
      <c r="M70" s="626"/>
      <c r="N70" s="626"/>
      <c r="O70" s="626"/>
      <c r="P70" s="626"/>
      <c r="Q70" s="626"/>
      <c r="R70" s="626"/>
      <c r="S70" s="626"/>
      <c r="T70" s="626"/>
      <c r="U70" s="626"/>
      <c r="V70" s="59"/>
    </row>
    <row r="71" spans="2:38" ht="12" customHeight="1" x14ac:dyDescent="0.4">
      <c r="B71" s="58"/>
      <c r="C71" s="625"/>
      <c r="D71" s="626"/>
      <c r="E71" s="626"/>
      <c r="F71" s="626"/>
      <c r="G71" s="626"/>
      <c r="H71" s="626"/>
      <c r="I71" s="626"/>
      <c r="J71" s="626"/>
      <c r="K71" s="626"/>
      <c r="L71" s="626"/>
      <c r="M71" s="626"/>
      <c r="N71" s="626"/>
      <c r="O71" s="626"/>
      <c r="P71" s="626"/>
      <c r="Q71" s="626"/>
      <c r="R71" s="626"/>
      <c r="S71" s="626"/>
      <c r="T71" s="626"/>
      <c r="U71" s="626"/>
      <c r="V71" s="59"/>
    </row>
    <row r="72" spans="2:38" ht="15.95" customHeight="1" x14ac:dyDescent="0.4">
      <c r="B72" s="58"/>
      <c r="C72" s="1436" t="str">
        <f>Geral!I8</f>
        <v>Uberaba</v>
      </c>
      <c r="D72" s="1436"/>
      <c r="E72" s="1436"/>
      <c r="F72" s="1436"/>
      <c r="G72" s="1436"/>
      <c r="H72" s="1436"/>
      <c r="I72" s="1436"/>
      <c r="J72" s="1436"/>
      <c r="K72" s="1436"/>
      <c r="L72" s="625" t="s">
        <v>365</v>
      </c>
      <c r="M72" s="1445">
        <f ca="1">IF(G45&lt;&gt;0,I45,TODAY())</f>
        <v>43238</v>
      </c>
      <c r="N72" s="1445"/>
      <c r="O72" s="1445"/>
      <c r="P72" s="1445"/>
      <c r="Q72" s="1445"/>
      <c r="R72" s="1445"/>
      <c r="S72" s="1445"/>
      <c r="T72" s="1445"/>
      <c r="U72" s="1445"/>
      <c r="V72" s="59"/>
    </row>
    <row r="73" spans="2:38" ht="15.95" customHeight="1" x14ac:dyDescent="0.4">
      <c r="B73" s="58"/>
      <c r="C73" s="625"/>
      <c r="D73" s="626"/>
      <c r="E73" s="626"/>
      <c r="F73" s="626"/>
      <c r="G73" s="626"/>
      <c r="H73" s="626"/>
      <c r="I73" s="626"/>
      <c r="J73" s="626"/>
      <c r="K73" s="626"/>
      <c r="L73" s="626"/>
      <c r="M73" s="626"/>
      <c r="N73" s="626"/>
      <c r="O73" s="626"/>
      <c r="P73" s="626"/>
      <c r="Q73" s="626"/>
      <c r="R73" s="626"/>
      <c r="S73" s="626"/>
      <c r="T73" s="626"/>
      <c r="U73" s="626"/>
      <c r="V73" s="59"/>
    </row>
    <row r="74" spans="2:38" ht="15.95" customHeight="1" x14ac:dyDescent="0.4">
      <c r="B74" s="58"/>
      <c r="C74" s="1439" t="s">
        <v>366</v>
      </c>
      <c r="D74" s="1439"/>
      <c r="E74" s="1439"/>
      <c r="F74" s="1439"/>
      <c r="G74" s="1439"/>
      <c r="H74" s="1439"/>
      <c r="I74" s="1439"/>
      <c r="J74" s="1439"/>
      <c r="K74" s="1439"/>
      <c r="L74" s="1439"/>
      <c r="M74" s="1439"/>
      <c r="N74" s="1439"/>
      <c r="O74" s="1439"/>
      <c r="P74" s="1439"/>
      <c r="Q74" s="1439"/>
      <c r="R74" s="1439"/>
      <c r="S74" s="1439"/>
      <c r="T74" s="1439"/>
      <c r="U74" s="1439"/>
      <c r="V74" s="59"/>
    </row>
    <row r="75" spans="2:38" ht="3" customHeight="1" x14ac:dyDescent="0.4">
      <c r="B75" s="58"/>
      <c r="C75" s="1440"/>
      <c r="D75" s="1440"/>
      <c r="E75" s="1440"/>
      <c r="F75" s="1440"/>
      <c r="G75" s="1440"/>
      <c r="H75" s="1440"/>
      <c r="I75" s="1440"/>
      <c r="J75" s="1440"/>
      <c r="K75" s="1440"/>
      <c r="L75" s="1440"/>
      <c r="M75" s="1440"/>
      <c r="N75" s="1440"/>
      <c r="O75" s="1440"/>
      <c r="P75" s="1440"/>
      <c r="Q75" s="1440"/>
      <c r="R75" s="1440"/>
      <c r="S75" s="1440"/>
      <c r="T75" s="1440"/>
      <c r="U75" s="1440"/>
      <c r="V75" s="59"/>
    </row>
    <row r="76" spans="2:38" ht="15.95" customHeight="1" x14ac:dyDescent="0.4">
      <c r="B76" s="58"/>
      <c r="C76" s="1433" t="s">
        <v>367</v>
      </c>
      <c r="D76" s="1433"/>
      <c r="E76" s="1433" t="str">
        <f>Geral!I10</f>
        <v>Alterar</v>
      </c>
      <c r="F76" s="1433"/>
      <c r="G76" s="1433"/>
      <c r="H76" s="1433"/>
      <c r="I76" s="1433"/>
      <c r="J76" s="1433"/>
      <c r="K76" s="1433"/>
      <c r="L76" s="1433"/>
      <c r="M76" s="1436" t="s">
        <v>1</v>
      </c>
      <c r="N76" s="1436"/>
      <c r="O76" s="1437">
        <f>Geral!T10</f>
        <v>0</v>
      </c>
      <c r="P76" s="1437"/>
      <c r="Q76" s="1437"/>
      <c r="R76" s="1434"/>
      <c r="S76" s="1434"/>
      <c r="T76" s="1434"/>
      <c r="U76" s="1434"/>
      <c r="V76" s="59"/>
    </row>
    <row r="77" spans="2:38" ht="15.95" customHeight="1" x14ac:dyDescent="0.4">
      <c r="B77" s="58"/>
      <c r="C77" s="1434" t="s">
        <v>369</v>
      </c>
      <c r="D77" s="1434"/>
      <c r="E77" s="625"/>
      <c r="F77" s="625"/>
      <c r="G77" s="625"/>
      <c r="H77" s="625"/>
      <c r="I77" s="625"/>
      <c r="J77" s="625"/>
      <c r="K77" s="625"/>
      <c r="L77" s="625"/>
      <c r="M77" s="624"/>
      <c r="N77" s="624"/>
      <c r="O77" s="625"/>
      <c r="P77" s="625"/>
      <c r="Q77" s="625"/>
      <c r="R77" s="625"/>
      <c r="S77" s="625"/>
      <c r="T77" s="625"/>
      <c r="U77" s="625"/>
      <c r="V77" s="59"/>
    </row>
    <row r="78" spans="2:38" ht="15.95" customHeight="1" x14ac:dyDescent="0.4">
      <c r="B78" s="58"/>
      <c r="C78" s="625"/>
      <c r="D78" s="626"/>
      <c r="E78" s="626"/>
      <c r="F78" s="626"/>
      <c r="G78" s="626"/>
      <c r="H78" s="626"/>
      <c r="I78" s="626"/>
      <c r="J78" s="626"/>
      <c r="K78" s="626"/>
      <c r="L78" s="626"/>
      <c r="M78" s="626"/>
      <c r="N78" s="626"/>
      <c r="O78" s="626"/>
      <c r="P78" s="626"/>
      <c r="Q78" s="626"/>
      <c r="R78" s="626"/>
      <c r="S78" s="626"/>
      <c r="T78" s="626"/>
      <c r="U78" s="626"/>
      <c r="V78" s="59"/>
    </row>
    <row r="79" spans="2:38" ht="15.95" customHeight="1" x14ac:dyDescent="0.4">
      <c r="B79" s="58"/>
      <c r="C79" s="1435" t="s">
        <v>368</v>
      </c>
      <c r="D79" s="1435"/>
      <c r="E79" s="1435"/>
      <c r="F79" s="1435"/>
      <c r="G79" s="1435"/>
      <c r="H79" s="1435"/>
      <c r="I79" s="1435"/>
      <c r="J79" s="1435"/>
      <c r="K79" s="1435"/>
      <c r="L79" s="1435"/>
      <c r="M79" s="1435"/>
      <c r="N79" s="1435"/>
      <c r="O79" s="1435"/>
      <c r="P79" s="1435"/>
      <c r="Q79" s="1435"/>
      <c r="R79" s="1435"/>
      <c r="S79" s="1435"/>
      <c r="T79" s="1435"/>
      <c r="U79" s="1435"/>
      <c r="V79" s="59"/>
    </row>
    <row r="80" spans="2:38" ht="8.1" customHeight="1" x14ac:dyDescent="0.4">
      <c r="B80" s="58"/>
      <c r="C80" s="625"/>
      <c r="D80" s="626"/>
      <c r="E80" s="626"/>
      <c r="F80" s="626"/>
      <c r="G80" s="626"/>
      <c r="H80" s="626"/>
      <c r="I80" s="626"/>
      <c r="J80" s="626"/>
      <c r="K80" s="626"/>
      <c r="L80" s="626"/>
      <c r="M80" s="626"/>
      <c r="N80" s="626"/>
      <c r="O80" s="626"/>
      <c r="P80" s="626"/>
      <c r="Q80" s="626"/>
      <c r="R80" s="626"/>
      <c r="S80" s="626"/>
      <c r="T80" s="626"/>
      <c r="U80" s="626"/>
      <c r="V80" s="59"/>
    </row>
    <row r="81" spans="2:22" ht="15.95" customHeight="1" x14ac:dyDescent="0.4">
      <c r="B81" s="58"/>
      <c r="C81" s="1435" t="str">
        <f>Geral!C11</f>
        <v>Coordenador(a) Setor de Pagamento</v>
      </c>
      <c r="D81" s="1435"/>
      <c r="E81" s="1435"/>
      <c r="F81" s="1435"/>
      <c r="G81" s="1435"/>
      <c r="H81" s="1435"/>
      <c r="I81" s="1435"/>
      <c r="J81" s="1435"/>
      <c r="K81" s="1435"/>
      <c r="L81" s="1435"/>
      <c r="M81" s="1435"/>
      <c r="N81" s="1435"/>
      <c r="O81" s="1435"/>
      <c r="P81" s="1435"/>
      <c r="Q81" s="1435"/>
      <c r="R81" s="1435"/>
      <c r="S81" s="1435"/>
      <c r="T81" s="1435"/>
      <c r="U81" s="1435"/>
      <c r="V81" s="59"/>
    </row>
    <row r="82" spans="2:22" ht="3" customHeight="1" x14ac:dyDescent="0.4">
      <c r="B82" s="58"/>
      <c r="C82" s="1438"/>
      <c r="D82" s="1438"/>
      <c r="E82" s="1438"/>
      <c r="F82" s="1438"/>
      <c r="G82" s="1438"/>
      <c r="H82" s="1438"/>
      <c r="I82" s="1438"/>
      <c r="J82" s="1438"/>
      <c r="K82" s="1438"/>
      <c r="L82" s="1438"/>
      <c r="M82" s="1438"/>
      <c r="N82" s="1438"/>
      <c r="O82" s="1438"/>
      <c r="P82" s="1438"/>
      <c r="Q82" s="1438"/>
      <c r="R82" s="1438"/>
      <c r="S82" s="1438"/>
      <c r="T82" s="1438"/>
      <c r="U82" s="1438"/>
      <c r="V82" s="59"/>
    </row>
    <row r="83" spans="2:22" ht="15.95" customHeight="1" x14ac:dyDescent="0.4">
      <c r="B83" s="58"/>
      <c r="C83" s="1433" t="s">
        <v>367</v>
      </c>
      <c r="D83" s="1433"/>
      <c r="E83" s="1433" t="str">
        <f>Geral!I11</f>
        <v>Elizabet das Graças Limido Santos</v>
      </c>
      <c r="F83" s="1433"/>
      <c r="G83" s="1433"/>
      <c r="H83" s="1433"/>
      <c r="I83" s="1433"/>
      <c r="J83" s="1433"/>
      <c r="K83" s="1433"/>
      <c r="L83" s="1433"/>
      <c r="M83" s="1436" t="s">
        <v>1</v>
      </c>
      <c r="N83" s="1436"/>
      <c r="O83" s="1437">
        <f>Geral!T11</f>
        <v>4440780</v>
      </c>
      <c r="P83" s="1437"/>
      <c r="Q83" s="1437"/>
      <c r="R83" s="1434"/>
      <c r="S83" s="1434"/>
      <c r="T83" s="1434"/>
      <c r="U83" s="1434"/>
      <c r="V83" s="59"/>
    </row>
    <row r="84" spans="2:22" ht="15.95" customHeight="1" x14ac:dyDescent="0.4">
      <c r="B84" s="58"/>
      <c r="C84" s="1433" t="s">
        <v>369</v>
      </c>
      <c r="D84" s="1433"/>
      <c r="E84" s="1433"/>
      <c r="F84" s="1433"/>
      <c r="G84" s="1433"/>
      <c r="H84" s="1433"/>
      <c r="I84" s="1433"/>
      <c r="J84" s="1433"/>
      <c r="K84" s="1433"/>
      <c r="L84" s="1433"/>
      <c r="M84" s="1433"/>
      <c r="N84" s="1433"/>
      <c r="O84" s="1433"/>
      <c r="P84" s="1433"/>
      <c r="Q84" s="1433"/>
      <c r="R84" s="1433"/>
      <c r="S84" s="1433"/>
      <c r="T84" s="1433"/>
      <c r="U84" s="1433"/>
      <c r="V84" s="59"/>
    </row>
    <row r="85" spans="2:22" ht="15.95" customHeight="1" x14ac:dyDescent="0.4">
      <c r="B85" s="58"/>
      <c r="C85" s="1434"/>
      <c r="D85" s="1434"/>
      <c r="E85" s="1434"/>
      <c r="F85" s="1434"/>
      <c r="G85" s="1434"/>
      <c r="H85" s="1434"/>
      <c r="I85" s="1434"/>
      <c r="J85" s="1434"/>
      <c r="K85" s="1434"/>
      <c r="L85" s="1434"/>
      <c r="M85" s="1434"/>
      <c r="N85" s="1434"/>
      <c r="O85" s="1434"/>
      <c r="P85" s="1434"/>
      <c r="Q85" s="1434"/>
      <c r="R85" s="1434"/>
      <c r="S85" s="1434"/>
      <c r="T85" s="1434"/>
      <c r="U85" s="1434"/>
      <c r="V85" s="59"/>
    </row>
    <row r="86" spans="2:22" ht="15.95" customHeight="1" x14ac:dyDescent="0.4">
      <c r="B86" s="58"/>
      <c r="C86" s="1435" t="str">
        <f>IF(AND(S45&gt;=Geral!F27,S45&lt;&gt;"Aguard. Dados"),Geral!C12,"")</f>
        <v>Diretor(a) da Diretoria de Pessoal</v>
      </c>
      <c r="D86" s="1435"/>
      <c r="E86" s="1435"/>
      <c r="F86" s="1435"/>
      <c r="G86" s="1435"/>
      <c r="H86" s="1435"/>
      <c r="I86" s="1435"/>
      <c r="J86" s="1435"/>
      <c r="K86" s="1435"/>
      <c r="L86" s="1435"/>
      <c r="M86" s="1435"/>
      <c r="N86" s="1435"/>
      <c r="O86" s="1435"/>
      <c r="P86" s="1435"/>
      <c r="Q86" s="1435"/>
      <c r="R86" s="1435"/>
      <c r="S86" s="1435"/>
      <c r="T86" s="1435"/>
      <c r="U86" s="1435"/>
      <c r="V86" s="59"/>
    </row>
    <row r="87" spans="2:22" ht="3" customHeight="1" x14ac:dyDescent="0.4">
      <c r="B87" s="58"/>
      <c r="C87" s="1438"/>
      <c r="D87" s="1438"/>
      <c r="E87" s="1438"/>
      <c r="F87" s="1438"/>
      <c r="G87" s="1438"/>
      <c r="H87" s="1438"/>
      <c r="I87" s="1438"/>
      <c r="J87" s="1438"/>
      <c r="K87" s="1438"/>
      <c r="L87" s="1438"/>
      <c r="M87" s="1438"/>
      <c r="N87" s="1438"/>
      <c r="O87" s="1438"/>
      <c r="P87" s="1438"/>
      <c r="Q87" s="1438"/>
      <c r="R87" s="1438"/>
      <c r="S87" s="1438"/>
      <c r="T87" s="1438"/>
      <c r="U87" s="1438"/>
      <c r="V87" s="59"/>
    </row>
    <row r="88" spans="2:22" ht="15.95" customHeight="1" x14ac:dyDescent="0.4">
      <c r="B88" s="58"/>
      <c r="C88" s="1433" t="str">
        <f>IF(AND(S45&gt;=Geral!F27,S45&lt;&gt;"Aguard. Dados"),"Nome:","")</f>
        <v>Nome:</v>
      </c>
      <c r="D88" s="1433"/>
      <c r="E88" s="1433" t="str">
        <f>IF(AND(S45&gt;=Geral!F27,S45&lt;&gt;"Aguard. Dados"),Geral!I12,"")</f>
        <v>Maria Célia da Cunha Ferreira</v>
      </c>
      <c r="F88" s="1433"/>
      <c r="G88" s="1433"/>
      <c r="H88" s="1433"/>
      <c r="I88" s="1433"/>
      <c r="J88" s="1433"/>
      <c r="K88" s="1433"/>
      <c r="L88" s="1433"/>
      <c r="M88" s="1436" t="str">
        <f>IF(AND(S45&gt;=Geral!F27,S45&lt;&gt;"Aguard. Dados"),"MaSP:","")</f>
        <v>MaSP:</v>
      </c>
      <c r="N88" s="1436"/>
      <c r="O88" s="1437">
        <f>IF(AND(S45&gt;=Geral!F27,S45&lt;&gt;"Aguard. Dados"),Geral!T12,"")</f>
        <v>8173536</v>
      </c>
      <c r="P88" s="1437"/>
      <c r="Q88" s="1437"/>
      <c r="R88" s="1434"/>
      <c r="S88" s="1434"/>
      <c r="T88" s="1434"/>
      <c r="U88" s="1434"/>
      <c r="V88" s="59"/>
    </row>
    <row r="89" spans="2:22" ht="15.95" customHeight="1" x14ac:dyDescent="0.4">
      <c r="B89" s="58"/>
      <c r="C89" s="1433" t="str">
        <f>IF(AND(S45&gt;=Geral!F27,S45&lt;&gt;"Aguard. Dados"),"Assinatura:","")</f>
        <v>Assinatura:</v>
      </c>
      <c r="D89" s="1433"/>
      <c r="E89" s="1433"/>
      <c r="F89" s="1433"/>
      <c r="G89" s="1433"/>
      <c r="H89" s="1433"/>
      <c r="I89" s="1433"/>
      <c r="J89" s="1433"/>
      <c r="K89" s="1433"/>
      <c r="L89" s="1433"/>
      <c r="M89" s="1433"/>
      <c r="N89" s="1433"/>
      <c r="O89" s="1433"/>
      <c r="P89" s="1433"/>
      <c r="Q89" s="1433"/>
      <c r="R89" s="1433"/>
      <c r="S89" s="1433"/>
      <c r="T89" s="1433"/>
      <c r="U89" s="1433"/>
      <c r="V89" s="59"/>
    </row>
    <row r="90" spans="2:22" ht="15.95" customHeight="1" x14ac:dyDescent="0.4">
      <c r="B90" s="58"/>
      <c r="C90" s="1434"/>
      <c r="D90" s="1434"/>
      <c r="E90" s="1434"/>
      <c r="F90" s="1434"/>
      <c r="G90" s="1434"/>
      <c r="H90" s="1434"/>
      <c r="I90" s="1434"/>
      <c r="J90" s="1434"/>
      <c r="K90" s="1434"/>
      <c r="L90" s="1434"/>
      <c r="M90" s="1434"/>
      <c r="N90" s="1434"/>
      <c r="O90" s="1434"/>
      <c r="P90" s="1434"/>
      <c r="Q90" s="1434"/>
      <c r="R90" s="1434"/>
      <c r="S90" s="1434"/>
      <c r="T90" s="1434"/>
      <c r="U90" s="1434"/>
      <c r="V90" s="59"/>
    </row>
    <row r="91" spans="2:22" ht="15.95" customHeight="1" x14ac:dyDescent="0.4">
      <c r="B91" s="58"/>
      <c r="C91" s="1434"/>
      <c r="D91" s="1434"/>
      <c r="E91" s="1434"/>
      <c r="F91" s="1434"/>
      <c r="G91" s="1434"/>
      <c r="H91" s="1434"/>
      <c r="I91" s="1434"/>
      <c r="J91" s="1434"/>
      <c r="K91" s="1434"/>
      <c r="L91" s="1434"/>
      <c r="M91" s="1434"/>
      <c r="N91" s="1434"/>
      <c r="O91" s="1434"/>
      <c r="P91" s="1434"/>
      <c r="Q91" s="1434"/>
      <c r="R91" s="1434"/>
      <c r="S91" s="1434"/>
      <c r="T91" s="1434"/>
      <c r="U91" s="1434"/>
      <c r="V91" s="59"/>
    </row>
    <row r="92" spans="2:22" ht="15.95" customHeight="1" x14ac:dyDescent="0.4">
      <c r="B92" s="58"/>
      <c r="C92" s="1435" t="str">
        <f>IF(AND(S45&gt;=Geral!K27,S45&lt;&gt;"Aguard. Dados"),Geral!C13,"")</f>
        <v>Diretor(a) da S.R.E.</v>
      </c>
      <c r="D92" s="1435"/>
      <c r="E92" s="1435"/>
      <c r="F92" s="1435"/>
      <c r="G92" s="1435"/>
      <c r="H92" s="1435"/>
      <c r="I92" s="1435"/>
      <c r="J92" s="1435"/>
      <c r="K92" s="1435"/>
      <c r="L92" s="1435"/>
      <c r="M92" s="1435"/>
      <c r="N92" s="1435"/>
      <c r="O92" s="1435"/>
      <c r="P92" s="1435"/>
      <c r="Q92" s="1435"/>
      <c r="R92" s="1435"/>
      <c r="S92" s="1435"/>
      <c r="T92" s="1435"/>
      <c r="U92" s="1435"/>
      <c r="V92" s="59"/>
    </row>
    <row r="93" spans="2:22" ht="3" customHeight="1" x14ac:dyDescent="0.4">
      <c r="B93" s="58"/>
      <c r="C93" s="1438"/>
      <c r="D93" s="1438"/>
      <c r="E93" s="1438"/>
      <c r="F93" s="1438"/>
      <c r="G93" s="1438"/>
      <c r="H93" s="1438"/>
      <c r="I93" s="1438"/>
      <c r="J93" s="1438"/>
      <c r="K93" s="1438"/>
      <c r="L93" s="1438"/>
      <c r="M93" s="1438"/>
      <c r="N93" s="1438"/>
      <c r="O93" s="1438"/>
      <c r="P93" s="1438"/>
      <c r="Q93" s="1438"/>
      <c r="R93" s="1438"/>
      <c r="S93" s="1438"/>
      <c r="T93" s="1438"/>
      <c r="U93" s="1438"/>
      <c r="V93" s="59"/>
    </row>
    <row r="94" spans="2:22" ht="15.95" customHeight="1" x14ac:dyDescent="0.4">
      <c r="B94" s="58"/>
      <c r="C94" s="1433" t="str">
        <f>IF(AND(S45&gt;=Geral!K27,S45&lt;&gt;"Aguard. Dados"),"Nome:","")</f>
        <v>Nome:</v>
      </c>
      <c r="D94" s="1433"/>
      <c r="E94" s="1433" t="str">
        <f>IF(AND(S45&gt;=Geral!K27,S45&lt;&gt;"Aguard. Dados"),Geral!I13,"")</f>
        <v>Marilda Ribeiro Resende</v>
      </c>
      <c r="F94" s="1433"/>
      <c r="G94" s="1433"/>
      <c r="H94" s="1433"/>
      <c r="I94" s="1433"/>
      <c r="J94" s="1433"/>
      <c r="K94" s="1433"/>
      <c r="L94" s="1433"/>
      <c r="M94" s="1436" t="str">
        <f>IF(AND(S45&gt;=Geral!K27,S45&lt;&gt;"Aguard. Dados"),"MaSP:","")</f>
        <v>MaSP:</v>
      </c>
      <c r="N94" s="1436"/>
      <c r="O94" s="1437">
        <f>IF(AND(S45&gt;=Geral!K27,S45&lt;&gt;"Aguard. Dados"),Geral!T13,"")</f>
        <v>2554624</v>
      </c>
      <c r="P94" s="1437"/>
      <c r="Q94" s="1437"/>
      <c r="R94" s="1434"/>
      <c r="S94" s="1434"/>
      <c r="T94" s="1434"/>
      <c r="U94" s="1434"/>
      <c r="V94" s="59"/>
    </row>
    <row r="95" spans="2:22" ht="15.95" customHeight="1" x14ac:dyDescent="0.4">
      <c r="B95" s="58"/>
      <c r="C95" s="1433" t="str">
        <f>IF(AND(S45&gt;=Geral!K27,S45&lt;&gt;"Aguard. Dados"),"Assinatura:","")</f>
        <v>Assinatura:</v>
      </c>
      <c r="D95" s="1433"/>
      <c r="E95" s="1433"/>
      <c r="F95" s="1433"/>
      <c r="G95" s="1433"/>
      <c r="H95" s="1433"/>
      <c r="I95" s="1433"/>
      <c r="J95" s="1433"/>
      <c r="K95" s="1433"/>
      <c r="L95" s="1433"/>
      <c r="M95" s="1433"/>
      <c r="N95" s="1433"/>
      <c r="O95" s="1433"/>
      <c r="P95" s="1433"/>
      <c r="Q95" s="1433"/>
      <c r="R95" s="1433"/>
      <c r="S95" s="1433"/>
      <c r="T95" s="1433"/>
      <c r="U95" s="1433"/>
      <c r="V95" s="59"/>
    </row>
    <row r="96" spans="2:22" ht="15.95" customHeight="1" x14ac:dyDescent="0.4">
      <c r="B96" s="58"/>
      <c r="C96" s="1434"/>
      <c r="D96" s="1434"/>
      <c r="E96" s="1434"/>
      <c r="F96" s="1434"/>
      <c r="G96" s="1434"/>
      <c r="H96" s="1434"/>
      <c r="I96" s="1434"/>
      <c r="J96" s="1434"/>
      <c r="K96" s="1434"/>
      <c r="L96" s="1434"/>
      <c r="M96" s="1434"/>
      <c r="N96" s="1434"/>
      <c r="O96" s="1434"/>
      <c r="P96" s="1434"/>
      <c r="Q96" s="1434"/>
      <c r="R96" s="1434"/>
      <c r="S96" s="1434"/>
      <c r="T96" s="1434"/>
      <c r="U96" s="1434"/>
      <c r="V96" s="59"/>
    </row>
    <row r="97" spans="2:22" ht="15.95" customHeight="1" x14ac:dyDescent="0.4">
      <c r="B97" s="58"/>
      <c r="C97" s="1434"/>
      <c r="D97" s="1434"/>
      <c r="E97" s="1434"/>
      <c r="F97" s="1434"/>
      <c r="G97" s="1434"/>
      <c r="H97" s="1434"/>
      <c r="I97" s="1434"/>
      <c r="J97" s="1434"/>
      <c r="K97" s="1434"/>
      <c r="L97" s="1434"/>
      <c r="M97" s="1434"/>
      <c r="N97" s="1434"/>
      <c r="O97" s="1434"/>
      <c r="P97" s="1434"/>
      <c r="Q97" s="1434"/>
      <c r="R97" s="1434"/>
      <c r="S97" s="1434"/>
      <c r="T97" s="1434"/>
      <c r="U97" s="1434"/>
      <c r="V97" s="59"/>
    </row>
    <row r="98" spans="2:22" ht="15.95" customHeight="1" x14ac:dyDescent="0.4">
      <c r="B98" s="58"/>
      <c r="C98" s="1435" t="str">
        <f>IF(AND(S45&gt;=Geral!P27,S45&lt;&gt;"Aguard. Dados"),Geral!C15,"")</f>
        <v>Subsecretário G. Recursos Humanos</v>
      </c>
      <c r="D98" s="1435"/>
      <c r="E98" s="1435"/>
      <c r="F98" s="1435"/>
      <c r="G98" s="1435"/>
      <c r="H98" s="1435"/>
      <c r="I98" s="1435"/>
      <c r="J98" s="1435"/>
      <c r="K98" s="1435"/>
      <c r="L98" s="1435"/>
      <c r="M98" s="1435"/>
      <c r="N98" s="1435"/>
      <c r="O98" s="1435"/>
      <c r="P98" s="1435"/>
      <c r="Q98" s="1435"/>
      <c r="R98" s="1435"/>
      <c r="S98" s="1435"/>
      <c r="T98" s="1435"/>
      <c r="U98" s="1435"/>
      <c r="V98" s="59"/>
    </row>
    <row r="99" spans="2:22" ht="3" customHeight="1" x14ac:dyDescent="0.4">
      <c r="B99" s="58"/>
      <c r="C99" s="1438"/>
      <c r="D99" s="1438"/>
      <c r="E99" s="1438"/>
      <c r="F99" s="1438"/>
      <c r="G99" s="1438"/>
      <c r="H99" s="1438"/>
      <c r="I99" s="1438"/>
      <c r="J99" s="1438"/>
      <c r="K99" s="1438"/>
      <c r="L99" s="1438"/>
      <c r="M99" s="1438"/>
      <c r="N99" s="1438"/>
      <c r="O99" s="1438"/>
      <c r="P99" s="1438"/>
      <c r="Q99" s="1438"/>
      <c r="R99" s="1438"/>
      <c r="S99" s="1438"/>
      <c r="T99" s="1438"/>
      <c r="U99" s="1438"/>
      <c r="V99" s="59"/>
    </row>
    <row r="100" spans="2:22" ht="15.95" customHeight="1" x14ac:dyDescent="0.4">
      <c r="B100" s="58"/>
      <c r="C100" s="1433" t="str">
        <f>IF(AND(S45&gt;=Geral!P27,S45&lt;&gt;"Aguard. Dados"),"Nome:","")</f>
        <v>Nome:</v>
      </c>
      <c r="D100" s="1433"/>
      <c r="E100" s="1433" t="str">
        <f>IF(AND(S45&gt;=Geral!P27,S45&lt;&gt;"Aguard. Dados"),Geral!I15,"")</f>
        <v>Antonio David de Sousa Junior</v>
      </c>
      <c r="F100" s="1433"/>
      <c r="G100" s="1433"/>
      <c r="H100" s="1433"/>
      <c r="I100" s="1433"/>
      <c r="J100" s="1433"/>
      <c r="K100" s="1433"/>
      <c r="L100" s="1433"/>
      <c r="M100" s="1436" t="str">
        <f>IF(AND(S45&gt;=Geral!P27,S45&lt;&gt;"Aguard. Dados"),"MaSP:","")</f>
        <v>MaSP:</v>
      </c>
      <c r="N100" s="1436"/>
      <c r="O100" s="1437">
        <f>IF(AND(S45&gt;=Geral!P27,S45&lt;&gt;"Aguard. Dados"),Geral!T15,"")</f>
        <v>13843784</v>
      </c>
      <c r="P100" s="1437"/>
      <c r="Q100" s="1437"/>
      <c r="R100" s="1434"/>
      <c r="S100" s="1434"/>
      <c r="T100" s="1434"/>
      <c r="U100" s="1434"/>
      <c r="V100" s="59"/>
    </row>
    <row r="101" spans="2:22" ht="15.95" customHeight="1" x14ac:dyDescent="0.4">
      <c r="B101" s="58"/>
      <c r="C101" s="1433" t="str">
        <f>IF(AND(S45&gt;=Geral!P27,S45&lt;&gt;"Aguard. Dados"),"Assinatura:","")</f>
        <v>Assinatura:</v>
      </c>
      <c r="D101" s="1433"/>
      <c r="E101" s="1433"/>
      <c r="F101" s="1433"/>
      <c r="G101" s="1433"/>
      <c r="H101" s="1433"/>
      <c r="I101" s="1433"/>
      <c r="J101" s="1433"/>
      <c r="K101" s="1433"/>
      <c r="L101" s="1433"/>
      <c r="M101" s="1433"/>
      <c r="N101" s="1433"/>
      <c r="O101" s="1433"/>
      <c r="P101" s="1433"/>
      <c r="Q101" s="1433"/>
      <c r="R101" s="1433"/>
      <c r="S101" s="1433"/>
      <c r="T101" s="1433"/>
      <c r="U101" s="1433"/>
      <c r="V101" s="59"/>
    </row>
    <row r="102" spans="2:22" ht="15.95" customHeight="1" x14ac:dyDescent="0.4">
      <c r="B102" s="58"/>
      <c r="C102" s="1434"/>
      <c r="D102" s="1434"/>
      <c r="E102" s="1434"/>
      <c r="F102" s="1434"/>
      <c r="G102" s="1434"/>
      <c r="H102" s="1434"/>
      <c r="I102" s="1434"/>
      <c r="J102" s="1434"/>
      <c r="K102" s="1434"/>
      <c r="L102" s="1434"/>
      <c r="M102" s="1434"/>
      <c r="N102" s="1434"/>
      <c r="O102" s="1434"/>
      <c r="P102" s="1434"/>
      <c r="Q102" s="1434"/>
      <c r="R102" s="1434"/>
      <c r="S102" s="1434"/>
      <c r="T102" s="1434"/>
      <c r="U102" s="1434"/>
      <c r="V102" s="59"/>
    </row>
    <row r="103" spans="2:22" ht="15.95" customHeight="1" x14ac:dyDescent="0.4">
      <c r="B103" s="58"/>
      <c r="C103" s="1434"/>
      <c r="D103" s="1434"/>
      <c r="E103" s="1434"/>
      <c r="F103" s="1434"/>
      <c r="G103" s="1434"/>
      <c r="H103" s="1434"/>
      <c r="I103" s="1434"/>
      <c r="J103" s="1434"/>
      <c r="K103" s="1434"/>
      <c r="L103" s="1434"/>
      <c r="M103" s="1434"/>
      <c r="N103" s="1434"/>
      <c r="O103" s="1434"/>
      <c r="P103" s="1434"/>
      <c r="Q103" s="1434"/>
      <c r="R103" s="1434"/>
      <c r="S103" s="1434"/>
      <c r="T103" s="1434"/>
      <c r="U103" s="1434"/>
      <c r="V103" s="59"/>
    </row>
    <row r="104" spans="2:22" ht="15.95" customHeight="1" x14ac:dyDescent="0.4">
      <c r="B104" s="58"/>
      <c r="C104" s="1435" t="str">
        <f>IF(AND(S45&gt;=Geral!T27,S45&lt;&gt;"Aguard. Dados"),Geral!C16,"")</f>
        <v>Secretário(a) de Estado de Educação</v>
      </c>
      <c r="D104" s="1435"/>
      <c r="E104" s="1435"/>
      <c r="F104" s="1435"/>
      <c r="G104" s="1435"/>
      <c r="H104" s="1435"/>
      <c r="I104" s="1435"/>
      <c r="J104" s="1435"/>
      <c r="K104" s="1435"/>
      <c r="L104" s="1435"/>
      <c r="M104" s="1435"/>
      <c r="N104" s="1435"/>
      <c r="O104" s="1435"/>
      <c r="P104" s="1435"/>
      <c r="Q104" s="1435"/>
      <c r="R104" s="1435"/>
      <c r="S104" s="1435"/>
      <c r="T104" s="1435"/>
      <c r="U104" s="1435"/>
      <c r="V104" s="59"/>
    </row>
    <row r="105" spans="2:22" ht="3" customHeight="1" x14ac:dyDescent="0.4">
      <c r="B105" s="58"/>
      <c r="C105" s="1434"/>
      <c r="D105" s="1434"/>
      <c r="E105" s="1434"/>
      <c r="F105" s="1434"/>
      <c r="G105" s="1434"/>
      <c r="H105" s="1434"/>
      <c r="I105" s="1434"/>
      <c r="J105" s="1434"/>
      <c r="K105" s="1434"/>
      <c r="L105" s="1434"/>
      <c r="M105" s="1434"/>
      <c r="N105" s="1434"/>
      <c r="O105" s="1434"/>
      <c r="P105" s="1434"/>
      <c r="Q105" s="1434"/>
      <c r="R105" s="1434"/>
      <c r="S105" s="1434"/>
      <c r="T105" s="1434"/>
      <c r="U105" s="1434"/>
      <c r="V105" s="59"/>
    </row>
    <row r="106" spans="2:22" ht="15.95" customHeight="1" x14ac:dyDescent="0.4">
      <c r="B106" s="58"/>
      <c r="C106" s="1433" t="str">
        <f>IF(AND(S45&gt;=Geral!T27,S45&lt;&gt;"Aguard. Dados"),"Nome:","")</f>
        <v>Nome:</v>
      </c>
      <c r="D106" s="1433"/>
      <c r="E106" s="1433" t="str">
        <f>IF(AND(S45&gt;=Geral!T27,S45&lt;&gt;"Aguard. Dados"),Geral!I16,"")</f>
        <v>Wieland Silberschneider</v>
      </c>
      <c r="F106" s="1433"/>
      <c r="G106" s="1433"/>
      <c r="H106" s="1433"/>
      <c r="I106" s="1433"/>
      <c r="J106" s="1433"/>
      <c r="K106" s="1433"/>
      <c r="L106" s="1433"/>
      <c r="M106" s="1436" t="str">
        <f>IF(AND(S45&gt;=Geral!T27,S45&lt;&gt;"Aguard. Dados"),"MaSP:","")</f>
        <v>MaSP:</v>
      </c>
      <c r="N106" s="1436"/>
      <c r="O106" s="1437">
        <f>IF(AND(S45&gt;=Geral!T27,S45&lt;&gt;"Aguard. Dados"),Geral!T16,"")</f>
        <v>3100377</v>
      </c>
      <c r="P106" s="1437"/>
      <c r="Q106" s="1437"/>
      <c r="R106" s="1434"/>
      <c r="S106" s="1434"/>
      <c r="T106" s="1434"/>
      <c r="U106" s="1434"/>
      <c r="V106" s="59"/>
    </row>
    <row r="107" spans="2:22" ht="15.95" customHeight="1" x14ac:dyDescent="0.4">
      <c r="B107" s="58"/>
      <c r="C107" s="1433" t="str">
        <f>IF(AND(S45&gt;=Geral!T27,S45&lt;&gt;"Aguard. Dados"),"Assinatura:","")</f>
        <v>Assinatura:</v>
      </c>
      <c r="D107" s="1433"/>
      <c r="E107" s="1433"/>
      <c r="F107" s="1433"/>
      <c r="G107" s="1433"/>
      <c r="H107" s="1433"/>
      <c r="I107" s="1433"/>
      <c r="J107" s="1433"/>
      <c r="K107" s="1433"/>
      <c r="L107" s="1433"/>
      <c r="M107" s="1433"/>
      <c r="N107" s="1433"/>
      <c r="O107" s="1433"/>
      <c r="P107" s="1433"/>
      <c r="Q107" s="1433"/>
      <c r="R107" s="1433"/>
      <c r="S107" s="1433"/>
      <c r="T107" s="1433"/>
      <c r="U107" s="1433"/>
      <c r="V107" s="59"/>
    </row>
    <row r="108" spans="2:22" ht="15.95" customHeight="1" thickBot="1" x14ac:dyDescent="0.45">
      <c r="B108" s="60"/>
      <c r="C108" s="61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3"/>
    </row>
    <row r="109" spans="2:22" ht="15.95" customHeight="1" thickTop="1" x14ac:dyDescent="0.4"/>
  </sheetData>
  <sheetProtection algorithmName="SHA-512" hashValue="g+aYUg83faW0JYbUF960EbT/f8pJEU6yKg/6x7Gt4y8TJoK4pyLjpX+BwB5hYNHTqRWIDWsgeVghA2gVTowuaQ==" saltValue="TY04LmdtsrZDhOLyrsSQYA==" spinCount="100000" sheet="1" objects="1" scenarios="1" selectLockedCells="1" selectUnlockedCells="1"/>
  <mergeCells count="229">
    <mergeCell ref="B3:V3"/>
    <mergeCell ref="AL3:AL16"/>
    <mergeCell ref="S4:T4"/>
    <mergeCell ref="Y4:AA5"/>
    <mergeCell ref="AB4:AF5"/>
    <mergeCell ref="AG4:AK5"/>
    <mergeCell ref="C5:U5"/>
    <mergeCell ref="AG6:AK6"/>
    <mergeCell ref="C7:F7"/>
    <mergeCell ref="Y7:AA8"/>
    <mergeCell ref="AB7:AF8"/>
    <mergeCell ref="AG7:AK8"/>
    <mergeCell ref="C8:F8"/>
    <mergeCell ref="H8:O8"/>
    <mergeCell ref="Q8:R8"/>
    <mergeCell ref="T8:U8"/>
    <mergeCell ref="C6:F6"/>
    <mergeCell ref="G6:Q6"/>
    <mergeCell ref="R6:S6"/>
    <mergeCell ref="T6:U6"/>
    <mergeCell ref="Y6:AA6"/>
    <mergeCell ref="AB6:AF6"/>
    <mergeCell ref="M12:P12"/>
    <mergeCell ref="Q12:R12"/>
    <mergeCell ref="S12:U12"/>
    <mergeCell ref="Y12:AA12"/>
    <mergeCell ref="AB12:AF12"/>
    <mergeCell ref="AG12:AK12"/>
    <mergeCell ref="AG9:AK10"/>
    <mergeCell ref="C10:U10"/>
    <mergeCell ref="C11:H13"/>
    <mergeCell ref="I11:L11"/>
    <mergeCell ref="M11:P11"/>
    <mergeCell ref="Q11:R11"/>
    <mergeCell ref="S11:U11"/>
    <mergeCell ref="Y11:AA11"/>
    <mergeCell ref="AB11:AF11"/>
    <mergeCell ref="AG11:AK11"/>
    <mergeCell ref="C9:E9"/>
    <mergeCell ref="G9:H9"/>
    <mergeCell ref="I9:Q9"/>
    <mergeCell ref="R9:U9"/>
    <mergeCell ref="Y9:AA10"/>
    <mergeCell ref="AB9:AF10"/>
    <mergeCell ref="J13:K13"/>
    <mergeCell ref="M13:N16"/>
    <mergeCell ref="O13:U13"/>
    <mergeCell ref="Y13:AA13"/>
    <mergeCell ref="AB13:AF13"/>
    <mergeCell ref="AG13:AK13"/>
    <mergeCell ref="Q14:Q16"/>
    <mergeCell ref="T14:T16"/>
    <mergeCell ref="U14:U16"/>
    <mergeCell ref="E16:G16"/>
    <mergeCell ref="I16:J16"/>
    <mergeCell ref="K16:L16"/>
    <mergeCell ref="Y16:AC16"/>
    <mergeCell ref="AD16:AJ16"/>
    <mergeCell ref="C17:U17"/>
    <mergeCell ref="C14:E14"/>
    <mergeCell ref="F14:H14"/>
    <mergeCell ref="I14:J14"/>
    <mergeCell ref="K14:L14"/>
    <mergeCell ref="O14:O16"/>
    <mergeCell ref="P14:P16"/>
    <mergeCell ref="E15:G15"/>
    <mergeCell ref="I15:J15"/>
    <mergeCell ref="K15:L15"/>
    <mergeCell ref="C16:D16"/>
    <mergeCell ref="S40:T40"/>
    <mergeCell ref="C41:E41"/>
    <mergeCell ref="G41:H41"/>
    <mergeCell ref="I41:J41"/>
    <mergeCell ref="L41:N41"/>
    <mergeCell ref="O41:P41"/>
    <mergeCell ref="Q41:R41"/>
    <mergeCell ref="S41:T41"/>
    <mergeCell ref="C40:E40"/>
    <mergeCell ref="G40:H40"/>
    <mergeCell ref="I40:J40"/>
    <mergeCell ref="L40:N40"/>
    <mergeCell ref="O40:P40"/>
    <mergeCell ref="Q40:R40"/>
    <mergeCell ref="Y41:AC41"/>
    <mergeCell ref="AD41:AG41"/>
    <mergeCell ref="AH41:AK41"/>
    <mergeCell ref="C42:E42"/>
    <mergeCell ref="G42:H42"/>
    <mergeCell ref="I42:J42"/>
    <mergeCell ref="L42:N42"/>
    <mergeCell ref="O42:P42"/>
    <mergeCell ref="Q42:R42"/>
    <mergeCell ref="S42:T42"/>
    <mergeCell ref="Y42:AG42"/>
    <mergeCell ref="AH42:AI42"/>
    <mergeCell ref="AJ42:AK42"/>
    <mergeCell ref="AJ43:AK43"/>
    <mergeCell ref="C44:E44"/>
    <mergeCell ref="G44:H44"/>
    <mergeCell ref="I44:J44"/>
    <mergeCell ref="L44:N44"/>
    <mergeCell ref="O44:P44"/>
    <mergeCell ref="Q44:R44"/>
    <mergeCell ref="S44:T44"/>
    <mergeCell ref="B49:V49"/>
    <mergeCell ref="Y49:AA49"/>
    <mergeCell ref="C43:E43"/>
    <mergeCell ref="G43:H43"/>
    <mergeCell ref="I43:J43"/>
    <mergeCell ref="L43:N43"/>
    <mergeCell ref="O43:P43"/>
    <mergeCell ref="Q43:R43"/>
    <mergeCell ref="S43:T43"/>
    <mergeCell ref="Y43:AG43"/>
    <mergeCell ref="AH43:AI43"/>
    <mergeCell ref="E52:U52"/>
    <mergeCell ref="E53:U53"/>
    <mergeCell ref="Y53:AK53"/>
    <mergeCell ref="C54:U54"/>
    <mergeCell ref="Y54:AF54"/>
    <mergeCell ref="AG54:AK54"/>
    <mergeCell ref="Y45:AA45"/>
    <mergeCell ref="AB45:AF45"/>
    <mergeCell ref="AG45:AK45"/>
    <mergeCell ref="C46:U46"/>
    <mergeCell ref="Y46:AK48"/>
    <mergeCell ref="C47:D47"/>
    <mergeCell ref="E47:U47"/>
    <mergeCell ref="C48:U48"/>
    <mergeCell ref="C45:E45"/>
    <mergeCell ref="G45:H45"/>
    <mergeCell ref="I45:M45"/>
    <mergeCell ref="N45:P45"/>
    <mergeCell ref="Q45:R45"/>
    <mergeCell ref="S45:U45"/>
    <mergeCell ref="Y57:AF57"/>
    <mergeCell ref="AG57:AK57"/>
    <mergeCell ref="C58:F58"/>
    <mergeCell ref="G58:U58"/>
    <mergeCell ref="Y58:AF58"/>
    <mergeCell ref="AG58:AK58"/>
    <mergeCell ref="C55:H55"/>
    <mergeCell ref="I55:U55"/>
    <mergeCell ref="Y55:AF55"/>
    <mergeCell ref="AG55:AK55"/>
    <mergeCell ref="C56:E56"/>
    <mergeCell ref="F56:M56"/>
    <mergeCell ref="N56:U56"/>
    <mergeCell ref="Y56:AF56"/>
    <mergeCell ref="AG56:AK56"/>
    <mergeCell ref="C61:U61"/>
    <mergeCell ref="C62:U63"/>
    <mergeCell ref="C64:U64"/>
    <mergeCell ref="C65:G65"/>
    <mergeCell ref="H65:U65"/>
    <mergeCell ref="C66:U66"/>
    <mergeCell ref="C59:L59"/>
    <mergeCell ref="M59:N59"/>
    <mergeCell ref="O59:Q59"/>
    <mergeCell ref="R59:U59"/>
    <mergeCell ref="C60:E60"/>
    <mergeCell ref="F60:U60"/>
    <mergeCell ref="C74:U74"/>
    <mergeCell ref="C75:U75"/>
    <mergeCell ref="C76:D76"/>
    <mergeCell ref="E76:L76"/>
    <mergeCell ref="M76:N76"/>
    <mergeCell ref="O76:Q76"/>
    <mergeCell ref="R76:U76"/>
    <mergeCell ref="C69:E69"/>
    <mergeCell ref="F69:N69"/>
    <mergeCell ref="O69:Q69"/>
    <mergeCell ref="R69:U69"/>
    <mergeCell ref="C72:K72"/>
    <mergeCell ref="M72:U72"/>
    <mergeCell ref="C77:D77"/>
    <mergeCell ref="C79:U79"/>
    <mergeCell ref="C81:U81"/>
    <mergeCell ref="C82:U82"/>
    <mergeCell ref="C83:D83"/>
    <mergeCell ref="E83:L83"/>
    <mergeCell ref="M83:N83"/>
    <mergeCell ref="O83:Q83"/>
    <mergeCell ref="R83:U83"/>
    <mergeCell ref="C84:U84"/>
    <mergeCell ref="C85:U85"/>
    <mergeCell ref="C86:U86"/>
    <mergeCell ref="C87:U87"/>
    <mergeCell ref="C88:D88"/>
    <mergeCell ref="E88:L88"/>
    <mergeCell ref="M88:N88"/>
    <mergeCell ref="O88:Q88"/>
    <mergeCell ref="R88:U88"/>
    <mergeCell ref="O100:Q100"/>
    <mergeCell ref="R100:U100"/>
    <mergeCell ref="C89:U89"/>
    <mergeCell ref="C90:U90"/>
    <mergeCell ref="C91:U91"/>
    <mergeCell ref="C92:U92"/>
    <mergeCell ref="C93:U93"/>
    <mergeCell ref="C94:D94"/>
    <mergeCell ref="E94:L94"/>
    <mergeCell ref="M94:N94"/>
    <mergeCell ref="O94:Q94"/>
    <mergeCell ref="R94:U94"/>
    <mergeCell ref="D19:J19"/>
    <mergeCell ref="C18:J18"/>
    <mergeCell ref="C107:U107"/>
    <mergeCell ref="E4:M4"/>
    <mergeCell ref="Q4:R4"/>
    <mergeCell ref="N4:P4"/>
    <mergeCell ref="C101:U101"/>
    <mergeCell ref="C102:U102"/>
    <mergeCell ref="C103:U103"/>
    <mergeCell ref="C104:U104"/>
    <mergeCell ref="C105:U105"/>
    <mergeCell ref="C106:D106"/>
    <mergeCell ref="E106:L106"/>
    <mergeCell ref="M106:N106"/>
    <mergeCell ref="O106:Q106"/>
    <mergeCell ref="R106:U106"/>
    <mergeCell ref="C95:U95"/>
    <mergeCell ref="C96:U96"/>
    <mergeCell ref="C97:U97"/>
    <mergeCell ref="C98:U98"/>
    <mergeCell ref="C99:U99"/>
    <mergeCell ref="C100:D100"/>
    <mergeCell ref="E100:L100"/>
    <mergeCell ref="M100:N100"/>
  </mergeCells>
  <conditionalFormatting sqref="Q43:Q45">
    <cfRule type="expression" dxfId="152" priority="51">
      <formula>IF(Q43&lt;&gt;"",1,0)</formula>
    </cfRule>
  </conditionalFormatting>
  <conditionalFormatting sqref="Q41">
    <cfRule type="expression" dxfId="151" priority="50">
      <formula>IF(N41&lt;&gt;"",1,0)</formula>
    </cfRule>
  </conditionalFormatting>
  <conditionalFormatting sqref="F41">
    <cfRule type="expression" dxfId="150" priority="49">
      <formula>IF(AG6&gt;3,1,0)</formula>
    </cfRule>
  </conditionalFormatting>
  <conditionalFormatting sqref="F40">
    <cfRule type="expression" dxfId="149" priority="48">
      <formula>IF(AG6&gt;3,1,0)</formula>
    </cfRule>
  </conditionalFormatting>
  <conditionalFormatting sqref="G41:H41">
    <cfRule type="expression" dxfId="148" priority="47">
      <formula>IF(AG6&gt;3,1,0)</formula>
    </cfRule>
  </conditionalFormatting>
  <conditionalFormatting sqref="C40:E40">
    <cfRule type="expression" dxfId="147" priority="46">
      <formula>IF(AG6&gt;3,1,0)</formula>
    </cfRule>
  </conditionalFormatting>
  <conditionalFormatting sqref="G40:H40">
    <cfRule type="expression" dxfId="146" priority="45">
      <formula>IF(AG6&gt;3,1,0)</formula>
    </cfRule>
  </conditionalFormatting>
  <conditionalFormatting sqref="I40">
    <cfRule type="expression" dxfId="145" priority="44">
      <formula>IF(AG6&gt;3,1,0)</formula>
    </cfRule>
  </conditionalFormatting>
  <conditionalFormatting sqref="K40">
    <cfRule type="expression" dxfId="144" priority="43">
      <formula>IF(AG6&gt;3,1,0)</formula>
    </cfRule>
  </conditionalFormatting>
  <conditionalFormatting sqref="O40">
    <cfRule type="expression" dxfId="143" priority="42">
      <formula>IF(AG6&gt;3,1,0)</formula>
    </cfRule>
  </conditionalFormatting>
  <conditionalFormatting sqref="I13">
    <cfRule type="expression" dxfId="142" priority="41">
      <formula>IF(AND(AG6&lt;&gt;3,AG6&lt;&gt;8),1,0)</formula>
    </cfRule>
  </conditionalFormatting>
  <conditionalFormatting sqref="J13:K13">
    <cfRule type="expression" dxfId="141" priority="40">
      <formula>IF(AND(AG6&lt;&gt;3,AG6&lt;&gt;8),1,0)</formula>
    </cfRule>
  </conditionalFormatting>
  <conditionalFormatting sqref="I14">
    <cfRule type="expression" dxfId="140" priority="39">
      <formula>IF(AND(AG6&lt;&gt;3,AG6&lt;&gt;8),1,0)</formula>
    </cfRule>
  </conditionalFormatting>
  <conditionalFormatting sqref="Q42">
    <cfRule type="expression" dxfId="139" priority="38">
      <formula>IF(N42&lt;&gt;"",1,0)</formula>
    </cfRule>
  </conditionalFormatting>
  <conditionalFormatting sqref="F43">
    <cfRule type="expression" dxfId="138" priority="37">
      <formula>IF(C43="",1,0)</formula>
    </cfRule>
  </conditionalFormatting>
  <conditionalFormatting sqref="F44">
    <cfRule type="expression" dxfId="137" priority="35">
      <formula>IF(C44="",1,0)</formula>
    </cfRule>
  </conditionalFormatting>
  <conditionalFormatting sqref="I45:L45">
    <cfRule type="expression" dxfId="136" priority="34">
      <formula>IF(G45&lt;&gt;"",1,0)</formula>
    </cfRule>
  </conditionalFormatting>
  <conditionalFormatting sqref="I16">
    <cfRule type="expression" dxfId="135" priority="53">
      <formula>IF(AND(AG6&lt;&gt;3,AG6&lt;&gt;8),1,0)</formula>
    </cfRule>
  </conditionalFormatting>
  <conditionalFormatting sqref="I15">
    <cfRule type="expression" dxfId="134" priority="33">
      <formula>IF(AND(AG6&lt;&gt;3,AG6&lt;&gt;8),1,0)</formula>
    </cfRule>
  </conditionalFormatting>
  <conditionalFormatting sqref="L13">
    <cfRule type="expression" dxfId="133" priority="32">
      <formula>IF(AND(AG6&lt;&gt;1,AG6&lt;&gt;2,AG6&lt;&gt;3),1,0)</formula>
    </cfRule>
  </conditionalFormatting>
  <conditionalFormatting sqref="C15">
    <cfRule type="expression" dxfId="132" priority="31">
      <formula>IF(AG6&lt;&gt;3,1,0)</formula>
    </cfRule>
  </conditionalFormatting>
  <conditionalFormatting sqref="D15">
    <cfRule type="expression" dxfId="131" priority="30">
      <formula>IF(AG6&lt;&gt;3,1,0)</formula>
    </cfRule>
  </conditionalFormatting>
  <conditionalFormatting sqref="E15">
    <cfRule type="expression" dxfId="130" priority="29">
      <formula>IF(AG6&lt;&gt;3,1,0)</formula>
    </cfRule>
  </conditionalFormatting>
  <conditionalFormatting sqref="C16:D16">
    <cfRule type="expression" dxfId="129" priority="7">
      <formula>IF(AG6&gt;3,1,0)</formula>
    </cfRule>
    <cfRule type="expression" dxfId="128" priority="28">
      <formula>IF(AND(AG6&lt;&gt;1,AG6&lt;&gt;2,AG6&lt;&gt;3),1,0)</formula>
    </cfRule>
  </conditionalFormatting>
  <conditionalFormatting sqref="E16:F16">
    <cfRule type="expression" dxfId="127" priority="27">
      <formula>IF(AND(AG6&lt;&gt;1,AG6&lt;&gt;2,AG6&lt;&gt;3),1,0)</formula>
    </cfRule>
  </conditionalFormatting>
  <conditionalFormatting sqref="H15">
    <cfRule type="expression" dxfId="126" priority="9">
      <formula>IF(AG6&gt;3,1,0)</formula>
    </cfRule>
    <cfRule type="expression" dxfId="125" priority="26">
      <formula>IF(AND(AG6&lt;&gt;1,AG6&lt;&gt;2,AG6&lt;&gt;3),1,0)</formula>
    </cfRule>
  </conditionalFormatting>
  <conditionalFormatting sqref="H16">
    <cfRule type="expression" dxfId="124" priority="8">
      <formula>IF(AG6&gt;3,1,0)</formula>
    </cfRule>
    <cfRule type="expression" dxfId="123" priority="25">
      <formula>IF(AND(AG6&lt;&gt;1,AG6&lt;&gt;2,AG6&lt;&gt;3),1,0)</formula>
    </cfRule>
  </conditionalFormatting>
  <conditionalFormatting sqref="K14:L14">
    <cfRule type="expression" dxfId="122" priority="24">
      <formula>IF(AND(AG6&lt;&gt;3,AG6&lt;&gt;8),1,0)</formula>
    </cfRule>
  </conditionalFormatting>
  <conditionalFormatting sqref="K15:L15">
    <cfRule type="expression" dxfId="121" priority="23">
      <formula>IF(AND(AG6&lt;&gt;3,AG6&lt;&gt;8),1,0)</formula>
    </cfRule>
  </conditionalFormatting>
  <conditionalFormatting sqref="K16:L16">
    <cfRule type="expression" dxfId="120" priority="22">
      <formula>IF(AND(AG6&lt;&gt;3,AG6&lt;&gt;8),1,0)</formula>
    </cfRule>
  </conditionalFormatting>
  <conditionalFormatting sqref="L40">
    <cfRule type="expression" dxfId="119" priority="21">
      <formula>IF(AG6&gt;3,1,0)</formula>
    </cfRule>
  </conditionalFormatting>
  <conditionalFormatting sqref="U40">
    <cfRule type="expression" dxfId="118" priority="1">
      <formula>IF(AG6&gt;3,1,0)</formula>
    </cfRule>
    <cfRule type="expression" dxfId="117" priority="20">
      <formula>IF(AG6&gt;3,1,0)</formula>
    </cfRule>
  </conditionalFormatting>
  <conditionalFormatting sqref="K41">
    <cfRule type="expression" dxfId="116" priority="19">
      <formula>IF(AG6&gt;3,1,0)</formula>
    </cfRule>
  </conditionalFormatting>
  <conditionalFormatting sqref="K42">
    <cfRule type="expression" dxfId="115" priority="18">
      <formula>IF(AG6&gt;3,1,0)</formula>
    </cfRule>
  </conditionalFormatting>
  <conditionalFormatting sqref="K43">
    <cfRule type="expression" dxfId="114" priority="17">
      <formula>IF(AG6&gt;3,1,0)</formula>
    </cfRule>
  </conditionalFormatting>
  <conditionalFormatting sqref="K44">
    <cfRule type="expression" dxfId="113" priority="16">
      <formula>IF(AG6&gt;3,1,0)</formula>
    </cfRule>
  </conditionalFormatting>
  <conditionalFormatting sqref="I42:J42">
    <cfRule type="expression" dxfId="112" priority="15">
      <formula>IF(AG6&gt;3,1,0)</formula>
    </cfRule>
  </conditionalFormatting>
  <conditionalFormatting sqref="I43:J43">
    <cfRule type="expression" dxfId="111" priority="14">
      <formula>IF(AG6&gt;3,1,0)</formula>
    </cfRule>
  </conditionalFormatting>
  <conditionalFormatting sqref="I44:J44">
    <cfRule type="expression" dxfId="110" priority="13">
      <formula>IF(AG6&gt;3,1,0)</formula>
    </cfRule>
  </conditionalFormatting>
  <conditionalFormatting sqref="G42:H42">
    <cfRule type="expression" dxfId="109" priority="12">
      <formula>IF(AG6&gt;3,1,0)</formula>
    </cfRule>
  </conditionalFormatting>
  <conditionalFormatting sqref="G43:H43">
    <cfRule type="expression" dxfId="108" priority="11">
      <formula>IF(AG6&gt;3,1,0)</formula>
    </cfRule>
  </conditionalFormatting>
  <conditionalFormatting sqref="G44:H44">
    <cfRule type="expression" dxfId="107" priority="10">
      <formula>IF(AG6&gt;3,1,0)</formula>
    </cfRule>
  </conditionalFormatting>
  <conditionalFormatting sqref="E15:G15">
    <cfRule type="expression" dxfId="106" priority="6">
      <formula>IF(AG6&gt;3,1,0)</formula>
    </cfRule>
  </conditionalFormatting>
  <conditionalFormatting sqref="U41">
    <cfRule type="expression" dxfId="105" priority="5">
      <formula>IF(AG6&gt;3,1,0)</formula>
    </cfRule>
  </conditionalFormatting>
  <conditionalFormatting sqref="U42">
    <cfRule type="expression" dxfId="104" priority="4">
      <formula>IF(AG6&gt;3,1,0)</formula>
    </cfRule>
  </conditionalFormatting>
  <conditionalFormatting sqref="U43">
    <cfRule type="expression" dxfId="103" priority="3">
      <formula>IF(AG6&gt;3,1,0)</formula>
    </cfRule>
  </conditionalFormatting>
  <conditionalFormatting sqref="U44">
    <cfRule type="expression" dxfId="102" priority="2">
      <formula>IF(AG6&gt;3,1,0)</formula>
    </cfRule>
  </conditionalFormatting>
  <conditionalFormatting sqref="F42">
    <cfRule type="expression" dxfId="101" priority="242">
      <formula>IF(C42="",1,0)</formula>
    </cfRule>
    <cfRule type="expression" dxfId="100" priority="243">
      <formula>IF(AG6&gt;3,"",IF(Y54="COMISSIONADO","",IF(AND(F41&lt;18,Y54="DESIGNADO"),"")))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Caixa de grupo 1">
              <controlPr defaultSize="0" autoFill="0" autoPict="0">
                <anchor moveWithCells="1">
                  <from>
                    <xdr:col>2</xdr:col>
                    <xdr:colOff>19050</xdr:colOff>
                    <xdr:row>10</xdr:row>
                    <xdr:rowOff>28575</xdr:rowOff>
                  </from>
                  <to>
                    <xdr:col>11</xdr:col>
                    <xdr:colOff>247650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Option Button 2">
              <controlPr defaultSize="0" autoFill="0" autoLine="0" autoPict="0">
                <anchor>
                  <from>
                    <xdr:col>2</xdr:col>
                    <xdr:colOff>57150</xdr:colOff>
                    <xdr:row>10</xdr:row>
                    <xdr:rowOff>161925</xdr:rowOff>
                  </from>
                  <to>
                    <xdr:col>3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Option Button 3">
              <controlPr defaultSize="0" autoFill="0" autoLine="0" autoPict="0">
                <anchor>
                  <from>
                    <xdr:col>4</xdr:col>
                    <xdr:colOff>19050</xdr:colOff>
                    <xdr:row>10</xdr:row>
                    <xdr:rowOff>161925</xdr:rowOff>
                  </from>
                  <to>
                    <xdr:col>5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Option Button 4">
              <controlPr defaultSize="0" autoFill="0" autoLine="0" autoPict="0">
                <anchor>
                  <from>
                    <xdr:col>8</xdr:col>
                    <xdr:colOff>19050</xdr:colOff>
                    <xdr:row>10</xdr:row>
                    <xdr:rowOff>161925</xdr:rowOff>
                  </from>
                  <to>
                    <xdr:col>9</xdr:col>
                    <xdr:colOff>238125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Option Button 5">
              <controlPr defaultSize="0" autoFill="0" autoLine="0" autoPict="0">
                <anchor>
                  <from>
                    <xdr:col>2</xdr:col>
                    <xdr:colOff>57150</xdr:colOff>
                    <xdr:row>12</xdr:row>
                    <xdr:rowOff>38100</xdr:rowOff>
                  </from>
                  <to>
                    <xdr:col>3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Option Button 6">
              <controlPr defaultSize="0" autoFill="0" autoLine="0" autoPict="0">
                <anchor>
                  <from>
                    <xdr:col>4</xdr:col>
                    <xdr:colOff>19050</xdr:colOff>
                    <xdr:row>12</xdr:row>
                    <xdr:rowOff>38100</xdr:rowOff>
                  </from>
                  <to>
                    <xdr:col>5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Option Button 7">
              <controlPr defaultSize="0" autoFill="0" autoLine="0" autoPict="0">
                <anchor>
                  <from>
                    <xdr:col>6</xdr:col>
                    <xdr:colOff>9525</xdr:colOff>
                    <xdr:row>12</xdr:row>
                    <xdr:rowOff>38100</xdr:rowOff>
                  </from>
                  <to>
                    <xdr:col>7</xdr:col>
                    <xdr:colOff>314325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Group Box 8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28575</xdr:rowOff>
                  </from>
                  <to>
                    <xdr:col>20</xdr:col>
                    <xdr:colOff>247650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Option Button 9">
              <controlPr defaultSize="0" autoFill="0" autoLine="0" autoPict="0">
                <anchor>
                  <from>
                    <xdr:col>14</xdr:col>
                    <xdr:colOff>38100</xdr:colOff>
                    <xdr:row>12</xdr:row>
                    <xdr:rowOff>133350</xdr:rowOff>
                  </from>
                  <to>
                    <xdr:col>16</xdr:col>
                    <xdr:colOff>85725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Option Button 10">
              <controlPr defaultSize="0" autoFill="0" autoLine="0" autoPict="0">
                <anchor>
                  <from>
                    <xdr:col>16</xdr:col>
                    <xdr:colOff>142875</xdr:colOff>
                    <xdr:row>12</xdr:row>
                    <xdr:rowOff>133350</xdr:rowOff>
                  </from>
                  <to>
                    <xdr:col>18</xdr:col>
                    <xdr:colOff>209550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Option Button 11">
              <controlPr defaultSize="0" autoFill="0" autoLine="0" autoPict="0">
                <anchor>
                  <from>
                    <xdr:col>6</xdr:col>
                    <xdr:colOff>9525</xdr:colOff>
                    <xdr:row>10</xdr:row>
                    <xdr:rowOff>161925</xdr:rowOff>
                  </from>
                  <to>
                    <xdr:col>7</xdr:col>
                    <xdr:colOff>314325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Option Button 12">
              <controlPr defaultSize="0" autoFill="0" autoLine="0" autoPict="0">
                <anchor>
                  <from>
                    <xdr:col>9</xdr:col>
                    <xdr:colOff>304800</xdr:colOff>
                    <xdr:row>10</xdr:row>
                    <xdr:rowOff>161925</xdr:rowOff>
                  </from>
                  <to>
                    <xdr:col>11</xdr:col>
                    <xdr:colOff>209550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Group Box 13">
              <controlPr defaultSize="0" autoFill="0" autoPict="0">
                <anchor moveWithCells="1">
                  <from>
                    <xdr:col>7</xdr:col>
                    <xdr:colOff>123825</xdr:colOff>
                    <xdr:row>6</xdr:row>
                    <xdr:rowOff>19050</xdr:rowOff>
                  </from>
                  <to>
                    <xdr:col>20</xdr:col>
                    <xdr:colOff>247650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Option Button 14">
              <controlPr defaultSize="0" autoFill="0" autoLine="0" autoPict="0">
                <anchor>
                  <from>
                    <xdr:col>7</xdr:col>
                    <xdr:colOff>180975</xdr:colOff>
                    <xdr:row>6</xdr:row>
                    <xdr:rowOff>104775</xdr:rowOff>
                  </from>
                  <to>
                    <xdr:col>11</xdr:col>
                    <xdr:colOff>285750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Option Button 15">
              <controlPr defaultSize="0" autoFill="0" autoLine="0" autoPict="0">
                <anchor>
                  <from>
                    <xdr:col>12</xdr:col>
                    <xdr:colOff>28575</xdr:colOff>
                    <xdr:row>6</xdr:row>
                    <xdr:rowOff>104775</xdr:rowOff>
                  </from>
                  <to>
                    <xdr:col>16</xdr:col>
                    <xdr:colOff>152400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Group Box 16">
              <controlPr defaultSize="0" autoFill="0" autoPict="0">
                <anchor moveWithCells="1">
                  <from>
                    <xdr:col>13</xdr:col>
                    <xdr:colOff>314325</xdr:colOff>
                    <xdr:row>12</xdr:row>
                    <xdr:rowOff>371475</xdr:rowOff>
                  </from>
                  <to>
                    <xdr:col>18</xdr:col>
                    <xdr:colOff>247650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Option Button 17">
              <controlPr defaultSize="0" autoFill="0" autoLine="0" autoPict="0">
                <anchor>
                  <from>
                    <xdr:col>14</xdr:col>
                    <xdr:colOff>38100</xdr:colOff>
                    <xdr:row>13</xdr:row>
                    <xdr:rowOff>95250</xdr:rowOff>
                  </from>
                  <to>
                    <xdr:col>16</xdr:col>
                    <xdr:colOff>85725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Option Button 18">
              <controlPr defaultSize="0" autoFill="0" autoLine="0" autoPict="0">
                <anchor>
                  <from>
                    <xdr:col>16</xdr:col>
                    <xdr:colOff>142875</xdr:colOff>
                    <xdr:row>13</xdr:row>
                    <xdr:rowOff>95250</xdr:rowOff>
                  </from>
                  <to>
                    <xdr:col>18</xdr:col>
                    <xdr:colOff>209550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Option Button 19">
              <controlPr defaultSize="0" autoFill="0" autoLine="0" autoPict="0">
                <anchor>
                  <from>
                    <xdr:col>11</xdr:col>
                    <xdr:colOff>0</xdr:colOff>
                    <xdr:row>43</xdr:row>
                    <xdr:rowOff>161925</xdr:rowOff>
                  </from>
                  <to>
                    <xdr:col>12</xdr:col>
                    <xdr:colOff>85725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Option Button 20">
              <controlPr defaultSize="0" autoFill="0" autoLine="0" autoPict="0">
                <anchor>
                  <from>
                    <xdr:col>12</xdr:col>
                    <xdr:colOff>142875</xdr:colOff>
                    <xdr:row>43</xdr:row>
                    <xdr:rowOff>161925</xdr:rowOff>
                  </from>
                  <to>
                    <xdr:col>13</xdr:col>
                    <xdr:colOff>247650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Option Button 21">
              <controlPr defaultSize="0" autoFill="0" autoLine="0" autoPict="0">
                <anchor>
                  <from>
                    <xdr:col>11</xdr:col>
                    <xdr:colOff>0</xdr:colOff>
                    <xdr:row>44</xdr:row>
                    <xdr:rowOff>161925</xdr:rowOff>
                  </from>
                  <to>
                    <xdr:col>12</xdr:col>
                    <xdr:colOff>85725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Option Button 22">
              <controlPr defaultSize="0" autoFill="0" autoLine="0" autoPict="0">
                <anchor>
                  <from>
                    <xdr:col>12</xdr:col>
                    <xdr:colOff>142875</xdr:colOff>
                    <xdr:row>44</xdr:row>
                    <xdr:rowOff>161925</xdr:rowOff>
                  </from>
                  <to>
                    <xdr:col>13</xdr:col>
                    <xdr:colOff>247650</xdr:colOff>
                    <xdr:row>45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Option Button 23">
              <controlPr defaultSize="0" autoFill="0" autoLine="0" autoPict="0">
                <anchor>
                  <from>
                    <xdr:col>14</xdr:col>
                    <xdr:colOff>38100</xdr:colOff>
                    <xdr:row>14</xdr:row>
                    <xdr:rowOff>209550</xdr:rowOff>
                  </from>
                  <to>
                    <xdr:col>16</xdr:col>
                    <xdr:colOff>85725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Option Button 24">
              <controlPr defaultSize="0" autoFill="0" autoLine="0" autoPict="0">
                <anchor>
                  <from>
                    <xdr:col>16</xdr:col>
                    <xdr:colOff>142875</xdr:colOff>
                    <xdr:row>14</xdr:row>
                    <xdr:rowOff>209550</xdr:rowOff>
                  </from>
                  <to>
                    <xdr:col>18</xdr:col>
                    <xdr:colOff>209550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Group Box 25">
              <controlPr defaultSize="0" autoFill="0" autoPict="0">
                <anchor moveWithCells="1">
                  <from>
                    <xdr:col>13</xdr:col>
                    <xdr:colOff>314325</xdr:colOff>
                    <xdr:row>14</xdr:row>
                    <xdr:rowOff>95250</xdr:rowOff>
                  </from>
                  <to>
                    <xdr:col>18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Group Box 26">
              <controlPr defaultSize="0" autoFill="0" autoPict="0">
                <anchor moveWithCells="1">
                  <from>
                    <xdr:col>10</xdr:col>
                    <xdr:colOff>295275</xdr:colOff>
                    <xdr:row>41</xdr:row>
                    <xdr:rowOff>0</xdr:rowOff>
                  </from>
                  <to>
                    <xdr:col>13</xdr:col>
                    <xdr:colOff>276225</xdr:colOff>
                    <xdr:row>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Group Box 27">
              <controlPr defaultSize="0" autoFill="0" autoPict="0">
                <anchor moveWithCells="1">
                  <from>
                    <xdr:col>10</xdr:col>
                    <xdr:colOff>295275</xdr:colOff>
                    <xdr:row>42</xdr:row>
                    <xdr:rowOff>9525</xdr:rowOff>
                  </from>
                  <to>
                    <xdr:col>13</xdr:col>
                    <xdr:colOff>276225</xdr:colOff>
                    <xdr:row>42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AP89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0" style="1" hidden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  <c r="X3" s="232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1722"/>
    </row>
    <row r="4" spans="2:42" ht="21.95" customHeight="1" thickBot="1" x14ac:dyDescent="0.45">
      <c r="B4" s="1725"/>
      <c r="C4" s="195"/>
      <c r="D4" s="163"/>
      <c r="E4" s="162"/>
      <c r="F4" s="1727" t="s">
        <v>7953</v>
      </c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8"/>
      <c r="T4" s="1728"/>
      <c r="U4" s="196"/>
      <c r="V4" s="1729"/>
      <c r="X4" s="44"/>
      <c r="Y4" s="1732" t="s">
        <v>347</v>
      </c>
      <c r="Z4" s="1733"/>
      <c r="AA4" s="1733"/>
      <c r="AB4" s="1733" t="s">
        <v>348</v>
      </c>
      <c r="AC4" s="1733"/>
      <c r="AD4" s="1733"/>
      <c r="AE4" s="1733"/>
      <c r="AF4" s="1733"/>
      <c r="AG4" s="1736" t="s">
        <v>349</v>
      </c>
      <c r="AH4" s="1737"/>
      <c r="AI4" s="1737"/>
      <c r="AJ4" s="1737"/>
      <c r="AK4" s="1738"/>
      <c r="AL4" s="1723"/>
      <c r="AM4" s="42"/>
      <c r="AN4" s="42"/>
      <c r="AO4" s="42"/>
      <c r="AP4" s="42"/>
    </row>
    <row r="5" spans="2:42" ht="3" customHeight="1" thickBot="1" x14ac:dyDescent="0.45">
      <c r="B5" s="1726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1730"/>
      <c r="X5" s="44"/>
      <c r="Y5" s="2776"/>
      <c r="Z5" s="2777"/>
      <c r="AA5" s="2777"/>
      <c r="AB5" s="2777"/>
      <c r="AC5" s="2777"/>
      <c r="AD5" s="2777"/>
      <c r="AE5" s="2777"/>
      <c r="AF5" s="2777"/>
      <c r="AG5" s="1739"/>
      <c r="AH5" s="1740"/>
      <c r="AI5" s="1740"/>
      <c r="AJ5" s="1740"/>
      <c r="AK5" s="1741"/>
      <c r="AL5" s="1723"/>
      <c r="AM5" s="42"/>
      <c r="AN5" s="42"/>
      <c r="AO5" s="42"/>
      <c r="AP5" s="42"/>
    </row>
    <row r="6" spans="2:42" ht="21.95" customHeight="1" x14ac:dyDescent="0.4">
      <c r="B6" s="1726"/>
      <c r="C6" s="1752" t="s">
        <v>3</v>
      </c>
      <c r="D6" s="1753"/>
      <c r="E6" s="1753"/>
      <c r="F6" s="1753"/>
      <c r="G6" s="1754" t="s">
        <v>9425</v>
      </c>
      <c r="H6" s="1754"/>
      <c r="I6" s="1754"/>
      <c r="J6" s="1754"/>
      <c r="K6" s="1754"/>
      <c r="L6" s="1754"/>
      <c r="M6" s="1754"/>
      <c r="N6" s="1754"/>
      <c r="O6" s="1754"/>
      <c r="P6" s="1754"/>
      <c r="Q6" s="1754"/>
      <c r="R6" s="1755" t="s">
        <v>1</v>
      </c>
      <c r="S6" s="1755"/>
      <c r="T6" s="2853">
        <v>11343829</v>
      </c>
      <c r="U6" s="2854"/>
      <c r="V6" s="1730"/>
      <c r="X6" s="44"/>
      <c r="Y6" s="1758" t="str">
        <f>[2]Cadastro!C21</f>
        <v>PEBD1</v>
      </c>
      <c r="Z6" s="1759"/>
      <c r="AA6" s="1759"/>
      <c r="AB6" s="1675">
        <f>[2]Cadastro!E21</f>
        <v>1386</v>
      </c>
      <c r="AC6" s="1675"/>
      <c r="AD6" s="1675"/>
      <c r="AE6" s="1675"/>
      <c r="AF6" s="1675"/>
      <c r="AG6" s="2778">
        <v>1</v>
      </c>
      <c r="AH6" s="2779"/>
      <c r="AI6" s="2779"/>
      <c r="AJ6" s="2779"/>
      <c r="AK6" s="2780"/>
      <c r="AL6" s="1723"/>
      <c r="AM6" s="43"/>
      <c r="AN6" s="43"/>
      <c r="AO6" s="43"/>
      <c r="AP6" s="43"/>
    </row>
    <row r="7" spans="2:42" ht="15.95" customHeight="1" x14ac:dyDescent="0.4">
      <c r="B7" s="1726"/>
      <c r="C7" s="2830" t="s">
        <v>361</v>
      </c>
      <c r="D7" s="2831"/>
      <c r="E7" s="2831"/>
      <c r="F7" s="2831"/>
      <c r="G7" s="2832">
        <v>1</v>
      </c>
      <c r="H7" s="2834" t="s">
        <v>4</v>
      </c>
      <c r="I7" s="2835"/>
      <c r="J7" s="2835"/>
      <c r="K7" s="2835"/>
      <c r="L7" s="256">
        <f>IF(M7&lt;100,4,5)</f>
        <v>5</v>
      </c>
      <c r="M7" s="2836">
        <v>159891</v>
      </c>
      <c r="N7" s="2836"/>
      <c r="O7" s="257"/>
      <c r="P7" s="258"/>
      <c r="Q7" s="259"/>
      <c r="R7" s="259"/>
      <c r="S7" s="260"/>
      <c r="T7" s="259"/>
      <c r="U7" s="261"/>
      <c r="V7" s="1730"/>
      <c r="X7" s="44"/>
      <c r="Y7" s="2769" t="str">
        <f>[2]Cadastro!G21</f>
        <v>PEBS1</v>
      </c>
      <c r="Z7" s="2837"/>
      <c r="AA7" s="2838"/>
      <c r="AB7" s="2842">
        <f>[2]Cadastro!I21</f>
        <v>1316.7</v>
      </c>
      <c r="AC7" s="2843"/>
      <c r="AD7" s="2843"/>
      <c r="AE7" s="2843"/>
      <c r="AF7" s="2844"/>
      <c r="AG7" s="2848"/>
      <c r="AH7" s="2849"/>
      <c r="AI7" s="2849"/>
      <c r="AJ7" s="2849"/>
      <c r="AK7" s="2763"/>
      <c r="AL7" s="1723"/>
      <c r="AM7" s="43"/>
      <c r="AN7" s="43"/>
      <c r="AO7" s="43"/>
      <c r="AP7" s="43"/>
    </row>
    <row r="8" spans="2:42" ht="15.95" customHeight="1" thickBot="1" x14ac:dyDescent="0.45">
      <c r="B8" s="1726"/>
      <c r="C8" s="2217"/>
      <c r="D8" s="2218"/>
      <c r="E8" s="2218"/>
      <c r="F8" s="2218"/>
      <c r="G8" s="2833"/>
      <c r="H8" s="2224" t="str">
        <f>IF(ISERROR(VLOOKUP(M7,Escolas!C5:K269,3,FALSE)),"",VLOOKUP(M7,Escolas!C5:K269,3,FALSE))</f>
        <v>E.E. Paulo José Derenusson</v>
      </c>
      <c r="I8" s="2225"/>
      <c r="J8" s="2225"/>
      <c r="K8" s="2225"/>
      <c r="L8" s="2225"/>
      <c r="M8" s="2225"/>
      <c r="N8" s="2225"/>
      <c r="O8" s="2225"/>
      <c r="P8" s="2225"/>
      <c r="Q8" s="2225" t="str">
        <f>IF(ISERROR(VLOOKUP(M7,Escolas!C5:K269,7,FALSE)),"",VLOOKUP(M7,Escolas!C5:K269,7,FALSE))</f>
        <v>Uberaba</v>
      </c>
      <c r="R8" s="2225"/>
      <c r="S8" s="2225"/>
      <c r="T8" s="2225"/>
      <c r="U8" s="2226"/>
      <c r="V8" s="1730"/>
      <c r="X8" s="44"/>
      <c r="Y8" s="2839"/>
      <c r="Z8" s="2840"/>
      <c r="AA8" s="2841"/>
      <c r="AB8" s="2845"/>
      <c r="AC8" s="2846"/>
      <c r="AD8" s="2846"/>
      <c r="AE8" s="2846"/>
      <c r="AF8" s="2847"/>
      <c r="AG8" s="2850"/>
      <c r="AH8" s="2851"/>
      <c r="AI8" s="2851"/>
      <c r="AJ8" s="2851"/>
      <c r="AK8" s="2852"/>
      <c r="AL8" s="1723"/>
      <c r="AM8" s="43"/>
      <c r="AN8" s="43"/>
      <c r="AO8" s="43"/>
      <c r="AP8" s="43"/>
    </row>
    <row r="9" spans="2:42" ht="3" customHeight="1" thickBot="1" x14ac:dyDescent="0.45">
      <c r="B9" s="1726"/>
      <c r="C9" s="1549"/>
      <c r="D9" s="1550"/>
      <c r="E9" s="1550"/>
      <c r="F9" s="1550"/>
      <c r="G9" s="1550"/>
      <c r="H9" s="1550"/>
      <c r="I9" s="1550"/>
      <c r="J9" s="1550"/>
      <c r="K9" s="1550"/>
      <c r="L9" s="1550"/>
      <c r="M9" s="1550"/>
      <c r="N9" s="1550"/>
      <c r="O9" s="1550"/>
      <c r="P9" s="1550"/>
      <c r="Q9" s="1550"/>
      <c r="R9" s="1550"/>
      <c r="S9" s="1550"/>
      <c r="T9" s="1550"/>
      <c r="U9" s="1687"/>
      <c r="V9" s="1730"/>
      <c r="X9" s="44"/>
      <c r="Y9" s="1709"/>
      <c r="Z9" s="1710"/>
      <c r="AA9" s="1711"/>
      <c r="AB9" s="1715"/>
      <c r="AC9" s="1716"/>
      <c r="AD9" s="1716"/>
      <c r="AE9" s="1716"/>
      <c r="AF9" s="1717"/>
      <c r="AG9" s="1684"/>
      <c r="AH9" s="1685"/>
      <c r="AI9" s="1685"/>
      <c r="AJ9" s="1685"/>
      <c r="AK9" s="1686"/>
      <c r="AL9" s="1723"/>
    </row>
    <row r="10" spans="2:42" ht="21.95" customHeight="1" thickBot="1" x14ac:dyDescent="0.45">
      <c r="B10" s="1726"/>
      <c r="C10" s="2828" t="s">
        <v>7954</v>
      </c>
      <c r="D10" s="2829"/>
      <c r="E10" s="2829"/>
      <c r="F10" s="2202" t="s">
        <v>7955</v>
      </c>
      <c r="G10" s="2203"/>
      <c r="H10" s="656">
        <v>2378</v>
      </c>
      <c r="I10" s="657"/>
      <c r="J10" s="657"/>
      <c r="K10" s="657"/>
      <c r="L10" s="657"/>
      <c r="M10" s="657"/>
      <c r="N10" s="658"/>
      <c r="O10" s="658"/>
      <c r="P10" s="657"/>
      <c r="Q10" s="657"/>
      <c r="R10" s="659"/>
      <c r="S10" s="659"/>
      <c r="T10" s="657"/>
      <c r="U10" s="660"/>
      <c r="V10" s="1730"/>
      <c r="X10" s="44"/>
      <c r="Y10" s="153"/>
      <c r="Z10" s="154"/>
      <c r="AA10" s="155"/>
      <c r="AB10" s="156"/>
      <c r="AC10" s="157"/>
      <c r="AD10" s="157"/>
      <c r="AE10" s="157"/>
      <c r="AF10" s="158"/>
      <c r="AG10" s="159"/>
      <c r="AH10" s="154"/>
      <c r="AI10" s="154"/>
      <c r="AJ10" s="154"/>
      <c r="AK10" s="160"/>
      <c r="AL10" s="1723"/>
    </row>
    <row r="11" spans="2:42" ht="21.95" hidden="1" customHeight="1" thickBot="1" x14ac:dyDescent="0.45">
      <c r="B11" s="1726"/>
      <c r="C11" s="661"/>
      <c r="D11" s="662"/>
      <c r="E11" s="662"/>
      <c r="F11" s="663"/>
      <c r="G11" s="664"/>
      <c r="H11" s="665">
        <f>IF(H10="","",H10)</f>
        <v>2378</v>
      </c>
      <c r="I11" s="666" t="str">
        <f>IF(I10="",""," - "&amp;I10)</f>
        <v/>
      </c>
      <c r="J11" s="666" t="str">
        <f t="shared" ref="J11:U11" si="0">IF(J10="",""," - "&amp;J10)</f>
        <v/>
      </c>
      <c r="K11" s="666" t="str">
        <f t="shared" si="0"/>
        <v/>
      </c>
      <c r="L11" s="666" t="str">
        <f t="shared" si="0"/>
        <v/>
      </c>
      <c r="M11" s="666" t="str">
        <f t="shared" si="0"/>
        <v/>
      </c>
      <c r="N11" s="666" t="str">
        <f t="shared" si="0"/>
        <v/>
      </c>
      <c r="O11" s="666" t="str">
        <f t="shared" si="0"/>
        <v/>
      </c>
      <c r="P11" s="666" t="str">
        <f t="shared" si="0"/>
        <v/>
      </c>
      <c r="Q11" s="666" t="str">
        <f t="shared" si="0"/>
        <v/>
      </c>
      <c r="R11" s="666" t="str">
        <f t="shared" si="0"/>
        <v/>
      </c>
      <c r="S11" s="666" t="str">
        <f t="shared" si="0"/>
        <v/>
      </c>
      <c r="T11" s="666" t="str">
        <f t="shared" si="0"/>
        <v/>
      </c>
      <c r="U11" s="666" t="str">
        <f t="shared" si="0"/>
        <v/>
      </c>
      <c r="V11" s="1731"/>
      <c r="X11" s="44"/>
      <c r="Y11" s="655"/>
      <c r="Z11" s="655"/>
      <c r="AA11" s="655"/>
      <c r="AB11" s="654"/>
      <c r="AC11" s="654"/>
      <c r="AD11" s="654"/>
      <c r="AE11" s="654"/>
      <c r="AF11" s="654"/>
      <c r="AG11" s="655"/>
      <c r="AH11" s="655"/>
      <c r="AI11" s="655"/>
      <c r="AJ11" s="655"/>
      <c r="AK11" s="655"/>
      <c r="AL11" s="1723"/>
    </row>
    <row r="12" spans="2:42" s="2" customFormat="1" ht="14.1" customHeight="1" thickBot="1" x14ac:dyDescent="0.45">
      <c r="B12" s="1726"/>
      <c r="C12" s="2806">
        <v>1296.5</v>
      </c>
      <c r="D12" s="2807"/>
      <c r="E12" s="2808"/>
      <c r="F12" s="2796" t="s">
        <v>7956</v>
      </c>
      <c r="G12" s="2797"/>
      <c r="H12" s="2797"/>
      <c r="I12" s="2800" t="s">
        <v>9426</v>
      </c>
      <c r="J12" s="2800"/>
      <c r="K12" s="2800"/>
      <c r="L12" s="2800"/>
      <c r="M12" s="2800"/>
      <c r="N12" s="2800"/>
      <c r="O12" s="2800"/>
      <c r="P12" s="2800"/>
      <c r="Q12" s="2800"/>
      <c r="R12" s="2800"/>
      <c r="S12" s="2800"/>
      <c r="T12" s="2800"/>
      <c r="U12" s="2801"/>
      <c r="V12" s="1731"/>
      <c r="X12" s="262"/>
      <c r="Y12" s="263"/>
      <c r="Z12" s="263"/>
      <c r="AA12" s="263"/>
      <c r="AB12" s="264"/>
      <c r="AC12" s="264"/>
      <c r="AD12" s="264"/>
      <c r="AE12" s="264"/>
      <c r="AF12" s="264"/>
      <c r="AG12" s="265"/>
      <c r="AH12" s="265"/>
      <c r="AI12" s="265"/>
      <c r="AJ12" s="265"/>
      <c r="AK12" s="265"/>
      <c r="AL12" s="1724"/>
    </row>
    <row r="13" spans="2:42" s="2" customFormat="1" ht="14.1" customHeight="1" thickBot="1" x14ac:dyDescent="0.45">
      <c r="B13" s="1726"/>
      <c r="C13" s="2809"/>
      <c r="D13" s="2810"/>
      <c r="E13" s="2811"/>
      <c r="F13" s="2798"/>
      <c r="G13" s="2799"/>
      <c r="H13" s="2799"/>
      <c r="I13" s="2802"/>
      <c r="J13" s="2802"/>
      <c r="K13" s="2802"/>
      <c r="L13" s="2802"/>
      <c r="M13" s="2802"/>
      <c r="N13" s="2802"/>
      <c r="O13" s="2802"/>
      <c r="P13" s="2802"/>
      <c r="Q13" s="2802"/>
      <c r="R13" s="2802"/>
      <c r="S13" s="2802"/>
      <c r="T13" s="2802"/>
      <c r="U13" s="2803"/>
      <c r="V13" s="1731"/>
      <c r="X13" s="266"/>
      <c r="Y13" s="267"/>
      <c r="Z13" s="267"/>
      <c r="AA13" s="267"/>
      <c r="AB13" s="268"/>
      <c r="AC13" s="268"/>
      <c r="AD13" s="268"/>
      <c r="AE13" s="268"/>
      <c r="AF13" s="268"/>
      <c r="AG13" s="269"/>
      <c r="AH13" s="269"/>
      <c r="AI13" s="269"/>
      <c r="AJ13" s="269"/>
      <c r="AK13" s="269"/>
      <c r="AL13" s="266"/>
    </row>
    <row r="14" spans="2:42" s="2" customFormat="1" ht="14.1" customHeight="1" thickBot="1" x14ac:dyDescent="0.45">
      <c r="B14" s="1726"/>
      <c r="C14" s="270" t="s">
        <v>7959</v>
      </c>
      <c r="D14" s="2815"/>
      <c r="E14" s="2816"/>
      <c r="F14" s="2823" t="s">
        <v>7957</v>
      </c>
      <c r="G14" s="2823"/>
      <c r="H14" s="2823"/>
      <c r="I14" s="2802"/>
      <c r="J14" s="2802"/>
      <c r="K14" s="2802"/>
      <c r="L14" s="2802"/>
      <c r="M14" s="2802"/>
      <c r="N14" s="2802"/>
      <c r="O14" s="2802"/>
      <c r="P14" s="2802"/>
      <c r="Q14" s="2802"/>
      <c r="R14" s="2802"/>
      <c r="S14" s="2802"/>
      <c r="T14" s="2802"/>
      <c r="U14" s="2803"/>
      <c r="V14" s="1731"/>
      <c r="X14" s="266"/>
      <c r="Y14" s="267"/>
      <c r="Z14" s="267"/>
      <c r="AA14" s="267"/>
      <c r="AB14" s="268"/>
      <c r="AC14" s="268"/>
      <c r="AD14" s="268"/>
      <c r="AE14" s="268"/>
      <c r="AF14" s="268"/>
      <c r="AG14" s="269"/>
      <c r="AH14" s="269"/>
      <c r="AI14" s="269"/>
      <c r="AJ14" s="269"/>
      <c r="AK14" s="269"/>
      <c r="AL14" s="266"/>
    </row>
    <row r="15" spans="2:42" s="2" customFormat="1" ht="14.1" customHeight="1" thickBot="1" x14ac:dyDescent="0.45">
      <c r="B15" s="1726"/>
      <c r="C15" s="2812" t="str">
        <f>IF(D14&lt;&gt;0,DATEVALUE( TEXT( D14, "##""/""##""/""##" ) &amp; "" ),"")</f>
        <v/>
      </c>
      <c r="D15" s="2813"/>
      <c r="E15" s="2814"/>
      <c r="F15" s="2824"/>
      <c r="G15" s="2824"/>
      <c r="H15" s="2824"/>
      <c r="I15" s="2802"/>
      <c r="J15" s="2802"/>
      <c r="K15" s="2802"/>
      <c r="L15" s="2802"/>
      <c r="M15" s="2802"/>
      <c r="N15" s="2802"/>
      <c r="O15" s="2802"/>
      <c r="P15" s="2802"/>
      <c r="Q15" s="2802"/>
      <c r="R15" s="2802"/>
      <c r="S15" s="2802"/>
      <c r="T15" s="2802"/>
      <c r="U15" s="2803"/>
      <c r="V15" s="1731"/>
      <c r="X15" s="266"/>
      <c r="Y15" s="267"/>
      <c r="Z15" s="267"/>
      <c r="AA15" s="267"/>
      <c r="AB15" s="268"/>
      <c r="AC15" s="268"/>
      <c r="AD15" s="268"/>
      <c r="AE15" s="268"/>
      <c r="AF15" s="268"/>
      <c r="AG15" s="269"/>
      <c r="AH15" s="269"/>
      <c r="AI15" s="269"/>
      <c r="AJ15" s="269"/>
      <c r="AK15" s="269"/>
      <c r="AL15" s="266"/>
    </row>
    <row r="16" spans="2:42" s="2" customFormat="1" ht="14.1" customHeight="1" x14ac:dyDescent="0.4">
      <c r="B16" s="2190"/>
      <c r="C16" s="2817" t="s">
        <v>7960</v>
      </c>
      <c r="D16" s="2818"/>
      <c r="E16" s="2819"/>
      <c r="F16" s="2824"/>
      <c r="G16" s="2824"/>
      <c r="H16" s="2824"/>
      <c r="I16" s="2804"/>
      <c r="J16" s="2804"/>
      <c r="K16" s="2804"/>
      <c r="L16" s="2804"/>
      <c r="M16" s="2804"/>
      <c r="N16" s="2804"/>
      <c r="O16" s="2804"/>
      <c r="P16" s="2804"/>
      <c r="Q16" s="2804"/>
      <c r="R16" s="2804"/>
      <c r="S16" s="2804"/>
      <c r="T16" s="2804"/>
      <c r="U16" s="2805"/>
      <c r="V16" s="1731"/>
      <c r="X16" s="266"/>
      <c r="Y16" s="267"/>
      <c r="Z16" s="267"/>
      <c r="AA16" s="267"/>
      <c r="AB16" s="268"/>
      <c r="AC16" s="268"/>
      <c r="AD16" s="268"/>
      <c r="AE16" s="268"/>
      <c r="AF16" s="268"/>
      <c r="AG16" s="269"/>
      <c r="AH16" s="269"/>
      <c r="AI16" s="269"/>
      <c r="AJ16" s="269"/>
      <c r="AK16" s="269"/>
      <c r="AL16" s="266"/>
    </row>
    <row r="17" spans="2:39" s="2" customFormat="1" ht="15.95" customHeight="1" thickBot="1" x14ac:dyDescent="0.45">
      <c r="B17" s="324"/>
      <c r="C17" s="2820"/>
      <c r="D17" s="2821"/>
      <c r="E17" s="2822"/>
      <c r="F17" s="2825"/>
      <c r="G17" s="2825"/>
      <c r="H17" s="2825"/>
      <c r="I17" s="2826" t="str">
        <f>", adm. "&amp;G7&amp;"."</f>
        <v>, adm. 1.</v>
      </c>
      <c r="J17" s="2826"/>
      <c r="K17" s="2826"/>
      <c r="L17" s="2826"/>
      <c r="M17" s="2826"/>
      <c r="N17" s="2826"/>
      <c r="O17" s="2826"/>
      <c r="P17" s="2826"/>
      <c r="Q17" s="2826"/>
      <c r="R17" s="2826"/>
      <c r="S17" s="2826"/>
      <c r="T17" s="2826"/>
      <c r="U17" s="2827"/>
      <c r="V17" s="325"/>
      <c r="X17" s="266"/>
      <c r="Y17" s="267"/>
      <c r="Z17" s="267"/>
      <c r="AA17" s="267"/>
      <c r="AB17" s="268"/>
      <c r="AC17" s="268"/>
      <c r="AD17" s="268"/>
      <c r="AE17" s="268"/>
      <c r="AF17" s="268"/>
      <c r="AG17" s="269"/>
      <c r="AH17" s="269"/>
      <c r="AI17" s="269"/>
      <c r="AJ17" s="269"/>
      <c r="AK17" s="269"/>
      <c r="AL17" s="266"/>
    </row>
    <row r="18" spans="2:39" ht="15.95" customHeight="1" thickBot="1" x14ac:dyDescent="0.45">
      <c r="B18" s="2238"/>
      <c r="C18" s="2239"/>
      <c r="D18" s="2239"/>
      <c r="E18" s="2239"/>
      <c r="F18" s="2239"/>
      <c r="G18" s="2239"/>
      <c r="H18" s="2239"/>
      <c r="I18" s="2239"/>
      <c r="J18" s="2239"/>
      <c r="K18" s="2239"/>
      <c r="L18" s="2239"/>
      <c r="M18" s="2239"/>
      <c r="N18" s="2239"/>
      <c r="O18" s="2239"/>
      <c r="P18" s="2239"/>
      <c r="Q18" s="2239"/>
      <c r="R18" s="2239"/>
      <c r="S18" s="2239"/>
      <c r="T18" s="2239"/>
      <c r="U18" s="2239"/>
      <c r="V18" s="2240"/>
      <c r="X18" s="50"/>
      <c r="Y18" s="1481"/>
      <c r="Z18" s="1481"/>
      <c r="AA18" s="1481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4"/>
    </row>
    <row r="19" spans="2:39" ht="5.0999999999999996" customHeight="1" thickTop="1" thickBot="1" x14ac:dyDescent="0.45"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2:39" ht="15.95" customHeight="1" thickTop="1" thickBot="1" x14ac:dyDescent="0.45">
      <c r="B20" s="52"/>
      <c r="C20" s="53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5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39" s="3" customFormat="1" ht="15.95" customHeight="1" thickTop="1" thickBot="1" x14ac:dyDescent="0.3">
      <c r="B21" s="56"/>
      <c r="C21" s="228"/>
      <c r="D21" s="228"/>
      <c r="E21" s="1438" t="s">
        <v>352</v>
      </c>
      <c r="F21" s="1438"/>
      <c r="G21" s="1438"/>
      <c r="H21" s="1438"/>
      <c r="I21" s="1438"/>
      <c r="J21" s="1438"/>
      <c r="K21" s="1438"/>
      <c r="L21" s="1438"/>
      <c r="M21" s="1438"/>
      <c r="N21" s="1438"/>
      <c r="O21" s="1438"/>
      <c r="P21" s="1438"/>
      <c r="Q21" s="1438"/>
      <c r="R21" s="1438"/>
      <c r="S21" s="1438"/>
      <c r="T21" s="1438"/>
      <c r="U21" s="1438"/>
      <c r="V21" s="57"/>
      <c r="W21" s="161"/>
      <c r="X21" s="185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7"/>
      <c r="AM21" s="161"/>
    </row>
    <row r="22" spans="2:39" ht="15.95" customHeight="1" thickBot="1" x14ac:dyDescent="0.45">
      <c r="B22" s="58"/>
      <c r="C22" s="226"/>
      <c r="D22" s="227"/>
      <c r="E22" s="1482" t="s">
        <v>9209</v>
      </c>
      <c r="F22" s="1482"/>
      <c r="G22" s="1482"/>
      <c r="H22" s="1482"/>
      <c r="I22" s="1482"/>
      <c r="J22" s="1482"/>
      <c r="K22" s="1482"/>
      <c r="L22" s="1482"/>
      <c r="M22" s="1482"/>
      <c r="N22" s="1482"/>
      <c r="O22" s="1482"/>
      <c r="P22" s="1482"/>
      <c r="Q22" s="1482"/>
      <c r="R22" s="1482"/>
      <c r="S22" s="1482"/>
      <c r="T22" s="1482"/>
      <c r="U22" s="1482"/>
      <c r="V22" s="59"/>
      <c r="W22" s="41"/>
      <c r="X22" s="188"/>
      <c r="Y22" s="1483" t="s">
        <v>7862</v>
      </c>
      <c r="Z22" s="1484"/>
      <c r="AA22" s="1484"/>
      <c r="AB22" s="1484"/>
      <c r="AC22" s="1484"/>
      <c r="AD22" s="1484"/>
      <c r="AE22" s="1484"/>
      <c r="AF22" s="1484"/>
      <c r="AG22" s="1484"/>
      <c r="AH22" s="1484"/>
      <c r="AI22" s="1484"/>
      <c r="AJ22" s="1484"/>
      <c r="AK22" s="1485"/>
      <c r="AL22" s="190"/>
      <c r="AM22" s="41"/>
    </row>
    <row r="23" spans="2:39" ht="9.9499999999999993" customHeight="1" x14ac:dyDescent="0.4">
      <c r="B23" s="58"/>
      <c r="C23" s="1434"/>
      <c r="D23" s="1434"/>
      <c r="E23" s="1434"/>
      <c r="F23" s="1434"/>
      <c r="G23" s="1434"/>
      <c r="H23" s="1434"/>
      <c r="I23" s="1434"/>
      <c r="J23" s="1434"/>
      <c r="K23" s="1434"/>
      <c r="L23" s="1434"/>
      <c r="M23" s="1434"/>
      <c r="N23" s="1434"/>
      <c r="O23" s="1434"/>
      <c r="P23" s="1434"/>
      <c r="Q23" s="1434"/>
      <c r="R23" s="1434"/>
      <c r="S23" s="1434"/>
      <c r="T23" s="1434"/>
      <c r="U23" s="1434"/>
      <c r="V23" s="59"/>
      <c r="W23" s="41"/>
      <c r="X23" s="188"/>
      <c r="Y23" s="1471" t="str">
        <f>IF(AG23=1,"EFETIVO",IF(AG23=2,"EFETIVADO",IF(AG23=3,"DESIGNADO",IF(AG23=4,"COMISSIONADO"))))</f>
        <v>EFETIVO</v>
      </c>
      <c r="Z23" s="1472"/>
      <c r="AA23" s="1472"/>
      <c r="AB23" s="1472"/>
      <c r="AC23" s="1472"/>
      <c r="AD23" s="1472"/>
      <c r="AE23" s="1472"/>
      <c r="AF23" s="1473"/>
      <c r="AG23" s="2686">
        <v>1</v>
      </c>
      <c r="AH23" s="1472"/>
      <c r="AI23" s="1472"/>
      <c r="AJ23" s="1472"/>
      <c r="AK23" s="2687"/>
      <c r="AL23" s="190"/>
      <c r="AM23" s="41"/>
    </row>
    <row r="24" spans="2:39" ht="15.95" customHeight="1" x14ac:dyDescent="0.4">
      <c r="B24" s="58"/>
      <c r="C24" s="1460" t="s">
        <v>354</v>
      </c>
      <c r="D24" s="1460"/>
      <c r="E24" s="1460"/>
      <c r="F24" s="1460"/>
      <c r="G24" s="1460"/>
      <c r="H24" s="1460"/>
      <c r="I24" s="1433" t="str">
        <f>[2]Cadastro!C6</f>
        <v>SECRETARIA DE ESTADO DE EDUCAÇÃO - MG</v>
      </c>
      <c r="J24" s="1433"/>
      <c r="K24" s="1433"/>
      <c r="L24" s="1433"/>
      <c r="M24" s="1433"/>
      <c r="N24" s="1433"/>
      <c r="O24" s="1433"/>
      <c r="P24" s="1433"/>
      <c r="Q24" s="1433"/>
      <c r="R24" s="1433"/>
      <c r="S24" s="1433"/>
      <c r="T24" s="1433"/>
      <c r="U24" s="1433"/>
      <c r="V24" s="59"/>
      <c r="X24" s="188"/>
      <c r="Y24" s="2681"/>
      <c r="Z24" s="2793"/>
      <c r="AA24" s="2793"/>
      <c r="AB24" s="2793"/>
      <c r="AC24" s="2793"/>
      <c r="AD24" s="2793"/>
      <c r="AE24" s="2793"/>
      <c r="AF24" s="2794"/>
      <c r="AG24" s="2795"/>
      <c r="AH24" s="2793"/>
      <c r="AI24" s="2793"/>
      <c r="AJ24" s="2793"/>
      <c r="AK24" s="2685"/>
      <c r="AL24" s="190"/>
    </row>
    <row r="25" spans="2:39" ht="15.95" customHeight="1" x14ac:dyDescent="0.4">
      <c r="B25" s="58"/>
      <c r="C25" s="1460" t="s">
        <v>356</v>
      </c>
      <c r="D25" s="1460"/>
      <c r="E25" s="1460"/>
      <c r="F25" s="1436" t="str">
        <f>[2]Cadastro!C8</f>
        <v>Superintendência Regional Ensino de</v>
      </c>
      <c r="G25" s="1436"/>
      <c r="H25" s="1436"/>
      <c r="I25" s="1436"/>
      <c r="J25" s="1436"/>
      <c r="K25" s="1436"/>
      <c r="L25" s="1436"/>
      <c r="M25" s="1436"/>
      <c r="N25" s="1433" t="str">
        <f>[2]Cadastro!I8</f>
        <v>Uberaba</v>
      </c>
      <c r="O25" s="1433"/>
      <c r="P25" s="1433"/>
      <c r="Q25" s="1433"/>
      <c r="R25" s="1433"/>
      <c r="S25" s="1433"/>
      <c r="T25" s="1433"/>
      <c r="U25" s="1433"/>
      <c r="V25" s="59"/>
      <c r="X25" s="188"/>
      <c r="Y25" s="2681"/>
      <c r="Z25" s="2793"/>
      <c r="AA25" s="2793"/>
      <c r="AB25" s="2793"/>
      <c r="AC25" s="2793"/>
      <c r="AD25" s="2793"/>
      <c r="AE25" s="2793"/>
      <c r="AF25" s="2794"/>
      <c r="AG25" s="2795"/>
      <c r="AH25" s="2793"/>
      <c r="AI25" s="2793"/>
      <c r="AJ25" s="2793"/>
      <c r="AK25" s="2685"/>
      <c r="AL25" s="190"/>
    </row>
    <row r="26" spans="2:39" ht="9.9499999999999993" customHeight="1" thickBot="1" x14ac:dyDescent="0.45">
      <c r="B26" s="58"/>
      <c r="C26" s="226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59"/>
      <c r="X26" s="188"/>
      <c r="Y26" s="2676"/>
      <c r="Z26" s="2677"/>
      <c r="AA26" s="2677"/>
      <c r="AB26" s="2677"/>
      <c r="AC26" s="2677"/>
      <c r="AD26" s="2677"/>
      <c r="AE26" s="2677"/>
      <c r="AF26" s="2678"/>
      <c r="AG26" s="2679"/>
      <c r="AH26" s="2677"/>
      <c r="AI26" s="2677"/>
      <c r="AJ26" s="2677"/>
      <c r="AK26" s="2680"/>
      <c r="AL26" s="190"/>
    </row>
    <row r="27" spans="2:39" ht="15.95" customHeight="1" x14ac:dyDescent="0.4">
      <c r="B27" s="58"/>
      <c r="C27" s="1433"/>
      <c r="D27" s="1433"/>
      <c r="E27" s="1433"/>
      <c r="F27" s="1433"/>
      <c r="G27" s="1456" t="s">
        <v>358</v>
      </c>
      <c r="H27" s="1456"/>
      <c r="I27" s="1456"/>
      <c r="J27" s="1456"/>
      <c r="K27" s="1456"/>
      <c r="L27" s="1456"/>
      <c r="M27" s="1456"/>
      <c r="N27" s="1456"/>
      <c r="O27" s="1456"/>
      <c r="P27" s="1456"/>
      <c r="Q27" s="1456"/>
      <c r="R27" s="1456"/>
      <c r="S27" s="1456"/>
      <c r="T27" s="1456"/>
      <c r="U27" s="1456"/>
      <c r="V27" s="59"/>
      <c r="X27" s="188"/>
      <c r="Y27" s="1457"/>
      <c r="Z27" s="1457"/>
      <c r="AA27" s="1457"/>
      <c r="AB27" s="1457"/>
      <c r="AC27" s="1457"/>
      <c r="AD27" s="1457"/>
      <c r="AE27" s="1457"/>
      <c r="AF27" s="1457"/>
      <c r="AG27" s="1457"/>
      <c r="AH27" s="1457"/>
      <c r="AI27" s="1457"/>
      <c r="AJ27" s="1457"/>
      <c r="AK27" s="1457"/>
      <c r="AL27" s="190"/>
    </row>
    <row r="28" spans="2:39" ht="15.95" customHeight="1" x14ac:dyDescent="0.4">
      <c r="B28" s="58"/>
      <c r="C28" s="1458" t="str">
        <f>G6</f>
        <v>KELLY CARDOSO DE OLIVEIRA</v>
      </c>
      <c r="D28" s="1458"/>
      <c r="E28" s="1458"/>
      <c r="F28" s="1458"/>
      <c r="G28" s="1458"/>
      <c r="H28" s="1458"/>
      <c r="I28" s="1458"/>
      <c r="J28" s="1458"/>
      <c r="K28" s="1458"/>
      <c r="L28" s="1458"/>
      <c r="M28" s="1434" t="s">
        <v>360</v>
      </c>
      <c r="N28" s="1434"/>
      <c r="O28" s="1459">
        <f>IF(T6="","",T6)</f>
        <v>11343829</v>
      </c>
      <c r="P28" s="1459"/>
      <c r="Q28" s="1459"/>
      <c r="R28" s="1456" t="s">
        <v>359</v>
      </c>
      <c r="S28" s="1456"/>
      <c r="T28" s="1456"/>
      <c r="U28" s="1456"/>
      <c r="V28" s="59"/>
      <c r="X28" s="188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90"/>
    </row>
    <row r="29" spans="2:39" ht="15.95" customHeight="1" x14ac:dyDescent="0.4">
      <c r="B29" s="58"/>
      <c r="C29" s="1452">
        <f>IF(C12="","",C12)</f>
        <v>1296.5</v>
      </c>
      <c r="D29" s="1452"/>
      <c r="E29" s="1452"/>
      <c r="F29" s="1453" t="str">
        <f>IF(C12="Aguard. Dados","",IF(Extenso!N6="","","(" &amp; Extenso!N6 &amp; ")"))</f>
        <v>(mil duzentos e noventa e seis reais e cinquenta centavos)</v>
      </c>
      <c r="G29" s="1453"/>
      <c r="H29" s="1453"/>
      <c r="I29" s="1453"/>
      <c r="J29" s="1453"/>
      <c r="K29" s="1453"/>
      <c r="L29" s="1453"/>
      <c r="M29" s="1453"/>
      <c r="N29" s="1453"/>
      <c r="O29" s="1453"/>
      <c r="P29" s="1453"/>
      <c r="Q29" s="1453"/>
      <c r="R29" s="1453"/>
      <c r="S29" s="1453"/>
      <c r="T29" s="1453"/>
      <c r="U29" s="1453"/>
      <c r="V29" s="59"/>
      <c r="X29" s="188"/>
      <c r="Y29" s="189"/>
      <c r="Z29" s="189"/>
      <c r="AA29" s="189"/>
      <c r="AB29" s="191"/>
      <c r="AC29" s="189"/>
      <c r="AD29" s="189"/>
      <c r="AE29" s="189"/>
      <c r="AF29" s="189"/>
      <c r="AG29" s="189"/>
      <c r="AH29" s="189"/>
      <c r="AI29" s="189"/>
      <c r="AJ29" s="189"/>
      <c r="AK29" s="189"/>
      <c r="AL29" s="190"/>
    </row>
    <row r="30" spans="2:39" ht="15.95" customHeight="1" x14ac:dyDescent="0.4">
      <c r="B30" s="58"/>
      <c r="C30" s="2792" t="str">
        <f>F14</f>
        <v>Referente a:</v>
      </c>
      <c r="D30" s="1433"/>
      <c r="E30" s="1433"/>
      <c r="F30" s="1433"/>
      <c r="G30" s="1433"/>
      <c r="H30" s="1433"/>
      <c r="I30" s="1433"/>
      <c r="J30" s="1433"/>
      <c r="K30" s="1433"/>
      <c r="L30" s="1433"/>
      <c r="M30" s="1433"/>
      <c r="N30" s="1433"/>
      <c r="O30" s="1433"/>
      <c r="P30" s="1433"/>
      <c r="Q30" s="1433"/>
      <c r="R30" s="1433"/>
      <c r="S30" s="1433"/>
      <c r="T30" s="1433"/>
      <c r="U30" s="1433"/>
      <c r="V30" s="59"/>
      <c r="X30" s="188"/>
      <c r="Y30" s="189"/>
      <c r="Z30" s="189"/>
      <c r="AA30" s="189"/>
      <c r="AB30" s="191"/>
      <c r="AC30" s="189"/>
      <c r="AD30" s="189"/>
      <c r="AE30" s="189"/>
      <c r="AF30" s="189"/>
      <c r="AG30" s="189"/>
      <c r="AH30" s="189"/>
      <c r="AI30" s="189"/>
      <c r="AJ30" s="189"/>
      <c r="AK30" s="189"/>
      <c r="AL30" s="190"/>
    </row>
    <row r="31" spans="2:39" ht="15.95" customHeight="1" x14ac:dyDescent="0.4">
      <c r="B31" s="58"/>
      <c r="C31" s="1433" t="str">
        <f>IF(I12="","",I12)&amp;I17</f>
        <v>Acerto vice-direção mês 02/2018, adm. 1.</v>
      </c>
      <c r="D31" s="1433"/>
      <c r="E31" s="1433"/>
      <c r="F31" s="1433"/>
      <c r="G31" s="1433"/>
      <c r="H31" s="1433"/>
      <c r="I31" s="1433"/>
      <c r="J31" s="1433"/>
      <c r="K31" s="1433"/>
      <c r="L31" s="1433"/>
      <c r="M31" s="1433"/>
      <c r="N31" s="1433"/>
      <c r="O31" s="1433"/>
      <c r="P31" s="1433"/>
      <c r="Q31" s="1433"/>
      <c r="R31" s="1433"/>
      <c r="S31" s="1433"/>
      <c r="T31" s="1433"/>
      <c r="U31" s="1433"/>
      <c r="V31" s="59"/>
      <c r="X31" s="188"/>
      <c r="Y31" s="189"/>
      <c r="Z31" s="189"/>
      <c r="AA31" s="189"/>
      <c r="AB31" s="191"/>
      <c r="AC31" s="189"/>
      <c r="AD31" s="189"/>
      <c r="AE31" s="189"/>
      <c r="AF31" s="189"/>
      <c r="AG31" s="189"/>
      <c r="AH31" s="189"/>
      <c r="AI31" s="189"/>
      <c r="AJ31" s="189"/>
      <c r="AK31" s="189"/>
      <c r="AL31" s="190"/>
    </row>
    <row r="32" spans="2:39" ht="15.95" customHeight="1" x14ac:dyDescent="0.4">
      <c r="B32" s="58"/>
      <c r="C32" s="1433"/>
      <c r="D32" s="1433"/>
      <c r="E32" s="1433"/>
      <c r="F32" s="1433"/>
      <c r="G32" s="1433"/>
      <c r="H32" s="1433"/>
      <c r="I32" s="1433"/>
      <c r="J32" s="1433"/>
      <c r="K32" s="1433"/>
      <c r="L32" s="1433"/>
      <c r="M32" s="1433"/>
      <c r="N32" s="1433"/>
      <c r="O32" s="1433"/>
      <c r="P32" s="1433"/>
      <c r="Q32" s="1433"/>
      <c r="R32" s="1433"/>
      <c r="S32" s="1433"/>
      <c r="T32" s="1433"/>
      <c r="U32" s="1433"/>
      <c r="V32" s="59"/>
      <c r="X32" s="188"/>
      <c r="Y32" s="189"/>
      <c r="Z32" s="189"/>
      <c r="AA32" s="189"/>
      <c r="AB32" s="191"/>
      <c r="AC32" s="189"/>
      <c r="AD32" s="189"/>
      <c r="AE32" s="189"/>
      <c r="AF32" s="189"/>
      <c r="AG32" s="189"/>
      <c r="AH32" s="189"/>
      <c r="AI32" s="189"/>
      <c r="AJ32" s="189"/>
      <c r="AK32" s="189"/>
      <c r="AL32" s="190"/>
    </row>
    <row r="33" spans="2:38" ht="15.95" customHeight="1" x14ac:dyDescent="0.4">
      <c r="B33" s="58"/>
      <c r="C33" s="1433"/>
      <c r="D33" s="1433"/>
      <c r="E33" s="1433"/>
      <c r="F33" s="1433"/>
      <c r="G33" s="1433"/>
      <c r="H33" s="1433"/>
      <c r="I33" s="1433"/>
      <c r="J33" s="1433"/>
      <c r="K33" s="1433"/>
      <c r="L33" s="1433"/>
      <c r="M33" s="1433"/>
      <c r="N33" s="1433"/>
      <c r="O33" s="1433"/>
      <c r="P33" s="1433"/>
      <c r="Q33" s="1433"/>
      <c r="R33" s="1433"/>
      <c r="S33" s="1433"/>
      <c r="T33" s="1433"/>
      <c r="U33" s="1433"/>
      <c r="V33" s="59"/>
      <c r="X33" s="188"/>
      <c r="Y33" s="189"/>
      <c r="Z33" s="189"/>
      <c r="AA33" s="189"/>
      <c r="AB33" s="191"/>
      <c r="AC33" s="189"/>
      <c r="AD33" s="189"/>
      <c r="AE33" s="189"/>
      <c r="AF33" s="189"/>
      <c r="AG33" s="189"/>
      <c r="AH33" s="189"/>
      <c r="AI33" s="189"/>
      <c r="AJ33" s="189"/>
      <c r="AK33" s="189"/>
      <c r="AL33" s="190"/>
    </row>
    <row r="34" spans="2:38" ht="9.9499999999999993" customHeight="1" x14ac:dyDescent="0.4">
      <c r="B34" s="58"/>
      <c r="C34" s="1434"/>
      <c r="D34" s="1434"/>
      <c r="E34" s="1434"/>
      <c r="F34" s="1434"/>
      <c r="G34" s="1434"/>
      <c r="H34" s="1434"/>
      <c r="I34" s="1434"/>
      <c r="J34" s="1434"/>
      <c r="K34" s="1434"/>
      <c r="L34" s="1434"/>
      <c r="M34" s="1434"/>
      <c r="N34" s="1434"/>
      <c r="O34" s="1434"/>
      <c r="P34" s="1434"/>
      <c r="Q34" s="1434"/>
      <c r="R34" s="1434"/>
      <c r="S34" s="1434"/>
      <c r="T34" s="1434"/>
      <c r="U34" s="1434"/>
      <c r="V34" s="59"/>
      <c r="X34" s="188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90"/>
    </row>
    <row r="35" spans="2:38" ht="15.95" customHeight="1" thickBot="1" x14ac:dyDescent="0.45">
      <c r="B35" s="58"/>
      <c r="C35" s="1433" t="s">
        <v>363</v>
      </c>
      <c r="D35" s="1433"/>
      <c r="E35" s="1433"/>
      <c r="F35" s="1433"/>
      <c r="G35" s="1433"/>
      <c r="H35" s="1434"/>
      <c r="I35" s="1434"/>
      <c r="J35" s="1434"/>
      <c r="K35" s="1434"/>
      <c r="L35" s="1434"/>
      <c r="M35" s="1434"/>
      <c r="N35" s="1434"/>
      <c r="O35" s="1434"/>
      <c r="P35" s="1434"/>
      <c r="Q35" s="1434"/>
      <c r="R35" s="1434"/>
      <c r="S35" s="1434"/>
      <c r="T35" s="1434"/>
      <c r="U35" s="1434"/>
      <c r="V35" s="59"/>
      <c r="X35" s="192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4"/>
    </row>
    <row r="36" spans="2:38" ht="15.95" customHeight="1" thickTop="1" x14ac:dyDescent="0.4">
      <c r="B36" s="58"/>
      <c r="C36" s="1433" t="str">
        <f>H11&amp;I11&amp;J11&amp;K11&amp;L11&amp;M11&amp;N11&amp;O11&amp;P11&amp;Q11&amp;R11&amp;S11&amp;T11&amp;U11</f>
        <v>2378</v>
      </c>
      <c r="D36" s="1433"/>
      <c r="E36" s="1433"/>
      <c r="F36" s="1433"/>
      <c r="G36" s="1433"/>
      <c r="H36" s="1433"/>
      <c r="I36" s="1433"/>
      <c r="J36" s="1433"/>
      <c r="K36" s="1433"/>
      <c r="L36" s="1433"/>
      <c r="M36" s="1433"/>
      <c r="N36" s="1433"/>
      <c r="O36" s="1433"/>
      <c r="P36" s="1433"/>
      <c r="Q36" s="1433"/>
      <c r="R36" s="1433"/>
      <c r="S36" s="1433"/>
      <c r="T36" s="1433"/>
      <c r="U36" s="1433"/>
      <c r="V36" s="59"/>
    </row>
    <row r="37" spans="2:38" ht="9.9499999999999993" customHeight="1" x14ac:dyDescent="0.4">
      <c r="B37" s="58"/>
      <c r="C37" s="226"/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59"/>
    </row>
    <row r="38" spans="2:38" ht="15.95" customHeight="1" x14ac:dyDescent="0.4">
      <c r="B38" s="58"/>
      <c r="C38" s="1434" t="s">
        <v>362</v>
      </c>
      <c r="D38" s="1434"/>
      <c r="E38" s="1434"/>
      <c r="F38" s="1442" t="str">
        <f>H8</f>
        <v>E.E. Paulo José Derenusson</v>
      </c>
      <c r="G38" s="1442"/>
      <c r="H38" s="1442"/>
      <c r="I38" s="1442"/>
      <c r="J38" s="1442"/>
      <c r="K38" s="1442"/>
      <c r="L38" s="1442"/>
      <c r="M38" s="1442"/>
      <c r="N38" s="1442"/>
      <c r="O38" s="1443" t="s">
        <v>364</v>
      </c>
      <c r="P38" s="1443"/>
      <c r="Q38" s="1443"/>
      <c r="R38" s="1444" t="str">
        <f>Q8</f>
        <v>Uberaba</v>
      </c>
      <c r="S38" s="1444"/>
      <c r="T38" s="1444"/>
      <c r="U38" s="1444"/>
      <c r="V38" s="59"/>
    </row>
    <row r="39" spans="2:38" ht="9.9499999999999993" customHeight="1" x14ac:dyDescent="0.4">
      <c r="B39" s="58"/>
      <c r="C39" s="226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59"/>
    </row>
    <row r="40" spans="2:38" ht="15.95" customHeight="1" x14ac:dyDescent="0.4">
      <c r="B40" s="58"/>
      <c r="C40" s="1436" t="str">
        <f>[2]Cadastro!I8</f>
        <v>Uberaba</v>
      </c>
      <c r="D40" s="1436"/>
      <c r="E40" s="1436"/>
      <c r="F40" s="1436"/>
      <c r="G40" s="1436"/>
      <c r="H40" s="1436"/>
      <c r="I40" s="1436"/>
      <c r="J40" s="1436"/>
      <c r="K40" s="1436"/>
      <c r="L40" s="226" t="s">
        <v>365</v>
      </c>
      <c r="M40" s="1445">
        <f ca="1">IF(D14&lt;&gt;0,C15,TODAY())</f>
        <v>43238</v>
      </c>
      <c r="N40" s="1445"/>
      <c r="O40" s="1445"/>
      <c r="P40" s="1445"/>
      <c r="Q40" s="1445"/>
      <c r="R40" s="1445"/>
      <c r="S40" s="1445"/>
      <c r="T40" s="1445"/>
      <c r="U40" s="1445"/>
      <c r="V40" s="59"/>
    </row>
    <row r="41" spans="2:38" ht="9.9499999999999993" customHeight="1" x14ac:dyDescent="0.4">
      <c r="B41" s="58"/>
      <c r="C41" s="226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59"/>
    </row>
    <row r="42" spans="2:38" ht="15.95" customHeight="1" x14ac:dyDescent="0.4">
      <c r="B42" s="58"/>
      <c r="C42" s="1439" t="s">
        <v>366</v>
      </c>
      <c r="D42" s="1439"/>
      <c r="E42" s="1439"/>
      <c r="F42" s="1439"/>
      <c r="G42" s="1439"/>
      <c r="H42" s="1439"/>
      <c r="I42" s="1439"/>
      <c r="J42" s="1439"/>
      <c r="K42" s="1439"/>
      <c r="L42" s="1439"/>
      <c r="M42" s="1439"/>
      <c r="N42" s="1439"/>
      <c r="O42" s="1439"/>
      <c r="P42" s="1439"/>
      <c r="Q42" s="1439"/>
      <c r="R42" s="1439"/>
      <c r="S42" s="1439"/>
      <c r="T42" s="1439"/>
      <c r="U42" s="1439"/>
      <c r="V42" s="59"/>
    </row>
    <row r="43" spans="2:38" ht="3" customHeight="1" x14ac:dyDescent="0.4">
      <c r="B43" s="58"/>
      <c r="C43" s="1440"/>
      <c r="D43" s="1440"/>
      <c r="E43" s="1440"/>
      <c r="F43" s="1440"/>
      <c r="G43" s="1440"/>
      <c r="H43" s="1440"/>
      <c r="I43" s="1440"/>
      <c r="J43" s="1440"/>
      <c r="K43" s="1440"/>
      <c r="L43" s="1440"/>
      <c r="M43" s="1440"/>
      <c r="N43" s="1440"/>
      <c r="O43" s="1440"/>
      <c r="P43" s="1440"/>
      <c r="Q43" s="1440"/>
      <c r="R43" s="1440"/>
      <c r="S43" s="1440"/>
      <c r="T43" s="1440"/>
      <c r="U43" s="1440"/>
      <c r="V43" s="59"/>
    </row>
    <row r="44" spans="2:38" ht="15.95" customHeight="1" x14ac:dyDescent="0.4">
      <c r="B44" s="58"/>
      <c r="C44" s="1433" t="s">
        <v>367</v>
      </c>
      <c r="D44" s="1433"/>
      <c r="E44" s="2645" t="str">
        <f>Geral!I10</f>
        <v>Alterar</v>
      </c>
      <c r="F44" s="2645"/>
      <c r="G44" s="2645"/>
      <c r="H44" s="2645"/>
      <c r="I44" s="2645"/>
      <c r="J44" s="2645"/>
      <c r="K44" s="2645"/>
      <c r="L44" s="2645"/>
      <c r="M44" s="2645"/>
      <c r="N44" s="1436" t="s">
        <v>9210</v>
      </c>
      <c r="O44" s="1436"/>
      <c r="P44" s="1436"/>
      <c r="Q44" s="2646">
        <f>Geral!T10</f>
        <v>0</v>
      </c>
      <c r="R44" s="2646"/>
      <c r="S44" s="2646"/>
      <c r="T44" s="761"/>
      <c r="U44" s="761"/>
      <c r="V44" s="59"/>
    </row>
    <row r="45" spans="2:38" ht="3.95" customHeight="1" x14ac:dyDescent="0.4">
      <c r="B45" s="58"/>
      <c r="C45" s="760"/>
      <c r="D45" s="760"/>
      <c r="E45" s="760"/>
      <c r="F45" s="760"/>
      <c r="G45" s="760"/>
      <c r="H45" s="760"/>
      <c r="I45" s="760"/>
      <c r="J45" s="760"/>
      <c r="K45" s="760"/>
      <c r="L45" s="760"/>
      <c r="M45" s="759"/>
      <c r="N45" s="759"/>
      <c r="O45" s="762"/>
      <c r="P45" s="762"/>
      <c r="Q45" s="762"/>
      <c r="R45" s="761"/>
      <c r="S45" s="761"/>
      <c r="T45" s="761"/>
      <c r="U45" s="761"/>
      <c r="V45" s="59"/>
    </row>
    <row r="46" spans="2:38" ht="15.95" customHeight="1" x14ac:dyDescent="0.4">
      <c r="B46" s="58"/>
      <c r="C46" s="1434" t="s">
        <v>369</v>
      </c>
      <c r="D46" s="1434"/>
      <c r="E46" s="2645"/>
      <c r="F46" s="2645"/>
      <c r="G46" s="2645"/>
      <c r="H46" s="2645"/>
      <c r="I46" s="2645"/>
      <c r="J46" s="2645"/>
      <c r="K46" s="2645"/>
      <c r="L46" s="2645"/>
      <c r="M46" s="2645"/>
      <c r="N46" s="761"/>
      <c r="O46" s="760"/>
      <c r="P46" s="760"/>
      <c r="Q46" s="760"/>
      <c r="R46" s="760"/>
      <c r="S46" s="760"/>
      <c r="T46" s="760"/>
      <c r="U46" s="760"/>
      <c r="V46" s="59"/>
    </row>
    <row r="47" spans="2:38" ht="15.95" customHeight="1" x14ac:dyDescent="0.4">
      <c r="B47" s="58"/>
      <c r="C47" s="1435"/>
      <c r="D47" s="1435"/>
      <c r="E47" s="1435"/>
      <c r="F47" s="1435"/>
      <c r="G47" s="1435"/>
      <c r="H47" s="1435"/>
      <c r="I47" s="1435"/>
      <c r="J47" s="1435"/>
      <c r="K47" s="1435"/>
      <c r="L47" s="1435"/>
      <c r="M47" s="1435"/>
      <c r="N47" s="1435"/>
      <c r="O47" s="1435"/>
      <c r="P47" s="1435"/>
      <c r="Q47" s="1435"/>
      <c r="R47" s="1435"/>
      <c r="S47" s="1435"/>
      <c r="T47" s="1435"/>
      <c r="U47" s="1435"/>
      <c r="V47" s="59"/>
    </row>
    <row r="48" spans="2:38" ht="15.95" customHeight="1" x14ac:dyDescent="0.4">
      <c r="B48" s="58"/>
      <c r="C48" s="1435" t="s">
        <v>368</v>
      </c>
      <c r="D48" s="1435"/>
      <c r="E48" s="1435"/>
      <c r="F48" s="1435"/>
      <c r="G48" s="1435"/>
      <c r="H48" s="1435"/>
      <c r="I48" s="1435"/>
      <c r="J48" s="1435"/>
      <c r="K48" s="1435"/>
      <c r="L48" s="1435"/>
      <c r="M48" s="1435"/>
      <c r="N48" s="1435"/>
      <c r="O48" s="1435"/>
      <c r="P48" s="1435"/>
      <c r="Q48" s="1435"/>
      <c r="R48" s="1435"/>
      <c r="S48" s="1435"/>
      <c r="T48" s="1435"/>
      <c r="U48" s="1435"/>
      <c r="V48" s="59"/>
    </row>
    <row r="49" spans="2:22" ht="3.95" customHeight="1" x14ac:dyDescent="0.4">
      <c r="B49" s="58"/>
      <c r="C49" s="760"/>
      <c r="D49" s="759"/>
      <c r="E49" s="759"/>
      <c r="F49" s="759"/>
      <c r="G49" s="759"/>
      <c r="H49" s="759"/>
      <c r="I49" s="759"/>
      <c r="J49" s="759"/>
      <c r="K49" s="759"/>
      <c r="L49" s="759"/>
      <c r="M49" s="759"/>
      <c r="N49" s="759"/>
      <c r="O49" s="759"/>
      <c r="P49" s="759"/>
      <c r="Q49" s="759"/>
      <c r="R49" s="759"/>
      <c r="S49" s="759"/>
      <c r="T49" s="759"/>
      <c r="U49" s="759"/>
      <c r="V49" s="59"/>
    </row>
    <row r="50" spans="2:22" ht="15.95" customHeight="1" x14ac:dyDescent="0.4">
      <c r="B50" s="58"/>
      <c r="C50" s="1435" t="s">
        <v>9211</v>
      </c>
      <c r="D50" s="1435"/>
      <c r="E50" s="1435"/>
      <c r="F50" s="1435"/>
      <c r="G50" s="1435"/>
      <c r="H50" s="1435"/>
      <c r="I50" s="1435"/>
      <c r="J50" s="1435"/>
      <c r="K50" s="1435"/>
      <c r="L50" s="1435"/>
      <c r="M50" s="1435"/>
      <c r="N50" s="1435"/>
      <c r="O50" s="1435"/>
      <c r="P50" s="1435"/>
      <c r="Q50" s="1435"/>
      <c r="R50" s="1435"/>
      <c r="S50" s="1435"/>
      <c r="T50" s="1435"/>
      <c r="U50" s="1435"/>
      <c r="V50" s="59"/>
    </row>
    <row r="51" spans="2:22" ht="3.95" customHeight="1" x14ac:dyDescent="0.4">
      <c r="B51" s="58"/>
      <c r="C51" s="1438"/>
      <c r="D51" s="1438"/>
      <c r="E51" s="1438"/>
      <c r="F51" s="1438"/>
      <c r="G51" s="1438"/>
      <c r="H51" s="1438"/>
      <c r="I51" s="1438"/>
      <c r="J51" s="1438"/>
      <c r="K51" s="1438"/>
      <c r="L51" s="1438"/>
      <c r="M51" s="1438"/>
      <c r="N51" s="1438"/>
      <c r="O51" s="1438"/>
      <c r="P51" s="1438"/>
      <c r="Q51" s="1438"/>
      <c r="R51" s="1438"/>
      <c r="S51" s="1438"/>
      <c r="T51" s="1438"/>
      <c r="U51" s="1438"/>
      <c r="V51" s="59"/>
    </row>
    <row r="52" spans="2:22" ht="15.95" customHeight="1" x14ac:dyDescent="0.4">
      <c r="B52" s="58"/>
      <c r="C52" s="1433" t="s">
        <v>367</v>
      </c>
      <c r="D52" s="1433"/>
      <c r="E52" s="2645" t="str">
        <f>Geral!I11</f>
        <v>Elizabet das Graças Limido Santos</v>
      </c>
      <c r="F52" s="2645"/>
      <c r="G52" s="2645"/>
      <c r="H52" s="2645"/>
      <c r="I52" s="2645"/>
      <c r="J52" s="2645"/>
      <c r="K52" s="2645"/>
      <c r="L52" s="2645"/>
      <c r="M52" s="2645"/>
      <c r="N52" s="1436" t="s">
        <v>9210</v>
      </c>
      <c r="O52" s="1436"/>
      <c r="P52" s="1436"/>
      <c r="Q52" s="2646">
        <f>Geral!T11</f>
        <v>4440780</v>
      </c>
      <c r="R52" s="2646"/>
      <c r="S52" s="2646"/>
      <c r="T52" s="761"/>
      <c r="U52" s="761"/>
      <c r="V52" s="59"/>
    </row>
    <row r="53" spans="2:22" ht="3.95" customHeight="1" x14ac:dyDescent="0.4">
      <c r="B53" s="58"/>
      <c r="C53" s="760"/>
      <c r="D53" s="760"/>
      <c r="E53" s="760"/>
      <c r="F53" s="760"/>
      <c r="G53" s="760"/>
      <c r="H53" s="760"/>
      <c r="I53" s="760"/>
      <c r="J53" s="760"/>
      <c r="K53" s="760"/>
      <c r="L53" s="760"/>
      <c r="M53" s="759"/>
      <c r="N53" s="759"/>
      <c r="O53" s="762"/>
      <c r="P53" s="762"/>
      <c r="Q53" s="762"/>
      <c r="R53" s="761"/>
      <c r="S53" s="761"/>
      <c r="T53" s="761"/>
      <c r="U53" s="761"/>
      <c r="V53" s="59"/>
    </row>
    <row r="54" spans="2:22" ht="15.95" customHeight="1" x14ac:dyDescent="0.4">
      <c r="B54" s="58"/>
      <c r="C54" s="2647" t="s">
        <v>369</v>
      </c>
      <c r="D54" s="2647"/>
      <c r="E54" s="2645"/>
      <c r="F54" s="2645"/>
      <c r="G54" s="2645"/>
      <c r="H54" s="2645"/>
      <c r="I54" s="2645"/>
      <c r="J54" s="2645"/>
      <c r="K54" s="2645"/>
      <c r="L54" s="2645"/>
      <c r="M54" s="2645"/>
      <c r="N54" s="1436" t="s">
        <v>7959</v>
      </c>
      <c r="O54" s="1436"/>
      <c r="P54" s="1436"/>
      <c r="Q54" s="2648">
        <f ca="1">M40</f>
        <v>43238</v>
      </c>
      <c r="R54" s="2648"/>
      <c r="S54" s="2648"/>
      <c r="T54" s="760"/>
      <c r="U54" s="760"/>
      <c r="V54" s="59"/>
    </row>
    <row r="55" spans="2:22" ht="15.95" customHeight="1" x14ac:dyDescent="0.4">
      <c r="B55" s="58"/>
      <c r="C55" s="764"/>
      <c r="D55" s="764"/>
      <c r="E55" s="760"/>
      <c r="F55" s="760"/>
      <c r="G55" s="760"/>
      <c r="H55" s="760"/>
      <c r="I55" s="760"/>
      <c r="J55" s="760"/>
      <c r="K55" s="760"/>
      <c r="L55" s="760"/>
      <c r="M55" s="760"/>
      <c r="N55" s="759"/>
      <c r="O55" s="759"/>
      <c r="P55" s="759"/>
      <c r="Q55" s="765"/>
      <c r="R55" s="765"/>
      <c r="S55" s="765"/>
      <c r="T55" s="760"/>
      <c r="U55" s="760"/>
      <c r="V55" s="59"/>
    </row>
    <row r="56" spans="2:22" ht="15.95" customHeight="1" x14ac:dyDescent="0.4">
      <c r="B56" s="58"/>
      <c r="C56" s="1435" t="str">
        <f>IF(C12&gt;=Geral!F27,"AUTORIZO O PAGAMENTO","")</f>
        <v>AUTORIZO O PAGAMENTO</v>
      </c>
      <c r="D56" s="1435"/>
      <c r="E56" s="1435"/>
      <c r="F56" s="1435"/>
      <c r="G56" s="1435"/>
      <c r="H56" s="1435"/>
      <c r="I56" s="1435"/>
      <c r="J56" s="1435"/>
      <c r="K56" s="1435"/>
      <c r="L56" s="1435"/>
      <c r="M56" s="1435"/>
      <c r="N56" s="1435"/>
      <c r="O56" s="1435"/>
      <c r="P56" s="1435"/>
      <c r="Q56" s="1435"/>
      <c r="R56" s="1435"/>
      <c r="S56" s="1435"/>
      <c r="T56" s="1435"/>
      <c r="U56" s="1435"/>
      <c r="V56" s="59"/>
    </row>
    <row r="57" spans="2:22" ht="3.95" customHeight="1" x14ac:dyDescent="0.4">
      <c r="B57" s="58"/>
      <c r="C57" s="763"/>
      <c r="D57" s="763"/>
      <c r="E57" s="763"/>
      <c r="F57" s="763"/>
      <c r="G57" s="763"/>
      <c r="H57" s="763"/>
      <c r="I57" s="763"/>
      <c r="J57" s="763"/>
      <c r="K57" s="763"/>
      <c r="L57" s="763"/>
      <c r="M57" s="763"/>
      <c r="N57" s="763"/>
      <c r="O57" s="763"/>
      <c r="P57" s="763"/>
      <c r="Q57" s="763"/>
      <c r="R57" s="763"/>
      <c r="S57" s="763"/>
      <c r="T57" s="763"/>
      <c r="U57" s="763"/>
      <c r="V57" s="59"/>
    </row>
    <row r="58" spans="2:22" ht="15.95" customHeight="1" x14ac:dyDescent="0.4">
      <c r="B58" s="58"/>
      <c r="C58" s="1435" t="str">
        <f>IF(C12&gt;=Geral!F27,"Diretor(a) de Pessoal:","")</f>
        <v>Diretor(a) de Pessoal:</v>
      </c>
      <c r="D58" s="1435"/>
      <c r="E58" s="1435"/>
      <c r="F58" s="1435"/>
      <c r="G58" s="1435"/>
      <c r="H58" s="1435"/>
      <c r="I58" s="1435"/>
      <c r="J58" s="1435"/>
      <c r="K58" s="1435"/>
      <c r="L58" s="1435"/>
      <c r="M58" s="1435"/>
      <c r="N58" s="1435"/>
      <c r="O58" s="1435"/>
      <c r="P58" s="1435"/>
      <c r="Q58" s="1435"/>
      <c r="R58" s="1435"/>
      <c r="S58" s="1435"/>
      <c r="T58" s="1435"/>
      <c r="U58" s="1435"/>
      <c r="V58" s="59"/>
    </row>
    <row r="59" spans="2:22" ht="3.95" customHeight="1" x14ac:dyDescent="0.4">
      <c r="B59" s="58"/>
      <c r="C59" s="1438"/>
      <c r="D59" s="1438"/>
      <c r="E59" s="1438"/>
      <c r="F59" s="1438"/>
      <c r="G59" s="1438"/>
      <c r="H59" s="1438"/>
      <c r="I59" s="1438"/>
      <c r="J59" s="1438"/>
      <c r="K59" s="1438"/>
      <c r="L59" s="1438"/>
      <c r="M59" s="1438"/>
      <c r="N59" s="1438"/>
      <c r="O59" s="1438"/>
      <c r="P59" s="1438"/>
      <c r="Q59" s="1438"/>
      <c r="R59" s="1438"/>
      <c r="S59" s="1438"/>
      <c r="T59" s="1438"/>
      <c r="U59" s="1438"/>
      <c r="V59" s="59"/>
    </row>
    <row r="60" spans="2:22" ht="14.1" customHeight="1" x14ac:dyDescent="0.4">
      <c r="B60" s="58"/>
      <c r="C60" s="1433" t="str">
        <f>IF(C12&gt;=Geral!F27,"Nome:","")</f>
        <v>Nome:</v>
      </c>
      <c r="D60" s="1433"/>
      <c r="E60" s="1433" t="str">
        <f>IF(C12&gt;=Geral!F27,Geral!I12,"")</f>
        <v>Maria Célia da Cunha Ferreira</v>
      </c>
      <c r="F60" s="1433"/>
      <c r="G60" s="1433"/>
      <c r="H60" s="1433"/>
      <c r="I60" s="1433"/>
      <c r="J60" s="1433"/>
      <c r="K60" s="1433"/>
      <c r="L60" s="1433"/>
      <c r="M60" s="1433"/>
      <c r="N60" s="1436" t="str">
        <f>IF(C12&gt;=Geral!F27,"MaSP n.º:","")</f>
        <v>MaSP n.º:</v>
      </c>
      <c r="O60" s="1436"/>
      <c r="P60" s="1436"/>
      <c r="Q60" s="1437">
        <f>IF(C12&gt;=Geral!F27,Geral!T12,"")</f>
        <v>8173536</v>
      </c>
      <c r="R60" s="1437"/>
      <c r="S60" s="1437"/>
      <c r="T60" s="761"/>
      <c r="U60" s="761"/>
      <c r="V60" s="59"/>
    </row>
    <row r="61" spans="2:22" ht="3.95" customHeight="1" x14ac:dyDescent="0.4">
      <c r="B61" s="58"/>
      <c r="C61" s="760"/>
      <c r="D61" s="760"/>
      <c r="E61" s="760"/>
      <c r="F61" s="760"/>
      <c r="G61" s="760"/>
      <c r="H61" s="760"/>
      <c r="I61" s="760"/>
      <c r="J61" s="760"/>
      <c r="K61" s="760"/>
      <c r="L61" s="760"/>
      <c r="M61" s="759"/>
      <c r="N61" s="759"/>
      <c r="O61" s="762"/>
      <c r="P61" s="762"/>
      <c r="Q61" s="762"/>
      <c r="R61" s="761"/>
      <c r="S61" s="761"/>
      <c r="T61" s="761"/>
      <c r="U61" s="761"/>
      <c r="V61" s="59"/>
    </row>
    <row r="62" spans="2:22" ht="15.95" customHeight="1" x14ac:dyDescent="0.4">
      <c r="B62" s="58"/>
      <c r="C62" s="2647" t="str">
        <f>IF(C12&gt;=Geral!F27,"Assinatura:","")</f>
        <v>Assinatura:</v>
      </c>
      <c r="D62" s="2647"/>
      <c r="E62" s="1433"/>
      <c r="F62" s="1433"/>
      <c r="G62" s="1433"/>
      <c r="H62" s="1433"/>
      <c r="I62" s="1433"/>
      <c r="J62" s="1433"/>
      <c r="K62" s="1433"/>
      <c r="L62" s="1433"/>
      <c r="M62" s="1433"/>
      <c r="N62" s="1436" t="str">
        <f>IF(C12&gt;=Geral!F27,"Data:","")</f>
        <v>Data:</v>
      </c>
      <c r="O62" s="1436"/>
      <c r="P62" s="1436"/>
      <c r="Q62" s="2649">
        <f ca="1">IF(C12&gt;=Geral!F27,M40,"")</f>
        <v>43238</v>
      </c>
      <c r="R62" s="2649"/>
      <c r="S62" s="2649"/>
      <c r="T62" s="760"/>
      <c r="U62" s="760"/>
      <c r="V62" s="59"/>
    </row>
    <row r="63" spans="2:22" ht="15.95" customHeight="1" x14ac:dyDescent="0.4">
      <c r="B63" s="58"/>
      <c r="C63" s="1434"/>
      <c r="D63" s="1434"/>
      <c r="E63" s="1434"/>
      <c r="F63" s="1434"/>
      <c r="G63" s="1434"/>
      <c r="H63" s="1434"/>
      <c r="I63" s="1434"/>
      <c r="J63" s="1434"/>
      <c r="K63" s="1434"/>
      <c r="L63" s="1434"/>
      <c r="M63" s="1434"/>
      <c r="N63" s="1434"/>
      <c r="O63" s="1434"/>
      <c r="P63" s="1434"/>
      <c r="Q63" s="1434"/>
      <c r="R63" s="1434"/>
      <c r="S63" s="1434"/>
      <c r="T63" s="1434"/>
      <c r="U63" s="1434"/>
      <c r="V63" s="59"/>
    </row>
    <row r="64" spans="2:22" ht="15.95" customHeight="1" x14ac:dyDescent="0.4">
      <c r="B64" s="58"/>
      <c r="C64" s="1435" t="str">
        <f>IF(C12&gt;=Geral!K27,"AUTORIZO O PAGAMENTO","")</f>
        <v>AUTORIZO O PAGAMENTO</v>
      </c>
      <c r="D64" s="1435"/>
      <c r="E64" s="1435"/>
      <c r="F64" s="1435"/>
      <c r="G64" s="1435"/>
      <c r="H64" s="1435"/>
      <c r="I64" s="1435"/>
      <c r="J64" s="1435"/>
      <c r="K64" s="1435"/>
      <c r="L64" s="1435"/>
      <c r="M64" s="1435"/>
      <c r="N64" s="1435"/>
      <c r="O64" s="1435"/>
      <c r="P64" s="1435"/>
      <c r="Q64" s="1435"/>
      <c r="R64" s="1435"/>
      <c r="S64" s="1435"/>
      <c r="T64" s="1435"/>
      <c r="U64" s="1435"/>
      <c r="V64" s="59"/>
    </row>
    <row r="65" spans="2:22" ht="3.95" customHeight="1" x14ac:dyDescent="0.4">
      <c r="B65" s="58"/>
      <c r="C65" s="763"/>
      <c r="D65" s="763"/>
      <c r="E65" s="763"/>
      <c r="F65" s="763"/>
      <c r="G65" s="763"/>
      <c r="H65" s="763"/>
      <c r="I65" s="763"/>
      <c r="J65" s="763"/>
      <c r="K65" s="763"/>
      <c r="L65" s="763"/>
      <c r="M65" s="763"/>
      <c r="N65" s="763"/>
      <c r="O65" s="763"/>
      <c r="P65" s="763"/>
      <c r="Q65" s="763"/>
      <c r="R65" s="763"/>
      <c r="S65" s="763"/>
      <c r="T65" s="763"/>
      <c r="U65" s="763"/>
      <c r="V65" s="59"/>
    </row>
    <row r="66" spans="2:22" ht="14.1" customHeight="1" x14ac:dyDescent="0.4">
      <c r="B66" s="58"/>
      <c r="C66" s="1435" t="str">
        <f>IF(C12&gt;=Geral!K27,"Diretor(a) da Superintendência Regional de Ensino:","")</f>
        <v>Diretor(a) da Superintendência Regional de Ensino:</v>
      </c>
      <c r="D66" s="1435"/>
      <c r="E66" s="1435"/>
      <c r="F66" s="1435"/>
      <c r="G66" s="1435"/>
      <c r="H66" s="1435"/>
      <c r="I66" s="1435"/>
      <c r="J66" s="1435"/>
      <c r="K66" s="1435"/>
      <c r="L66" s="1435"/>
      <c r="M66" s="1435"/>
      <c r="N66" s="1435"/>
      <c r="O66" s="1435"/>
      <c r="P66" s="1435"/>
      <c r="Q66" s="1435"/>
      <c r="R66" s="1435"/>
      <c r="S66" s="1435"/>
      <c r="T66" s="1435"/>
      <c r="U66" s="1435"/>
      <c r="V66" s="59"/>
    </row>
    <row r="67" spans="2:22" ht="3.95" customHeight="1" x14ac:dyDescent="0.4">
      <c r="B67" s="58"/>
      <c r="C67" s="1438"/>
      <c r="D67" s="1438"/>
      <c r="E67" s="1438"/>
      <c r="F67" s="1438"/>
      <c r="G67" s="1438"/>
      <c r="H67" s="1438"/>
      <c r="I67" s="1438"/>
      <c r="J67" s="1438"/>
      <c r="K67" s="1438"/>
      <c r="L67" s="1438"/>
      <c r="M67" s="1438"/>
      <c r="N67" s="1438"/>
      <c r="O67" s="1438"/>
      <c r="P67" s="1438"/>
      <c r="Q67" s="1438"/>
      <c r="R67" s="1438"/>
      <c r="S67" s="1438"/>
      <c r="T67" s="1438"/>
      <c r="U67" s="1438"/>
      <c r="V67" s="59"/>
    </row>
    <row r="68" spans="2:22" ht="15.95" customHeight="1" x14ac:dyDescent="0.4">
      <c r="B68" s="58"/>
      <c r="C68" s="1433" t="str">
        <f>IF(C12&gt;=Geral!K27,"Nome:","")</f>
        <v>Nome:</v>
      </c>
      <c r="D68" s="1433"/>
      <c r="E68" s="1433" t="str">
        <f>IF(C12&gt;=Geral!K27,Geral!I13,"")</f>
        <v>Marilda Ribeiro Resende</v>
      </c>
      <c r="F68" s="1433"/>
      <c r="G68" s="1433"/>
      <c r="H68" s="1433"/>
      <c r="I68" s="1433"/>
      <c r="J68" s="1433"/>
      <c r="K68" s="1433"/>
      <c r="L68" s="1433"/>
      <c r="M68" s="1433"/>
      <c r="N68" s="1436" t="str">
        <f>IF(C12&gt;=Geral!K27,"MaSP n.º:","")</f>
        <v>MaSP n.º:</v>
      </c>
      <c r="O68" s="1436"/>
      <c r="P68" s="1436"/>
      <c r="Q68" s="1437">
        <f>IF(C12&gt;=Geral!K27,Geral!T13,"")</f>
        <v>2554624</v>
      </c>
      <c r="R68" s="1437"/>
      <c r="S68" s="1437"/>
      <c r="T68" s="761"/>
      <c r="U68" s="761"/>
      <c r="V68" s="59"/>
    </row>
    <row r="69" spans="2:22" ht="3.95" customHeight="1" x14ac:dyDescent="0.4">
      <c r="B69" s="58"/>
      <c r="C69" s="760"/>
      <c r="D69" s="760"/>
      <c r="E69" s="760"/>
      <c r="F69" s="760"/>
      <c r="G69" s="760"/>
      <c r="H69" s="760"/>
      <c r="I69" s="760"/>
      <c r="J69" s="760"/>
      <c r="K69" s="760"/>
      <c r="L69" s="760"/>
      <c r="M69" s="759"/>
      <c r="N69" s="759"/>
      <c r="O69" s="762"/>
      <c r="P69" s="762"/>
      <c r="Q69" s="762"/>
      <c r="R69" s="761"/>
      <c r="S69" s="761"/>
      <c r="T69" s="761"/>
      <c r="U69" s="761"/>
      <c r="V69" s="59"/>
    </row>
    <row r="70" spans="2:22" ht="15.95" customHeight="1" x14ac:dyDescent="0.4">
      <c r="B70" s="58"/>
      <c r="C70" s="2647" t="str">
        <f>IF(C12&gt;=Geral!K27,"Assinatura:","")</f>
        <v>Assinatura:</v>
      </c>
      <c r="D70" s="2647"/>
      <c r="E70" s="1433"/>
      <c r="F70" s="1433"/>
      <c r="G70" s="1433"/>
      <c r="H70" s="1433"/>
      <c r="I70" s="1433"/>
      <c r="J70" s="1433"/>
      <c r="K70" s="1433"/>
      <c r="L70" s="1433"/>
      <c r="M70" s="1433"/>
      <c r="N70" s="1436" t="str">
        <f>IF(C12&gt;=Geral!K27,"Data:","")</f>
        <v>Data:</v>
      </c>
      <c r="O70" s="1436"/>
      <c r="P70" s="1436"/>
      <c r="Q70" s="2649">
        <f ca="1">IF(C12&gt;=Geral!K27,M40,"")</f>
        <v>43238</v>
      </c>
      <c r="R70" s="2649"/>
      <c r="S70" s="2649"/>
      <c r="T70" s="760"/>
      <c r="U70" s="760"/>
      <c r="V70" s="59"/>
    </row>
    <row r="71" spans="2:22" ht="15.95" customHeight="1" x14ac:dyDescent="0.4">
      <c r="B71" s="58"/>
      <c r="C71" s="1434"/>
      <c r="D71" s="1434"/>
      <c r="E71" s="1434"/>
      <c r="F71" s="1434"/>
      <c r="G71" s="1434"/>
      <c r="H71" s="1434"/>
      <c r="I71" s="1434"/>
      <c r="J71" s="1434"/>
      <c r="K71" s="1434"/>
      <c r="L71" s="1434"/>
      <c r="M71" s="1434"/>
      <c r="N71" s="1434"/>
      <c r="O71" s="1434"/>
      <c r="P71" s="1434"/>
      <c r="Q71" s="1434"/>
      <c r="R71" s="1434"/>
      <c r="S71" s="1434"/>
      <c r="T71" s="1434"/>
      <c r="U71" s="1434"/>
      <c r="V71" s="59"/>
    </row>
    <row r="72" spans="2:22" ht="14.1" customHeight="1" x14ac:dyDescent="0.4">
      <c r="B72" s="58"/>
      <c r="C72" s="1435" t="str">
        <f>IF(C12&gt;=Geral!P27,"AUTORIZO O PAGAMENTO","")</f>
        <v>AUTORIZO O PAGAMENTO</v>
      </c>
      <c r="D72" s="1435"/>
      <c r="E72" s="1435"/>
      <c r="F72" s="1435"/>
      <c r="G72" s="1435"/>
      <c r="H72" s="1435"/>
      <c r="I72" s="1435"/>
      <c r="J72" s="1435"/>
      <c r="K72" s="1435"/>
      <c r="L72" s="1435"/>
      <c r="M72" s="1435"/>
      <c r="N72" s="1435"/>
      <c r="O72" s="1435"/>
      <c r="P72" s="1435"/>
      <c r="Q72" s="1435"/>
      <c r="R72" s="1435"/>
      <c r="S72" s="1435"/>
      <c r="T72" s="1435"/>
      <c r="U72" s="1435"/>
      <c r="V72" s="59"/>
    </row>
    <row r="73" spans="2:22" ht="3.95" customHeight="1" x14ac:dyDescent="0.4">
      <c r="B73" s="58"/>
      <c r="C73" s="763"/>
      <c r="D73" s="763"/>
      <c r="E73" s="763"/>
      <c r="F73" s="763"/>
      <c r="G73" s="763"/>
      <c r="H73" s="763"/>
      <c r="I73" s="763"/>
      <c r="J73" s="763"/>
      <c r="K73" s="763"/>
      <c r="L73" s="763"/>
      <c r="M73" s="763"/>
      <c r="N73" s="763"/>
      <c r="O73" s="763"/>
      <c r="P73" s="763"/>
      <c r="Q73" s="763"/>
      <c r="R73" s="763"/>
      <c r="S73" s="763"/>
      <c r="T73" s="763"/>
      <c r="U73" s="763"/>
      <c r="V73" s="59"/>
    </row>
    <row r="74" spans="2:22" ht="15.95" customHeight="1" x14ac:dyDescent="0.4">
      <c r="B74" s="58"/>
      <c r="C74" s="143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74" s="1449"/>
      <c r="E74" s="1449"/>
      <c r="F74" s="1449"/>
      <c r="G74" s="1449"/>
      <c r="H74" s="1449"/>
      <c r="I74" s="1449"/>
      <c r="J74" s="1449"/>
      <c r="K74" s="1449"/>
      <c r="L74" s="1449"/>
      <c r="M74" s="1449"/>
      <c r="N74" s="1449"/>
      <c r="O74" s="1449"/>
      <c r="P74" s="1449"/>
      <c r="Q74" s="1449"/>
      <c r="R74" s="1449"/>
      <c r="S74" s="1449"/>
      <c r="T74" s="1449"/>
      <c r="U74" s="1449"/>
      <c r="V74" s="59"/>
    </row>
    <row r="75" spans="2:22" ht="15.95" customHeight="1" x14ac:dyDescent="0.4">
      <c r="B75" s="58"/>
      <c r="C75" s="1449"/>
      <c r="D75" s="1449"/>
      <c r="E75" s="1449"/>
      <c r="F75" s="1449"/>
      <c r="G75" s="1449"/>
      <c r="H75" s="1449"/>
      <c r="I75" s="1449"/>
      <c r="J75" s="1449"/>
      <c r="K75" s="1449"/>
      <c r="L75" s="1449"/>
      <c r="M75" s="1449"/>
      <c r="N75" s="1449"/>
      <c r="O75" s="1449"/>
      <c r="P75" s="1449"/>
      <c r="Q75" s="1449"/>
      <c r="R75" s="1449"/>
      <c r="S75" s="1449"/>
      <c r="T75" s="1449"/>
      <c r="U75" s="1449"/>
      <c r="V75" s="59"/>
    </row>
    <row r="76" spans="2:22" ht="3.95" customHeight="1" x14ac:dyDescent="0.4">
      <c r="B76" s="58"/>
      <c r="C76" s="1438"/>
      <c r="D76" s="1438"/>
      <c r="E76" s="1438"/>
      <c r="F76" s="1438"/>
      <c r="G76" s="1438"/>
      <c r="H76" s="1438"/>
      <c r="I76" s="1438"/>
      <c r="J76" s="1438"/>
      <c r="K76" s="1438"/>
      <c r="L76" s="1438"/>
      <c r="M76" s="1438"/>
      <c r="N76" s="1438"/>
      <c r="O76" s="1438"/>
      <c r="P76" s="1438"/>
      <c r="Q76" s="1438"/>
      <c r="R76" s="1438"/>
      <c r="S76" s="1438"/>
      <c r="T76" s="1438"/>
      <c r="U76" s="1438"/>
      <c r="V76" s="59"/>
    </row>
    <row r="77" spans="2:22" ht="15.95" customHeight="1" x14ac:dyDescent="0.4">
      <c r="B77" s="58"/>
      <c r="C77" s="1433" t="str">
        <f>IF(C12&gt;=Geral!P27,"Nome:","")</f>
        <v>Nome:</v>
      </c>
      <c r="D77" s="1433"/>
      <c r="E77" s="1433"/>
      <c r="F77" s="1433"/>
      <c r="G77" s="1433"/>
      <c r="H77" s="1433"/>
      <c r="I77" s="1433"/>
      <c r="J77" s="1433"/>
      <c r="K77" s="1433"/>
      <c r="L77" s="1433"/>
      <c r="M77" s="1433"/>
      <c r="N77" s="1436" t="str">
        <f>IF(C12&gt;=Geral!P27,"MaSP n.º:","")</f>
        <v>MaSP n.º:</v>
      </c>
      <c r="O77" s="1436"/>
      <c r="P77" s="1436"/>
      <c r="Q77" s="1437"/>
      <c r="R77" s="1437"/>
      <c r="S77" s="1437"/>
      <c r="T77" s="761"/>
      <c r="U77" s="761"/>
      <c r="V77" s="59"/>
    </row>
    <row r="78" spans="2:22" ht="3.95" customHeight="1" x14ac:dyDescent="0.4">
      <c r="B78" s="58"/>
      <c r="C78" s="760"/>
      <c r="D78" s="760"/>
      <c r="E78" s="760"/>
      <c r="F78" s="760"/>
      <c r="G78" s="760"/>
      <c r="H78" s="760"/>
      <c r="I78" s="760"/>
      <c r="J78" s="760"/>
      <c r="K78" s="760"/>
      <c r="L78" s="760"/>
      <c r="M78" s="759"/>
      <c r="N78" s="759"/>
      <c r="O78" s="762"/>
      <c r="P78" s="762"/>
      <c r="Q78" s="762"/>
      <c r="R78" s="761"/>
      <c r="S78" s="761"/>
      <c r="T78" s="761"/>
      <c r="U78" s="761"/>
      <c r="V78" s="59"/>
    </row>
    <row r="79" spans="2:22" ht="15.95" customHeight="1" x14ac:dyDescent="0.4">
      <c r="B79" s="58"/>
      <c r="C79" s="2647" t="str">
        <f>IF(C12&gt;=Geral!P27,"Assinatura:","")</f>
        <v>Assinatura:</v>
      </c>
      <c r="D79" s="2647"/>
      <c r="E79" s="1433"/>
      <c r="F79" s="1433"/>
      <c r="G79" s="1433"/>
      <c r="H79" s="1433"/>
      <c r="I79" s="1433"/>
      <c r="J79" s="1433"/>
      <c r="K79" s="1433"/>
      <c r="L79" s="1433"/>
      <c r="M79" s="1433"/>
      <c r="N79" s="1436" t="str">
        <f>IF(C12&gt;=Geral!P27,"Data:","")</f>
        <v>Data:</v>
      </c>
      <c r="O79" s="1436"/>
      <c r="P79" s="1436"/>
      <c r="Q79" s="2649" t="str">
        <f>IF(C12&gt;=Geral!P27,"___/___/_____","")</f>
        <v>___/___/_____</v>
      </c>
      <c r="R79" s="2649"/>
      <c r="S79" s="2649"/>
      <c r="T79" s="760"/>
      <c r="U79" s="760"/>
      <c r="V79" s="59"/>
    </row>
    <row r="80" spans="2:22" ht="15.95" customHeight="1" x14ac:dyDescent="0.4">
      <c r="B80" s="58"/>
      <c r="C80" s="1434"/>
      <c r="D80" s="1434"/>
      <c r="E80" s="1434"/>
      <c r="F80" s="1434"/>
      <c r="G80" s="1434"/>
      <c r="H80" s="1434"/>
      <c r="I80" s="1434"/>
      <c r="J80" s="1434"/>
      <c r="K80" s="1434"/>
      <c r="L80" s="1434"/>
      <c r="M80" s="1434"/>
      <c r="N80" s="1434"/>
      <c r="O80" s="1434"/>
      <c r="P80" s="1434"/>
      <c r="Q80" s="1434"/>
      <c r="R80" s="1434"/>
      <c r="S80" s="1434"/>
      <c r="T80" s="1434"/>
      <c r="U80" s="1434"/>
      <c r="V80" s="59"/>
    </row>
    <row r="81" spans="2:22" ht="15.95" customHeight="1" x14ac:dyDescent="0.4">
      <c r="B81" s="58"/>
      <c r="C81" s="1435" t="str">
        <f>IF(C12&gt;=Geral!T27,"AUTORIZO O PAGAMENTO","")</f>
        <v>AUTORIZO O PAGAMENTO</v>
      </c>
      <c r="D81" s="1435"/>
      <c r="E81" s="1435"/>
      <c r="F81" s="1435"/>
      <c r="G81" s="1435"/>
      <c r="H81" s="1435"/>
      <c r="I81" s="1435"/>
      <c r="J81" s="1435"/>
      <c r="K81" s="1435"/>
      <c r="L81" s="1435"/>
      <c r="M81" s="1435"/>
      <c r="N81" s="1435"/>
      <c r="O81" s="1435"/>
      <c r="P81" s="1435"/>
      <c r="Q81" s="1435"/>
      <c r="R81" s="1435"/>
      <c r="S81" s="1435"/>
      <c r="T81" s="1435"/>
      <c r="U81" s="1435"/>
      <c r="V81" s="59"/>
    </row>
    <row r="82" spans="2:22" ht="3.95" customHeight="1" x14ac:dyDescent="0.4">
      <c r="B82" s="58"/>
      <c r="C82" s="763"/>
      <c r="D82" s="763"/>
      <c r="E82" s="763"/>
      <c r="F82" s="763"/>
      <c r="G82" s="763"/>
      <c r="H82" s="763"/>
      <c r="I82" s="763"/>
      <c r="J82" s="763"/>
      <c r="K82" s="763"/>
      <c r="L82" s="763"/>
      <c r="M82" s="763"/>
      <c r="N82" s="763"/>
      <c r="O82" s="763"/>
      <c r="P82" s="763"/>
      <c r="Q82" s="763"/>
      <c r="R82" s="763"/>
      <c r="S82" s="763"/>
      <c r="T82" s="763"/>
      <c r="U82" s="763"/>
      <c r="V82" s="59"/>
    </row>
    <row r="83" spans="2:22" ht="15.95" customHeight="1" x14ac:dyDescent="0.4">
      <c r="B83" s="58"/>
      <c r="C83" s="1435" t="str">
        <f>IF(C12&gt;=Geral!T27,"Secretário de Estado ou Dirigente Máximo de Órgão ou Entidade da Administração:","")</f>
        <v>Secretário de Estado ou Dirigente Máximo de Órgão ou Entidade da Administração:</v>
      </c>
      <c r="D83" s="1435"/>
      <c r="E83" s="1435"/>
      <c r="F83" s="1435"/>
      <c r="G83" s="1435"/>
      <c r="H83" s="1435"/>
      <c r="I83" s="1435"/>
      <c r="J83" s="1435"/>
      <c r="K83" s="1435"/>
      <c r="L83" s="1435"/>
      <c r="M83" s="1435"/>
      <c r="N83" s="1435"/>
      <c r="O83" s="1435"/>
      <c r="P83" s="1435"/>
      <c r="Q83" s="1435"/>
      <c r="R83" s="1435"/>
      <c r="S83" s="1435"/>
      <c r="T83" s="1435"/>
      <c r="U83" s="1435"/>
      <c r="V83" s="59"/>
    </row>
    <row r="84" spans="2:22" ht="3.95" customHeight="1" x14ac:dyDescent="0.4">
      <c r="B84" s="58"/>
      <c r="C84" s="1438"/>
      <c r="D84" s="1438"/>
      <c r="E84" s="1438"/>
      <c r="F84" s="1438"/>
      <c r="G84" s="1438"/>
      <c r="H84" s="1438"/>
      <c r="I84" s="1438"/>
      <c r="J84" s="1438"/>
      <c r="K84" s="1438"/>
      <c r="L84" s="1438"/>
      <c r="M84" s="1438"/>
      <c r="N84" s="1438"/>
      <c r="O84" s="1438"/>
      <c r="P84" s="1438"/>
      <c r="Q84" s="1438"/>
      <c r="R84" s="1438"/>
      <c r="S84" s="1438"/>
      <c r="T84" s="1438"/>
      <c r="U84" s="1438"/>
      <c r="V84" s="59"/>
    </row>
    <row r="85" spans="2:22" ht="15.95" customHeight="1" x14ac:dyDescent="0.4">
      <c r="B85" s="58"/>
      <c r="C85" s="1433" t="str">
        <f>IF(C12&gt;=Geral!T27,"Nome:","")</f>
        <v>Nome:</v>
      </c>
      <c r="D85" s="1433"/>
      <c r="E85" s="1433"/>
      <c r="F85" s="1433"/>
      <c r="G85" s="1433"/>
      <c r="H85" s="1433"/>
      <c r="I85" s="1433"/>
      <c r="J85" s="1433"/>
      <c r="K85" s="1433"/>
      <c r="L85" s="1433"/>
      <c r="M85" s="1433"/>
      <c r="N85" s="1436" t="str">
        <f>IF(C12&gt;=Geral!T27,"MaSP n.º:","")</f>
        <v>MaSP n.º:</v>
      </c>
      <c r="O85" s="1436"/>
      <c r="P85" s="1436"/>
      <c r="Q85" s="1437"/>
      <c r="R85" s="1437"/>
      <c r="S85" s="1437"/>
      <c r="T85" s="761"/>
      <c r="U85" s="761"/>
      <c r="V85" s="59"/>
    </row>
    <row r="86" spans="2:22" ht="3.95" customHeight="1" x14ac:dyDescent="0.4">
      <c r="B86" s="58"/>
      <c r="C86" s="760"/>
      <c r="D86" s="760"/>
      <c r="E86" s="760"/>
      <c r="F86" s="760"/>
      <c r="G86" s="760"/>
      <c r="H86" s="760"/>
      <c r="I86" s="760"/>
      <c r="J86" s="760"/>
      <c r="K86" s="760"/>
      <c r="L86" s="760"/>
      <c r="M86" s="759"/>
      <c r="N86" s="759"/>
      <c r="O86" s="762"/>
      <c r="P86" s="762"/>
      <c r="Q86" s="762"/>
      <c r="R86" s="761"/>
      <c r="S86" s="761"/>
      <c r="T86" s="761"/>
      <c r="U86" s="761"/>
      <c r="V86" s="59"/>
    </row>
    <row r="87" spans="2:22" ht="15.95" customHeight="1" x14ac:dyDescent="0.4">
      <c r="B87" s="58"/>
      <c r="C87" s="2647" t="str">
        <f>IF(C12&gt;=Geral!T27,"Assinatura:","")</f>
        <v>Assinatura:</v>
      </c>
      <c r="D87" s="2647"/>
      <c r="E87" s="1433"/>
      <c r="F87" s="1433"/>
      <c r="G87" s="1433"/>
      <c r="H87" s="1433"/>
      <c r="I87" s="1433"/>
      <c r="J87" s="1433"/>
      <c r="K87" s="1433"/>
      <c r="L87" s="1433"/>
      <c r="M87" s="1433"/>
      <c r="N87" s="1436" t="str">
        <f>IF(C12&gt;=Geral!T27,"Data:","")</f>
        <v>Data:</v>
      </c>
      <c r="O87" s="1436"/>
      <c r="P87" s="1436"/>
      <c r="Q87" s="2649" t="str">
        <f>IF(C12&gt;=Geral!T27,"___/___/_____","")</f>
        <v>___/___/_____</v>
      </c>
      <c r="R87" s="2649"/>
      <c r="S87" s="2649"/>
      <c r="T87" s="760"/>
      <c r="U87" s="760"/>
      <c r="V87" s="59"/>
    </row>
    <row r="88" spans="2:22" ht="15.95" customHeight="1" thickBot="1" x14ac:dyDescent="0.45">
      <c r="B88" s="60"/>
      <c r="C88" s="61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3"/>
    </row>
    <row r="89" spans="2:22" ht="15.95" customHeight="1" thickTop="1" x14ac:dyDescent="0.4"/>
  </sheetData>
  <sheetProtection algorithmName="SHA-512" hashValue="X46+6VGVY46r5UkYXWXw7nktBf5ETcxv9XuLcDWkDnGUCGbh6206g9OS37XCRGj5rSuCM0rBH2My+mo720nOpg==" saltValue="vY7t84NQWyrxVL8bVcO8DQ==" spinCount="100000" sheet="1" objects="1" scenarios="1" selectLockedCells="1"/>
  <mergeCells count="148">
    <mergeCell ref="B3:V3"/>
    <mergeCell ref="AL3:AL12"/>
    <mergeCell ref="B4:B16"/>
    <mergeCell ref="F4:R4"/>
    <mergeCell ref="S4:T4"/>
    <mergeCell ref="V4:V16"/>
    <mergeCell ref="Y4:AA5"/>
    <mergeCell ref="AB4:AF5"/>
    <mergeCell ref="AG4:AK5"/>
    <mergeCell ref="C5:U5"/>
    <mergeCell ref="AG6:AK6"/>
    <mergeCell ref="C7:F8"/>
    <mergeCell ref="G7:G8"/>
    <mergeCell ref="H7:K7"/>
    <mergeCell ref="M7:N7"/>
    <mergeCell ref="Y7:AA8"/>
    <mergeCell ref="AB7:AF8"/>
    <mergeCell ref="AG7:AK8"/>
    <mergeCell ref="H8:P8"/>
    <mergeCell ref="Q8:U8"/>
    <mergeCell ref="C6:F6"/>
    <mergeCell ref="G6:Q6"/>
    <mergeCell ref="R6:S6"/>
    <mergeCell ref="T6:U6"/>
    <mergeCell ref="Y6:AA6"/>
    <mergeCell ref="AB6:AF6"/>
    <mergeCell ref="C9:U9"/>
    <mergeCell ref="Y9:AA9"/>
    <mergeCell ref="AB9:AF9"/>
    <mergeCell ref="AG9:AK9"/>
    <mergeCell ref="C10:E10"/>
    <mergeCell ref="F10:G10"/>
    <mergeCell ref="B18:V18"/>
    <mergeCell ref="Y18:AA18"/>
    <mergeCell ref="E21:U21"/>
    <mergeCell ref="E22:U22"/>
    <mergeCell ref="Y22:AK22"/>
    <mergeCell ref="C23:U23"/>
    <mergeCell ref="Y23:AF23"/>
    <mergeCell ref="AG23:AK23"/>
    <mergeCell ref="F12:H13"/>
    <mergeCell ref="I12:U16"/>
    <mergeCell ref="C12:E13"/>
    <mergeCell ref="C15:E15"/>
    <mergeCell ref="D14:E14"/>
    <mergeCell ref="C16:E17"/>
    <mergeCell ref="F14:H17"/>
    <mergeCell ref="I17:U17"/>
    <mergeCell ref="Y26:AF26"/>
    <mergeCell ref="AG26:AK26"/>
    <mergeCell ref="C27:F27"/>
    <mergeCell ref="G27:U27"/>
    <mergeCell ref="Y27:AF27"/>
    <mergeCell ref="AG27:AK27"/>
    <mergeCell ref="C24:H24"/>
    <mergeCell ref="I24:U24"/>
    <mergeCell ref="Y24:AF24"/>
    <mergeCell ref="AG24:AK24"/>
    <mergeCell ref="C25:E25"/>
    <mergeCell ref="F25:M25"/>
    <mergeCell ref="N25:U25"/>
    <mergeCell ref="Y25:AF25"/>
    <mergeCell ref="AG25:AK25"/>
    <mergeCell ref="C30:U30"/>
    <mergeCell ref="C31:U33"/>
    <mergeCell ref="C34:U34"/>
    <mergeCell ref="C35:G35"/>
    <mergeCell ref="H35:U35"/>
    <mergeCell ref="C28:L28"/>
    <mergeCell ref="M28:N28"/>
    <mergeCell ref="O28:Q28"/>
    <mergeCell ref="R28:U28"/>
    <mergeCell ref="C29:E29"/>
    <mergeCell ref="F29:U29"/>
    <mergeCell ref="C59:U59"/>
    <mergeCell ref="C63:U63"/>
    <mergeCell ref="C64:U64"/>
    <mergeCell ref="C51:U51"/>
    <mergeCell ref="C56:U56"/>
    <mergeCell ref="C54:D54"/>
    <mergeCell ref="C47:U47"/>
    <mergeCell ref="C48:U48"/>
    <mergeCell ref="C36:U36"/>
    <mergeCell ref="C42:U42"/>
    <mergeCell ref="C43:U43"/>
    <mergeCell ref="C44:D44"/>
    <mergeCell ref="C38:E38"/>
    <mergeCell ref="F38:N38"/>
    <mergeCell ref="O38:Q38"/>
    <mergeCell ref="R38:U38"/>
    <mergeCell ref="C40:K40"/>
    <mergeCell ref="M40:U40"/>
    <mergeCell ref="E54:M54"/>
    <mergeCell ref="N54:P54"/>
    <mergeCell ref="Q54:S54"/>
    <mergeCell ref="C58:U58"/>
    <mergeCell ref="C60:D60"/>
    <mergeCell ref="E60:M60"/>
    <mergeCell ref="C74:U75"/>
    <mergeCell ref="C76:U76"/>
    <mergeCell ref="C71:U71"/>
    <mergeCell ref="C72:U72"/>
    <mergeCell ref="C70:D70"/>
    <mergeCell ref="E70:M70"/>
    <mergeCell ref="N70:P70"/>
    <mergeCell ref="Q70:S70"/>
    <mergeCell ref="C66:U66"/>
    <mergeCell ref="C67:U67"/>
    <mergeCell ref="C87:D87"/>
    <mergeCell ref="E87:M87"/>
    <mergeCell ref="N87:P87"/>
    <mergeCell ref="Q87:S87"/>
    <mergeCell ref="C77:D77"/>
    <mergeCell ref="E77:M77"/>
    <mergeCell ref="N77:P77"/>
    <mergeCell ref="Q77:S77"/>
    <mergeCell ref="C79:D79"/>
    <mergeCell ref="E79:M79"/>
    <mergeCell ref="N79:P79"/>
    <mergeCell ref="Q79:S79"/>
    <mergeCell ref="C80:U80"/>
    <mergeCell ref="C81:U81"/>
    <mergeCell ref="C85:D85"/>
    <mergeCell ref="E85:M85"/>
    <mergeCell ref="N85:P85"/>
    <mergeCell ref="Q85:S85"/>
    <mergeCell ref="C83:U83"/>
    <mergeCell ref="C84:U84"/>
    <mergeCell ref="N60:P60"/>
    <mergeCell ref="Q60:S60"/>
    <mergeCell ref="C62:D62"/>
    <mergeCell ref="E62:M62"/>
    <mergeCell ref="N62:P62"/>
    <mergeCell ref="Q62:S62"/>
    <mergeCell ref="C68:D68"/>
    <mergeCell ref="E68:M68"/>
    <mergeCell ref="N68:P68"/>
    <mergeCell ref="Q68:S68"/>
    <mergeCell ref="E44:M44"/>
    <mergeCell ref="N44:P44"/>
    <mergeCell ref="Q44:S44"/>
    <mergeCell ref="C46:D46"/>
    <mergeCell ref="E46:M46"/>
    <mergeCell ref="C50:U50"/>
    <mergeCell ref="C52:D52"/>
    <mergeCell ref="E52:M52"/>
    <mergeCell ref="N52:P52"/>
    <mergeCell ref="Q52:S52"/>
  </mergeCells>
  <conditionalFormatting sqref="C15:E15">
    <cfRule type="expression" dxfId="99" priority="35">
      <formula>IF(D14&lt;&gt;"",1,0)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2149F95C-D7B0-43F4-A277-0019EE82976F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E60:M60</xm:sqref>
        </x14:conditionalFormatting>
        <x14:conditionalFormatting xmlns:xm="http://schemas.microsoft.com/office/excel/2006/main">
          <x14:cfRule type="expression" priority="31" id="{959584E0-AFC9-413D-B1C3-4C2566C04703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Q60:S60</xm:sqref>
        </x14:conditionalFormatting>
        <x14:conditionalFormatting xmlns:xm="http://schemas.microsoft.com/office/excel/2006/main">
          <x14:cfRule type="expression" priority="30" id="{314D8CC2-A0E7-4FEC-B1B4-62303FDD1C35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E62:M62</xm:sqref>
        </x14:conditionalFormatting>
        <x14:conditionalFormatting xmlns:xm="http://schemas.microsoft.com/office/excel/2006/main">
          <x14:cfRule type="expression" priority="29" id="{92AEA5C9-E5F1-4B7B-BFB5-CC40E4AFA756}">
            <xm:f>IF(C12&gt;=Geral!F27,0.1)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Q62:S62</xm:sqref>
        </x14:conditionalFormatting>
        <x14:conditionalFormatting xmlns:xm="http://schemas.microsoft.com/office/excel/2006/main">
          <x14:cfRule type="expression" priority="16" id="{3EFCBB0D-9784-4CF1-A31F-1BE7E5086715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E77:M77</xm:sqref>
        </x14:conditionalFormatting>
        <x14:conditionalFormatting xmlns:xm="http://schemas.microsoft.com/office/excel/2006/main">
          <x14:cfRule type="expression" priority="15" id="{5F41BFD7-80DF-4D1C-ABBA-443848794EBC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Q77:S77</xm:sqref>
        </x14:conditionalFormatting>
        <x14:conditionalFormatting xmlns:xm="http://schemas.microsoft.com/office/excel/2006/main">
          <x14:cfRule type="expression" priority="14" id="{ECCF88A8-B7F3-41D6-A9C3-90DFBCC2A0CD}">
            <xm:f>IF(C12&gt;=Geral!P27,0.1)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E79:M79</xm:sqref>
        </x14:conditionalFormatting>
        <x14:conditionalFormatting xmlns:xm="http://schemas.microsoft.com/office/excel/2006/main">
          <x14:cfRule type="expression" priority="8" id="{C6FA351A-FFF8-4E20-BB5E-BA3B4E4ED2B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E68:M68</xm:sqref>
        </x14:conditionalFormatting>
        <x14:conditionalFormatting xmlns:xm="http://schemas.microsoft.com/office/excel/2006/main">
          <x14:cfRule type="expression" priority="7" id="{524DA5EE-6729-4F4B-A921-74EF16476CDE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Q68:S68</xm:sqref>
        </x14:conditionalFormatting>
        <x14:conditionalFormatting xmlns:xm="http://schemas.microsoft.com/office/excel/2006/main">
          <x14:cfRule type="expression" priority="6" id="{2BD49C0B-B808-4188-899C-6568B2558B2F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E70:M70</xm:sqref>
        </x14:conditionalFormatting>
        <x14:conditionalFormatting xmlns:xm="http://schemas.microsoft.com/office/excel/2006/main">
          <x14:cfRule type="expression" priority="5" id="{100E9B0E-6C61-4624-B907-AF7FF3B4D973}">
            <xm:f>IF(C12&gt;=Geral!K27,0.1)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Q70:S70</xm:sqref>
        </x14:conditionalFormatting>
        <x14:conditionalFormatting xmlns:xm="http://schemas.microsoft.com/office/excel/2006/main">
          <x14:cfRule type="expression" priority="4" id="{A2BB7C88-1170-4A25-BBDE-69D17B74D74D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E85:M85</xm:sqref>
        </x14:conditionalFormatting>
        <x14:conditionalFormatting xmlns:xm="http://schemas.microsoft.com/office/excel/2006/main">
          <x14:cfRule type="expression" priority="3" id="{C1459EA5-39C5-4C6E-8DDE-F8E922D61247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E87:M87</xm:sqref>
        </x14:conditionalFormatting>
        <x14:conditionalFormatting xmlns:xm="http://schemas.microsoft.com/office/excel/2006/main">
          <x14:cfRule type="expression" priority="2" id="{1DB66232-99E3-40ED-8D52-7F2ECBE7F3E1}">
            <xm:f>IF(C12&gt;=Geral!T27,0.1)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Q85:S85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B2:AI120"/>
  <sheetViews>
    <sheetView showGridLines="0" showRowColHeaders="0" topLeftCell="B1" zoomScale="120" zoomScaleNormal="120" workbookViewId="0">
      <selection activeCell="G6" sqref="G6:Q6"/>
    </sheetView>
  </sheetViews>
  <sheetFormatPr defaultColWidth="3.28515625" defaultRowHeight="15" customHeight="1" x14ac:dyDescent="0.2"/>
  <cols>
    <col min="1" max="3" width="3.28515625" style="201"/>
    <col min="4" max="4" width="0.5703125" style="201" customWidth="1"/>
    <col min="5" max="6" width="2.7109375" style="202" customWidth="1"/>
    <col min="7" max="15" width="3.28515625" style="201"/>
    <col min="16" max="16" width="3.28515625" style="201" customWidth="1"/>
    <col min="17" max="17" width="3.28515625" style="201"/>
    <col min="18" max="20" width="3.28515625" style="201" customWidth="1"/>
    <col min="21" max="27" width="3.28515625" style="201"/>
    <col min="28" max="28" width="0.5703125" style="201" customWidth="1"/>
    <col min="29" max="29" width="3.28515625" style="201"/>
    <col min="30" max="31" width="3.28515625" style="201" customWidth="1"/>
    <col min="32" max="33" width="3.28515625" style="201"/>
    <col min="34" max="34" width="0.5703125" style="201" customWidth="1"/>
    <col min="35" max="16384" width="3.28515625" style="201"/>
  </cols>
  <sheetData>
    <row r="2" spans="2:35" ht="15" customHeight="1" thickBot="1" x14ac:dyDescent="0.25"/>
    <row r="3" spans="2:35" ht="15" customHeight="1" thickTop="1" x14ac:dyDescent="0.2">
      <c r="B3" s="2935"/>
      <c r="C3" s="2936"/>
      <c r="D3" s="2936"/>
      <c r="E3" s="2936"/>
      <c r="F3" s="2936"/>
      <c r="G3" s="2936"/>
      <c r="H3" s="2936"/>
      <c r="I3" s="2936"/>
      <c r="J3" s="2936"/>
      <c r="K3" s="2936"/>
      <c r="L3" s="2936"/>
      <c r="M3" s="2936"/>
      <c r="N3" s="2936"/>
      <c r="O3" s="2936"/>
      <c r="P3" s="2936"/>
      <c r="Q3" s="2936"/>
      <c r="R3" s="2936"/>
      <c r="S3" s="2936"/>
      <c r="T3" s="2936"/>
      <c r="U3" s="2936"/>
      <c r="V3" s="2936"/>
      <c r="W3" s="2936"/>
      <c r="X3" s="2936"/>
      <c r="Y3" s="2936"/>
      <c r="Z3" s="2936"/>
      <c r="AA3" s="2936"/>
      <c r="AB3" s="2936"/>
      <c r="AC3" s="2936"/>
      <c r="AD3" s="2936"/>
      <c r="AE3" s="2936"/>
      <c r="AF3" s="2936"/>
      <c r="AG3" s="2936"/>
      <c r="AH3" s="2936"/>
      <c r="AI3" s="2937"/>
    </row>
    <row r="4" spans="2:35" ht="15" customHeight="1" x14ac:dyDescent="0.2">
      <c r="B4" s="2938"/>
      <c r="C4" s="230"/>
      <c r="D4" s="2940"/>
      <c r="E4" s="2941"/>
      <c r="F4" s="2941"/>
      <c r="G4" s="2944" t="s">
        <v>7864</v>
      </c>
      <c r="H4" s="2944"/>
      <c r="I4" s="2944"/>
      <c r="J4" s="2944"/>
      <c r="K4" s="2944"/>
      <c r="L4" s="2944"/>
      <c r="M4" s="2944"/>
      <c r="N4" s="2944"/>
      <c r="O4" s="2944"/>
      <c r="P4" s="2946" t="s">
        <v>7866</v>
      </c>
      <c r="Q4" s="2947"/>
      <c r="R4" s="2947"/>
      <c r="S4" s="2947"/>
      <c r="T4" s="2947"/>
      <c r="U4" s="2947"/>
      <c r="V4" s="2947"/>
      <c r="W4" s="2947"/>
      <c r="X4" s="2947"/>
      <c r="Y4" s="2947"/>
      <c r="Z4" s="2947"/>
      <c r="AA4" s="2948"/>
      <c r="AB4" s="2952"/>
      <c r="AC4" s="2954" t="s">
        <v>349</v>
      </c>
      <c r="AD4" s="2955"/>
      <c r="AE4" s="2955"/>
      <c r="AF4" s="2955"/>
      <c r="AG4" s="2955"/>
      <c r="AH4" s="2956"/>
      <c r="AI4" s="2957"/>
    </row>
    <row r="5" spans="2:35" ht="15" customHeight="1" x14ac:dyDescent="0.2">
      <c r="B5" s="2939"/>
      <c r="C5" s="230"/>
      <c r="D5" s="2942"/>
      <c r="E5" s="2943"/>
      <c r="F5" s="2943"/>
      <c r="G5" s="2945"/>
      <c r="H5" s="2945"/>
      <c r="I5" s="2945"/>
      <c r="J5" s="2945"/>
      <c r="K5" s="2945"/>
      <c r="L5" s="2945"/>
      <c r="M5" s="2945"/>
      <c r="N5" s="2945"/>
      <c r="O5" s="2945"/>
      <c r="P5" s="2949"/>
      <c r="Q5" s="2950"/>
      <c r="R5" s="2950"/>
      <c r="S5" s="2950"/>
      <c r="T5" s="2950"/>
      <c r="U5" s="2950"/>
      <c r="V5" s="2950"/>
      <c r="W5" s="2950"/>
      <c r="X5" s="2950"/>
      <c r="Y5" s="2950"/>
      <c r="Z5" s="2950"/>
      <c r="AA5" s="2951"/>
      <c r="AB5" s="2953"/>
      <c r="AC5" s="2959" t="s">
        <v>7881</v>
      </c>
      <c r="AD5" s="2959"/>
      <c r="AE5" s="2959"/>
      <c r="AF5" s="2959"/>
      <c r="AG5" s="199" t="s">
        <v>7865</v>
      </c>
      <c r="AH5" s="209"/>
      <c r="AI5" s="2958"/>
    </row>
    <row r="6" spans="2:35" ht="15" customHeight="1" x14ac:dyDescent="0.2">
      <c r="B6" s="2939"/>
      <c r="C6" s="230"/>
      <c r="D6" s="2942"/>
      <c r="E6" s="2943"/>
      <c r="F6" s="2943"/>
      <c r="G6" s="2945"/>
      <c r="H6" s="2945"/>
      <c r="I6" s="2945"/>
      <c r="J6" s="2945"/>
      <c r="K6" s="2945"/>
      <c r="L6" s="2945"/>
      <c r="M6" s="2945"/>
      <c r="N6" s="2945"/>
      <c r="O6" s="2945"/>
      <c r="P6" s="2949"/>
      <c r="Q6" s="2950"/>
      <c r="R6" s="2950"/>
      <c r="S6" s="2950"/>
      <c r="T6" s="2950"/>
      <c r="U6" s="2950"/>
      <c r="V6" s="2950"/>
      <c r="W6" s="2950"/>
      <c r="X6" s="2950"/>
      <c r="Y6" s="2950"/>
      <c r="Z6" s="2950"/>
      <c r="AA6" s="2951"/>
      <c r="AB6" s="2953"/>
      <c r="AC6" s="2995">
        <v>14105621</v>
      </c>
      <c r="AD6" s="2996"/>
      <c r="AE6" s="2996"/>
      <c r="AF6" s="2997"/>
      <c r="AG6" s="234">
        <v>1</v>
      </c>
      <c r="AH6" s="200"/>
      <c r="AI6" s="2958"/>
    </row>
    <row r="7" spans="2:35" ht="3.95" customHeight="1" x14ac:dyDescent="0.2">
      <c r="B7" s="2939"/>
      <c r="C7" s="230"/>
      <c r="D7" s="2942"/>
      <c r="E7" s="2943"/>
      <c r="F7" s="2943"/>
      <c r="G7" s="2945"/>
      <c r="H7" s="2945"/>
      <c r="I7" s="2945"/>
      <c r="J7" s="2945"/>
      <c r="K7" s="2945"/>
      <c r="L7" s="2945"/>
      <c r="M7" s="2945"/>
      <c r="N7" s="2945"/>
      <c r="O7" s="2945"/>
      <c r="P7" s="2949"/>
      <c r="Q7" s="2950"/>
      <c r="R7" s="2950"/>
      <c r="S7" s="2950"/>
      <c r="T7" s="2950"/>
      <c r="U7" s="2950"/>
      <c r="V7" s="2950"/>
      <c r="W7" s="2950"/>
      <c r="X7" s="2950"/>
      <c r="Y7" s="2950"/>
      <c r="Z7" s="2950"/>
      <c r="AA7" s="2951"/>
      <c r="AB7" s="2953"/>
      <c r="AC7" s="229"/>
      <c r="AD7" s="229"/>
      <c r="AE7" s="229"/>
      <c r="AF7" s="229"/>
      <c r="AG7" s="229"/>
      <c r="AH7" s="198"/>
      <c r="AI7" s="2958"/>
    </row>
    <row r="8" spans="2:35" ht="3.95" customHeight="1" x14ac:dyDescent="0.2">
      <c r="B8" s="2939"/>
      <c r="C8" s="230"/>
      <c r="D8" s="2940"/>
      <c r="E8" s="2963"/>
      <c r="F8" s="2963"/>
      <c r="G8" s="2963"/>
      <c r="H8" s="2963"/>
      <c r="I8" s="2963"/>
      <c r="J8" s="2963"/>
      <c r="K8" s="2963"/>
      <c r="L8" s="2963"/>
      <c r="M8" s="2963"/>
      <c r="N8" s="2963"/>
      <c r="O8" s="2963"/>
      <c r="P8" s="2963"/>
      <c r="Q8" s="2963"/>
      <c r="R8" s="2963"/>
      <c r="S8" s="2963"/>
      <c r="T8" s="2963"/>
      <c r="U8" s="2963"/>
      <c r="V8" s="2963"/>
      <c r="W8" s="2963"/>
      <c r="X8" s="2963"/>
      <c r="Y8" s="2963"/>
      <c r="Z8" s="2963"/>
      <c r="AA8" s="2963"/>
      <c r="AB8" s="2963"/>
      <c r="AC8" s="2963"/>
      <c r="AD8" s="2963"/>
      <c r="AE8" s="2963"/>
      <c r="AF8" s="2963"/>
      <c r="AG8" s="2963"/>
      <c r="AH8" s="2964"/>
      <c r="AI8" s="2958"/>
    </row>
    <row r="9" spans="2:35" ht="24" customHeight="1" x14ac:dyDescent="0.2">
      <c r="B9" s="2939"/>
      <c r="C9" s="230"/>
      <c r="D9" s="203"/>
      <c r="E9" s="2965" t="s">
        <v>7867</v>
      </c>
      <c r="F9" s="2966"/>
      <c r="G9" s="2966"/>
      <c r="H9" s="2966"/>
      <c r="I9" s="2966"/>
      <c r="J9" s="2966"/>
      <c r="K9" s="2966"/>
      <c r="L9" s="2998" t="s">
        <v>9412</v>
      </c>
      <c r="M9" s="2998"/>
      <c r="N9" s="2998"/>
      <c r="O9" s="2998"/>
      <c r="P9" s="2998"/>
      <c r="Q9" s="2998"/>
      <c r="R9" s="2998"/>
      <c r="S9" s="2998"/>
      <c r="T9" s="2998"/>
      <c r="U9" s="2998"/>
      <c r="V9" s="2998"/>
      <c r="W9" s="2998"/>
      <c r="X9" s="2998"/>
      <c r="Y9" s="2998"/>
      <c r="Z9" s="2998"/>
      <c r="AA9" s="2998"/>
      <c r="AB9" s="2998"/>
      <c r="AC9" s="2998"/>
      <c r="AD9" s="2998"/>
      <c r="AE9" s="2998"/>
      <c r="AF9" s="2998"/>
      <c r="AG9" s="2999"/>
      <c r="AH9" s="204"/>
      <c r="AI9" s="2958"/>
    </row>
    <row r="10" spans="2:35" ht="3.95" customHeight="1" x14ac:dyDescent="0.2">
      <c r="B10" s="2939"/>
      <c r="C10" s="230"/>
      <c r="D10" s="2869"/>
      <c r="E10" s="2870"/>
      <c r="F10" s="2870"/>
      <c r="G10" s="2870"/>
      <c r="H10" s="2870"/>
      <c r="I10" s="2870"/>
      <c r="J10" s="2870"/>
      <c r="K10" s="2870"/>
      <c r="L10" s="2870"/>
      <c r="M10" s="2870"/>
      <c r="N10" s="2870"/>
      <c r="O10" s="2870"/>
      <c r="P10" s="2870"/>
      <c r="Q10" s="2870"/>
      <c r="R10" s="2870"/>
      <c r="S10" s="2870"/>
      <c r="T10" s="2870"/>
      <c r="U10" s="2870"/>
      <c r="V10" s="2870"/>
      <c r="W10" s="2870"/>
      <c r="X10" s="2870"/>
      <c r="Y10" s="2870"/>
      <c r="Z10" s="2870"/>
      <c r="AA10" s="2870"/>
      <c r="AB10" s="2870"/>
      <c r="AC10" s="2870"/>
      <c r="AD10" s="2870"/>
      <c r="AE10" s="2870"/>
      <c r="AF10" s="2870"/>
      <c r="AG10" s="2870"/>
      <c r="AH10" s="2871"/>
      <c r="AI10" s="2958"/>
    </row>
    <row r="11" spans="2:35" ht="16.7" customHeight="1" x14ac:dyDescent="0.2">
      <c r="B11" s="2939"/>
      <c r="C11" s="230"/>
      <c r="D11" s="2903"/>
      <c r="E11" s="210">
        <v>1</v>
      </c>
      <c r="F11" s="2904" t="s">
        <v>7868</v>
      </c>
      <c r="G11" s="2905"/>
      <c r="H11" s="2905"/>
      <c r="I11" s="2905"/>
      <c r="J11" s="2905"/>
      <c r="K11" s="2905"/>
      <c r="L11" s="2905"/>
      <c r="M11" s="2905"/>
      <c r="N11" s="2905"/>
      <c r="O11" s="2905"/>
      <c r="P11" s="2905"/>
      <c r="Q11" s="2905"/>
      <c r="R11" s="2905"/>
      <c r="S11" s="2905"/>
      <c r="T11" s="2905"/>
      <c r="U11" s="2905"/>
      <c r="V11" s="2905"/>
      <c r="W11" s="2905"/>
      <c r="X11" s="2905"/>
      <c r="Y11" s="2905"/>
      <c r="Z11" s="2905"/>
      <c r="AA11" s="2905"/>
      <c r="AB11" s="2905"/>
      <c r="AC11" s="2905"/>
      <c r="AD11" s="2905"/>
      <c r="AE11" s="2905"/>
      <c r="AF11" s="2905"/>
      <c r="AG11" s="2906"/>
      <c r="AH11" s="2969"/>
      <c r="AI11" s="2958"/>
    </row>
    <row r="12" spans="2:35" s="205" customFormat="1" ht="12.95" customHeight="1" x14ac:dyDescent="0.2">
      <c r="B12" s="2939"/>
      <c r="C12" s="230"/>
      <c r="D12" s="2903"/>
      <c r="E12" s="2909" t="s">
        <v>7869</v>
      </c>
      <c r="F12" s="2910"/>
      <c r="G12" s="2909" t="s">
        <v>7870</v>
      </c>
      <c r="H12" s="2910"/>
      <c r="I12" s="2911" t="s">
        <v>7871</v>
      </c>
      <c r="J12" s="2912"/>
      <c r="K12" s="2913"/>
      <c r="L12" s="2914" t="s">
        <v>348</v>
      </c>
      <c r="M12" s="2915"/>
      <c r="N12" s="2915"/>
      <c r="O12" s="2916"/>
      <c r="P12" s="2914" t="s">
        <v>7873</v>
      </c>
      <c r="Q12" s="2915"/>
      <c r="R12" s="2915"/>
      <c r="S12" s="2915"/>
      <c r="T12" s="2915"/>
      <c r="U12" s="2915"/>
      <c r="V12" s="2915"/>
      <c r="W12" s="2915"/>
      <c r="X12" s="2915"/>
      <c r="Y12" s="2915"/>
      <c r="Z12" s="2915"/>
      <c r="AA12" s="2915"/>
      <c r="AB12" s="2915"/>
      <c r="AC12" s="2915"/>
      <c r="AD12" s="2916"/>
      <c r="AE12" s="2921" t="s">
        <v>7872</v>
      </c>
      <c r="AF12" s="2922"/>
      <c r="AG12" s="2923"/>
      <c r="AH12" s="2969"/>
      <c r="AI12" s="2958"/>
    </row>
    <row r="13" spans="2:35" ht="16.7" customHeight="1" x14ac:dyDescent="0.3">
      <c r="B13" s="2939"/>
      <c r="C13" s="230"/>
      <c r="D13" s="2903"/>
      <c r="E13" s="2987">
        <v>10</v>
      </c>
      <c r="F13" s="2987"/>
      <c r="G13" s="2988">
        <v>2017</v>
      </c>
      <c r="H13" s="2988"/>
      <c r="I13" s="2988">
        <v>259</v>
      </c>
      <c r="J13" s="2988"/>
      <c r="K13" s="2988"/>
      <c r="L13" s="2989">
        <v>3.53</v>
      </c>
      <c r="M13" s="2990"/>
      <c r="N13" s="2990"/>
      <c r="O13" s="2991"/>
      <c r="P13" s="2992" t="s">
        <v>9413</v>
      </c>
      <c r="Q13" s="2993"/>
      <c r="R13" s="2993"/>
      <c r="S13" s="2993"/>
      <c r="T13" s="2993"/>
      <c r="U13" s="2993"/>
      <c r="V13" s="2993"/>
      <c r="W13" s="2993"/>
      <c r="X13" s="2993"/>
      <c r="Y13" s="2993"/>
      <c r="Z13" s="2993"/>
      <c r="AA13" s="2993"/>
      <c r="AB13" s="2993"/>
      <c r="AC13" s="2993"/>
      <c r="AD13" s="2994"/>
      <c r="AE13" s="2867"/>
      <c r="AF13" s="2867"/>
      <c r="AG13" s="2867"/>
      <c r="AH13" s="2969"/>
      <c r="AI13" s="2958"/>
    </row>
    <row r="14" spans="2:35" ht="16.7" customHeight="1" x14ac:dyDescent="0.3">
      <c r="B14" s="2939"/>
      <c r="C14" s="230"/>
      <c r="D14" s="2903"/>
      <c r="E14" s="2987">
        <v>10</v>
      </c>
      <c r="F14" s="2987"/>
      <c r="G14" s="2988">
        <v>2017</v>
      </c>
      <c r="H14" s="2988"/>
      <c r="I14" s="2988">
        <v>334</v>
      </c>
      <c r="J14" s="2988"/>
      <c r="K14" s="2988"/>
      <c r="L14" s="2989">
        <v>21.69</v>
      </c>
      <c r="M14" s="2990"/>
      <c r="N14" s="2990"/>
      <c r="O14" s="2991"/>
      <c r="P14" s="2992" t="s">
        <v>9414</v>
      </c>
      <c r="Q14" s="2993"/>
      <c r="R14" s="2993"/>
      <c r="S14" s="2993"/>
      <c r="T14" s="2993"/>
      <c r="U14" s="2993"/>
      <c r="V14" s="2993"/>
      <c r="W14" s="2993"/>
      <c r="X14" s="2993"/>
      <c r="Y14" s="2993"/>
      <c r="Z14" s="2993"/>
      <c r="AA14" s="2993"/>
      <c r="AB14" s="2993"/>
      <c r="AC14" s="2993"/>
      <c r="AD14" s="2994"/>
      <c r="AE14" s="2867"/>
      <c r="AF14" s="2867"/>
      <c r="AG14" s="2867"/>
      <c r="AH14" s="2969"/>
      <c r="AI14" s="2958"/>
    </row>
    <row r="15" spans="2:35" ht="16.7" customHeight="1" x14ac:dyDescent="0.3">
      <c r="B15" s="2939"/>
      <c r="C15" s="230"/>
      <c r="D15" s="2903"/>
      <c r="E15" s="2987">
        <v>10</v>
      </c>
      <c r="F15" s="2987"/>
      <c r="G15" s="2988">
        <v>2017</v>
      </c>
      <c r="H15" s="2988"/>
      <c r="I15" s="2988">
        <v>948</v>
      </c>
      <c r="J15" s="2988"/>
      <c r="K15" s="2988"/>
      <c r="L15" s="2989">
        <v>25.07</v>
      </c>
      <c r="M15" s="2990"/>
      <c r="N15" s="2990"/>
      <c r="O15" s="2991"/>
      <c r="P15" s="2992" t="s">
        <v>9415</v>
      </c>
      <c r="Q15" s="2993"/>
      <c r="R15" s="2993"/>
      <c r="S15" s="2993"/>
      <c r="T15" s="2993"/>
      <c r="U15" s="2993"/>
      <c r="V15" s="2993"/>
      <c r="W15" s="2993"/>
      <c r="X15" s="2993"/>
      <c r="Y15" s="2993"/>
      <c r="Z15" s="2993"/>
      <c r="AA15" s="2993"/>
      <c r="AB15" s="2993"/>
      <c r="AC15" s="2993"/>
      <c r="AD15" s="2994"/>
      <c r="AE15" s="2867"/>
      <c r="AF15" s="2867"/>
      <c r="AG15" s="2867"/>
      <c r="AH15" s="2969"/>
      <c r="AI15" s="2958"/>
    </row>
    <row r="16" spans="2:35" ht="16.7" customHeight="1" x14ac:dyDescent="0.3">
      <c r="B16" s="2939"/>
      <c r="C16" s="230"/>
      <c r="D16" s="2903"/>
      <c r="E16" s="2987"/>
      <c r="F16" s="2987"/>
      <c r="G16" s="2988"/>
      <c r="H16" s="2988"/>
      <c r="I16" s="2988"/>
      <c r="J16" s="2988"/>
      <c r="K16" s="2988"/>
      <c r="L16" s="2989"/>
      <c r="M16" s="2990"/>
      <c r="N16" s="2990"/>
      <c r="O16" s="2991"/>
      <c r="P16" s="2992"/>
      <c r="Q16" s="2993"/>
      <c r="R16" s="2993"/>
      <c r="S16" s="2993"/>
      <c r="T16" s="2993"/>
      <c r="U16" s="2993"/>
      <c r="V16" s="2993"/>
      <c r="W16" s="2993"/>
      <c r="X16" s="2993"/>
      <c r="Y16" s="2993"/>
      <c r="Z16" s="2993"/>
      <c r="AA16" s="2993"/>
      <c r="AB16" s="2993"/>
      <c r="AC16" s="2993"/>
      <c r="AD16" s="2994"/>
      <c r="AE16" s="2867"/>
      <c r="AF16" s="2867"/>
      <c r="AG16" s="2867"/>
      <c r="AH16" s="2969"/>
      <c r="AI16" s="2958"/>
    </row>
    <row r="17" spans="2:35" ht="16.7" customHeight="1" x14ac:dyDescent="0.3">
      <c r="B17" s="2939"/>
      <c r="C17" s="230"/>
      <c r="D17" s="2903"/>
      <c r="E17" s="2987"/>
      <c r="F17" s="2987"/>
      <c r="G17" s="2988"/>
      <c r="H17" s="2988"/>
      <c r="I17" s="2988"/>
      <c r="J17" s="2988"/>
      <c r="K17" s="2988"/>
      <c r="L17" s="2989"/>
      <c r="M17" s="2990"/>
      <c r="N17" s="2990"/>
      <c r="O17" s="2991"/>
      <c r="P17" s="2992"/>
      <c r="Q17" s="2993"/>
      <c r="R17" s="2993"/>
      <c r="S17" s="2993"/>
      <c r="T17" s="2993"/>
      <c r="U17" s="2993"/>
      <c r="V17" s="2993"/>
      <c r="W17" s="2993"/>
      <c r="X17" s="2993"/>
      <c r="Y17" s="2993"/>
      <c r="Z17" s="2993"/>
      <c r="AA17" s="2993"/>
      <c r="AB17" s="2993"/>
      <c r="AC17" s="2993"/>
      <c r="AD17" s="2994"/>
      <c r="AE17" s="2867"/>
      <c r="AF17" s="2867"/>
      <c r="AG17" s="2867"/>
      <c r="AH17" s="2969"/>
      <c r="AI17" s="2958"/>
    </row>
    <row r="18" spans="2:35" ht="16.7" customHeight="1" x14ac:dyDescent="0.3">
      <c r="B18" s="2939"/>
      <c r="C18" s="230"/>
      <c r="D18" s="2903"/>
      <c r="E18" s="2987"/>
      <c r="F18" s="2987"/>
      <c r="G18" s="2988"/>
      <c r="H18" s="2988"/>
      <c r="I18" s="2988"/>
      <c r="J18" s="2988"/>
      <c r="K18" s="2988"/>
      <c r="L18" s="2989"/>
      <c r="M18" s="2990"/>
      <c r="N18" s="2990"/>
      <c r="O18" s="2991"/>
      <c r="P18" s="2992"/>
      <c r="Q18" s="2993"/>
      <c r="R18" s="2993"/>
      <c r="S18" s="2993"/>
      <c r="T18" s="2993"/>
      <c r="U18" s="2993"/>
      <c r="V18" s="2993"/>
      <c r="W18" s="2993"/>
      <c r="X18" s="2993"/>
      <c r="Y18" s="2993"/>
      <c r="Z18" s="2993"/>
      <c r="AA18" s="2993"/>
      <c r="AB18" s="2993"/>
      <c r="AC18" s="2993"/>
      <c r="AD18" s="2994"/>
      <c r="AE18" s="2867"/>
      <c r="AF18" s="2867"/>
      <c r="AG18" s="2867"/>
      <c r="AH18" s="2969"/>
      <c r="AI18" s="2958"/>
    </row>
    <row r="19" spans="2:35" ht="16.7" customHeight="1" x14ac:dyDescent="0.3">
      <c r="B19" s="2939"/>
      <c r="C19" s="230"/>
      <c r="D19" s="2903"/>
      <c r="E19" s="2987"/>
      <c r="F19" s="2987"/>
      <c r="G19" s="2988"/>
      <c r="H19" s="2988"/>
      <c r="I19" s="2988"/>
      <c r="J19" s="2988"/>
      <c r="K19" s="2988"/>
      <c r="L19" s="2989"/>
      <c r="M19" s="2990"/>
      <c r="N19" s="2990"/>
      <c r="O19" s="2991"/>
      <c r="P19" s="2992"/>
      <c r="Q19" s="2993"/>
      <c r="R19" s="2993"/>
      <c r="S19" s="2993"/>
      <c r="T19" s="2993"/>
      <c r="U19" s="2993"/>
      <c r="V19" s="2993"/>
      <c r="W19" s="2993"/>
      <c r="X19" s="2993"/>
      <c r="Y19" s="2993"/>
      <c r="Z19" s="2993"/>
      <c r="AA19" s="2993"/>
      <c r="AB19" s="2993"/>
      <c r="AC19" s="2993"/>
      <c r="AD19" s="2994"/>
      <c r="AE19" s="2867"/>
      <c r="AF19" s="2867"/>
      <c r="AG19" s="2867"/>
      <c r="AH19" s="2969"/>
      <c r="AI19" s="2958"/>
    </row>
    <row r="20" spans="2:35" ht="16.7" customHeight="1" x14ac:dyDescent="0.3">
      <c r="B20" s="2939"/>
      <c r="C20" s="230"/>
      <c r="D20" s="2903"/>
      <c r="E20" s="2987"/>
      <c r="F20" s="2987"/>
      <c r="G20" s="2988"/>
      <c r="H20" s="2988"/>
      <c r="I20" s="2988"/>
      <c r="J20" s="2988"/>
      <c r="K20" s="2988"/>
      <c r="L20" s="2989"/>
      <c r="M20" s="2990"/>
      <c r="N20" s="2990"/>
      <c r="O20" s="2991"/>
      <c r="P20" s="2992"/>
      <c r="Q20" s="2993"/>
      <c r="R20" s="2993"/>
      <c r="S20" s="2993"/>
      <c r="T20" s="2993"/>
      <c r="U20" s="2993"/>
      <c r="V20" s="2993"/>
      <c r="W20" s="2993"/>
      <c r="X20" s="2993"/>
      <c r="Y20" s="2993"/>
      <c r="Z20" s="2993"/>
      <c r="AA20" s="2993"/>
      <c r="AB20" s="2993"/>
      <c r="AC20" s="2993"/>
      <c r="AD20" s="2994"/>
      <c r="AE20" s="2867"/>
      <c r="AF20" s="2867"/>
      <c r="AG20" s="2867"/>
      <c r="AH20" s="2969"/>
      <c r="AI20" s="2958"/>
    </row>
    <row r="21" spans="2:35" ht="16.7" customHeight="1" x14ac:dyDescent="0.3">
      <c r="B21" s="2939"/>
      <c r="C21" s="230"/>
      <c r="D21" s="2903"/>
      <c r="E21" s="2987"/>
      <c r="F21" s="2987"/>
      <c r="G21" s="2988"/>
      <c r="H21" s="2988"/>
      <c r="I21" s="2988"/>
      <c r="J21" s="2988"/>
      <c r="K21" s="2988"/>
      <c r="L21" s="2989"/>
      <c r="M21" s="2990"/>
      <c r="N21" s="2990"/>
      <c r="O21" s="2991"/>
      <c r="P21" s="2992"/>
      <c r="Q21" s="2993"/>
      <c r="R21" s="2993"/>
      <c r="S21" s="2993"/>
      <c r="T21" s="2993"/>
      <c r="U21" s="2993"/>
      <c r="V21" s="2993"/>
      <c r="W21" s="2993"/>
      <c r="X21" s="2993"/>
      <c r="Y21" s="2993"/>
      <c r="Z21" s="2993"/>
      <c r="AA21" s="2993"/>
      <c r="AB21" s="2993"/>
      <c r="AC21" s="2993"/>
      <c r="AD21" s="2994"/>
      <c r="AE21" s="2867"/>
      <c r="AF21" s="2867"/>
      <c r="AG21" s="2867"/>
      <c r="AH21" s="2969"/>
      <c r="AI21" s="2958"/>
    </row>
    <row r="22" spans="2:35" ht="16.7" customHeight="1" x14ac:dyDescent="0.3">
      <c r="B22" s="2939"/>
      <c r="C22" s="230"/>
      <c r="D22" s="2903"/>
      <c r="E22" s="2987"/>
      <c r="F22" s="2987"/>
      <c r="G22" s="2988"/>
      <c r="H22" s="2988"/>
      <c r="I22" s="2988"/>
      <c r="J22" s="2988"/>
      <c r="K22" s="2988"/>
      <c r="L22" s="2989"/>
      <c r="M22" s="2990"/>
      <c r="N22" s="2990"/>
      <c r="O22" s="2991"/>
      <c r="P22" s="2992"/>
      <c r="Q22" s="2993"/>
      <c r="R22" s="2993"/>
      <c r="S22" s="2993"/>
      <c r="T22" s="2993"/>
      <c r="U22" s="2993"/>
      <c r="V22" s="2993"/>
      <c r="W22" s="2993"/>
      <c r="X22" s="2993"/>
      <c r="Y22" s="2993"/>
      <c r="Z22" s="2993"/>
      <c r="AA22" s="2993"/>
      <c r="AB22" s="2993"/>
      <c r="AC22" s="2993"/>
      <c r="AD22" s="2994"/>
      <c r="AE22" s="2867"/>
      <c r="AF22" s="2867"/>
      <c r="AG22" s="2867"/>
      <c r="AH22" s="2969"/>
      <c r="AI22" s="2958"/>
    </row>
    <row r="23" spans="2:35" ht="16.7" customHeight="1" x14ac:dyDescent="0.3">
      <c r="B23" s="2939"/>
      <c r="C23" s="230"/>
      <c r="D23" s="2903"/>
      <c r="E23" s="2987"/>
      <c r="F23" s="2987"/>
      <c r="G23" s="2988"/>
      <c r="H23" s="2988"/>
      <c r="I23" s="2988"/>
      <c r="J23" s="2988"/>
      <c r="K23" s="2988"/>
      <c r="L23" s="2989"/>
      <c r="M23" s="2990"/>
      <c r="N23" s="2990"/>
      <c r="O23" s="2991"/>
      <c r="P23" s="2992"/>
      <c r="Q23" s="2993"/>
      <c r="R23" s="2993"/>
      <c r="S23" s="2993"/>
      <c r="T23" s="2993"/>
      <c r="U23" s="2993"/>
      <c r="V23" s="2993"/>
      <c r="W23" s="2993"/>
      <c r="X23" s="2993"/>
      <c r="Y23" s="2993"/>
      <c r="Z23" s="2993"/>
      <c r="AA23" s="2993"/>
      <c r="AB23" s="2993"/>
      <c r="AC23" s="2993"/>
      <c r="AD23" s="2994"/>
      <c r="AE23" s="2867"/>
      <c r="AF23" s="2867"/>
      <c r="AG23" s="2867"/>
      <c r="AH23" s="2969"/>
      <c r="AI23" s="2958"/>
    </row>
    <row r="24" spans="2:35" ht="16.7" customHeight="1" x14ac:dyDescent="0.3">
      <c r="B24" s="2939"/>
      <c r="C24" s="230"/>
      <c r="D24" s="2903"/>
      <c r="E24" s="2987"/>
      <c r="F24" s="2987"/>
      <c r="G24" s="2988"/>
      <c r="H24" s="2988"/>
      <c r="I24" s="2988"/>
      <c r="J24" s="2988"/>
      <c r="K24" s="2988"/>
      <c r="L24" s="2989"/>
      <c r="M24" s="2990"/>
      <c r="N24" s="2990"/>
      <c r="O24" s="2991"/>
      <c r="P24" s="2992"/>
      <c r="Q24" s="2993"/>
      <c r="R24" s="2993"/>
      <c r="S24" s="2993"/>
      <c r="T24" s="2993"/>
      <c r="U24" s="2993"/>
      <c r="V24" s="2993"/>
      <c r="W24" s="2993"/>
      <c r="X24" s="2993"/>
      <c r="Y24" s="2993"/>
      <c r="Z24" s="2993"/>
      <c r="AA24" s="2993"/>
      <c r="AB24" s="2993"/>
      <c r="AC24" s="2993"/>
      <c r="AD24" s="2994"/>
      <c r="AE24" s="2867"/>
      <c r="AF24" s="2867"/>
      <c r="AG24" s="2867"/>
      <c r="AH24" s="2969"/>
      <c r="AI24" s="2958"/>
    </row>
    <row r="25" spans="2:35" ht="16.7" customHeight="1" x14ac:dyDescent="0.3">
      <c r="B25" s="2939"/>
      <c r="C25" s="230"/>
      <c r="D25" s="2903"/>
      <c r="E25" s="2987"/>
      <c r="F25" s="2987"/>
      <c r="G25" s="2988"/>
      <c r="H25" s="2988"/>
      <c r="I25" s="2988"/>
      <c r="J25" s="2988"/>
      <c r="K25" s="2988"/>
      <c r="L25" s="2989"/>
      <c r="M25" s="2990"/>
      <c r="N25" s="2990"/>
      <c r="O25" s="2991"/>
      <c r="P25" s="2992"/>
      <c r="Q25" s="2993"/>
      <c r="R25" s="2993"/>
      <c r="S25" s="2993"/>
      <c r="T25" s="2993"/>
      <c r="U25" s="2993"/>
      <c r="V25" s="2993"/>
      <c r="W25" s="2993"/>
      <c r="X25" s="2993"/>
      <c r="Y25" s="2993"/>
      <c r="Z25" s="2993"/>
      <c r="AA25" s="2993"/>
      <c r="AB25" s="2993"/>
      <c r="AC25" s="2993"/>
      <c r="AD25" s="2994"/>
      <c r="AE25" s="2867"/>
      <c r="AF25" s="2867"/>
      <c r="AG25" s="2867"/>
      <c r="AH25" s="2969"/>
      <c r="AI25" s="2958"/>
    </row>
    <row r="26" spans="2:35" ht="16.7" customHeight="1" x14ac:dyDescent="0.3">
      <c r="B26" s="2939"/>
      <c r="C26" s="230"/>
      <c r="D26" s="2903"/>
      <c r="E26" s="2987"/>
      <c r="F26" s="2987"/>
      <c r="G26" s="2988"/>
      <c r="H26" s="2988"/>
      <c r="I26" s="2988"/>
      <c r="J26" s="2988"/>
      <c r="K26" s="2988"/>
      <c r="L26" s="2989"/>
      <c r="M26" s="2990"/>
      <c r="N26" s="2990"/>
      <c r="O26" s="2991"/>
      <c r="P26" s="2992"/>
      <c r="Q26" s="2993"/>
      <c r="R26" s="2993"/>
      <c r="S26" s="2993"/>
      <c r="T26" s="2993"/>
      <c r="U26" s="2993"/>
      <c r="V26" s="2993"/>
      <c r="W26" s="2993"/>
      <c r="X26" s="2993"/>
      <c r="Y26" s="2993"/>
      <c r="Z26" s="2993"/>
      <c r="AA26" s="2993"/>
      <c r="AB26" s="2993"/>
      <c r="AC26" s="2993"/>
      <c r="AD26" s="2994"/>
      <c r="AE26" s="2867"/>
      <c r="AF26" s="2867"/>
      <c r="AG26" s="2867"/>
      <c r="AH26" s="2969"/>
      <c r="AI26" s="2958"/>
    </row>
    <row r="27" spans="2:35" ht="3.95" customHeight="1" x14ac:dyDescent="0.2">
      <c r="B27" s="2939"/>
      <c r="C27" s="230"/>
      <c r="D27" s="2869"/>
      <c r="E27" s="2870"/>
      <c r="F27" s="2870"/>
      <c r="G27" s="2870"/>
      <c r="H27" s="2870"/>
      <c r="I27" s="2870"/>
      <c r="J27" s="2870"/>
      <c r="K27" s="2870"/>
      <c r="L27" s="2870"/>
      <c r="M27" s="2870"/>
      <c r="N27" s="2870"/>
      <c r="O27" s="2870"/>
      <c r="P27" s="2870"/>
      <c r="Q27" s="2870"/>
      <c r="R27" s="2870"/>
      <c r="S27" s="2870"/>
      <c r="T27" s="2870"/>
      <c r="U27" s="2870"/>
      <c r="V27" s="2870"/>
      <c r="W27" s="2870"/>
      <c r="X27" s="2870"/>
      <c r="Y27" s="2870"/>
      <c r="Z27" s="2870"/>
      <c r="AA27" s="2870"/>
      <c r="AB27" s="2870"/>
      <c r="AC27" s="2870"/>
      <c r="AD27" s="2870"/>
      <c r="AE27" s="2870"/>
      <c r="AF27" s="2870"/>
      <c r="AG27" s="2870"/>
      <c r="AH27" s="2871"/>
      <c r="AI27" s="2958"/>
    </row>
    <row r="28" spans="2:35" ht="16.7" customHeight="1" x14ac:dyDescent="0.2">
      <c r="B28" s="2939"/>
      <c r="C28" s="230"/>
      <c r="D28" s="2903"/>
      <c r="E28" s="210">
        <v>2</v>
      </c>
      <c r="F28" s="2904" t="s">
        <v>7874</v>
      </c>
      <c r="G28" s="2905"/>
      <c r="H28" s="2905"/>
      <c r="I28" s="2905"/>
      <c r="J28" s="2905"/>
      <c r="K28" s="2905"/>
      <c r="L28" s="2905"/>
      <c r="M28" s="2905"/>
      <c r="N28" s="2905"/>
      <c r="O28" s="2905"/>
      <c r="P28" s="2905"/>
      <c r="Q28" s="2905"/>
      <c r="R28" s="2905"/>
      <c r="S28" s="2905"/>
      <c r="T28" s="2905"/>
      <c r="U28" s="2905"/>
      <c r="V28" s="2905"/>
      <c r="W28" s="2905"/>
      <c r="X28" s="2905"/>
      <c r="Y28" s="2905"/>
      <c r="Z28" s="2905"/>
      <c r="AA28" s="2905"/>
      <c r="AB28" s="2905"/>
      <c r="AC28" s="2905"/>
      <c r="AD28" s="2905"/>
      <c r="AE28" s="2905"/>
      <c r="AF28" s="2905"/>
      <c r="AG28" s="2906"/>
      <c r="AH28" s="2907"/>
      <c r="AI28" s="2958"/>
    </row>
    <row r="29" spans="2:35" ht="12.95" customHeight="1" x14ac:dyDescent="0.2">
      <c r="B29" s="2939"/>
      <c r="C29" s="230"/>
      <c r="D29" s="2903"/>
      <c r="E29" s="2909" t="s">
        <v>7869</v>
      </c>
      <c r="F29" s="2910"/>
      <c r="G29" s="2909" t="s">
        <v>7870</v>
      </c>
      <c r="H29" s="2910"/>
      <c r="I29" s="2911" t="s">
        <v>7871</v>
      </c>
      <c r="J29" s="2912"/>
      <c r="K29" s="2913"/>
      <c r="L29" s="2914" t="s">
        <v>348</v>
      </c>
      <c r="M29" s="2915"/>
      <c r="N29" s="2915"/>
      <c r="O29" s="2916"/>
      <c r="P29" s="2917" t="s">
        <v>7875</v>
      </c>
      <c r="Q29" s="2917"/>
      <c r="R29" s="2918" t="s">
        <v>7876</v>
      </c>
      <c r="S29" s="2919"/>
      <c r="T29" s="2920"/>
      <c r="U29" s="2917" t="s">
        <v>7873</v>
      </c>
      <c r="V29" s="2917"/>
      <c r="W29" s="2917"/>
      <c r="X29" s="2917"/>
      <c r="Y29" s="2917"/>
      <c r="Z29" s="2917"/>
      <c r="AA29" s="2917"/>
      <c r="AB29" s="2917"/>
      <c r="AC29" s="2917"/>
      <c r="AD29" s="2917"/>
      <c r="AE29" s="2921" t="s">
        <v>7872</v>
      </c>
      <c r="AF29" s="2922"/>
      <c r="AG29" s="2923"/>
      <c r="AH29" s="2907"/>
      <c r="AI29" s="2958"/>
    </row>
    <row r="30" spans="2:35" ht="16.7" customHeight="1" x14ac:dyDescent="0.3">
      <c r="B30" s="2939"/>
      <c r="C30" s="230"/>
      <c r="D30" s="2903"/>
      <c r="E30" s="2978">
        <v>10</v>
      </c>
      <c r="F30" s="2978"/>
      <c r="G30" s="2979">
        <v>2017</v>
      </c>
      <c r="H30" s="2979"/>
      <c r="I30" s="2979">
        <v>7916</v>
      </c>
      <c r="J30" s="2979"/>
      <c r="K30" s="2979"/>
      <c r="L30" s="2984">
        <v>50.29</v>
      </c>
      <c r="M30" s="2985"/>
      <c r="N30" s="2985"/>
      <c r="O30" s="2986"/>
      <c r="P30" s="2975" t="s">
        <v>9406</v>
      </c>
      <c r="Q30" s="2977"/>
      <c r="R30" s="2981">
        <f>IF(L30="","",IF(P30&lt;&gt;0,L30/P30,L30))</f>
        <v>50.29</v>
      </c>
      <c r="S30" s="2982"/>
      <c r="T30" s="2983"/>
      <c r="U30" s="2970" t="s">
        <v>9417</v>
      </c>
      <c r="V30" s="2971"/>
      <c r="W30" s="2971"/>
      <c r="X30" s="2971"/>
      <c r="Y30" s="2971"/>
      <c r="Z30" s="2971"/>
      <c r="AA30" s="2971"/>
      <c r="AB30" s="2971"/>
      <c r="AC30" s="2971"/>
      <c r="AD30" s="2972"/>
      <c r="AE30" s="2867"/>
      <c r="AF30" s="2867"/>
      <c r="AG30" s="2867"/>
      <c r="AH30" s="2907"/>
      <c r="AI30" s="2958"/>
    </row>
    <row r="31" spans="2:35" ht="16.7" customHeight="1" x14ac:dyDescent="0.3">
      <c r="B31" s="2939"/>
      <c r="C31" s="230"/>
      <c r="D31" s="2903"/>
      <c r="E31" s="2978">
        <v>10</v>
      </c>
      <c r="F31" s="2978"/>
      <c r="G31" s="2979">
        <v>2017</v>
      </c>
      <c r="H31" s="2979"/>
      <c r="I31" s="2979">
        <v>7916</v>
      </c>
      <c r="J31" s="2979"/>
      <c r="K31" s="2979"/>
      <c r="L31" s="2980">
        <v>124.35</v>
      </c>
      <c r="M31" s="2980"/>
      <c r="N31" s="2980"/>
      <c r="O31" s="2980"/>
      <c r="P31" s="2975" t="s">
        <v>9416</v>
      </c>
      <c r="Q31" s="2977"/>
      <c r="R31" s="2981">
        <f t="shared" ref="R31:R36" si="0">IF(L31="","",IF(P31&lt;&gt;0,L31/P31,L31))</f>
        <v>41.449999999999996</v>
      </c>
      <c r="S31" s="2982"/>
      <c r="T31" s="2983"/>
      <c r="U31" s="2970" t="s">
        <v>9418</v>
      </c>
      <c r="V31" s="2971"/>
      <c r="W31" s="2971"/>
      <c r="X31" s="2971"/>
      <c r="Y31" s="2971"/>
      <c r="Z31" s="2971"/>
      <c r="AA31" s="2971"/>
      <c r="AB31" s="2971"/>
      <c r="AC31" s="2971"/>
      <c r="AD31" s="2972"/>
      <c r="AE31" s="2867"/>
      <c r="AF31" s="2867"/>
      <c r="AG31" s="2867"/>
      <c r="AH31" s="2907"/>
      <c r="AI31" s="2958"/>
    </row>
    <row r="32" spans="2:35" ht="16.7" customHeight="1" x14ac:dyDescent="0.3">
      <c r="B32" s="2939"/>
      <c r="C32" s="230"/>
      <c r="D32" s="2903"/>
      <c r="E32" s="2978">
        <v>10</v>
      </c>
      <c r="F32" s="2978"/>
      <c r="G32" s="2979">
        <v>2017</v>
      </c>
      <c r="H32" s="2979"/>
      <c r="I32" s="2979">
        <v>7979</v>
      </c>
      <c r="J32" s="2979"/>
      <c r="K32" s="2979"/>
      <c r="L32" s="2980">
        <v>121.5</v>
      </c>
      <c r="M32" s="2980"/>
      <c r="N32" s="2980"/>
      <c r="O32" s="2980"/>
      <c r="P32" s="2975" t="s">
        <v>9416</v>
      </c>
      <c r="Q32" s="2977"/>
      <c r="R32" s="2981">
        <f t="shared" si="0"/>
        <v>40.5</v>
      </c>
      <c r="S32" s="2982"/>
      <c r="T32" s="2983"/>
      <c r="U32" s="2970" t="s">
        <v>9419</v>
      </c>
      <c r="V32" s="2971"/>
      <c r="W32" s="2971"/>
      <c r="X32" s="2971"/>
      <c r="Y32" s="2971"/>
      <c r="Z32" s="2971"/>
      <c r="AA32" s="2971"/>
      <c r="AB32" s="2971"/>
      <c r="AC32" s="2971"/>
      <c r="AD32" s="2972"/>
      <c r="AE32" s="2867"/>
      <c r="AF32" s="2867"/>
      <c r="AG32" s="2867"/>
      <c r="AH32" s="2907"/>
      <c r="AI32" s="2958"/>
    </row>
    <row r="33" spans="2:35" ht="16.7" customHeight="1" x14ac:dyDescent="0.3">
      <c r="B33" s="2939"/>
      <c r="C33" s="230"/>
      <c r="D33" s="2903"/>
      <c r="E33" s="2978"/>
      <c r="F33" s="2978"/>
      <c r="G33" s="2979"/>
      <c r="H33" s="2979"/>
      <c r="I33" s="2979"/>
      <c r="J33" s="2979"/>
      <c r="K33" s="2979"/>
      <c r="L33" s="2980"/>
      <c r="M33" s="2980"/>
      <c r="N33" s="2980"/>
      <c r="O33" s="2980"/>
      <c r="P33" s="2975"/>
      <c r="Q33" s="2977"/>
      <c r="R33" s="2981" t="str">
        <f t="shared" si="0"/>
        <v/>
      </c>
      <c r="S33" s="2982"/>
      <c r="T33" s="2983"/>
      <c r="U33" s="2970"/>
      <c r="V33" s="2971"/>
      <c r="W33" s="2971"/>
      <c r="X33" s="2971"/>
      <c r="Y33" s="2971"/>
      <c r="Z33" s="2971"/>
      <c r="AA33" s="2971"/>
      <c r="AB33" s="2971"/>
      <c r="AC33" s="2971"/>
      <c r="AD33" s="2972"/>
      <c r="AE33" s="2867"/>
      <c r="AF33" s="2867"/>
      <c r="AG33" s="2867"/>
      <c r="AH33" s="2907"/>
      <c r="AI33" s="2958"/>
    </row>
    <row r="34" spans="2:35" ht="16.7" customHeight="1" x14ac:dyDescent="0.3">
      <c r="B34" s="2939"/>
      <c r="C34" s="230"/>
      <c r="D34" s="2903"/>
      <c r="E34" s="2978"/>
      <c r="F34" s="2978"/>
      <c r="G34" s="2979"/>
      <c r="H34" s="2979"/>
      <c r="I34" s="2979"/>
      <c r="J34" s="2979"/>
      <c r="K34" s="2979"/>
      <c r="L34" s="2980"/>
      <c r="M34" s="2980"/>
      <c r="N34" s="2980"/>
      <c r="O34" s="2980"/>
      <c r="P34" s="2975"/>
      <c r="Q34" s="2977"/>
      <c r="R34" s="2981" t="str">
        <f t="shared" si="0"/>
        <v/>
      </c>
      <c r="S34" s="2982"/>
      <c r="T34" s="2983"/>
      <c r="U34" s="2970"/>
      <c r="V34" s="2971"/>
      <c r="W34" s="2971"/>
      <c r="X34" s="2971"/>
      <c r="Y34" s="2971"/>
      <c r="Z34" s="2971"/>
      <c r="AA34" s="2971"/>
      <c r="AB34" s="2971"/>
      <c r="AC34" s="2971"/>
      <c r="AD34" s="2972"/>
      <c r="AE34" s="2867"/>
      <c r="AF34" s="2867"/>
      <c r="AG34" s="2867"/>
      <c r="AH34" s="2907"/>
      <c r="AI34" s="2958"/>
    </row>
    <row r="35" spans="2:35" ht="16.7" customHeight="1" x14ac:dyDescent="0.3">
      <c r="B35" s="2939"/>
      <c r="C35" s="230"/>
      <c r="D35" s="2903"/>
      <c r="E35" s="2978"/>
      <c r="F35" s="2978"/>
      <c r="G35" s="2979"/>
      <c r="H35" s="2979"/>
      <c r="I35" s="2979"/>
      <c r="J35" s="2979"/>
      <c r="K35" s="2979"/>
      <c r="L35" s="2980"/>
      <c r="M35" s="2980"/>
      <c r="N35" s="2980"/>
      <c r="O35" s="2980"/>
      <c r="P35" s="2975"/>
      <c r="Q35" s="2977"/>
      <c r="R35" s="2981" t="str">
        <f t="shared" si="0"/>
        <v/>
      </c>
      <c r="S35" s="2982"/>
      <c r="T35" s="2983"/>
      <c r="U35" s="2970"/>
      <c r="V35" s="2971"/>
      <c r="W35" s="2971"/>
      <c r="X35" s="2971"/>
      <c r="Y35" s="2971"/>
      <c r="Z35" s="2971"/>
      <c r="AA35" s="2971"/>
      <c r="AB35" s="2971"/>
      <c r="AC35" s="2971"/>
      <c r="AD35" s="2972"/>
      <c r="AE35" s="2867"/>
      <c r="AF35" s="2867"/>
      <c r="AG35" s="2867"/>
      <c r="AH35" s="2907"/>
      <c r="AI35" s="2958"/>
    </row>
    <row r="36" spans="2:35" ht="16.7" customHeight="1" x14ac:dyDescent="0.3">
      <c r="B36" s="2939"/>
      <c r="C36" s="230"/>
      <c r="D36" s="2903"/>
      <c r="E36" s="2978"/>
      <c r="F36" s="2978"/>
      <c r="G36" s="2979"/>
      <c r="H36" s="2979"/>
      <c r="I36" s="2979"/>
      <c r="J36" s="2979"/>
      <c r="K36" s="2979"/>
      <c r="L36" s="2980"/>
      <c r="M36" s="2980"/>
      <c r="N36" s="2980"/>
      <c r="O36" s="2980"/>
      <c r="P36" s="2975"/>
      <c r="Q36" s="2977"/>
      <c r="R36" s="2981" t="str">
        <f t="shared" si="0"/>
        <v/>
      </c>
      <c r="S36" s="2982"/>
      <c r="T36" s="2983"/>
      <c r="U36" s="2970"/>
      <c r="V36" s="2971"/>
      <c r="W36" s="2971"/>
      <c r="X36" s="2971"/>
      <c r="Y36" s="2971"/>
      <c r="Z36" s="2971"/>
      <c r="AA36" s="2971"/>
      <c r="AB36" s="2971"/>
      <c r="AC36" s="2971"/>
      <c r="AD36" s="2972"/>
      <c r="AE36" s="2867"/>
      <c r="AF36" s="2867"/>
      <c r="AG36" s="2867"/>
      <c r="AH36" s="2908"/>
      <c r="AI36" s="2958"/>
    </row>
    <row r="37" spans="2:35" ht="3.95" customHeight="1" x14ac:dyDescent="0.2">
      <c r="B37" s="2939"/>
      <c r="C37" s="2868" t="s">
        <v>7878</v>
      </c>
      <c r="D37" s="2869"/>
      <c r="E37" s="2870"/>
      <c r="F37" s="2870"/>
      <c r="G37" s="2870"/>
      <c r="H37" s="2870"/>
      <c r="I37" s="2870"/>
      <c r="J37" s="2870"/>
      <c r="K37" s="2870"/>
      <c r="L37" s="2870"/>
      <c r="M37" s="2870"/>
      <c r="N37" s="2870"/>
      <c r="O37" s="2870"/>
      <c r="P37" s="2870"/>
      <c r="Q37" s="2870"/>
      <c r="R37" s="2870"/>
      <c r="S37" s="2870"/>
      <c r="T37" s="2870"/>
      <c r="U37" s="2870"/>
      <c r="V37" s="2870"/>
      <c r="W37" s="2870"/>
      <c r="X37" s="2870"/>
      <c r="Y37" s="2870"/>
      <c r="Z37" s="2870"/>
      <c r="AA37" s="2870"/>
      <c r="AB37" s="2870"/>
      <c r="AC37" s="2870"/>
      <c r="AD37" s="2870"/>
      <c r="AE37" s="2870"/>
      <c r="AF37" s="2870"/>
      <c r="AG37" s="2870"/>
      <c r="AH37" s="2871"/>
      <c r="AI37" s="2958"/>
    </row>
    <row r="38" spans="2:35" ht="16.7" customHeight="1" x14ac:dyDescent="0.2">
      <c r="B38" s="2939"/>
      <c r="C38" s="2868"/>
      <c r="D38" s="231"/>
      <c r="E38" s="208">
        <v>3</v>
      </c>
      <c r="F38" s="2872" t="s">
        <v>7879</v>
      </c>
      <c r="G38" s="2873"/>
      <c r="H38" s="2873"/>
      <c r="I38" s="2873"/>
      <c r="J38" s="2873"/>
      <c r="K38" s="2873"/>
      <c r="L38" s="2873"/>
      <c r="M38" s="2873"/>
      <c r="N38" s="2873"/>
      <c r="O38" s="2873"/>
      <c r="P38" s="2873"/>
      <c r="Q38" s="2873"/>
      <c r="R38" s="2873"/>
      <c r="S38" s="2873"/>
      <c r="T38" s="2873"/>
      <c r="U38" s="2873"/>
      <c r="V38" s="2873"/>
      <c r="W38" s="2873"/>
      <c r="X38" s="2873"/>
      <c r="Y38" s="2873"/>
      <c r="Z38" s="2873"/>
      <c r="AA38" s="2873"/>
      <c r="AB38" s="2873"/>
      <c r="AC38" s="2873"/>
      <c r="AD38" s="2873"/>
      <c r="AE38" s="2873"/>
      <c r="AF38" s="2873"/>
      <c r="AG38" s="2874"/>
      <c r="AH38" s="206"/>
      <c r="AI38" s="2958"/>
    </row>
    <row r="39" spans="2:35" ht="12.95" customHeight="1" x14ac:dyDescent="0.2">
      <c r="B39" s="2939"/>
      <c r="C39" s="2868"/>
      <c r="D39" s="231"/>
      <c r="E39" s="2875" t="s">
        <v>7873</v>
      </c>
      <c r="F39" s="2876"/>
      <c r="G39" s="2876"/>
      <c r="H39" s="2876"/>
      <c r="I39" s="2876"/>
      <c r="J39" s="2876"/>
      <c r="K39" s="2877"/>
      <c r="L39" s="2878" t="s">
        <v>7882</v>
      </c>
      <c r="M39" s="2878"/>
      <c r="N39" s="2878"/>
      <c r="O39" s="2878"/>
      <c r="P39" s="2879" t="s">
        <v>7883</v>
      </c>
      <c r="Q39" s="2879"/>
      <c r="R39" s="2879"/>
      <c r="S39" s="2879"/>
      <c r="T39" s="2879"/>
      <c r="U39" s="2879"/>
      <c r="V39" s="2879"/>
      <c r="W39" s="2879"/>
      <c r="X39" s="2879"/>
      <c r="Y39" s="2879"/>
      <c r="Z39" s="2879"/>
      <c r="AA39" s="2879"/>
      <c r="AB39" s="2879"/>
      <c r="AC39" s="2879"/>
      <c r="AD39" s="2879"/>
      <c r="AE39" s="2879" t="s">
        <v>7872</v>
      </c>
      <c r="AF39" s="2879"/>
      <c r="AG39" s="2879"/>
      <c r="AH39" s="206"/>
      <c r="AI39" s="2958"/>
    </row>
    <row r="40" spans="2:35" ht="16.7" customHeight="1" x14ac:dyDescent="0.3">
      <c r="B40" s="2939"/>
      <c r="C40" s="2868"/>
      <c r="D40" s="231"/>
      <c r="E40" s="2975"/>
      <c r="F40" s="2976"/>
      <c r="G40" s="2976"/>
      <c r="H40" s="2976"/>
      <c r="I40" s="2976"/>
      <c r="J40" s="2976"/>
      <c r="K40" s="2977"/>
      <c r="L40" s="2973"/>
      <c r="M40" s="2973"/>
      <c r="N40" s="2973"/>
      <c r="O40" s="2973"/>
      <c r="P40" s="2974"/>
      <c r="Q40" s="2974"/>
      <c r="R40" s="2974"/>
      <c r="S40" s="2974"/>
      <c r="T40" s="2974"/>
      <c r="U40" s="2974"/>
      <c r="V40" s="2974"/>
      <c r="W40" s="2974"/>
      <c r="X40" s="2974"/>
      <c r="Y40" s="2974"/>
      <c r="Z40" s="2974"/>
      <c r="AA40" s="2974"/>
      <c r="AB40" s="2974"/>
      <c r="AC40" s="2974"/>
      <c r="AD40" s="2974"/>
      <c r="AE40" s="2867"/>
      <c r="AF40" s="2867"/>
      <c r="AG40" s="2867"/>
      <c r="AH40" s="206"/>
      <c r="AI40" s="2958"/>
    </row>
    <row r="41" spans="2:35" ht="16.7" customHeight="1" x14ac:dyDescent="0.3">
      <c r="B41" s="2939"/>
      <c r="C41" s="2868"/>
      <c r="D41" s="231"/>
      <c r="E41" s="2975"/>
      <c r="F41" s="2976"/>
      <c r="G41" s="2976"/>
      <c r="H41" s="2976"/>
      <c r="I41" s="2976"/>
      <c r="J41" s="2976"/>
      <c r="K41" s="2977"/>
      <c r="L41" s="2973"/>
      <c r="M41" s="2973"/>
      <c r="N41" s="2973"/>
      <c r="O41" s="2973"/>
      <c r="P41" s="2974"/>
      <c r="Q41" s="2974"/>
      <c r="R41" s="2974"/>
      <c r="S41" s="2974"/>
      <c r="T41" s="2974"/>
      <c r="U41" s="2974"/>
      <c r="V41" s="2974"/>
      <c r="W41" s="2974"/>
      <c r="X41" s="2974"/>
      <c r="Y41" s="2974"/>
      <c r="Z41" s="2974"/>
      <c r="AA41" s="2974"/>
      <c r="AB41" s="2974"/>
      <c r="AC41" s="2974"/>
      <c r="AD41" s="2974"/>
      <c r="AE41" s="2867"/>
      <c r="AF41" s="2867"/>
      <c r="AG41" s="2867"/>
      <c r="AH41" s="206"/>
      <c r="AI41" s="2958"/>
    </row>
    <row r="42" spans="2:35" ht="16.7" customHeight="1" x14ac:dyDescent="0.3">
      <c r="B42" s="2939"/>
      <c r="C42" s="2868"/>
      <c r="D42" s="231"/>
      <c r="E42" s="2975"/>
      <c r="F42" s="2976"/>
      <c r="G42" s="2976"/>
      <c r="H42" s="2976"/>
      <c r="I42" s="2976"/>
      <c r="J42" s="2976"/>
      <c r="K42" s="2977"/>
      <c r="L42" s="2973"/>
      <c r="M42" s="2973"/>
      <c r="N42" s="2973"/>
      <c r="O42" s="2973"/>
      <c r="P42" s="2974"/>
      <c r="Q42" s="2974"/>
      <c r="R42" s="2974"/>
      <c r="S42" s="2974"/>
      <c r="T42" s="2974"/>
      <c r="U42" s="2974"/>
      <c r="V42" s="2974"/>
      <c r="W42" s="2974"/>
      <c r="X42" s="2974"/>
      <c r="Y42" s="2974"/>
      <c r="Z42" s="2974"/>
      <c r="AA42" s="2974"/>
      <c r="AB42" s="2974"/>
      <c r="AC42" s="2974"/>
      <c r="AD42" s="2974"/>
      <c r="AE42" s="2867"/>
      <c r="AF42" s="2867"/>
      <c r="AG42" s="2867"/>
      <c r="AH42" s="206"/>
      <c r="AI42" s="2958"/>
    </row>
    <row r="43" spans="2:35" ht="16.7" customHeight="1" x14ac:dyDescent="0.3">
      <c r="B43" s="2939"/>
      <c r="C43" s="2868"/>
      <c r="D43" s="231"/>
      <c r="E43" s="2975"/>
      <c r="F43" s="2976"/>
      <c r="G43" s="2976"/>
      <c r="H43" s="2976"/>
      <c r="I43" s="2976"/>
      <c r="J43" s="2976"/>
      <c r="K43" s="2977"/>
      <c r="L43" s="2973"/>
      <c r="M43" s="2973"/>
      <c r="N43" s="2973"/>
      <c r="O43" s="2973"/>
      <c r="P43" s="2974"/>
      <c r="Q43" s="2974"/>
      <c r="R43" s="2974"/>
      <c r="S43" s="2974"/>
      <c r="T43" s="2974"/>
      <c r="U43" s="2974"/>
      <c r="V43" s="2974"/>
      <c r="W43" s="2974"/>
      <c r="X43" s="2974"/>
      <c r="Y43" s="2974"/>
      <c r="Z43" s="2974"/>
      <c r="AA43" s="2974"/>
      <c r="AB43" s="2974"/>
      <c r="AC43" s="2974"/>
      <c r="AD43" s="2974"/>
      <c r="AE43" s="2867"/>
      <c r="AF43" s="2867"/>
      <c r="AG43" s="2867"/>
      <c r="AH43" s="206"/>
      <c r="AI43" s="2958"/>
    </row>
    <row r="44" spans="2:35" ht="16.7" customHeight="1" x14ac:dyDescent="0.3">
      <c r="B44" s="2939"/>
      <c r="C44" s="2868"/>
      <c r="D44" s="231"/>
      <c r="E44" s="2975"/>
      <c r="F44" s="2976"/>
      <c r="G44" s="2976"/>
      <c r="H44" s="2976"/>
      <c r="I44" s="2976"/>
      <c r="J44" s="2976"/>
      <c r="K44" s="2977"/>
      <c r="L44" s="2973"/>
      <c r="M44" s="2973"/>
      <c r="N44" s="2973"/>
      <c r="O44" s="2973"/>
      <c r="P44" s="2974"/>
      <c r="Q44" s="2974"/>
      <c r="R44" s="2974"/>
      <c r="S44" s="2974"/>
      <c r="T44" s="2974"/>
      <c r="U44" s="2974"/>
      <c r="V44" s="2974"/>
      <c r="W44" s="2974"/>
      <c r="X44" s="2974"/>
      <c r="Y44" s="2974"/>
      <c r="Z44" s="2974"/>
      <c r="AA44" s="2974"/>
      <c r="AB44" s="2974"/>
      <c r="AC44" s="2974"/>
      <c r="AD44" s="2974"/>
      <c r="AE44" s="2867"/>
      <c r="AF44" s="2867"/>
      <c r="AG44" s="2867"/>
      <c r="AH44" s="206"/>
      <c r="AI44" s="2958"/>
    </row>
    <row r="45" spans="2:35" ht="16.7" customHeight="1" x14ac:dyDescent="0.3">
      <c r="B45" s="2939"/>
      <c r="C45" s="2868"/>
      <c r="D45" s="231"/>
      <c r="E45" s="2975"/>
      <c r="F45" s="2976"/>
      <c r="G45" s="2976"/>
      <c r="H45" s="2976"/>
      <c r="I45" s="2976"/>
      <c r="J45" s="2976"/>
      <c r="K45" s="2977"/>
      <c r="L45" s="2973"/>
      <c r="M45" s="2973"/>
      <c r="N45" s="2973"/>
      <c r="O45" s="2973"/>
      <c r="P45" s="2974"/>
      <c r="Q45" s="2974"/>
      <c r="R45" s="2974"/>
      <c r="S45" s="2974"/>
      <c r="T45" s="2974"/>
      <c r="U45" s="2974"/>
      <c r="V45" s="2974"/>
      <c r="W45" s="2974"/>
      <c r="X45" s="2974"/>
      <c r="Y45" s="2974"/>
      <c r="Z45" s="2974"/>
      <c r="AA45" s="2974"/>
      <c r="AB45" s="2974"/>
      <c r="AC45" s="2974"/>
      <c r="AD45" s="2974"/>
      <c r="AE45" s="2867"/>
      <c r="AF45" s="2867"/>
      <c r="AG45" s="2867"/>
      <c r="AH45" s="207"/>
      <c r="AI45" s="2958"/>
    </row>
    <row r="46" spans="2:35" ht="3.95" customHeight="1" x14ac:dyDescent="0.2">
      <c r="B46" s="2939"/>
      <c r="C46" s="2868"/>
      <c r="D46" s="2869"/>
      <c r="E46" s="2870"/>
      <c r="F46" s="2870"/>
      <c r="G46" s="2870"/>
      <c r="H46" s="2870"/>
      <c r="I46" s="2870"/>
      <c r="J46" s="2870"/>
      <c r="K46" s="2870"/>
      <c r="L46" s="2870"/>
      <c r="M46" s="2870"/>
      <c r="N46" s="2870"/>
      <c r="O46" s="2870"/>
      <c r="P46" s="2870"/>
      <c r="Q46" s="2870"/>
      <c r="R46" s="2870"/>
      <c r="S46" s="2870"/>
      <c r="T46" s="2870"/>
      <c r="U46" s="2870"/>
      <c r="V46" s="2870"/>
      <c r="W46" s="2870"/>
      <c r="X46" s="2870"/>
      <c r="Y46" s="2870"/>
      <c r="Z46" s="2870"/>
      <c r="AA46" s="2870"/>
      <c r="AB46" s="2870"/>
      <c r="AC46" s="2870"/>
      <c r="AD46" s="2870"/>
      <c r="AE46" s="2870"/>
      <c r="AF46" s="2870"/>
      <c r="AG46" s="2870"/>
      <c r="AH46" s="2871"/>
      <c r="AI46" s="2958"/>
    </row>
    <row r="47" spans="2:35" ht="16.7" customHeight="1" x14ac:dyDescent="0.2">
      <c r="B47" s="2939"/>
      <c r="C47" s="2868"/>
      <c r="D47" s="2885"/>
      <c r="E47" s="208">
        <v>4</v>
      </c>
      <c r="F47" s="2872" t="s">
        <v>7880</v>
      </c>
      <c r="G47" s="2873"/>
      <c r="H47" s="2873"/>
      <c r="I47" s="2873"/>
      <c r="J47" s="2873"/>
      <c r="K47" s="2873"/>
      <c r="L47" s="2873"/>
      <c r="M47" s="2873"/>
      <c r="N47" s="2873"/>
      <c r="O47" s="2873"/>
      <c r="P47" s="2873"/>
      <c r="Q47" s="2873"/>
      <c r="R47" s="2873"/>
      <c r="S47" s="2873"/>
      <c r="T47" s="2873"/>
      <c r="U47" s="2873"/>
      <c r="V47" s="2873"/>
      <c r="W47" s="2873"/>
      <c r="X47" s="2873"/>
      <c r="Y47" s="2873"/>
      <c r="Z47" s="2873"/>
      <c r="AA47" s="2873"/>
      <c r="AB47" s="2873"/>
      <c r="AC47" s="2873"/>
      <c r="AD47" s="2873"/>
      <c r="AE47" s="2873"/>
      <c r="AF47" s="2873"/>
      <c r="AG47" s="2874"/>
      <c r="AH47" s="2886"/>
      <c r="AI47" s="2958"/>
    </row>
    <row r="48" spans="2:35" ht="12.95" customHeight="1" x14ac:dyDescent="0.2">
      <c r="B48" s="2939"/>
      <c r="C48" s="2868"/>
      <c r="D48" s="2885"/>
      <c r="E48" s="2889"/>
      <c r="F48" s="2890"/>
      <c r="G48" s="2890"/>
      <c r="H48" s="2890"/>
      <c r="I48" s="2890"/>
      <c r="J48" s="2890"/>
      <c r="K48" s="2890"/>
      <c r="L48" s="2890"/>
      <c r="M48" s="2890"/>
      <c r="N48" s="2890"/>
      <c r="O48" s="2890"/>
      <c r="P48" s="2890"/>
      <c r="Q48" s="2890"/>
      <c r="R48" s="2890"/>
      <c r="S48" s="2890"/>
      <c r="T48" s="2890"/>
      <c r="U48" s="2890"/>
      <c r="V48" s="2890"/>
      <c r="W48" s="2890"/>
      <c r="X48" s="2890"/>
      <c r="Y48" s="2890"/>
      <c r="Z48" s="2890"/>
      <c r="AA48" s="2890"/>
      <c r="AB48" s="2890"/>
      <c r="AC48" s="2890"/>
      <c r="AD48" s="2891"/>
      <c r="AE48" s="2892" t="s">
        <v>7872</v>
      </c>
      <c r="AF48" s="2893"/>
      <c r="AG48" s="2894"/>
      <c r="AH48" s="2887"/>
      <c r="AI48" s="2958"/>
    </row>
    <row r="49" spans="2:35" ht="16.7" customHeight="1" x14ac:dyDescent="0.3">
      <c r="B49" s="2939"/>
      <c r="C49" s="2868"/>
      <c r="D49" s="2885"/>
      <c r="E49" s="2970"/>
      <c r="F49" s="2971"/>
      <c r="G49" s="2971"/>
      <c r="H49" s="2971"/>
      <c r="I49" s="2971"/>
      <c r="J49" s="2971"/>
      <c r="K49" s="2971"/>
      <c r="L49" s="2971"/>
      <c r="M49" s="2971"/>
      <c r="N49" s="2971"/>
      <c r="O49" s="2971"/>
      <c r="P49" s="2971"/>
      <c r="Q49" s="2971"/>
      <c r="R49" s="2971"/>
      <c r="S49" s="2971"/>
      <c r="T49" s="2971"/>
      <c r="U49" s="2971"/>
      <c r="V49" s="2971"/>
      <c r="W49" s="2971"/>
      <c r="X49" s="2971"/>
      <c r="Y49" s="2971"/>
      <c r="Z49" s="2971"/>
      <c r="AA49" s="2971"/>
      <c r="AB49" s="2971"/>
      <c r="AC49" s="2971"/>
      <c r="AD49" s="2972"/>
      <c r="AE49" s="2867"/>
      <c r="AF49" s="2867"/>
      <c r="AG49" s="2867"/>
      <c r="AH49" s="2887"/>
      <c r="AI49" s="2958"/>
    </row>
    <row r="50" spans="2:35" ht="16.7" customHeight="1" x14ac:dyDescent="0.3">
      <c r="B50" s="2939"/>
      <c r="C50" s="2868"/>
      <c r="D50" s="2885"/>
      <c r="E50" s="2970"/>
      <c r="F50" s="2971"/>
      <c r="G50" s="2971"/>
      <c r="H50" s="2971"/>
      <c r="I50" s="2971"/>
      <c r="J50" s="2971"/>
      <c r="K50" s="2971"/>
      <c r="L50" s="2971"/>
      <c r="M50" s="2971"/>
      <c r="N50" s="2971"/>
      <c r="O50" s="2971"/>
      <c r="P50" s="2971"/>
      <c r="Q50" s="2971"/>
      <c r="R50" s="2971"/>
      <c r="S50" s="2971"/>
      <c r="T50" s="2971"/>
      <c r="U50" s="2971"/>
      <c r="V50" s="2971"/>
      <c r="W50" s="2971"/>
      <c r="X50" s="2971"/>
      <c r="Y50" s="2971"/>
      <c r="Z50" s="2971"/>
      <c r="AA50" s="2971"/>
      <c r="AB50" s="2971"/>
      <c r="AC50" s="2971"/>
      <c r="AD50" s="2972"/>
      <c r="AE50" s="2867"/>
      <c r="AF50" s="2867"/>
      <c r="AG50" s="2867"/>
      <c r="AH50" s="2887"/>
      <c r="AI50" s="2958"/>
    </row>
    <row r="51" spans="2:35" ht="16.7" customHeight="1" x14ac:dyDescent="0.3">
      <c r="B51" s="2939"/>
      <c r="C51" s="2868"/>
      <c r="D51" s="2885"/>
      <c r="E51" s="2970"/>
      <c r="F51" s="2971"/>
      <c r="G51" s="2971"/>
      <c r="H51" s="2971"/>
      <c r="I51" s="2971"/>
      <c r="J51" s="2971"/>
      <c r="K51" s="2971"/>
      <c r="L51" s="2971"/>
      <c r="M51" s="2971"/>
      <c r="N51" s="2971"/>
      <c r="O51" s="2971"/>
      <c r="P51" s="2971"/>
      <c r="Q51" s="2971"/>
      <c r="R51" s="2971"/>
      <c r="S51" s="2971"/>
      <c r="T51" s="2971"/>
      <c r="U51" s="2971"/>
      <c r="V51" s="2971"/>
      <c r="W51" s="2971"/>
      <c r="X51" s="2971"/>
      <c r="Y51" s="2971"/>
      <c r="Z51" s="2971"/>
      <c r="AA51" s="2971"/>
      <c r="AB51" s="2971"/>
      <c r="AC51" s="2971"/>
      <c r="AD51" s="2972"/>
      <c r="AE51" s="2867"/>
      <c r="AF51" s="2867"/>
      <c r="AG51" s="2867"/>
      <c r="AH51" s="2887"/>
      <c r="AI51" s="2958"/>
    </row>
    <row r="52" spans="2:35" ht="16.7" customHeight="1" x14ac:dyDescent="0.3">
      <c r="B52" s="2939"/>
      <c r="C52" s="2868"/>
      <c r="D52" s="2885"/>
      <c r="E52" s="2970"/>
      <c r="F52" s="2971"/>
      <c r="G52" s="2971"/>
      <c r="H52" s="2971"/>
      <c r="I52" s="2971"/>
      <c r="J52" s="2971"/>
      <c r="K52" s="2971"/>
      <c r="L52" s="2971"/>
      <c r="M52" s="2971"/>
      <c r="N52" s="2971"/>
      <c r="O52" s="2971"/>
      <c r="P52" s="2971"/>
      <c r="Q52" s="2971"/>
      <c r="R52" s="2971"/>
      <c r="S52" s="2971"/>
      <c r="T52" s="2971"/>
      <c r="U52" s="2971"/>
      <c r="V52" s="2971"/>
      <c r="W52" s="2971"/>
      <c r="X52" s="2971"/>
      <c r="Y52" s="2971"/>
      <c r="Z52" s="2971"/>
      <c r="AA52" s="2971"/>
      <c r="AB52" s="2971"/>
      <c r="AC52" s="2971"/>
      <c r="AD52" s="2972"/>
      <c r="AE52" s="2867"/>
      <c r="AF52" s="2867"/>
      <c r="AG52" s="2867"/>
      <c r="AH52" s="2887"/>
      <c r="AI52" s="2958"/>
    </row>
    <row r="53" spans="2:35" ht="16.7" customHeight="1" x14ac:dyDescent="0.3">
      <c r="B53" s="2939"/>
      <c r="C53" s="2868"/>
      <c r="D53" s="2885"/>
      <c r="E53" s="2970"/>
      <c r="F53" s="2971"/>
      <c r="G53" s="2971"/>
      <c r="H53" s="2971"/>
      <c r="I53" s="2971"/>
      <c r="J53" s="2971"/>
      <c r="K53" s="2971"/>
      <c r="L53" s="2971"/>
      <c r="M53" s="2971"/>
      <c r="N53" s="2971"/>
      <c r="O53" s="2971"/>
      <c r="P53" s="2971"/>
      <c r="Q53" s="2971"/>
      <c r="R53" s="2971"/>
      <c r="S53" s="2971"/>
      <c r="T53" s="2971"/>
      <c r="U53" s="2971"/>
      <c r="V53" s="2971"/>
      <c r="W53" s="2971"/>
      <c r="X53" s="2971"/>
      <c r="Y53" s="2971"/>
      <c r="Z53" s="2971"/>
      <c r="AA53" s="2971"/>
      <c r="AB53" s="2971"/>
      <c r="AC53" s="2971"/>
      <c r="AD53" s="2972"/>
      <c r="AE53" s="2867"/>
      <c r="AF53" s="2867"/>
      <c r="AG53" s="2867"/>
      <c r="AH53" s="2887"/>
      <c r="AI53" s="2958"/>
    </row>
    <row r="54" spans="2:35" ht="16.7" customHeight="1" x14ac:dyDescent="0.3">
      <c r="B54" s="2939"/>
      <c r="C54" s="2868"/>
      <c r="D54" s="2885"/>
      <c r="E54" s="2970"/>
      <c r="F54" s="2971"/>
      <c r="G54" s="2971"/>
      <c r="H54" s="2971"/>
      <c r="I54" s="2971"/>
      <c r="J54" s="2971"/>
      <c r="K54" s="2971"/>
      <c r="L54" s="2971"/>
      <c r="M54" s="2971"/>
      <c r="N54" s="2971"/>
      <c r="O54" s="2971"/>
      <c r="P54" s="2971"/>
      <c r="Q54" s="2971"/>
      <c r="R54" s="2971"/>
      <c r="S54" s="2971"/>
      <c r="T54" s="2971"/>
      <c r="U54" s="2971"/>
      <c r="V54" s="2971"/>
      <c r="W54" s="2971"/>
      <c r="X54" s="2971"/>
      <c r="Y54" s="2971"/>
      <c r="Z54" s="2971"/>
      <c r="AA54" s="2971"/>
      <c r="AB54" s="2971"/>
      <c r="AC54" s="2971"/>
      <c r="AD54" s="2972"/>
      <c r="AE54" s="2867"/>
      <c r="AF54" s="2867"/>
      <c r="AG54" s="2867"/>
      <c r="AH54" s="2887"/>
      <c r="AI54" s="2958"/>
    </row>
    <row r="55" spans="2:35" ht="16.7" customHeight="1" x14ac:dyDescent="0.3">
      <c r="B55" s="2939"/>
      <c r="C55" s="2868"/>
      <c r="D55" s="2885"/>
      <c r="E55" s="2970"/>
      <c r="F55" s="2971"/>
      <c r="G55" s="2971"/>
      <c r="H55" s="2971"/>
      <c r="I55" s="2971"/>
      <c r="J55" s="2971"/>
      <c r="K55" s="2971"/>
      <c r="L55" s="2971"/>
      <c r="M55" s="2971"/>
      <c r="N55" s="2971"/>
      <c r="O55" s="2971"/>
      <c r="P55" s="2971"/>
      <c r="Q55" s="2971"/>
      <c r="R55" s="2971"/>
      <c r="S55" s="2971"/>
      <c r="T55" s="2971"/>
      <c r="U55" s="2971"/>
      <c r="V55" s="2971"/>
      <c r="W55" s="2971"/>
      <c r="X55" s="2971"/>
      <c r="Y55" s="2971"/>
      <c r="Z55" s="2971"/>
      <c r="AA55" s="2971"/>
      <c r="AB55" s="2971"/>
      <c r="AC55" s="2971"/>
      <c r="AD55" s="2972"/>
      <c r="AE55" s="2867"/>
      <c r="AF55" s="2867"/>
      <c r="AG55" s="2867"/>
      <c r="AH55" s="2887"/>
      <c r="AI55" s="2958"/>
    </row>
    <row r="56" spans="2:35" ht="16.7" customHeight="1" x14ac:dyDescent="0.3">
      <c r="B56" s="2939"/>
      <c r="C56" s="230"/>
      <c r="D56" s="2885"/>
      <c r="E56" s="2970"/>
      <c r="F56" s="2971"/>
      <c r="G56" s="2971"/>
      <c r="H56" s="2971"/>
      <c r="I56" s="2971"/>
      <c r="J56" s="2971"/>
      <c r="K56" s="2971"/>
      <c r="L56" s="2971"/>
      <c r="M56" s="2971"/>
      <c r="N56" s="2971"/>
      <c r="O56" s="2971"/>
      <c r="P56" s="2971"/>
      <c r="Q56" s="2971"/>
      <c r="R56" s="2971"/>
      <c r="S56" s="2971"/>
      <c r="T56" s="2971"/>
      <c r="U56" s="2971"/>
      <c r="V56" s="2971"/>
      <c r="W56" s="2971"/>
      <c r="X56" s="2971"/>
      <c r="Y56" s="2971"/>
      <c r="Z56" s="2971"/>
      <c r="AA56" s="2971"/>
      <c r="AB56" s="2971"/>
      <c r="AC56" s="2971"/>
      <c r="AD56" s="2972"/>
      <c r="AE56" s="2867"/>
      <c r="AF56" s="2867"/>
      <c r="AG56" s="2867"/>
      <c r="AH56" s="2887"/>
      <c r="AI56" s="2958"/>
    </row>
    <row r="57" spans="2:35" ht="16.7" customHeight="1" x14ac:dyDescent="0.3">
      <c r="B57" s="2939"/>
      <c r="C57" s="230"/>
      <c r="D57" s="2885"/>
      <c r="E57" s="2970"/>
      <c r="F57" s="2971"/>
      <c r="G57" s="2971"/>
      <c r="H57" s="2971"/>
      <c r="I57" s="2971"/>
      <c r="J57" s="2971"/>
      <c r="K57" s="2971"/>
      <c r="L57" s="2971"/>
      <c r="M57" s="2971"/>
      <c r="N57" s="2971"/>
      <c r="O57" s="2971"/>
      <c r="P57" s="2971"/>
      <c r="Q57" s="2971"/>
      <c r="R57" s="2971"/>
      <c r="S57" s="2971"/>
      <c r="T57" s="2971"/>
      <c r="U57" s="2971"/>
      <c r="V57" s="2971"/>
      <c r="W57" s="2971"/>
      <c r="X57" s="2971"/>
      <c r="Y57" s="2971"/>
      <c r="Z57" s="2971"/>
      <c r="AA57" s="2971"/>
      <c r="AB57" s="2971"/>
      <c r="AC57" s="2971"/>
      <c r="AD57" s="2972"/>
      <c r="AE57" s="2867"/>
      <c r="AF57" s="2867"/>
      <c r="AG57" s="2867"/>
      <c r="AH57" s="2888"/>
      <c r="AI57" s="2958"/>
    </row>
    <row r="58" spans="2:35" ht="3.95" customHeight="1" x14ac:dyDescent="0.2">
      <c r="B58" s="2939"/>
      <c r="C58" s="230"/>
      <c r="D58" s="2855"/>
      <c r="E58" s="2856"/>
      <c r="F58" s="2856"/>
      <c r="G58" s="2856"/>
      <c r="H58" s="2856"/>
      <c r="I58" s="2856"/>
      <c r="J58" s="2856"/>
      <c r="K58" s="2856"/>
      <c r="L58" s="2856"/>
      <c r="M58" s="2856"/>
      <c r="N58" s="2856"/>
      <c r="O58" s="2856"/>
      <c r="P58" s="2856"/>
      <c r="Q58" s="2856"/>
      <c r="R58" s="2856"/>
      <c r="S58" s="2856"/>
      <c r="T58" s="2856"/>
      <c r="U58" s="2856"/>
      <c r="V58" s="2856"/>
      <c r="W58" s="2856"/>
      <c r="X58" s="2856"/>
      <c r="Y58" s="2856"/>
      <c r="Z58" s="2856"/>
      <c r="AA58" s="2856"/>
      <c r="AB58" s="2856"/>
      <c r="AC58" s="2856"/>
      <c r="AD58" s="2856"/>
      <c r="AE58" s="2856"/>
      <c r="AF58" s="2856"/>
      <c r="AG58" s="2856"/>
      <c r="AH58" s="2857"/>
      <c r="AI58" s="2958"/>
    </row>
    <row r="59" spans="2:35" ht="9.9499999999999993" customHeight="1" x14ac:dyDescent="0.2">
      <c r="B59" s="2939"/>
      <c r="C59" s="230"/>
      <c r="D59" s="2858" t="s">
        <v>7877</v>
      </c>
      <c r="E59" s="2859"/>
      <c r="F59" s="2859"/>
      <c r="G59" s="2859"/>
      <c r="H59" s="2859"/>
      <c r="I59" s="2859"/>
      <c r="J59" s="2859"/>
      <c r="K59" s="2859"/>
      <c r="L59" s="2859"/>
      <c r="M59" s="2859"/>
      <c r="N59" s="2859"/>
      <c r="O59" s="2859"/>
      <c r="P59" s="2859"/>
      <c r="Q59" s="2859"/>
      <c r="R59" s="2859"/>
      <c r="S59" s="2859"/>
      <c r="T59" s="2859"/>
      <c r="U59" s="2859"/>
      <c r="V59" s="2859"/>
      <c r="W59" s="2859"/>
      <c r="X59" s="2859"/>
      <c r="Y59" s="2859"/>
      <c r="Z59" s="2859"/>
      <c r="AA59" s="2859"/>
      <c r="AB59" s="2859"/>
      <c r="AC59" s="2859"/>
      <c r="AD59" s="2859"/>
      <c r="AE59" s="2859"/>
      <c r="AF59" s="2859"/>
      <c r="AG59" s="2859"/>
      <c r="AH59" s="2860"/>
      <c r="AI59" s="2958"/>
    </row>
    <row r="60" spans="2:35" ht="15" customHeight="1" thickBot="1" x14ac:dyDescent="0.25">
      <c r="B60" s="2861"/>
      <c r="C60" s="2862"/>
      <c r="D60" s="2862"/>
      <c r="E60" s="2862"/>
      <c r="F60" s="2862"/>
      <c r="G60" s="2862"/>
      <c r="H60" s="2862"/>
      <c r="I60" s="2862"/>
      <c r="J60" s="2862"/>
      <c r="K60" s="2862"/>
      <c r="L60" s="2862"/>
      <c r="M60" s="2862"/>
      <c r="N60" s="2862"/>
      <c r="O60" s="2862"/>
      <c r="P60" s="2862"/>
      <c r="Q60" s="2862"/>
      <c r="R60" s="2862"/>
      <c r="S60" s="2862"/>
      <c r="T60" s="2862"/>
      <c r="U60" s="2862"/>
      <c r="V60" s="2862"/>
      <c r="W60" s="2862"/>
      <c r="X60" s="2862"/>
      <c r="Y60" s="2862"/>
      <c r="Z60" s="2862"/>
      <c r="AA60" s="2862"/>
      <c r="AB60" s="2862"/>
      <c r="AC60" s="2862"/>
      <c r="AD60" s="2862"/>
      <c r="AE60" s="2862"/>
      <c r="AF60" s="2862"/>
      <c r="AG60" s="2862"/>
      <c r="AH60" s="2862"/>
      <c r="AI60" s="2863"/>
    </row>
    <row r="61" spans="2:35" ht="15" customHeight="1" thickTop="1" thickBot="1" x14ac:dyDescent="0.25"/>
    <row r="62" spans="2:35" ht="15" customHeight="1" thickTop="1" x14ac:dyDescent="0.2">
      <c r="B62" s="2935"/>
      <c r="C62" s="2936"/>
      <c r="D62" s="2936"/>
      <c r="E62" s="2936"/>
      <c r="F62" s="2936"/>
      <c r="G62" s="2936"/>
      <c r="H62" s="2936"/>
      <c r="I62" s="2936"/>
      <c r="J62" s="2936"/>
      <c r="K62" s="2936"/>
      <c r="L62" s="2936"/>
      <c r="M62" s="2936"/>
      <c r="N62" s="2936"/>
      <c r="O62" s="2936"/>
      <c r="P62" s="2936"/>
      <c r="Q62" s="2936"/>
      <c r="R62" s="2936"/>
      <c r="S62" s="2936"/>
      <c r="T62" s="2936"/>
      <c r="U62" s="2936"/>
      <c r="V62" s="2936"/>
      <c r="W62" s="2936"/>
      <c r="X62" s="2936"/>
      <c r="Y62" s="2936"/>
      <c r="Z62" s="2936"/>
      <c r="AA62" s="2936"/>
      <c r="AB62" s="2936"/>
      <c r="AC62" s="2936"/>
      <c r="AD62" s="2936"/>
      <c r="AE62" s="2936"/>
      <c r="AF62" s="2936"/>
      <c r="AG62" s="2936"/>
      <c r="AH62" s="2936"/>
      <c r="AI62" s="2937"/>
    </row>
    <row r="63" spans="2:35" ht="15" customHeight="1" x14ac:dyDescent="0.2">
      <c r="B63" s="2938"/>
      <c r="C63" s="230"/>
      <c r="D63" s="2940"/>
      <c r="E63" s="2941"/>
      <c r="F63" s="2941"/>
      <c r="G63" s="2944" t="s">
        <v>7864</v>
      </c>
      <c r="H63" s="2944"/>
      <c r="I63" s="2944"/>
      <c r="J63" s="2944"/>
      <c r="K63" s="2944"/>
      <c r="L63" s="2944"/>
      <c r="M63" s="2944"/>
      <c r="N63" s="2944"/>
      <c r="O63" s="2944"/>
      <c r="P63" s="2946" t="s">
        <v>7866</v>
      </c>
      <c r="Q63" s="2947"/>
      <c r="R63" s="2947"/>
      <c r="S63" s="2947"/>
      <c r="T63" s="2947"/>
      <c r="U63" s="2947"/>
      <c r="V63" s="2947"/>
      <c r="W63" s="2947"/>
      <c r="X63" s="2947"/>
      <c r="Y63" s="2947"/>
      <c r="Z63" s="2947"/>
      <c r="AA63" s="2948"/>
      <c r="AB63" s="2952"/>
      <c r="AC63" s="2954" t="s">
        <v>349</v>
      </c>
      <c r="AD63" s="2955"/>
      <c r="AE63" s="2955"/>
      <c r="AF63" s="2955"/>
      <c r="AG63" s="2955"/>
      <c r="AH63" s="2956"/>
      <c r="AI63" s="2957"/>
    </row>
    <row r="64" spans="2:35" ht="15" customHeight="1" x14ac:dyDescent="0.2">
      <c r="B64" s="2939"/>
      <c r="C64" s="230"/>
      <c r="D64" s="2942"/>
      <c r="E64" s="2943"/>
      <c r="F64" s="2943"/>
      <c r="G64" s="2945"/>
      <c r="H64" s="2945"/>
      <c r="I64" s="2945"/>
      <c r="J64" s="2945"/>
      <c r="K64" s="2945"/>
      <c r="L64" s="2945"/>
      <c r="M64" s="2945"/>
      <c r="N64" s="2945"/>
      <c r="O64" s="2945"/>
      <c r="P64" s="2949"/>
      <c r="Q64" s="2950"/>
      <c r="R64" s="2950"/>
      <c r="S64" s="2950"/>
      <c r="T64" s="2950"/>
      <c r="U64" s="2950"/>
      <c r="V64" s="2950"/>
      <c r="W64" s="2950"/>
      <c r="X64" s="2950"/>
      <c r="Y64" s="2950"/>
      <c r="Z64" s="2950"/>
      <c r="AA64" s="2951"/>
      <c r="AB64" s="2953"/>
      <c r="AC64" s="2959" t="s">
        <v>7881</v>
      </c>
      <c r="AD64" s="2959"/>
      <c r="AE64" s="2959"/>
      <c r="AF64" s="2959"/>
      <c r="AG64" s="199" t="s">
        <v>7865</v>
      </c>
      <c r="AH64" s="209"/>
      <c r="AI64" s="2958"/>
    </row>
    <row r="65" spans="2:35" ht="15" customHeight="1" x14ac:dyDescent="0.2">
      <c r="B65" s="2939"/>
      <c r="C65" s="230"/>
      <c r="D65" s="2942"/>
      <c r="E65" s="2943"/>
      <c r="F65" s="2943"/>
      <c r="G65" s="2945"/>
      <c r="H65" s="2945"/>
      <c r="I65" s="2945"/>
      <c r="J65" s="2945"/>
      <c r="K65" s="2945"/>
      <c r="L65" s="2945"/>
      <c r="M65" s="2945"/>
      <c r="N65" s="2945"/>
      <c r="O65" s="2945"/>
      <c r="P65" s="2949"/>
      <c r="Q65" s="2950"/>
      <c r="R65" s="2950"/>
      <c r="S65" s="2950"/>
      <c r="T65" s="2950"/>
      <c r="U65" s="2950"/>
      <c r="V65" s="2950"/>
      <c r="W65" s="2950"/>
      <c r="X65" s="2950"/>
      <c r="Y65" s="2950"/>
      <c r="Z65" s="2950"/>
      <c r="AA65" s="2951"/>
      <c r="AB65" s="2953"/>
      <c r="AC65" s="2960">
        <f>IF(AC6="","",AC6)</f>
        <v>14105621</v>
      </c>
      <c r="AD65" s="2961"/>
      <c r="AE65" s="2961"/>
      <c r="AF65" s="2962"/>
      <c r="AG65" s="197">
        <f>IF(AG6="","",AG6)</f>
        <v>1</v>
      </c>
      <c r="AH65" s="200"/>
      <c r="AI65" s="2958"/>
    </row>
    <row r="66" spans="2:35" ht="3.95" customHeight="1" x14ac:dyDescent="0.2">
      <c r="B66" s="2939"/>
      <c r="C66" s="230"/>
      <c r="D66" s="2942"/>
      <c r="E66" s="2943"/>
      <c r="F66" s="2943"/>
      <c r="G66" s="2945"/>
      <c r="H66" s="2945"/>
      <c r="I66" s="2945"/>
      <c r="J66" s="2945"/>
      <c r="K66" s="2945"/>
      <c r="L66" s="2945"/>
      <c r="M66" s="2945"/>
      <c r="N66" s="2945"/>
      <c r="O66" s="2945"/>
      <c r="P66" s="2949"/>
      <c r="Q66" s="2950"/>
      <c r="R66" s="2950"/>
      <c r="S66" s="2950"/>
      <c r="T66" s="2950"/>
      <c r="U66" s="2950"/>
      <c r="V66" s="2950"/>
      <c r="W66" s="2950"/>
      <c r="X66" s="2950"/>
      <c r="Y66" s="2950"/>
      <c r="Z66" s="2950"/>
      <c r="AA66" s="2951"/>
      <c r="AB66" s="2953"/>
      <c r="AC66" s="229"/>
      <c r="AD66" s="229"/>
      <c r="AE66" s="229"/>
      <c r="AF66" s="229"/>
      <c r="AG66" s="229"/>
      <c r="AH66" s="198"/>
      <c r="AI66" s="2958"/>
    </row>
    <row r="67" spans="2:35" ht="3.95" customHeight="1" x14ac:dyDescent="0.2">
      <c r="B67" s="2939"/>
      <c r="C67" s="230"/>
      <c r="D67" s="2940"/>
      <c r="E67" s="2963"/>
      <c r="F67" s="2963"/>
      <c r="G67" s="2963"/>
      <c r="H67" s="2963"/>
      <c r="I67" s="2963"/>
      <c r="J67" s="2963"/>
      <c r="K67" s="2963"/>
      <c r="L67" s="2963"/>
      <c r="M67" s="2963"/>
      <c r="N67" s="2963"/>
      <c r="O67" s="2963"/>
      <c r="P67" s="2963"/>
      <c r="Q67" s="2963"/>
      <c r="R67" s="2963"/>
      <c r="S67" s="2963"/>
      <c r="T67" s="2963"/>
      <c r="U67" s="2963"/>
      <c r="V67" s="2963"/>
      <c r="W67" s="2963"/>
      <c r="X67" s="2963"/>
      <c r="Y67" s="2963"/>
      <c r="Z67" s="2963"/>
      <c r="AA67" s="2963"/>
      <c r="AB67" s="2963"/>
      <c r="AC67" s="2963"/>
      <c r="AD67" s="2963"/>
      <c r="AE67" s="2963"/>
      <c r="AF67" s="2963"/>
      <c r="AG67" s="2963"/>
      <c r="AH67" s="2964"/>
      <c r="AI67" s="2958"/>
    </row>
    <row r="68" spans="2:35" ht="24" customHeight="1" x14ac:dyDescent="0.2">
      <c r="B68" s="2939"/>
      <c r="C68" s="230"/>
      <c r="D68" s="203"/>
      <c r="E68" s="2965" t="s">
        <v>7867</v>
      </c>
      <c r="F68" s="2966"/>
      <c r="G68" s="2966"/>
      <c r="H68" s="2966"/>
      <c r="I68" s="2966"/>
      <c r="J68" s="2966"/>
      <c r="K68" s="2966"/>
      <c r="L68" s="2967" t="str">
        <f>IF(L9="","",L9)</f>
        <v>Aparecida Conceição de Souza Caetano</v>
      </c>
      <c r="M68" s="2967"/>
      <c r="N68" s="2967"/>
      <c r="O68" s="2967"/>
      <c r="P68" s="2967"/>
      <c r="Q68" s="2967"/>
      <c r="R68" s="2967"/>
      <c r="S68" s="2967"/>
      <c r="T68" s="2967"/>
      <c r="U68" s="2967"/>
      <c r="V68" s="2967"/>
      <c r="W68" s="2967"/>
      <c r="X68" s="2967"/>
      <c r="Y68" s="2967"/>
      <c r="Z68" s="2967"/>
      <c r="AA68" s="2967"/>
      <c r="AB68" s="2967"/>
      <c r="AC68" s="2967"/>
      <c r="AD68" s="2967"/>
      <c r="AE68" s="2967"/>
      <c r="AF68" s="2967"/>
      <c r="AG68" s="2968"/>
      <c r="AH68" s="204"/>
      <c r="AI68" s="2958"/>
    </row>
    <row r="69" spans="2:35" ht="3.95" customHeight="1" x14ac:dyDescent="0.2">
      <c r="B69" s="2939"/>
      <c r="C69" s="230"/>
      <c r="D69" s="2869"/>
      <c r="E69" s="2870"/>
      <c r="F69" s="2870"/>
      <c r="G69" s="2870"/>
      <c r="H69" s="2870"/>
      <c r="I69" s="2870"/>
      <c r="J69" s="2870"/>
      <c r="K69" s="2870"/>
      <c r="L69" s="2870"/>
      <c r="M69" s="2870"/>
      <c r="N69" s="2870"/>
      <c r="O69" s="2870"/>
      <c r="P69" s="2870"/>
      <c r="Q69" s="2870"/>
      <c r="R69" s="2870"/>
      <c r="S69" s="2870"/>
      <c r="T69" s="2870"/>
      <c r="U69" s="2870"/>
      <c r="V69" s="2870"/>
      <c r="W69" s="2870"/>
      <c r="X69" s="2870"/>
      <c r="Y69" s="2870"/>
      <c r="Z69" s="2870"/>
      <c r="AA69" s="2870"/>
      <c r="AB69" s="2870"/>
      <c r="AC69" s="2870"/>
      <c r="AD69" s="2870"/>
      <c r="AE69" s="2870"/>
      <c r="AF69" s="2870"/>
      <c r="AG69" s="2870"/>
      <c r="AH69" s="2871"/>
      <c r="AI69" s="2958"/>
    </row>
    <row r="70" spans="2:35" ht="16.7" customHeight="1" x14ac:dyDescent="0.2">
      <c r="B70" s="2939"/>
      <c r="C70" s="230"/>
      <c r="D70" s="2903"/>
      <c r="E70" s="210">
        <v>1</v>
      </c>
      <c r="F70" s="2904" t="s">
        <v>7868</v>
      </c>
      <c r="G70" s="2905"/>
      <c r="H70" s="2905"/>
      <c r="I70" s="2905"/>
      <c r="J70" s="2905"/>
      <c r="K70" s="2905"/>
      <c r="L70" s="2905"/>
      <c r="M70" s="2905"/>
      <c r="N70" s="2905"/>
      <c r="O70" s="2905"/>
      <c r="P70" s="2905"/>
      <c r="Q70" s="2905"/>
      <c r="R70" s="2905"/>
      <c r="S70" s="2905"/>
      <c r="T70" s="2905"/>
      <c r="U70" s="2905"/>
      <c r="V70" s="2905"/>
      <c r="W70" s="2905"/>
      <c r="X70" s="2905"/>
      <c r="Y70" s="2905"/>
      <c r="Z70" s="2905"/>
      <c r="AA70" s="2905"/>
      <c r="AB70" s="2905"/>
      <c r="AC70" s="2905"/>
      <c r="AD70" s="2905"/>
      <c r="AE70" s="2905"/>
      <c r="AF70" s="2905"/>
      <c r="AG70" s="2906"/>
      <c r="AH70" s="2969"/>
      <c r="AI70" s="2958"/>
    </row>
    <row r="71" spans="2:35" s="205" customFormat="1" ht="12.95" customHeight="1" x14ac:dyDescent="0.2">
      <c r="B71" s="2939"/>
      <c r="C71" s="230"/>
      <c r="D71" s="2903"/>
      <c r="E71" s="2909" t="s">
        <v>7869</v>
      </c>
      <c r="F71" s="2910"/>
      <c r="G71" s="2909" t="s">
        <v>7870</v>
      </c>
      <c r="H71" s="2910"/>
      <c r="I71" s="2911" t="s">
        <v>7871</v>
      </c>
      <c r="J71" s="2912"/>
      <c r="K71" s="2913"/>
      <c r="L71" s="2914" t="s">
        <v>348</v>
      </c>
      <c r="M71" s="2915"/>
      <c r="N71" s="2915"/>
      <c r="O71" s="2916"/>
      <c r="P71" s="2914" t="s">
        <v>7873</v>
      </c>
      <c r="Q71" s="2915"/>
      <c r="R71" s="2915"/>
      <c r="S71" s="2915"/>
      <c r="T71" s="2915"/>
      <c r="U71" s="2915"/>
      <c r="V71" s="2915"/>
      <c r="W71" s="2915"/>
      <c r="X71" s="2915"/>
      <c r="Y71" s="2915"/>
      <c r="Z71" s="2915"/>
      <c r="AA71" s="2915"/>
      <c r="AB71" s="2915"/>
      <c r="AC71" s="2915"/>
      <c r="AD71" s="2916"/>
      <c r="AE71" s="2921" t="s">
        <v>7872</v>
      </c>
      <c r="AF71" s="2922"/>
      <c r="AG71" s="2923"/>
      <c r="AH71" s="2969"/>
      <c r="AI71" s="2958"/>
    </row>
    <row r="72" spans="2:35" ht="16.7" customHeight="1" x14ac:dyDescent="0.3">
      <c r="B72" s="2939"/>
      <c r="C72" s="230"/>
      <c r="D72" s="2903"/>
      <c r="E72" s="2927">
        <f>IF(E13="","",E13)</f>
        <v>10</v>
      </c>
      <c r="F72" s="2927"/>
      <c r="G72" s="2927">
        <f>IF(G13="","",G13)</f>
        <v>2017</v>
      </c>
      <c r="H72" s="2927"/>
      <c r="I72" s="2928">
        <f>IF(I13="","",I13)</f>
        <v>259</v>
      </c>
      <c r="J72" s="2928"/>
      <c r="K72" s="2928"/>
      <c r="L72" s="2929">
        <f>IF(L13="","",L13)</f>
        <v>3.53</v>
      </c>
      <c r="M72" s="2930"/>
      <c r="N72" s="2930"/>
      <c r="O72" s="2931"/>
      <c r="P72" s="2932" t="str">
        <f>IF(P13="","",P13)</f>
        <v>Restituição IPSEMG Saúde</v>
      </c>
      <c r="Q72" s="2933"/>
      <c r="R72" s="2933"/>
      <c r="S72" s="2933"/>
      <c r="T72" s="2933"/>
      <c r="U72" s="2933"/>
      <c r="V72" s="2933"/>
      <c r="W72" s="2933"/>
      <c r="X72" s="2933"/>
      <c r="Y72" s="2933"/>
      <c r="Z72" s="2933"/>
      <c r="AA72" s="2933"/>
      <c r="AB72" s="2933"/>
      <c r="AC72" s="2933"/>
      <c r="AD72" s="2934"/>
      <c r="AE72" s="2867"/>
      <c r="AF72" s="2867"/>
      <c r="AG72" s="2867"/>
      <c r="AH72" s="2969"/>
      <c r="AI72" s="2958"/>
    </row>
    <row r="73" spans="2:35" ht="16.7" customHeight="1" x14ac:dyDescent="0.3">
      <c r="B73" s="2939"/>
      <c r="C73" s="230"/>
      <c r="D73" s="2903"/>
      <c r="E73" s="2927">
        <f t="shared" ref="E73:E85" si="1">IF(E14="","",E14)</f>
        <v>10</v>
      </c>
      <c r="F73" s="2927"/>
      <c r="G73" s="2927">
        <f t="shared" ref="G73:G85" si="2">IF(G14="","",G14)</f>
        <v>2017</v>
      </c>
      <c r="H73" s="2927"/>
      <c r="I73" s="2928">
        <f t="shared" ref="I73:I85" si="3">IF(I14="","",I14)</f>
        <v>334</v>
      </c>
      <c r="J73" s="2928"/>
      <c r="K73" s="2928"/>
      <c r="L73" s="2929">
        <f t="shared" ref="L73:L85" si="4">IF(L14="","",L14)</f>
        <v>21.69</v>
      </c>
      <c r="M73" s="2930"/>
      <c r="N73" s="2930"/>
      <c r="O73" s="2931"/>
      <c r="P73" s="2932" t="str">
        <f t="shared" ref="P73:P85" si="5">IF(P14="","",P14)</f>
        <v>Restituição Contribuição Previdenciária INSS</v>
      </c>
      <c r="Q73" s="2933"/>
      <c r="R73" s="2933"/>
      <c r="S73" s="2933"/>
      <c r="T73" s="2933"/>
      <c r="U73" s="2933"/>
      <c r="V73" s="2933"/>
      <c r="W73" s="2933"/>
      <c r="X73" s="2933"/>
      <c r="Y73" s="2933"/>
      <c r="Z73" s="2933"/>
      <c r="AA73" s="2933"/>
      <c r="AB73" s="2933"/>
      <c r="AC73" s="2933"/>
      <c r="AD73" s="2934"/>
      <c r="AE73" s="2867"/>
      <c r="AF73" s="2867"/>
      <c r="AG73" s="2867"/>
      <c r="AH73" s="2969"/>
      <c r="AI73" s="2958"/>
    </row>
    <row r="74" spans="2:35" ht="16.7" customHeight="1" x14ac:dyDescent="0.3">
      <c r="B74" s="2939"/>
      <c r="C74" s="230"/>
      <c r="D74" s="2903"/>
      <c r="E74" s="2927">
        <f t="shared" si="1"/>
        <v>10</v>
      </c>
      <c r="F74" s="2927"/>
      <c r="G74" s="2927">
        <f t="shared" si="2"/>
        <v>2017</v>
      </c>
      <c r="H74" s="2927"/>
      <c r="I74" s="2928">
        <f t="shared" si="3"/>
        <v>948</v>
      </c>
      <c r="J74" s="2928"/>
      <c r="K74" s="2928"/>
      <c r="L74" s="2929">
        <f t="shared" si="4"/>
        <v>25.07</v>
      </c>
      <c r="M74" s="2930"/>
      <c r="N74" s="2930"/>
      <c r="O74" s="2931"/>
      <c r="P74" s="2932" t="str">
        <f t="shared" si="5"/>
        <v>Restituição Custeio Aux. Transporte</v>
      </c>
      <c r="Q74" s="2933"/>
      <c r="R74" s="2933"/>
      <c r="S74" s="2933"/>
      <c r="T74" s="2933"/>
      <c r="U74" s="2933"/>
      <c r="V74" s="2933"/>
      <c r="W74" s="2933"/>
      <c r="X74" s="2933"/>
      <c r="Y74" s="2933"/>
      <c r="Z74" s="2933"/>
      <c r="AA74" s="2933"/>
      <c r="AB74" s="2933"/>
      <c r="AC74" s="2933"/>
      <c r="AD74" s="2934"/>
      <c r="AE74" s="2867"/>
      <c r="AF74" s="2867"/>
      <c r="AG74" s="2867"/>
      <c r="AH74" s="2969"/>
      <c r="AI74" s="2958"/>
    </row>
    <row r="75" spans="2:35" ht="16.7" customHeight="1" x14ac:dyDescent="0.3">
      <c r="B75" s="2939"/>
      <c r="C75" s="230"/>
      <c r="D75" s="2903"/>
      <c r="E75" s="2927" t="str">
        <f t="shared" si="1"/>
        <v/>
      </c>
      <c r="F75" s="2927"/>
      <c r="G75" s="2927" t="str">
        <f t="shared" si="2"/>
        <v/>
      </c>
      <c r="H75" s="2927"/>
      <c r="I75" s="2928" t="str">
        <f t="shared" si="3"/>
        <v/>
      </c>
      <c r="J75" s="2928"/>
      <c r="K75" s="2928"/>
      <c r="L75" s="2929" t="str">
        <f t="shared" si="4"/>
        <v/>
      </c>
      <c r="M75" s="2930"/>
      <c r="N75" s="2930"/>
      <c r="O75" s="2931"/>
      <c r="P75" s="2932" t="str">
        <f t="shared" si="5"/>
        <v/>
      </c>
      <c r="Q75" s="2933"/>
      <c r="R75" s="2933"/>
      <c r="S75" s="2933"/>
      <c r="T75" s="2933"/>
      <c r="U75" s="2933"/>
      <c r="V75" s="2933"/>
      <c r="W75" s="2933"/>
      <c r="X75" s="2933"/>
      <c r="Y75" s="2933"/>
      <c r="Z75" s="2933"/>
      <c r="AA75" s="2933"/>
      <c r="AB75" s="2933"/>
      <c r="AC75" s="2933"/>
      <c r="AD75" s="2934"/>
      <c r="AE75" s="2867"/>
      <c r="AF75" s="2867"/>
      <c r="AG75" s="2867"/>
      <c r="AH75" s="2969"/>
      <c r="AI75" s="2958"/>
    </row>
    <row r="76" spans="2:35" ht="16.7" customHeight="1" x14ac:dyDescent="0.3">
      <c r="B76" s="2939"/>
      <c r="C76" s="230"/>
      <c r="D76" s="2903"/>
      <c r="E76" s="2927" t="str">
        <f t="shared" si="1"/>
        <v/>
      </c>
      <c r="F76" s="2927"/>
      <c r="G76" s="2927" t="str">
        <f t="shared" si="2"/>
        <v/>
      </c>
      <c r="H76" s="2927"/>
      <c r="I76" s="2928" t="str">
        <f t="shared" si="3"/>
        <v/>
      </c>
      <c r="J76" s="2928"/>
      <c r="K76" s="2928"/>
      <c r="L76" s="2929" t="str">
        <f t="shared" si="4"/>
        <v/>
      </c>
      <c r="M76" s="2930"/>
      <c r="N76" s="2930"/>
      <c r="O76" s="2931"/>
      <c r="P76" s="2932" t="str">
        <f t="shared" si="5"/>
        <v/>
      </c>
      <c r="Q76" s="2933"/>
      <c r="R76" s="2933"/>
      <c r="S76" s="2933"/>
      <c r="T76" s="2933"/>
      <c r="U76" s="2933"/>
      <c r="V76" s="2933"/>
      <c r="W76" s="2933"/>
      <c r="X76" s="2933"/>
      <c r="Y76" s="2933"/>
      <c r="Z76" s="2933"/>
      <c r="AA76" s="2933"/>
      <c r="AB76" s="2933"/>
      <c r="AC76" s="2933"/>
      <c r="AD76" s="2934"/>
      <c r="AE76" s="2867"/>
      <c r="AF76" s="2867"/>
      <c r="AG76" s="2867"/>
      <c r="AH76" s="2969"/>
      <c r="AI76" s="2958"/>
    </row>
    <row r="77" spans="2:35" ht="16.7" customHeight="1" x14ac:dyDescent="0.3">
      <c r="B77" s="2939"/>
      <c r="C77" s="230"/>
      <c r="D77" s="2903"/>
      <c r="E77" s="2927" t="str">
        <f t="shared" si="1"/>
        <v/>
      </c>
      <c r="F77" s="2927"/>
      <c r="G77" s="2927" t="str">
        <f t="shared" si="2"/>
        <v/>
      </c>
      <c r="H77" s="2927"/>
      <c r="I77" s="2928" t="str">
        <f t="shared" si="3"/>
        <v/>
      </c>
      <c r="J77" s="2928"/>
      <c r="K77" s="2928"/>
      <c r="L77" s="2929" t="str">
        <f t="shared" si="4"/>
        <v/>
      </c>
      <c r="M77" s="2930"/>
      <c r="N77" s="2930"/>
      <c r="O77" s="2931"/>
      <c r="P77" s="2932" t="str">
        <f t="shared" si="5"/>
        <v/>
      </c>
      <c r="Q77" s="2933"/>
      <c r="R77" s="2933"/>
      <c r="S77" s="2933"/>
      <c r="T77" s="2933"/>
      <c r="U77" s="2933"/>
      <c r="V77" s="2933"/>
      <c r="W77" s="2933"/>
      <c r="X77" s="2933"/>
      <c r="Y77" s="2933"/>
      <c r="Z77" s="2933"/>
      <c r="AA77" s="2933"/>
      <c r="AB77" s="2933"/>
      <c r="AC77" s="2933"/>
      <c r="AD77" s="2934"/>
      <c r="AE77" s="2867"/>
      <c r="AF77" s="2867"/>
      <c r="AG77" s="2867"/>
      <c r="AH77" s="2969"/>
      <c r="AI77" s="2958"/>
    </row>
    <row r="78" spans="2:35" ht="16.7" customHeight="1" x14ac:dyDescent="0.3">
      <c r="B78" s="2939"/>
      <c r="C78" s="230"/>
      <c r="D78" s="2903"/>
      <c r="E78" s="2927" t="str">
        <f t="shared" si="1"/>
        <v/>
      </c>
      <c r="F78" s="2927"/>
      <c r="G78" s="2927" t="str">
        <f t="shared" si="2"/>
        <v/>
      </c>
      <c r="H78" s="2927"/>
      <c r="I78" s="2928" t="str">
        <f t="shared" si="3"/>
        <v/>
      </c>
      <c r="J78" s="2928"/>
      <c r="K78" s="2928"/>
      <c r="L78" s="2929" t="str">
        <f t="shared" si="4"/>
        <v/>
      </c>
      <c r="M78" s="2930"/>
      <c r="N78" s="2930"/>
      <c r="O78" s="2931"/>
      <c r="P78" s="2932" t="str">
        <f t="shared" si="5"/>
        <v/>
      </c>
      <c r="Q78" s="2933"/>
      <c r="R78" s="2933"/>
      <c r="S78" s="2933"/>
      <c r="T78" s="2933"/>
      <c r="U78" s="2933"/>
      <c r="V78" s="2933"/>
      <c r="W78" s="2933"/>
      <c r="X78" s="2933"/>
      <c r="Y78" s="2933"/>
      <c r="Z78" s="2933"/>
      <c r="AA78" s="2933"/>
      <c r="AB78" s="2933"/>
      <c r="AC78" s="2933"/>
      <c r="AD78" s="2934"/>
      <c r="AE78" s="2867"/>
      <c r="AF78" s="2867"/>
      <c r="AG78" s="2867"/>
      <c r="AH78" s="2969"/>
      <c r="AI78" s="2958"/>
    </row>
    <row r="79" spans="2:35" ht="16.7" customHeight="1" x14ac:dyDescent="0.3">
      <c r="B79" s="2939"/>
      <c r="C79" s="230"/>
      <c r="D79" s="2903"/>
      <c r="E79" s="2927" t="str">
        <f t="shared" si="1"/>
        <v/>
      </c>
      <c r="F79" s="2927"/>
      <c r="G79" s="2927" t="str">
        <f t="shared" si="2"/>
        <v/>
      </c>
      <c r="H79" s="2927"/>
      <c r="I79" s="2928" t="str">
        <f t="shared" si="3"/>
        <v/>
      </c>
      <c r="J79" s="2928"/>
      <c r="K79" s="2928"/>
      <c r="L79" s="2929" t="str">
        <f t="shared" si="4"/>
        <v/>
      </c>
      <c r="M79" s="2930"/>
      <c r="N79" s="2930"/>
      <c r="O79" s="2931"/>
      <c r="P79" s="2932" t="str">
        <f t="shared" si="5"/>
        <v/>
      </c>
      <c r="Q79" s="2933"/>
      <c r="R79" s="2933"/>
      <c r="S79" s="2933"/>
      <c r="T79" s="2933"/>
      <c r="U79" s="2933"/>
      <c r="V79" s="2933"/>
      <c r="W79" s="2933"/>
      <c r="X79" s="2933"/>
      <c r="Y79" s="2933"/>
      <c r="Z79" s="2933"/>
      <c r="AA79" s="2933"/>
      <c r="AB79" s="2933"/>
      <c r="AC79" s="2933"/>
      <c r="AD79" s="2934"/>
      <c r="AE79" s="2867"/>
      <c r="AF79" s="2867"/>
      <c r="AG79" s="2867"/>
      <c r="AH79" s="2969"/>
      <c r="AI79" s="2958"/>
    </row>
    <row r="80" spans="2:35" ht="16.7" customHeight="1" x14ac:dyDescent="0.3">
      <c r="B80" s="2939"/>
      <c r="C80" s="230"/>
      <c r="D80" s="2903"/>
      <c r="E80" s="2927" t="str">
        <f t="shared" si="1"/>
        <v/>
      </c>
      <c r="F80" s="2927"/>
      <c r="G80" s="2927" t="str">
        <f t="shared" si="2"/>
        <v/>
      </c>
      <c r="H80" s="2927"/>
      <c r="I80" s="2928" t="str">
        <f t="shared" si="3"/>
        <v/>
      </c>
      <c r="J80" s="2928"/>
      <c r="K80" s="2928"/>
      <c r="L80" s="2929" t="str">
        <f t="shared" si="4"/>
        <v/>
      </c>
      <c r="M80" s="2930"/>
      <c r="N80" s="2930"/>
      <c r="O80" s="2931"/>
      <c r="P80" s="2932" t="str">
        <f t="shared" si="5"/>
        <v/>
      </c>
      <c r="Q80" s="2933"/>
      <c r="R80" s="2933"/>
      <c r="S80" s="2933"/>
      <c r="T80" s="2933"/>
      <c r="U80" s="2933"/>
      <c r="V80" s="2933"/>
      <c r="W80" s="2933"/>
      <c r="X80" s="2933"/>
      <c r="Y80" s="2933"/>
      <c r="Z80" s="2933"/>
      <c r="AA80" s="2933"/>
      <c r="AB80" s="2933"/>
      <c r="AC80" s="2933"/>
      <c r="AD80" s="2934"/>
      <c r="AE80" s="2867"/>
      <c r="AF80" s="2867"/>
      <c r="AG80" s="2867"/>
      <c r="AH80" s="2969"/>
      <c r="AI80" s="2958"/>
    </row>
    <row r="81" spans="2:35" ht="16.7" customHeight="1" x14ac:dyDescent="0.3">
      <c r="B81" s="2939"/>
      <c r="C81" s="230"/>
      <c r="D81" s="2903"/>
      <c r="E81" s="2927" t="str">
        <f t="shared" si="1"/>
        <v/>
      </c>
      <c r="F81" s="2927"/>
      <c r="G81" s="2927" t="str">
        <f t="shared" si="2"/>
        <v/>
      </c>
      <c r="H81" s="2927"/>
      <c r="I81" s="2928" t="str">
        <f t="shared" si="3"/>
        <v/>
      </c>
      <c r="J81" s="2928"/>
      <c r="K81" s="2928"/>
      <c r="L81" s="2929" t="str">
        <f t="shared" si="4"/>
        <v/>
      </c>
      <c r="M81" s="2930"/>
      <c r="N81" s="2930"/>
      <c r="O81" s="2931"/>
      <c r="P81" s="2932" t="str">
        <f t="shared" si="5"/>
        <v/>
      </c>
      <c r="Q81" s="2933"/>
      <c r="R81" s="2933"/>
      <c r="S81" s="2933"/>
      <c r="T81" s="2933"/>
      <c r="U81" s="2933"/>
      <c r="V81" s="2933"/>
      <c r="W81" s="2933"/>
      <c r="X81" s="2933"/>
      <c r="Y81" s="2933"/>
      <c r="Z81" s="2933"/>
      <c r="AA81" s="2933"/>
      <c r="AB81" s="2933"/>
      <c r="AC81" s="2933"/>
      <c r="AD81" s="2934"/>
      <c r="AE81" s="2867"/>
      <c r="AF81" s="2867"/>
      <c r="AG81" s="2867"/>
      <c r="AH81" s="2969"/>
      <c r="AI81" s="2958"/>
    </row>
    <row r="82" spans="2:35" ht="16.7" customHeight="1" x14ac:dyDescent="0.3">
      <c r="B82" s="2939"/>
      <c r="C82" s="230"/>
      <c r="D82" s="2903"/>
      <c r="E82" s="2927" t="str">
        <f t="shared" si="1"/>
        <v/>
      </c>
      <c r="F82" s="2927"/>
      <c r="G82" s="2927" t="str">
        <f t="shared" si="2"/>
        <v/>
      </c>
      <c r="H82" s="2927"/>
      <c r="I82" s="2928" t="str">
        <f t="shared" si="3"/>
        <v/>
      </c>
      <c r="J82" s="2928"/>
      <c r="K82" s="2928"/>
      <c r="L82" s="2929" t="str">
        <f t="shared" si="4"/>
        <v/>
      </c>
      <c r="M82" s="2930"/>
      <c r="N82" s="2930"/>
      <c r="O82" s="2931"/>
      <c r="P82" s="2932" t="str">
        <f t="shared" si="5"/>
        <v/>
      </c>
      <c r="Q82" s="2933"/>
      <c r="R82" s="2933"/>
      <c r="S82" s="2933"/>
      <c r="T82" s="2933"/>
      <c r="U82" s="2933"/>
      <c r="V82" s="2933"/>
      <c r="W82" s="2933"/>
      <c r="X82" s="2933"/>
      <c r="Y82" s="2933"/>
      <c r="Z82" s="2933"/>
      <c r="AA82" s="2933"/>
      <c r="AB82" s="2933"/>
      <c r="AC82" s="2933"/>
      <c r="AD82" s="2934"/>
      <c r="AE82" s="2867"/>
      <c r="AF82" s="2867"/>
      <c r="AG82" s="2867"/>
      <c r="AH82" s="2969"/>
      <c r="AI82" s="2958"/>
    </row>
    <row r="83" spans="2:35" ht="16.7" customHeight="1" x14ac:dyDescent="0.3">
      <c r="B83" s="2939"/>
      <c r="C83" s="230"/>
      <c r="D83" s="2903"/>
      <c r="E83" s="2927" t="str">
        <f t="shared" si="1"/>
        <v/>
      </c>
      <c r="F83" s="2927"/>
      <c r="G83" s="2927" t="str">
        <f t="shared" si="2"/>
        <v/>
      </c>
      <c r="H83" s="2927"/>
      <c r="I83" s="2928" t="str">
        <f t="shared" si="3"/>
        <v/>
      </c>
      <c r="J83" s="2928"/>
      <c r="K83" s="2928"/>
      <c r="L83" s="2929" t="str">
        <f t="shared" si="4"/>
        <v/>
      </c>
      <c r="M83" s="2930"/>
      <c r="N83" s="2930"/>
      <c r="O83" s="2931"/>
      <c r="P83" s="2932" t="str">
        <f t="shared" si="5"/>
        <v/>
      </c>
      <c r="Q83" s="2933"/>
      <c r="R83" s="2933"/>
      <c r="S83" s="2933"/>
      <c r="T83" s="2933"/>
      <c r="U83" s="2933"/>
      <c r="V83" s="2933"/>
      <c r="W83" s="2933"/>
      <c r="X83" s="2933"/>
      <c r="Y83" s="2933"/>
      <c r="Z83" s="2933"/>
      <c r="AA83" s="2933"/>
      <c r="AB83" s="2933"/>
      <c r="AC83" s="2933"/>
      <c r="AD83" s="2934"/>
      <c r="AE83" s="2867"/>
      <c r="AF83" s="2867"/>
      <c r="AG83" s="2867"/>
      <c r="AH83" s="2969"/>
      <c r="AI83" s="2958"/>
    </row>
    <row r="84" spans="2:35" ht="16.7" customHeight="1" x14ac:dyDescent="0.3">
      <c r="B84" s="2939"/>
      <c r="C84" s="230"/>
      <c r="D84" s="2903"/>
      <c r="E84" s="2927" t="str">
        <f t="shared" si="1"/>
        <v/>
      </c>
      <c r="F84" s="2927"/>
      <c r="G84" s="2927" t="str">
        <f t="shared" si="2"/>
        <v/>
      </c>
      <c r="H84" s="2927"/>
      <c r="I84" s="2928" t="str">
        <f t="shared" si="3"/>
        <v/>
      </c>
      <c r="J84" s="2928"/>
      <c r="K84" s="2928"/>
      <c r="L84" s="2929" t="str">
        <f t="shared" si="4"/>
        <v/>
      </c>
      <c r="M84" s="2930"/>
      <c r="N84" s="2930"/>
      <c r="O84" s="2931"/>
      <c r="P84" s="2932" t="str">
        <f t="shared" si="5"/>
        <v/>
      </c>
      <c r="Q84" s="2933"/>
      <c r="R84" s="2933"/>
      <c r="S84" s="2933"/>
      <c r="T84" s="2933"/>
      <c r="U84" s="2933"/>
      <c r="V84" s="2933"/>
      <c r="W84" s="2933"/>
      <c r="X84" s="2933"/>
      <c r="Y84" s="2933"/>
      <c r="Z84" s="2933"/>
      <c r="AA84" s="2933"/>
      <c r="AB84" s="2933"/>
      <c r="AC84" s="2933"/>
      <c r="AD84" s="2934"/>
      <c r="AE84" s="2867"/>
      <c r="AF84" s="2867"/>
      <c r="AG84" s="2867"/>
      <c r="AH84" s="2969"/>
      <c r="AI84" s="2958"/>
    </row>
    <row r="85" spans="2:35" ht="16.7" customHeight="1" x14ac:dyDescent="0.3">
      <c r="B85" s="2939"/>
      <c r="C85" s="230"/>
      <c r="D85" s="2903"/>
      <c r="E85" s="2927" t="str">
        <f t="shared" si="1"/>
        <v/>
      </c>
      <c r="F85" s="2927"/>
      <c r="G85" s="2927" t="str">
        <f t="shared" si="2"/>
        <v/>
      </c>
      <c r="H85" s="2927"/>
      <c r="I85" s="2928" t="str">
        <f t="shared" si="3"/>
        <v/>
      </c>
      <c r="J85" s="2928"/>
      <c r="K85" s="2928"/>
      <c r="L85" s="2929" t="str">
        <f t="shared" si="4"/>
        <v/>
      </c>
      <c r="M85" s="2930"/>
      <c r="N85" s="2930"/>
      <c r="O85" s="2931"/>
      <c r="P85" s="2932" t="str">
        <f t="shared" si="5"/>
        <v/>
      </c>
      <c r="Q85" s="2933"/>
      <c r="R85" s="2933"/>
      <c r="S85" s="2933"/>
      <c r="T85" s="2933"/>
      <c r="U85" s="2933"/>
      <c r="V85" s="2933"/>
      <c r="W85" s="2933"/>
      <c r="X85" s="2933"/>
      <c r="Y85" s="2933"/>
      <c r="Z85" s="2933"/>
      <c r="AA85" s="2933"/>
      <c r="AB85" s="2933"/>
      <c r="AC85" s="2933"/>
      <c r="AD85" s="2934"/>
      <c r="AE85" s="2867"/>
      <c r="AF85" s="2867"/>
      <c r="AG85" s="2867"/>
      <c r="AH85" s="2969"/>
      <c r="AI85" s="2958"/>
    </row>
    <row r="86" spans="2:35" ht="3.95" customHeight="1" x14ac:dyDescent="0.2">
      <c r="B86" s="2939"/>
      <c r="C86" s="230"/>
      <c r="D86" s="2869"/>
      <c r="E86" s="2870"/>
      <c r="F86" s="2870"/>
      <c r="G86" s="2870"/>
      <c r="H86" s="2870"/>
      <c r="I86" s="2870"/>
      <c r="J86" s="2870"/>
      <c r="K86" s="2870"/>
      <c r="L86" s="2870"/>
      <c r="M86" s="2870"/>
      <c r="N86" s="2870"/>
      <c r="O86" s="2870"/>
      <c r="P86" s="2870"/>
      <c r="Q86" s="2870"/>
      <c r="R86" s="2870"/>
      <c r="S86" s="2870"/>
      <c r="T86" s="2870"/>
      <c r="U86" s="2870"/>
      <c r="V86" s="2870"/>
      <c r="W86" s="2870"/>
      <c r="X86" s="2870"/>
      <c r="Y86" s="2870"/>
      <c r="Z86" s="2870"/>
      <c r="AA86" s="2870"/>
      <c r="AB86" s="2870"/>
      <c r="AC86" s="2870"/>
      <c r="AD86" s="2870"/>
      <c r="AE86" s="2870"/>
      <c r="AF86" s="2870"/>
      <c r="AG86" s="2870"/>
      <c r="AH86" s="2871"/>
      <c r="AI86" s="2958"/>
    </row>
    <row r="87" spans="2:35" ht="16.7" customHeight="1" x14ac:dyDescent="0.2">
      <c r="B87" s="2939"/>
      <c r="C87" s="230"/>
      <c r="D87" s="2903"/>
      <c r="E87" s="210">
        <v>2</v>
      </c>
      <c r="F87" s="2904" t="s">
        <v>7874</v>
      </c>
      <c r="G87" s="2905"/>
      <c r="H87" s="2905"/>
      <c r="I87" s="2905"/>
      <c r="J87" s="2905"/>
      <c r="K87" s="2905"/>
      <c r="L87" s="2905"/>
      <c r="M87" s="2905"/>
      <c r="N87" s="2905"/>
      <c r="O87" s="2905"/>
      <c r="P87" s="2905"/>
      <c r="Q87" s="2905"/>
      <c r="R87" s="2905"/>
      <c r="S87" s="2905"/>
      <c r="T87" s="2905"/>
      <c r="U87" s="2905"/>
      <c r="V87" s="2905"/>
      <c r="W87" s="2905"/>
      <c r="X87" s="2905"/>
      <c r="Y87" s="2905"/>
      <c r="Z87" s="2905"/>
      <c r="AA87" s="2905"/>
      <c r="AB87" s="2905"/>
      <c r="AC87" s="2905"/>
      <c r="AD87" s="2905"/>
      <c r="AE87" s="2905"/>
      <c r="AF87" s="2905"/>
      <c r="AG87" s="2906"/>
      <c r="AH87" s="2907"/>
      <c r="AI87" s="2958"/>
    </row>
    <row r="88" spans="2:35" ht="12.95" customHeight="1" x14ac:dyDescent="0.2">
      <c r="B88" s="2939"/>
      <c r="C88" s="230"/>
      <c r="D88" s="2903"/>
      <c r="E88" s="2909" t="s">
        <v>7869</v>
      </c>
      <c r="F88" s="2910"/>
      <c r="G88" s="2909" t="s">
        <v>7870</v>
      </c>
      <c r="H88" s="2910"/>
      <c r="I88" s="2911" t="s">
        <v>7871</v>
      </c>
      <c r="J88" s="2912"/>
      <c r="K88" s="2913"/>
      <c r="L88" s="2914" t="s">
        <v>348</v>
      </c>
      <c r="M88" s="2915"/>
      <c r="N88" s="2915"/>
      <c r="O88" s="2916"/>
      <c r="P88" s="2917" t="s">
        <v>7875</v>
      </c>
      <c r="Q88" s="2917"/>
      <c r="R88" s="2918" t="s">
        <v>7876</v>
      </c>
      <c r="S88" s="2919"/>
      <c r="T88" s="2920"/>
      <c r="U88" s="2917" t="s">
        <v>7873</v>
      </c>
      <c r="V88" s="2917"/>
      <c r="W88" s="2917"/>
      <c r="X88" s="2917"/>
      <c r="Y88" s="2917"/>
      <c r="Z88" s="2917"/>
      <c r="AA88" s="2917"/>
      <c r="AB88" s="2917"/>
      <c r="AC88" s="2917"/>
      <c r="AD88" s="2917"/>
      <c r="AE88" s="2921" t="s">
        <v>7872</v>
      </c>
      <c r="AF88" s="2922"/>
      <c r="AG88" s="2923"/>
      <c r="AH88" s="2907"/>
      <c r="AI88" s="2958"/>
    </row>
    <row r="89" spans="2:35" ht="16.7" customHeight="1" x14ac:dyDescent="0.3">
      <c r="B89" s="2939"/>
      <c r="C89" s="230"/>
      <c r="D89" s="2903"/>
      <c r="E89" s="2895">
        <f>IF(E30="","",E30)</f>
        <v>10</v>
      </c>
      <c r="F89" s="2895"/>
      <c r="G89" s="2895">
        <f>IF(G30="","",G30)</f>
        <v>2017</v>
      </c>
      <c r="H89" s="2895"/>
      <c r="I89" s="2896">
        <f>IF(I30="","",I30)</f>
        <v>7916</v>
      </c>
      <c r="J89" s="2896"/>
      <c r="K89" s="2896"/>
      <c r="L89" s="2897">
        <f>IF(L30="","",L30)</f>
        <v>50.29</v>
      </c>
      <c r="M89" s="2898"/>
      <c r="N89" s="2898"/>
      <c r="O89" s="2899"/>
      <c r="P89" s="2880" t="str">
        <f>IF(P30="","",P30)</f>
        <v>1</v>
      </c>
      <c r="Q89" s="2882"/>
      <c r="R89" s="2900">
        <f>IF(R30="","",R30)</f>
        <v>50.29</v>
      </c>
      <c r="S89" s="2901"/>
      <c r="T89" s="2902"/>
      <c r="U89" s="2924" t="str">
        <f>IF(U30="","",U30)</f>
        <v>Débito 05 dias mês 07/2017 (INSS a</v>
      </c>
      <c r="V89" s="2925"/>
      <c r="W89" s="2925"/>
      <c r="X89" s="2925"/>
      <c r="Y89" s="2925"/>
      <c r="Z89" s="2925"/>
      <c r="AA89" s="2925"/>
      <c r="AB89" s="2925"/>
      <c r="AC89" s="2925"/>
      <c r="AD89" s="2926"/>
      <c r="AE89" s="2867"/>
      <c r="AF89" s="2867"/>
      <c r="AG89" s="2867"/>
      <c r="AH89" s="2907"/>
      <c r="AI89" s="2958"/>
    </row>
    <row r="90" spans="2:35" ht="16.7" customHeight="1" x14ac:dyDescent="0.3">
      <c r="B90" s="2939"/>
      <c r="C90" s="230"/>
      <c r="D90" s="2903"/>
      <c r="E90" s="2895">
        <f t="shared" ref="E90:E95" si="6">IF(E31="","",E31)</f>
        <v>10</v>
      </c>
      <c r="F90" s="2895"/>
      <c r="G90" s="2895">
        <f t="shared" ref="G90:G95" si="7">IF(G31="","",G31)</f>
        <v>2017</v>
      </c>
      <c r="H90" s="2895"/>
      <c r="I90" s="2896">
        <f t="shared" ref="I90:I95" si="8">IF(I31="","",I31)</f>
        <v>7916</v>
      </c>
      <c r="J90" s="2896"/>
      <c r="K90" s="2896"/>
      <c r="L90" s="2897">
        <f t="shared" ref="L90:L95" si="9">IF(L31="","",L31)</f>
        <v>124.35</v>
      </c>
      <c r="M90" s="2898"/>
      <c r="N90" s="2898"/>
      <c r="O90" s="2899"/>
      <c r="P90" s="2880" t="str">
        <f t="shared" ref="P90:P95" si="10">IF(P31="","",P31)</f>
        <v>3</v>
      </c>
      <c r="Q90" s="2882"/>
      <c r="R90" s="2900">
        <f t="shared" ref="R90:R95" si="11">IF(R31="","",R31)</f>
        <v>41.449999999999996</v>
      </c>
      <c r="S90" s="2901"/>
      <c r="T90" s="2902"/>
      <c r="U90" s="2924" t="str">
        <f t="shared" ref="U90:U95" si="12">IF(U31="","",U31)</f>
        <v>contar 26/07/2017 e recebeu 30 dias)</v>
      </c>
      <c r="V90" s="2925"/>
      <c r="W90" s="2925"/>
      <c r="X90" s="2925"/>
      <c r="Y90" s="2925"/>
      <c r="Z90" s="2925"/>
      <c r="AA90" s="2925"/>
      <c r="AB90" s="2925"/>
      <c r="AC90" s="2925"/>
      <c r="AD90" s="2926"/>
      <c r="AE90" s="2867"/>
      <c r="AF90" s="2867"/>
      <c r="AG90" s="2867"/>
      <c r="AH90" s="2907"/>
      <c r="AI90" s="2958"/>
    </row>
    <row r="91" spans="2:35" ht="16.7" customHeight="1" x14ac:dyDescent="0.3">
      <c r="B91" s="2939"/>
      <c r="C91" s="230"/>
      <c r="D91" s="2903"/>
      <c r="E91" s="2895">
        <f t="shared" si="6"/>
        <v>10</v>
      </c>
      <c r="F91" s="2895"/>
      <c r="G91" s="2895">
        <f t="shared" si="7"/>
        <v>2017</v>
      </c>
      <c r="H91" s="2895"/>
      <c r="I91" s="2896">
        <f t="shared" si="8"/>
        <v>7979</v>
      </c>
      <c r="J91" s="2896"/>
      <c r="K91" s="2896"/>
      <c r="L91" s="2897">
        <f t="shared" si="9"/>
        <v>121.5</v>
      </c>
      <c r="M91" s="2898"/>
      <c r="N91" s="2898"/>
      <c r="O91" s="2899"/>
      <c r="P91" s="2880" t="str">
        <f t="shared" si="10"/>
        <v>3</v>
      </c>
      <c r="Q91" s="2882"/>
      <c r="R91" s="2900">
        <f t="shared" si="11"/>
        <v>40.5</v>
      </c>
      <c r="S91" s="2901"/>
      <c r="T91" s="2902"/>
      <c r="U91" s="2864" t="str">
        <f t="shared" si="12"/>
        <v>Débito de 15 d. úteis Aux.de Transporte</v>
      </c>
      <c r="V91" s="2865"/>
      <c r="W91" s="2865"/>
      <c r="X91" s="2865"/>
      <c r="Y91" s="2865"/>
      <c r="Z91" s="2865"/>
      <c r="AA91" s="2865"/>
      <c r="AB91" s="2865"/>
      <c r="AC91" s="2865"/>
      <c r="AD91" s="2866"/>
      <c r="AE91" s="2867"/>
      <c r="AF91" s="2867"/>
      <c r="AG91" s="2867"/>
      <c r="AH91" s="2907"/>
      <c r="AI91" s="2958"/>
    </row>
    <row r="92" spans="2:35" ht="16.7" customHeight="1" x14ac:dyDescent="0.3">
      <c r="B92" s="2939"/>
      <c r="C92" s="230"/>
      <c r="D92" s="2903"/>
      <c r="E92" s="2895" t="str">
        <f t="shared" si="6"/>
        <v/>
      </c>
      <c r="F92" s="2895"/>
      <c r="G92" s="2895" t="str">
        <f t="shared" si="7"/>
        <v/>
      </c>
      <c r="H92" s="2895"/>
      <c r="I92" s="2896" t="str">
        <f t="shared" si="8"/>
        <v/>
      </c>
      <c r="J92" s="2896"/>
      <c r="K92" s="2896"/>
      <c r="L92" s="2897" t="str">
        <f t="shared" si="9"/>
        <v/>
      </c>
      <c r="M92" s="2898"/>
      <c r="N92" s="2898"/>
      <c r="O92" s="2899"/>
      <c r="P92" s="2880" t="str">
        <f t="shared" si="10"/>
        <v/>
      </c>
      <c r="Q92" s="2882"/>
      <c r="R92" s="2900" t="str">
        <f t="shared" si="11"/>
        <v/>
      </c>
      <c r="S92" s="2901"/>
      <c r="T92" s="2902"/>
      <c r="U92" s="2864" t="str">
        <f t="shared" si="12"/>
        <v/>
      </c>
      <c r="V92" s="2865"/>
      <c r="W92" s="2865"/>
      <c r="X92" s="2865"/>
      <c r="Y92" s="2865"/>
      <c r="Z92" s="2865"/>
      <c r="AA92" s="2865"/>
      <c r="AB92" s="2865"/>
      <c r="AC92" s="2865"/>
      <c r="AD92" s="2866"/>
      <c r="AE92" s="2867"/>
      <c r="AF92" s="2867"/>
      <c r="AG92" s="2867"/>
      <c r="AH92" s="2907"/>
      <c r="AI92" s="2958"/>
    </row>
    <row r="93" spans="2:35" ht="16.7" customHeight="1" x14ac:dyDescent="0.3">
      <c r="B93" s="2939"/>
      <c r="C93" s="230"/>
      <c r="D93" s="2903"/>
      <c r="E93" s="2895" t="str">
        <f t="shared" si="6"/>
        <v/>
      </c>
      <c r="F93" s="2895"/>
      <c r="G93" s="2895" t="str">
        <f t="shared" si="7"/>
        <v/>
      </c>
      <c r="H93" s="2895"/>
      <c r="I93" s="2896" t="str">
        <f t="shared" si="8"/>
        <v/>
      </c>
      <c r="J93" s="2896"/>
      <c r="K93" s="2896"/>
      <c r="L93" s="2897" t="str">
        <f t="shared" si="9"/>
        <v/>
      </c>
      <c r="M93" s="2898"/>
      <c r="N93" s="2898"/>
      <c r="O93" s="2899"/>
      <c r="P93" s="2880" t="str">
        <f t="shared" si="10"/>
        <v/>
      </c>
      <c r="Q93" s="2882"/>
      <c r="R93" s="2900" t="str">
        <f t="shared" si="11"/>
        <v/>
      </c>
      <c r="S93" s="2901"/>
      <c r="T93" s="2902"/>
      <c r="U93" s="2864" t="str">
        <f t="shared" si="12"/>
        <v/>
      </c>
      <c r="V93" s="2865"/>
      <c r="W93" s="2865"/>
      <c r="X93" s="2865"/>
      <c r="Y93" s="2865"/>
      <c r="Z93" s="2865"/>
      <c r="AA93" s="2865"/>
      <c r="AB93" s="2865"/>
      <c r="AC93" s="2865"/>
      <c r="AD93" s="2866"/>
      <c r="AE93" s="2867"/>
      <c r="AF93" s="2867"/>
      <c r="AG93" s="2867"/>
      <c r="AH93" s="2907"/>
      <c r="AI93" s="2958"/>
    </row>
    <row r="94" spans="2:35" ht="16.7" customHeight="1" x14ac:dyDescent="0.3">
      <c r="B94" s="2939"/>
      <c r="C94" s="230"/>
      <c r="D94" s="2903"/>
      <c r="E94" s="2895" t="str">
        <f t="shared" si="6"/>
        <v/>
      </c>
      <c r="F94" s="2895"/>
      <c r="G94" s="2895" t="str">
        <f t="shared" si="7"/>
        <v/>
      </c>
      <c r="H94" s="2895"/>
      <c r="I94" s="2896" t="str">
        <f t="shared" si="8"/>
        <v/>
      </c>
      <c r="J94" s="2896"/>
      <c r="K94" s="2896"/>
      <c r="L94" s="2897" t="str">
        <f t="shared" si="9"/>
        <v/>
      </c>
      <c r="M94" s="2898"/>
      <c r="N94" s="2898"/>
      <c r="O94" s="2899"/>
      <c r="P94" s="2880" t="str">
        <f t="shared" si="10"/>
        <v/>
      </c>
      <c r="Q94" s="2882"/>
      <c r="R94" s="2900" t="str">
        <f t="shared" si="11"/>
        <v/>
      </c>
      <c r="S94" s="2901"/>
      <c r="T94" s="2902"/>
      <c r="U94" s="2864" t="str">
        <f t="shared" si="12"/>
        <v/>
      </c>
      <c r="V94" s="2865"/>
      <c r="W94" s="2865"/>
      <c r="X94" s="2865"/>
      <c r="Y94" s="2865"/>
      <c r="Z94" s="2865"/>
      <c r="AA94" s="2865"/>
      <c r="AB94" s="2865"/>
      <c r="AC94" s="2865"/>
      <c r="AD94" s="2866"/>
      <c r="AE94" s="2867"/>
      <c r="AF94" s="2867"/>
      <c r="AG94" s="2867"/>
      <c r="AH94" s="2907"/>
      <c r="AI94" s="2958"/>
    </row>
    <row r="95" spans="2:35" ht="16.7" customHeight="1" x14ac:dyDescent="0.3">
      <c r="B95" s="2939"/>
      <c r="C95" s="230"/>
      <c r="D95" s="2903"/>
      <c r="E95" s="2895" t="str">
        <f t="shared" si="6"/>
        <v/>
      </c>
      <c r="F95" s="2895"/>
      <c r="G95" s="2895" t="str">
        <f t="shared" si="7"/>
        <v/>
      </c>
      <c r="H95" s="2895"/>
      <c r="I95" s="2896" t="str">
        <f t="shared" si="8"/>
        <v/>
      </c>
      <c r="J95" s="2896"/>
      <c r="K95" s="2896"/>
      <c r="L95" s="2897" t="str">
        <f t="shared" si="9"/>
        <v/>
      </c>
      <c r="M95" s="2898"/>
      <c r="N95" s="2898"/>
      <c r="O95" s="2899"/>
      <c r="P95" s="2880" t="str">
        <f t="shared" si="10"/>
        <v/>
      </c>
      <c r="Q95" s="2882"/>
      <c r="R95" s="2900" t="str">
        <f t="shared" si="11"/>
        <v/>
      </c>
      <c r="S95" s="2901"/>
      <c r="T95" s="2902"/>
      <c r="U95" s="2864" t="str">
        <f t="shared" si="12"/>
        <v/>
      </c>
      <c r="V95" s="2865"/>
      <c r="W95" s="2865"/>
      <c r="X95" s="2865"/>
      <c r="Y95" s="2865"/>
      <c r="Z95" s="2865"/>
      <c r="AA95" s="2865"/>
      <c r="AB95" s="2865"/>
      <c r="AC95" s="2865"/>
      <c r="AD95" s="2866"/>
      <c r="AE95" s="2867"/>
      <c r="AF95" s="2867"/>
      <c r="AG95" s="2867"/>
      <c r="AH95" s="2908"/>
      <c r="AI95" s="2958"/>
    </row>
    <row r="96" spans="2:35" ht="3.95" customHeight="1" x14ac:dyDescent="0.2">
      <c r="B96" s="2939"/>
      <c r="C96" s="2868" t="s">
        <v>7878</v>
      </c>
      <c r="D96" s="2869"/>
      <c r="E96" s="2870"/>
      <c r="F96" s="2870"/>
      <c r="G96" s="2870"/>
      <c r="H96" s="2870"/>
      <c r="I96" s="2870"/>
      <c r="J96" s="2870"/>
      <c r="K96" s="2870"/>
      <c r="L96" s="2870"/>
      <c r="M96" s="2870"/>
      <c r="N96" s="2870"/>
      <c r="O96" s="2870"/>
      <c r="P96" s="2870"/>
      <c r="Q96" s="2870"/>
      <c r="R96" s="2870"/>
      <c r="S96" s="2870"/>
      <c r="T96" s="2870"/>
      <c r="U96" s="2870"/>
      <c r="V96" s="2870"/>
      <c r="W96" s="2870"/>
      <c r="X96" s="2870"/>
      <c r="Y96" s="2870"/>
      <c r="Z96" s="2870"/>
      <c r="AA96" s="2870"/>
      <c r="AB96" s="2870"/>
      <c r="AC96" s="2870"/>
      <c r="AD96" s="2870"/>
      <c r="AE96" s="2870"/>
      <c r="AF96" s="2870"/>
      <c r="AG96" s="2870"/>
      <c r="AH96" s="2871"/>
      <c r="AI96" s="2958"/>
    </row>
    <row r="97" spans="2:35" ht="16.7" customHeight="1" x14ac:dyDescent="0.2">
      <c r="B97" s="2939"/>
      <c r="C97" s="2868"/>
      <c r="D97" s="231"/>
      <c r="E97" s="208">
        <v>3</v>
      </c>
      <c r="F97" s="2872" t="s">
        <v>7879</v>
      </c>
      <c r="G97" s="2873"/>
      <c r="H97" s="2873"/>
      <c r="I97" s="2873"/>
      <c r="J97" s="2873"/>
      <c r="K97" s="2873"/>
      <c r="L97" s="2873"/>
      <c r="M97" s="2873"/>
      <c r="N97" s="2873"/>
      <c r="O97" s="2873"/>
      <c r="P97" s="2873"/>
      <c r="Q97" s="2873"/>
      <c r="R97" s="2873"/>
      <c r="S97" s="2873"/>
      <c r="T97" s="2873"/>
      <c r="U97" s="2873"/>
      <c r="V97" s="2873"/>
      <c r="W97" s="2873"/>
      <c r="X97" s="2873"/>
      <c r="Y97" s="2873"/>
      <c r="Z97" s="2873"/>
      <c r="AA97" s="2873"/>
      <c r="AB97" s="2873"/>
      <c r="AC97" s="2873"/>
      <c r="AD97" s="2873"/>
      <c r="AE97" s="2873"/>
      <c r="AF97" s="2873"/>
      <c r="AG97" s="2874"/>
      <c r="AH97" s="206"/>
      <c r="AI97" s="2958"/>
    </row>
    <row r="98" spans="2:35" ht="12.95" customHeight="1" x14ac:dyDescent="0.2">
      <c r="B98" s="2939"/>
      <c r="C98" s="2868"/>
      <c r="D98" s="231"/>
      <c r="E98" s="2875" t="s">
        <v>7873</v>
      </c>
      <c r="F98" s="2876"/>
      <c r="G98" s="2876"/>
      <c r="H98" s="2876"/>
      <c r="I98" s="2876"/>
      <c r="J98" s="2876"/>
      <c r="K98" s="2877"/>
      <c r="L98" s="2878" t="s">
        <v>7882</v>
      </c>
      <c r="M98" s="2878"/>
      <c r="N98" s="2878"/>
      <c r="O98" s="2878"/>
      <c r="P98" s="2879" t="s">
        <v>7883</v>
      </c>
      <c r="Q98" s="2879"/>
      <c r="R98" s="2879"/>
      <c r="S98" s="2879"/>
      <c r="T98" s="2879"/>
      <c r="U98" s="2879"/>
      <c r="V98" s="2879"/>
      <c r="W98" s="2879"/>
      <c r="X98" s="2879"/>
      <c r="Y98" s="2879"/>
      <c r="Z98" s="2879"/>
      <c r="AA98" s="2879"/>
      <c r="AB98" s="2879"/>
      <c r="AC98" s="2879"/>
      <c r="AD98" s="2879"/>
      <c r="AE98" s="2879" t="s">
        <v>7872</v>
      </c>
      <c r="AF98" s="2879"/>
      <c r="AG98" s="2879"/>
      <c r="AH98" s="206"/>
      <c r="AI98" s="2958"/>
    </row>
    <row r="99" spans="2:35" ht="16.7" customHeight="1" x14ac:dyDescent="0.3">
      <c r="B99" s="2939"/>
      <c r="C99" s="2868"/>
      <c r="D99" s="231"/>
      <c r="E99" s="2880" t="str">
        <f t="shared" ref="E99:E104" si="13">IF(E40="","",E40)</f>
        <v/>
      </c>
      <c r="F99" s="2881"/>
      <c r="G99" s="2881"/>
      <c r="H99" s="2881"/>
      <c r="I99" s="2881"/>
      <c r="J99" s="2881"/>
      <c r="K99" s="2882"/>
      <c r="L99" s="2883" t="str">
        <f t="shared" ref="L99:L104" si="14">IF(L40="","",L40)</f>
        <v/>
      </c>
      <c r="M99" s="2883"/>
      <c r="N99" s="2883"/>
      <c r="O99" s="2883"/>
      <c r="P99" s="2884" t="str">
        <f t="shared" ref="P99:P104" si="15">IF(P40="","",P40)</f>
        <v/>
      </c>
      <c r="Q99" s="2884"/>
      <c r="R99" s="2884"/>
      <c r="S99" s="2884"/>
      <c r="T99" s="2884"/>
      <c r="U99" s="2884"/>
      <c r="V99" s="2884"/>
      <c r="W99" s="2884"/>
      <c r="X99" s="2884"/>
      <c r="Y99" s="2884"/>
      <c r="Z99" s="2884"/>
      <c r="AA99" s="2884"/>
      <c r="AB99" s="2884"/>
      <c r="AC99" s="2884"/>
      <c r="AD99" s="2884"/>
      <c r="AE99" s="2867"/>
      <c r="AF99" s="2867"/>
      <c r="AG99" s="2867"/>
      <c r="AH99" s="206"/>
      <c r="AI99" s="2958"/>
    </row>
    <row r="100" spans="2:35" ht="16.7" customHeight="1" x14ac:dyDescent="0.3">
      <c r="B100" s="2939"/>
      <c r="C100" s="2868"/>
      <c r="D100" s="231"/>
      <c r="E100" s="2880" t="str">
        <f t="shared" si="13"/>
        <v/>
      </c>
      <c r="F100" s="2881"/>
      <c r="G100" s="2881"/>
      <c r="H100" s="2881"/>
      <c r="I100" s="2881"/>
      <c r="J100" s="2881"/>
      <c r="K100" s="2882"/>
      <c r="L100" s="2883" t="str">
        <f t="shared" si="14"/>
        <v/>
      </c>
      <c r="M100" s="2883"/>
      <c r="N100" s="2883"/>
      <c r="O100" s="2883"/>
      <c r="P100" s="2884" t="str">
        <f t="shared" si="15"/>
        <v/>
      </c>
      <c r="Q100" s="2884"/>
      <c r="R100" s="2884"/>
      <c r="S100" s="2884"/>
      <c r="T100" s="2884"/>
      <c r="U100" s="2884"/>
      <c r="V100" s="2884"/>
      <c r="W100" s="2884"/>
      <c r="X100" s="2884"/>
      <c r="Y100" s="2884"/>
      <c r="Z100" s="2884"/>
      <c r="AA100" s="2884"/>
      <c r="AB100" s="2884"/>
      <c r="AC100" s="2884"/>
      <c r="AD100" s="2884"/>
      <c r="AE100" s="2867"/>
      <c r="AF100" s="2867"/>
      <c r="AG100" s="2867"/>
      <c r="AH100" s="206"/>
      <c r="AI100" s="2958"/>
    </row>
    <row r="101" spans="2:35" ht="16.7" customHeight="1" x14ac:dyDescent="0.3">
      <c r="B101" s="2939"/>
      <c r="C101" s="2868"/>
      <c r="D101" s="231"/>
      <c r="E101" s="2880" t="str">
        <f t="shared" si="13"/>
        <v/>
      </c>
      <c r="F101" s="2881"/>
      <c r="G101" s="2881"/>
      <c r="H101" s="2881"/>
      <c r="I101" s="2881"/>
      <c r="J101" s="2881"/>
      <c r="K101" s="2882"/>
      <c r="L101" s="2883" t="str">
        <f t="shared" si="14"/>
        <v/>
      </c>
      <c r="M101" s="2883"/>
      <c r="N101" s="2883"/>
      <c r="O101" s="2883"/>
      <c r="P101" s="2884" t="str">
        <f t="shared" si="15"/>
        <v/>
      </c>
      <c r="Q101" s="2884"/>
      <c r="R101" s="2884"/>
      <c r="S101" s="2884"/>
      <c r="T101" s="2884"/>
      <c r="U101" s="2884"/>
      <c r="V101" s="2884"/>
      <c r="W101" s="2884"/>
      <c r="X101" s="2884"/>
      <c r="Y101" s="2884"/>
      <c r="Z101" s="2884"/>
      <c r="AA101" s="2884"/>
      <c r="AB101" s="2884"/>
      <c r="AC101" s="2884"/>
      <c r="AD101" s="2884"/>
      <c r="AE101" s="2867"/>
      <c r="AF101" s="2867"/>
      <c r="AG101" s="2867"/>
      <c r="AH101" s="206"/>
      <c r="AI101" s="2958"/>
    </row>
    <row r="102" spans="2:35" ht="16.7" customHeight="1" x14ac:dyDescent="0.3">
      <c r="B102" s="2939"/>
      <c r="C102" s="2868"/>
      <c r="D102" s="231"/>
      <c r="E102" s="2880" t="str">
        <f t="shared" si="13"/>
        <v/>
      </c>
      <c r="F102" s="2881"/>
      <c r="G102" s="2881"/>
      <c r="H102" s="2881"/>
      <c r="I102" s="2881"/>
      <c r="J102" s="2881"/>
      <c r="K102" s="2882"/>
      <c r="L102" s="2883" t="str">
        <f t="shared" si="14"/>
        <v/>
      </c>
      <c r="M102" s="2883"/>
      <c r="N102" s="2883"/>
      <c r="O102" s="2883"/>
      <c r="P102" s="2884" t="str">
        <f t="shared" si="15"/>
        <v/>
      </c>
      <c r="Q102" s="2884"/>
      <c r="R102" s="2884"/>
      <c r="S102" s="2884"/>
      <c r="T102" s="2884"/>
      <c r="U102" s="2884"/>
      <c r="V102" s="2884"/>
      <c r="W102" s="2884"/>
      <c r="X102" s="2884"/>
      <c r="Y102" s="2884"/>
      <c r="Z102" s="2884"/>
      <c r="AA102" s="2884"/>
      <c r="AB102" s="2884"/>
      <c r="AC102" s="2884"/>
      <c r="AD102" s="2884"/>
      <c r="AE102" s="2867"/>
      <c r="AF102" s="2867"/>
      <c r="AG102" s="2867"/>
      <c r="AH102" s="206"/>
      <c r="AI102" s="2958"/>
    </row>
    <row r="103" spans="2:35" ht="16.7" customHeight="1" x14ac:dyDescent="0.3">
      <c r="B103" s="2939"/>
      <c r="C103" s="2868"/>
      <c r="D103" s="231"/>
      <c r="E103" s="2880" t="str">
        <f t="shared" si="13"/>
        <v/>
      </c>
      <c r="F103" s="2881"/>
      <c r="G103" s="2881"/>
      <c r="H103" s="2881"/>
      <c r="I103" s="2881"/>
      <c r="J103" s="2881"/>
      <c r="K103" s="2882"/>
      <c r="L103" s="2883" t="str">
        <f t="shared" si="14"/>
        <v/>
      </c>
      <c r="M103" s="2883"/>
      <c r="N103" s="2883"/>
      <c r="O103" s="2883"/>
      <c r="P103" s="2884" t="str">
        <f t="shared" si="15"/>
        <v/>
      </c>
      <c r="Q103" s="2884"/>
      <c r="R103" s="2884"/>
      <c r="S103" s="2884"/>
      <c r="T103" s="2884"/>
      <c r="U103" s="2884"/>
      <c r="V103" s="2884"/>
      <c r="W103" s="2884"/>
      <c r="X103" s="2884"/>
      <c r="Y103" s="2884"/>
      <c r="Z103" s="2884"/>
      <c r="AA103" s="2884"/>
      <c r="AB103" s="2884"/>
      <c r="AC103" s="2884"/>
      <c r="AD103" s="2884"/>
      <c r="AE103" s="2867"/>
      <c r="AF103" s="2867"/>
      <c r="AG103" s="2867"/>
      <c r="AH103" s="206"/>
      <c r="AI103" s="2958"/>
    </row>
    <row r="104" spans="2:35" ht="16.7" customHeight="1" x14ac:dyDescent="0.3">
      <c r="B104" s="2939"/>
      <c r="C104" s="2868"/>
      <c r="D104" s="231"/>
      <c r="E104" s="2880" t="str">
        <f t="shared" si="13"/>
        <v/>
      </c>
      <c r="F104" s="2881"/>
      <c r="G104" s="2881"/>
      <c r="H104" s="2881"/>
      <c r="I104" s="2881"/>
      <c r="J104" s="2881"/>
      <c r="K104" s="2882"/>
      <c r="L104" s="2883" t="str">
        <f t="shared" si="14"/>
        <v/>
      </c>
      <c r="M104" s="2883"/>
      <c r="N104" s="2883"/>
      <c r="O104" s="2883"/>
      <c r="P104" s="2884" t="str">
        <f t="shared" si="15"/>
        <v/>
      </c>
      <c r="Q104" s="2884"/>
      <c r="R104" s="2884"/>
      <c r="S104" s="2884"/>
      <c r="T104" s="2884"/>
      <c r="U104" s="2884"/>
      <c r="V104" s="2884"/>
      <c r="W104" s="2884"/>
      <c r="X104" s="2884"/>
      <c r="Y104" s="2884"/>
      <c r="Z104" s="2884"/>
      <c r="AA104" s="2884"/>
      <c r="AB104" s="2884"/>
      <c r="AC104" s="2884"/>
      <c r="AD104" s="2884"/>
      <c r="AE104" s="2867"/>
      <c r="AF104" s="2867"/>
      <c r="AG104" s="2867"/>
      <c r="AH104" s="207"/>
      <c r="AI104" s="2958"/>
    </row>
    <row r="105" spans="2:35" ht="3.95" customHeight="1" x14ac:dyDescent="0.2">
      <c r="B105" s="2939"/>
      <c r="C105" s="2868"/>
      <c r="D105" s="2869"/>
      <c r="E105" s="2870"/>
      <c r="F105" s="2870"/>
      <c r="G105" s="2870"/>
      <c r="H105" s="2870"/>
      <c r="I105" s="2870"/>
      <c r="J105" s="2870"/>
      <c r="K105" s="2870"/>
      <c r="L105" s="2870"/>
      <c r="M105" s="2870"/>
      <c r="N105" s="2870"/>
      <c r="O105" s="2870"/>
      <c r="P105" s="2870"/>
      <c r="Q105" s="2870"/>
      <c r="R105" s="2870"/>
      <c r="S105" s="2870"/>
      <c r="T105" s="2870"/>
      <c r="U105" s="2870"/>
      <c r="V105" s="2870"/>
      <c r="W105" s="2870"/>
      <c r="X105" s="2870"/>
      <c r="Y105" s="2870"/>
      <c r="Z105" s="2870"/>
      <c r="AA105" s="2870"/>
      <c r="AB105" s="2870"/>
      <c r="AC105" s="2870"/>
      <c r="AD105" s="2870"/>
      <c r="AE105" s="2870"/>
      <c r="AF105" s="2870"/>
      <c r="AG105" s="2870"/>
      <c r="AH105" s="2871"/>
      <c r="AI105" s="2958"/>
    </row>
    <row r="106" spans="2:35" ht="16.7" customHeight="1" x14ac:dyDescent="0.2">
      <c r="B106" s="2939"/>
      <c r="C106" s="2868"/>
      <c r="D106" s="2885"/>
      <c r="E106" s="208">
        <v>4</v>
      </c>
      <c r="F106" s="2872" t="s">
        <v>7880</v>
      </c>
      <c r="G106" s="2873"/>
      <c r="H106" s="2873"/>
      <c r="I106" s="2873"/>
      <c r="J106" s="2873"/>
      <c r="K106" s="2873"/>
      <c r="L106" s="2873"/>
      <c r="M106" s="2873"/>
      <c r="N106" s="2873"/>
      <c r="O106" s="2873"/>
      <c r="P106" s="2873"/>
      <c r="Q106" s="2873"/>
      <c r="R106" s="2873"/>
      <c r="S106" s="2873"/>
      <c r="T106" s="2873"/>
      <c r="U106" s="2873"/>
      <c r="V106" s="2873"/>
      <c r="W106" s="2873"/>
      <c r="X106" s="2873"/>
      <c r="Y106" s="2873"/>
      <c r="Z106" s="2873"/>
      <c r="AA106" s="2873"/>
      <c r="AB106" s="2873"/>
      <c r="AC106" s="2873"/>
      <c r="AD106" s="2873"/>
      <c r="AE106" s="2873"/>
      <c r="AF106" s="2873"/>
      <c r="AG106" s="2874"/>
      <c r="AH106" s="2886"/>
      <c r="AI106" s="2958"/>
    </row>
    <row r="107" spans="2:35" ht="12.95" customHeight="1" x14ac:dyDescent="0.2">
      <c r="B107" s="2939"/>
      <c r="C107" s="2868"/>
      <c r="D107" s="2885"/>
      <c r="E107" s="2889"/>
      <c r="F107" s="2890"/>
      <c r="G107" s="2890"/>
      <c r="H107" s="2890"/>
      <c r="I107" s="2890"/>
      <c r="J107" s="2890"/>
      <c r="K107" s="2890"/>
      <c r="L107" s="2890"/>
      <c r="M107" s="2890"/>
      <c r="N107" s="2890"/>
      <c r="O107" s="2890"/>
      <c r="P107" s="2890"/>
      <c r="Q107" s="2890"/>
      <c r="R107" s="2890"/>
      <c r="S107" s="2890"/>
      <c r="T107" s="2890"/>
      <c r="U107" s="2890"/>
      <c r="V107" s="2890"/>
      <c r="W107" s="2890"/>
      <c r="X107" s="2890"/>
      <c r="Y107" s="2890"/>
      <c r="Z107" s="2890"/>
      <c r="AA107" s="2890"/>
      <c r="AB107" s="2890"/>
      <c r="AC107" s="2890"/>
      <c r="AD107" s="2891"/>
      <c r="AE107" s="2892" t="s">
        <v>7872</v>
      </c>
      <c r="AF107" s="2893"/>
      <c r="AG107" s="2894"/>
      <c r="AH107" s="2887"/>
      <c r="AI107" s="2958"/>
    </row>
    <row r="108" spans="2:35" ht="16.7" customHeight="1" x14ac:dyDescent="0.3">
      <c r="B108" s="2939"/>
      <c r="C108" s="2868"/>
      <c r="D108" s="2885"/>
      <c r="E108" s="2864" t="str">
        <f>IF(E49="","",E49)</f>
        <v/>
      </c>
      <c r="F108" s="2865"/>
      <c r="G108" s="2865"/>
      <c r="H108" s="2865"/>
      <c r="I108" s="2865"/>
      <c r="J108" s="2865"/>
      <c r="K108" s="2865"/>
      <c r="L108" s="2865"/>
      <c r="M108" s="2865"/>
      <c r="N108" s="2865"/>
      <c r="O108" s="2865"/>
      <c r="P108" s="2865"/>
      <c r="Q108" s="2865"/>
      <c r="R108" s="2865"/>
      <c r="S108" s="2865"/>
      <c r="T108" s="2865"/>
      <c r="U108" s="2865"/>
      <c r="V108" s="2865"/>
      <c r="W108" s="2865"/>
      <c r="X108" s="2865"/>
      <c r="Y108" s="2865"/>
      <c r="Z108" s="2865"/>
      <c r="AA108" s="2865"/>
      <c r="AB108" s="2865"/>
      <c r="AC108" s="2865"/>
      <c r="AD108" s="2866"/>
      <c r="AE108" s="2867"/>
      <c r="AF108" s="2867"/>
      <c r="AG108" s="2867"/>
      <c r="AH108" s="2887"/>
      <c r="AI108" s="2958"/>
    </row>
    <row r="109" spans="2:35" ht="16.7" customHeight="1" x14ac:dyDescent="0.3">
      <c r="B109" s="2939"/>
      <c r="C109" s="2868"/>
      <c r="D109" s="2885"/>
      <c r="E109" s="2864" t="str">
        <f t="shared" ref="E109:E116" si="16">IF(E50="","",E50)</f>
        <v/>
      </c>
      <c r="F109" s="2865"/>
      <c r="G109" s="2865"/>
      <c r="H109" s="2865"/>
      <c r="I109" s="2865"/>
      <c r="J109" s="2865"/>
      <c r="K109" s="2865"/>
      <c r="L109" s="2865"/>
      <c r="M109" s="2865"/>
      <c r="N109" s="2865"/>
      <c r="O109" s="2865"/>
      <c r="P109" s="2865"/>
      <c r="Q109" s="2865"/>
      <c r="R109" s="2865"/>
      <c r="S109" s="2865"/>
      <c r="T109" s="2865"/>
      <c r="U109" s="2865"/>
      <c r="V109" s="2865"/>
      <c r="W109" s="2865"/>
      <c r="X109" s="2865"/>
      <c r="Y109" s="2865"/>
      <c r="Z109" s="2865"/>
      <c r="AA109" s="2865"/>
      <c r="AB109" s="2865"/>
      <c r="AC109" s="2865"/>
      <c r="AD109" s="2866"/>
      <c r="AE109" s="2867"/>
      <c r="AF109" s="2867"/>
      <c r="AG109" s="2867"/>
      <c r="AH109" s="2887"/>
      <c r="AI109" s="2958"/>
    </row>
    <row r="110" spans="2:35" ht="16.7" customHeight="1" x14ac:dyDescent="0.3">
      <c r="B110" s="2939"/>
      <c r="C110" s="2868"/>
      <c r="D110" s="2885"/>
      <c r="E110" s="2864" t="str">
        <f t="shared" si="16"/>
        <v/>
      </c>
      <c r="F110" s="2865"/>
      <c r="G110" s="2865"/>
      <c r="H110" s="2865"/>
      <c r="I110" s="2865"/>
      <c r="J110" s="2865"/>
      <c r="K110" s="2865"/>
      <c r="L110" s="2865"/>
      <c r="M110" s="2865"/>
      <c r="N110" s="2865"/>
      <c r="O110" s="2865"/>
      <c r="P110" s="2865"/>
      <c r="Q110" s="2865"/>
      <c r="R110" s="2865"/>
      <c r="S110" s="2865"/>
      <c r="T110" s="2865"/>
      <c r="U110" s="2865"/>
      <c r="V110" s="2865"/>
      <c r="W110" s="2865"/>
      <c r="X110" s="2865"/>
      <c r="Y110" s="2865"/>
      <c r="Z110" s="2865"/>
      <c r="AA110" s="2865"/>
      <c r="AB110" s="2865"/>
      <c r="AC110" s="2865"/>
      <c r="AD110" s="2866"/>
      <c r="AE110" s="2867"/>
      <c r="AF110" s="2867"/>
      <c r="AG110" s="2867"/>
      <c r="AH110" s="2887"/>
      <c r="AI110" s="2958"/>
    </row>
    <row r="111" spans="2:35" ht="16.7" customHeight="1" x14ac:dyDescent="0.3">
      <c r="B111" s="2939"/>
      <c r="C111" s="2868"/>
      <c r="D111" s="2885"/>
      <c r="E111" s="2864" t="str">
        <f t="shared" si="16"/>
        <v/>
      </c>
      <c r="F111" s="2865"/>
      <c r="G111" s="2865"/>
      <c r="H111" s="2865"/>
      <c r="I111" s="2865"/>
      <c r="J111" s="2865"/>
      <c r="K111" s="2865"/>
      <c r="L111" s="2865"/>
      <c r="M111" s="2865"/>
      <c r="N111" s="2865"/>
      <c r="O111" s="2865"/>
      <c r="P111" s="2865"/>
      <c r="Q111" s="2865"/>
      <c r="R111" s="2865"/>
      <c r="S111" s="2865"/>
      <c r="T111" s="2865"/>
      <c r="U111" s="2865"/>
      <c r="V111" s="2865"/>
      <c r="W111" s="2865"/>
      <c r="X111" s="2865"/>
      <c r="Y111" s="2865"/>
      <c r="Z111" s="2865"/>
      <c r="AA111" s="2865"/>
      <c r="AB111" s="2865"/>
      <c r="AC111" s="2865"/>
      <c r="AD111" s="2866"/>
      <c r="AE111" s="2867"/>
      <c r="AF111" s="2867"/>
      <c r="AG111" s="2867"/>
      <c r="AH111" s="2887"/>
      <c r="AI111" s="2958"/>
    </row>
    <row r="112" spans="2:35" ht="16.7" customHeight="1" x14ac:dyDescent="0.3">
      <c r="B112" s="2939"/>
      <c r="C112" s="2868"/>
      <c r="D112" s="2885"/>
      <c r="E112" s="2864" t="str">
        <f t="shared" si="16"/>
        <v/>
      </c>
      <c r="F112" s="2865"/>
      <c r="G112" s="2865"/>
      <c r="H112" s="2865"/>
      <c r="I112" s="2865"/>
      <c r="J112" s="2865"/>
      <c r="K112" s="2865"/>
      <c r="L112" s="2865"/>
      <c r="M112" s="2865"/>
      <c r="N112" s="2865"/>
      <c r="O112" s="2865"/>
      <c r="P112" s="2865"/>
      <c r="Q112" s="2865"/>
      <c r="R112" s="2865"/>
      <c r="S112" s="2865"/>
      <c r="T112" s="2865"/>
      <c r="U112" s="2865"/>
      <c r="V112" s="2865"/>
      <c r="W112" s="2865"/>
      <c r="X112" s="2865"/>
      <c r="Y112" s="2865"/>
      <c r="Z112" s="2865"/>
      <c r="AA112" s="2865"/>
      <c r="AB112" s="2865"/>
      <c r="AC112" s="2865"/>
      <c r="AD112" s="2866"/>
      <c r="AE112" s="2867"/>
      <c r="AF112" s="2867"/>
      <c r="AG112" s="2867"/>
      <c r="AH112" s="2887"/>
      <c r="AI112" s="2958"/>
    </row>
    <row r="113" spans="2:35" ht="16.7" customHeight="1" x14ac:dyDescent="0.3">
      <c r="B113" s="2939"/>
      <c r="C113" s="2868"/>
      <c r="D113" s="2885"/>
      <c r="E113" s="2864" t="str">
        <f t="shared" si="16"/>
        <v/>
      </c>
      <c r="F113" s="2865"/>
      <c r="G113" s="2865"/>
      <c r="H113" s="2865"/>
      <c r="I113" s="2865"/>
      <c r="J113" s="2865"/>
      <c r="K113" s="2865"/>
      <c r="L113" s="2865"/>
      <c r="M113" s="2865"/>
      <c r="N113" s="2865"/>
      <c r="O113" s="2865"/>
      <c r="P113" s="2865"/>
      <c r="Q113" s="2865"/>
      <c r="R113" s="2865"/>
      <c r="S113" s="2865"/>
      <c r="T113" s="2865"/>
      <c r="U113" s="2865"/>
      <c r="V113" s="2865"/>
      <c r="W113" s="2865"/>
      <c r="X113" s="2865"/>
      <c r="Y113" s="2865"/>
      <c r="Z113" s="2865"/>
      <c r="AA113" s="2865"/>
      <c r="AB113" s="2865"/>
      <c r="AC113" s="2865"/>
      <c r="AD113" s="2866"/>
      <c r="AE113" s="2867"/>
      <c r="AF113" s="2867"/>
      <c r="AG113" s="2867"/>
      <c r="AH113" s="2887"/>
      <c r="AI113" s="2958"/>
    </row>
    <row r="114" spans="2:35" ht="16.7" customHeight="1" x14ac:dyDescent="0.3">
      <c r="B114" s="2939"/>
      <c r="C114" s="2868"/>
      <c r="D114" s="2885"/>
      <c r="E114" s="2864" t="str">
        <f t="shared" si="16"/>
        <v/>
      </c>
      <c r="F114" s="2865"/>
      <c r="G114" s="2865"/>
      <c r="H114" s="2865"/>
      <c r="I114" s="2865"/>
      <c r="J114" s="2865"/>
      <c r="K114" s="2865"/>
      <c r="L114" s="2865"/>
      <c r="M114" s="2865"/>
      <c r="N114" s="2865"/>
      <c r="O114" s="2865"/>
      <c r="P114" s="2865"/>
      <c r="Q114" s="2865"/>
      <c r="R114" s="2865"/>
      <c r="S114" s="2865"/>
      <c r="T114" s="2865"/>
      <c r="U114" s="2865"/>
      <c r="V114" s="2865"/>
      <c r="W114" s="2865"/>
      <c r="X114" s="2865"/>
      <c r="Y114" s="2865"/>
      <c r="Z114" s="2865"/>
      <c r="AA114" s="2865"/>
      <c r="AB114" s="2865"/>
      <c r="AC114" s="2865"/>
      <c r="AD114" s="2866"/>
      <c r="AE114" s="2867"/>
      <c r="AF114" s="2867"/>
      <c r="AG114" s="2867"/>
      <c r="AH114" s="2887"/>
      <c r="AI114" s="2958"/>
    </row>
    <row r="115" spans="2:35" ht="16.7" customHeight="1" x14ac:dyDescent="0.3">
      <c r="B115" s="2939"/>
      <c r="C115" s="230"/>
      <c r="D115" s="2885"/>
      <c r="E115" s="2864" t="str">
        <f t="shared" si="16"/>
        <v/>
      </c>
      <c r="F115" s="2865"/>
      <c r="G115" s="2865"/>
      <c r="H115" s="2865"/>
      <c r="I115" s="2865"/>
      <c r="J115" s="2865"/>
      <c r="K115" s="2865"/>
      <c r="L115" s="2865"/>
      <c r="M115" s="2865"/>
      <c r="N115" s="2865"/>
      <c r="O115" s="2865"/>
      <c r="P115" s="2865"/>
      <c r="Q115" s="2865"/>
      <c r="R115" s="2865"/>
      <c r="S115" s="2865"/>
      <c r="T115" s="2865"/>
      <c r="U115" s="2865"/>
      <c r="V115" s="2865"/>
      <c r="W115" s="2865"/>
      <c r="X115" s="2865"/>
      <c r="Y115" s="2865"/>
      <c r="Z115" s="2865"/>
      <c r="AA115" s="2865"/>
      <c r="AB115" s="2865"/>
      <c r="AC115" s="2865"/>
      <c r="AD115" s="2866"/>
      <c r="AE115" s="2867"/>
      <c r="AF115" s="2867"/>
      <c r="AG115" s="2867"/>
      <c r="AH115" s="2887"/>
      <c r="AI115" s="2958"/>
    </row>
    <row r="116" spans="2:35" ht="16.7" customHeight="1" x14ac:dyDescent="0.3">
      <c r="B116" s="2939"/>
      <c r="C116" s="230"/>
      <c r="D116" s="2885"/>
      <c r="E116" s="2864" t="str">
        <f t="shared" si="16"/>
        <v/>
      </c>
      <c r="F116" s="2865"/>
      <c r="G116" s="2865"/>
      <c r="H116" s="2865"/>
      <c r="I116" s="2865"/>
      <c r="J116" s="2865"/>
      <c r="K116" s="2865"/>
      <c r="L116" s="2865"/>
      <c r="M116" s="2865"/>
      <c r="N116" s="2865"/>
      <c r="O116" s="2865"/>
      <c r="P116" s="2865"/>
      <c r="Q116" s="2865"/>
      <c r="R116" s="2865"/>
      <c r="S116" s="2865"/>
      <c r="T116" s="2865"/>
      <c r="U116" s="2865"/>
      <c r="V116" s="2865"/>
      <c r="W116" s="2865"/>
      <c r="X116" s="2865"/>
      <c r="Y116" s="2865"/>
      <c r="Z116" s="2865"/>
      <c r="AA116" s="2865"/>
      <c r="AB116" s="2865"/>
      <c r="AC116" s="2865"/>
      <c r="AD116" s="2866"/>
      <c r="AE116" s="2867"/>
      <c r="AF116" s="2867"/>
      <c r="AG116" s="2867"/>
      <c r="AH116" s="2888"/>
      <c r="AI116" s="2958"/>
    </row>
    <row r="117" spans="2:35" ht="3.95" customHeight="1" x14ac:dyDescent="0.2">
      <c r="B117" s="2939"/>
      <c r="C117" s="230"/>
      <c r="D117" s="2855"/>
      <c r="E117" s="2856"/>
      <c r="F117" s="2856"/>
      <c r="G117" s="2856"/>
      <c r="H117" s="2856"/>
      <c r="I117" s="2856"/>
      <c r="J117" s="2856"/>
      <c r="K117" s="2856"/>
      <c r="L117" s="2856"/>
      <c r="M117" s="2856"/>
      <c r="N117" s="2856"/>
      <c r="O117" s="2856"/>
      <c r="P117" s="2856"/>
      <c r="Q117" s="2856"/>
      <c r="R117" s="2856"/>
      <c r="S117" s="2856"/>
      <c r="T117" s="2856"/>
      <c r="U117" s="2856"/>
      <c r="V117" s="2856"/>
      <c r="W117" s="2856"/>
      <c r="X117" s="2856"/>
      <c r="Y117" s="2856"/>
      <c r="Z117" s="2856"/>
      <c r="AA117" s="2856"/>
      <c r="AB117" s="2856"/>
      <c r="AC117" s="2856"/>
      <c r="AD117" s="2856"/>
      <c r="AE117" s="2856"/>
      <c r="AF117" s="2856"/>
      <c r="AG117" s="2856"/>
      <c r="AH117" s="2857"/>
      <c r="AI117" s="2958"/>
    </row>
    <row r="118" spans="2:35" ht="9.9499999999999993" customHeight="1" x14ac:dyDescent="0.2">
      <c r="B118" s="2939"/>
      <c r="C118" s="230"/>
      <c r="D118" s="2858" t="s">
        <v>7877</v>
      </c>
      <c r="E118" s="2859"/>
      <c r="F118" s="2859"/>
      <c r="G118" s="2859"/>
      <c r="H118" s="2859"/>
      <c r="I118" s="2859"/>
      <c r="J118" s="2859"/>
      <c r="K118" s="2859"/>
      <c r="L118" s="2859"/>
      <c r="M118" s="2859"/>
      <c r="N118" s="2859"/>
      <c r="O118" s="2859"/>
      <c r="P118" s="2859"/>
      <c r="Q118" s="2859"/>
      <c r="R118" s="2859"/>
      <c r="S118" s="2859"/>
      <c r="T118" s="2859"/>
      <c r="U118" s="2859"/>
      <c r="V118" s="2859"/>
      <c r="W118" s="2859"/>
      <c r="X118" s="2859"/>
      <c r="Y118" s="2859"/>
      <c r="Z118" s="2859"/>
      <c r="AA118" s="2859"/>
      <c r="AB118" s="2859"/>
      <c r="AC118" s="2859"/>
      <c r="AD118" s="2859"/>
      <c r="AE118" s="2859"/>
      <c r="AF118" s="2859"/>
      <c r="AG118" s="2859"/>
      <c r="AH118" s="2860"/>
      <c r="AI118" s="2958"/>
    </row>
    <row r="119" spans="2:35" ht="15" customHeight="1" thickBot="1" x14ac:dyDescent="0.25">
      <c r="B119" s="2861"/>
      <c r="C119" s="2862"/>
      <c r="D119" s="2862"/>
      <c r="E119" s="2862"/>
      <c r="F119" s="2862"/>
      <c r="G119" s="2862"/>
      <c r="H119" s="2862"/>
      <c r="I119" s="2862"/>
      <c r="J119" s="2862"/>
      <c r="K119" s="2862"/>
      <c r="L119" s="2862"/>
      <c r="M119" s="2862"/>
      <c r="N119" s="2862"/>
      <c r="O119" s="2862"/>
      <c r="P119" s="2862"/>
      <c r="Q119" s="2862"/>
      <c r="R119" s="2862"/>
      <c r="S119" s="2862"/>
      <c r="T119" s="2862"/>
      <c r="U119" s="2862"/>
      <c r="V119" s="2862"/>
      <c r="W119" s="2862"/>
      <c r="X119" s="2862"/>
      <c r="Y119" s="2862"/>
      <c r="Z119" s="2862"/>
      <c r="AA119" s="2862"/>
      <c r="AB119" s="2862"/>
      <c r="AC119" s="2862"/>
      <c r="AD119" s="2862"/>
      <c r="AE119" s="2862"/>
      <c r="AF119" s="2862"/>
      <c r="AG119" s="2862"/>
      <c r="AH119" s="2862"/>
      <c r="AI119" s="2863"/>
    </row>
    <row r="120" spans="2:35" ht="15" customHeight="1" thickTop="1" x14ac:dyDescent="0.2"/>
  </sheetData>
  <sheetProtection algorithmName="SHA-512" hashValue="EGMHl8NQqkO4NhjxJyAxo0wQZxjuRDjlA1By3HWvcpv7ADs6ozOxpATMtDKNGWL3CJTadMNAklQ+WjQgz0fNNA==" saltValue="fagxg8IsM/qAKO4BTs1x7w==" spinCount="100000" sheet="1" objects="1" scenarios="1" selectLockedCells="1"/>
  <mergeCells count="466">
    <mergeCell ref="B3:AI3"/>
    <mergeCell ref="B4:B59"/>
    <mergeCell ref="D4:F7"/>
    <mergeCell ref="G4:O7"/>
    <mergeCell ref="P4:AA7"/>
    <mergeCell ref="AB4:AB7"/>
    <mergeCell ref="AC4:AH4"/>
    <mergeCell ref="AI4:AI59"/>
    <mergeCell ref="AC5:AF5"/>
    <mergeCell ref="AC6:AF6"/>
    <mergeCell ref="D8:AH8"/>
    <mergeCell ref="E9:K9"/>
    <mergeCell ref="L9:AG9"/>
    <mergeCell ref="D10:AH10"/>
    <mergeCell ref="D11:D26"/>
    <mergeCell ref="F11:AG11"/>
    <mergeCell ref="AH11:AH26"/>
    <mergeCell ref="E12:F12"/>
    <mergeCell ref="G12:H12"/>
    <mergeCell ref="I12:K12"/>
    <mergeCell ref="E14:F14"/>
    <mergeCell ref="G14:H14"/>
    <mergeCell ref="I14:K14"/>
    <mergeCell ref="L14:O14"/>
    <mergeCell ref="P14:AD14"/>
    <mergeCell ref="AE14:AG14"/>
    <mergeCell ref="L12:O12"/>
    <mergeCell ref="P12:AD12"/>
    <mergeCell ref="AE12:AG12"/>
    <mergeCell ref="E13:F13"/>
    <mergeCell ref="G13:H13"/>
    <mergeCell ref="I13:K13"/>
    <mergeCell ref="L13:O13"/>
    <mergeCell ref="P13:AD13"/>
    <mergeCell ref="AE13:AG13"/>
    <mergeCell ref="E16:F16"/>
    <mergeCell ref="G16:H16"/>
    <mergeCell ref="I16:K16"/>
    <mergeCell ref="L16:O16"/>
    <mergeCell ref="P16:AD16"/>
    <mergeCell ref="AE16:AG16"/>
    <mergeCell ref="E15:F15"/>
    <mergeCell ref="G15:H15"/>
    <mergeCell ref="I15:K15"/>
    <mergeCell ref="L15:O15"/>
    <mergeCell ref="P15:AD15"/>
    <mergeCell ref="AE15:AG15"/>
    <mergeCell ref="E18:F18"/>
    <mergeCell ref="G18:H18"/>
    <mergeCell ref="I18:K18"/>
    <mergeCell ref="L18:O18"/>
    <mergeCell ref="P18:AD18"/>
    <mergeCell ref="AE18:AG18"/>
    <mergeCell ref="E17:F17"/>
    <mergeCell ref="G17:H17"/>
    <mergeCell ref="I17:K17"/>
    <mergeCell ref="L17:O17"/>
    <mergeCell ref="P17:AD17"/>
    <mergeCell ref="AE17:AG17"/>
    <mergeCell ref="E20:F20"/>
    <mergeCell ref="G20:H20"/>
    <mergeCell ref="I20:K20"/>
    <mergeCell ref="L20:O20"/>
    <mergeCell ref="P20:AD20"/>
    <mergeCell ref="AE20:AG20"/>
    <mergeCell ref="E19:F19"/>
    <mergeCell ref="G19:H19"/>
    <mergeCell ref="I19:K19"/>
    <mergeCell ref="L19:O19"/>
    <mergeCell ref="P19:AD19"/>
    <mergeCell ref="AE19:AG19"/>
    <mergeCell ref="E22:F22"/>
    <mergeCell ref="G22:H22"/>
    <mergeCell ref="I22:K22"/>
    <mergeCell ref="L22:O22"/>
    <mergeCell ref="P22:AD22"/>
    <mergeCell ref="AE22:AG22"/>
    <mergeCell ref="E21:F21"/>
    <mergeCell ref="G21:H21"/>
    <mergeCell ref="I21:K21"/>
    <mergeCell ref="L21:O21"/>
    <mergeCell ref="P21:AD21"/>
    <mergeCell ref="AE21:AG21"/>
    <mergeCell ref="E24:F24"/>
    <mergeCell ref="G24:H24"/>
    <mergeCell ref="I24:K24"/>
    <mergeCell ref="L24:O24"/>
    <mergeCell ref="P24:AD24"/>
    <mergeCell ref="AE24:AG24"/>
    <mergeCell ref="E23:F23"/>
    <mergeCell ref="G23:H23"/>
    <mergeCell ref="I23:K23"/>
    <mergeCell ref="L23:O23"/>
    <mergeCell ref="P23:AD23"/>
    <mergeCell ref="AE23:AG23"/>
    <mergeCell ref="E26:F26"/>
    <mergeCell ref="G26:H26"/>
    <mergeCell ref="I26:K26"/>
    <mergeCell ref="L26:O26"/>
    <mergeCell ref="P26:AD26"/>
    <mergeCell ref="AE26:AG26"/>
    <mergeCell ref="E25:F25"/>
    <mergeCell ref="G25:H25"/>
    <mergeCell ref="I25:K25"/>
    <mergeCell ref="L25:O25"/>
    <mergeCell ref="P25:AD25"/>
    <mergeCell ref="AE25:AG25"/>
    <mergeCell ref="D27:AH27"/>
    <mergeCell ref="D28:D36"/>
    <mergeCell ref="F28:AG28"/>
    <mergeCell ref="AH28:AH36"/>
    <mergeCell ref="E29:F29"/>
    <mergeCell ref="G29:H29"/>
    <mergeCell ref="I29:K29"/>
    <mergeCell ref="L29:O29"/>
    <mergeCell ref="P29:Q29"/>
    <mergeCell ref="R29:T29"/>
    <mergeCell ref="U29:AD29"/>
    <mergeCell ref="AE29:AG29"/>
    <mergeCell ref="E30:F30"/>
    <mergeCell ref="G30:H30"/>
    <mergeCell ref="I30:K30"/>
    <mergeCell ref="L30:O30"/>
    <mergeCell ref="P30:Q30"/>
    <mergeCell ref="R30:T30"/>
    <mergeCell ref="U30:AD30"/>
    <mergeCell ref="AE30:AG30"/>
    <mergeCell ref="U31:AD31"/>
    <mergeCell ref="AE31:AG31"/>
    <mergeCell ref="E32:F32"/>
    <mergeCell ref="G32:H32"/>
    <mergeCell ref="I32:K32"/>
    <mergeCell ref="L32:O32"/>
    <mergeCell ref="P32:Q32"/>
    <mergeCell ref="R32:T32"/>
    <mergeCell ref="U32:AD32"/>
    <mergeCell ref="AE32:AG32"/>
    <mergeCell ref="E31:F31"/>
    <mergeCell ref="G31:H31"/>
    <mergeCell ref="I31:K31"/>
    <mergeCell ref="L31:O31"/>
    <mergeCell ref="P31:Q31"/>
    <mergeCell ref="R31:T31"/>
    <mergeCell ref="U33:AD33"/>
    <mergeCell ref="AE33:AG33"/>
    <mergeCell ref="E34:F34"/>
    <mergeCell ref="G34:H34"/>
    <mergeCell ref="I34:K34"/>
    <mergeCell ref="L34:O34"/>
    <mergeCell ref="P34:Q34"/>
    <mergeCell ref="R34:T34"/>
    <mergeCell ref="U34:AD34"/>
    <mergeCell ref="AE34:AG34"/>
    <mergeCell ref="E33:F33"/>
    <mergeCell ref="G33:H33"/>
    <mergeCell ref="I33:K33"/>
    <mergeCell ref="L33:O33"/>
    <mergeCell ref="P33:Q33"/>
    <mergeCell ref="R33:T33"/>
    <mergeCell ref="U35:AD35"/>
    <mergeCell ref="AE35:AG35"/>
    <mergeCell ref="E36:F36"/>
    <mergeCell ref="G36:H36"/>
    <mergeCell ref="I36:K36"/>
    <mergeCell ref="L36:O36"/>
    <mergeCell ref="P36:Q36"/>
    <mergeCell ref="R36:T36"/>
    <mergeCell ref="U36:AD36"/>
    <mergeCell ref="AE36:AG36"/>
    <mergeCell ref="E35:F35"/>
    <mergeCell ref="G35:H35"/>
    <mergeCell ref="I35:K35"/>
    <mergeCell ref="L35:O35"/>
    <mergeCell ref="P35:Q35"/>
    <mergeCell ref="R35:T35"/>
    <mergeCell ref="C37:C55"/>
    <mergeCell ref="D37:AH37"/>
    <mergeCell ref="F38:AG38"/>
    <mergeCell ref="E39:K39"/>
    <mergeCell ref="L39:O39"/>
    <mergeCell ref="P39:AD39"/>
    <mergeCell ref="AE39:AG39"/>
    <mergeCell ref="E40:K40"/>
    <mergeCell ref="L40:O40"/>
    <mergeCell ref="P40:AD40"/>
    <mergeCell ref="E43:K43"/>
    <mergeCell ref="L43:O43"/>
    <mergeCell ref="P43:AD43"/>
    <mergeCell ref="AE43:AG43"/>
    <mergeCell ref="E44:K44"/>
    <mergeCell ref="L44:O44"/>
    <mergeCell ref="P44:AD44"/>
    <mergeCell ref="AE44:AG44"/>
    <mergeCell ref="AE40:AG40"/>
    <mergeCell ref="E41:K41"/>
    <mergeCell ref="L41:O41"/>
    <mergeCell ref="P41:AD41"/>
    <mergeCell ref="AE41:AG41"/>
    <mergeCell ref="E42:K42"/>
    <mergeCell ref="L42:O42"/>
    <mergeCell ref="P42:AD42"/>
    <mergeCell ref="AE42:AG42"/>
    <mergeCell ref="E49:AD49"/>
    <mergeCell ref="AE49:AG49"/>
    <mergeCell ref="E50:AD50"/>
    <mergeCell ref="AE50:AG50"/>
    <mergeCell ref="E51:AD51"/>
    <mergeCell ref="AE51:AG51"/>
    <mergeCell ref="E45:K45"/>
    <mergeCell ref="L45:O45"/>
    <mergeCell ref="P45:AD45"/>
    <mergeCell ref="AE45:AG45"/>
    <mergeCell ref="D46:AH46"/>
    <mergeCell ref="D47:D57"/>
    <mergeCell ref="F47:AG47"/>
    <mergeCell ref="AH47:AH57"/>
    <mergeCell ref="E48:AD48"/>
    <mergeCell ref="AE48:AG48"/>
    <mergeCell ref="E55:AD55"/>
    <mergeCell ref="AE55:AG55"/>
    <mergeCell ref="E56:AD56"/>
    <mergeCell ref="AE56:AG56"/>
    <mergeCell ref="E57:AD57"/>
    <mergeCell ref="AE57:AG57"/>
    <mergeCell ref="E52:AD52"/>
    <mergeCell ref="AE52:AG52"/>
    <mergeCell ref="E53:AD53"/>
    <mergeCell ref="AE53:AG53"/>
    <mergeCell ref="E54:AD54"/>
    <mergeCell ref="AE54:AG54"/>
    <mergeCell ref="D58:AH58"/>
    <mergeCell ref="D59:AH59"/>
    <mergeCell ref="B60:AI60"/>
    <mergeCell ref="B62:AI62"/>
    <mergeCell ref="B63:B118"/>
    <mergeCell ref="D63:F66"/>
    <mergeCell ref="G63:O66"/>
    <mergeCell ref="P63:AA66"/>
    <mergeCell ref="AB63:AB66"/>
    <mergeCell ref="AC63:AH63"/>
    <mergeCell ref="E71:F71"/>
    <mergeCell ref="G71:H71"/>
    <mergeCell ref="I71:K71"/>
    <mergeCell ref="L71:O71"/>
    <mergeCell ref="P71:AD71"/>
    <mergeCell ref="AE71:AG71"/>
    <mergeCell ref="AI63:AI118"/>
    <mergeCell ref="AC64:AF64"/>
    <mergeCell ref="AC65:AF65"/>
    <mergeCell ref="D67:AH67"/>
    <mergeCell ref="E68:K68"/>
    <mergeCell ref="L68:AG68"/>
    <mergeCell ref="D69:AH69"/>
    <mergeCell ref="D70:D85"/>
    <mergeCell ref="F70:AG70"/>
    <mergeCell ref="AH70:AH85"/>
    <mergeCell ref="E73:F73"/>
    <mergeCell ref="G73:H73"/>
    <mergeCell ref="I73:K73"/>
    <mergeCell ref="L73:O73"/>
    <mergeCell ref="P73:AD73"/>
    <mergeCell ref="AE73:AG73"/>
    <mergeCell ref="E72:F72"/>
    <mergeCell ref="G72:H72"/>
    <mergeCell ref="I72:K72"/>
    <mergeCell ref="L72:O72"/>
    <mergeCell ref="P72:AD72"/>
    <mergeCell ref="AE72:AG72"/>
    <mergeCell ref="E75:F75"/>
    <mergeCell ref="G75:H75"/>
    <mergeCell ref="I75:K75"/>
    <mergeCell ref="L75:O75"/>
    <mergeCell ref="P75:AD75"/>
    <mergeCell ref="AE75:AG75"/>
    <mergeCell ref="E74:F74"/>
    <mergeCell ref="G74:H74"/>
    <mergeCell ref="I74:K74"/>
    <mergeCell ref="L74:O74"/>
    <mergeCell ref="P74:AD74"/>
    <mergeCell ref="AE74:AG74"/>
    <mergeCell ref="E77:F77"/>
    <mergeCell ref="G77:H77"/>
    <mergeCell ref="I77:K77"/>
    <mergeCell ref="L77:O77"/>
    <mergeCell ref="P77:AD77"/>
    <mergeCell ref="AE77:AG77"/>
    <mergeCell ref="E76:F76"/>
    <mergeCell ref="G76:H76"/>
    <mergeCell ref="I76:K76"/>
    <mergeCell ref="L76:O76"/>
    <mergeCell ref="P76:AD76"/>
    <mergeCell ref="AE76:AG76"/>
    <mergeCell ref="E79:F79"/>
    <mergeCell ref="G79:H79"/>
    <mergeCell ref="I79:K79"/>
    <mergeCell ref="L79:O79"/>
    <mergeCell ref="P79:AD79"/>
    <mergeCell ref="AE79:AG79"/>
    <mergeCell ref="E78:F78"/>
    <mergeCell ref="G78:H78"/>
    <mergeCell ref="I78:K78"/>
    <mergeCell ref="L78:O78"/>
    <mergeCell ref="P78:AD78"/>
    <mergeCell ref="AE78:AG78"/>
    <mergeCell ref="E81:F81"/>
    <mergeCell ref="G81:H81"/>
    <mergeCell ref="I81:K81"/>
    <mergeCell ref="L81:O81"/>
    <mergeCell ref="P81:AD81"/>
    <mergeCell ref="AE81:AG81"/>
    <mergeCell ref="E80:F80"/>
    <mergeCell ref="G80:H80"/>
    <mergeCell ref="I80:K80"/>
    <mergeCell ref="L80:O80"/>
    <mergeCell ref="P80:AD80"/>
    <mergeCell ref="AE80:AG80"/>
    <mergeCell ref="E83:F83"/>
    <mergeCell ref="G83:H83"/>
    <mergeCell ref="I83:K83"/>
    <mergeCell ref="L83:O83"/>
    <mergeCell ref="P83:AD83"/>
    <mergeCell ref="AE83:AG83"/>
    <mergeCell ref="E82:F82"/>
    <mergeCell ref="G82:H82"/>
    <mergeCell ref="I82:K82"/>
    <mergeCell ref="L82:O82"/>
    <mergeCell ref="P82:AD82"/>
    <mergeCell ref="AE82:AG82"/>
    <mergeCell ref="E85:F85"/>
    <mergeCell ref="G85:H85"/>
    <mergeCell ref="I85:K85"/>
    <mergeCell ref="L85:O85"/>
    <mergeCell ref="P85:AD85"/>
    <mergeCell ref="AE85:AG85"/>
    <mergeCell ref="E84:F84"/>
    <mergeCell ref="G84:H84"/>
    <mergeCell ref="I84:K84"/>
    <mergeCell ref="L84:O84"/>
    <mergeCell ref="P84:AD84"/>
    <mergeCell ref="AE84:AG84"/>
    <mergeCell ref="D86:AH86"/>
    <mergeCell ref="D87:D95"/>
    <mergeCell ref="F87:AG87"/>
    <mergeCell ref="AH87:AH95"/>
    <mergeCell ref="E88:F88"/>
    <mergeCell ref="G88:H88"/>
    <mergeCell ref="I88:K88"/>
    <mergeCell ref="L88:O88"/>
    <mergeCell ref="P88:Q88"/>
    <mergeCell ref="R88:T88"/>
    <mergeCell ref="U88:AD88"/>
    <mergeCell ref="AE88:AG88"/>
    <mergeCell ref="E89:F89"/>
    <mergeCell ref="G89:H89"/>
    <mergeCell ref="I89:K89"/>
    <mergeCell ref="L89:O89"/>
    <mergeCell ref="P89:Q89"/>
    <mergeCell ref="R89:T89"/>
    <mergeCell ref="U89:AD89"/>
    <mergeCell ref="AE89:AG89"/>
    <mergeCell ref="U90:AD90"/>
    <mergeCell ref="AE90:AG90"/>
    <mergeCell ref="E91:F91"/>
    <mergeCell ref="G91:H91"/>
    <mergeCell ref="I91:K91"/>
    <mergeCell ref="L91:O91"/>
    <mergeCell ref="P91:Q91"/>
    <mergeCell ref="R91:T91"/>
    <mergeCell ref="U91:AD91"/>
    <mergeCell ref="AE91:AG91"/>
    <mergeCell ref="E90:F90"/>
    <mergeCell ref="G90:H90"/>
    <mergeCell ref="I90:K90"/>
    <mergeCell ref="L90:O90"/>
    <mergeCell ref="P90:Q90"/>
    <mergeCell ref="R90:T90"/>
    <mergeCell ref="U92:AD92"/>
    <mergeCell ref="AE92:AG92"/>
    <mergeCell ref="E93:F93"/>
    <mergeCell ref="G93:H93"/>
    <mergeCell ref="I93:K93"/>
    <mergeCell ref="L93:O93"/>
    <mergeCell ref="P93:Q93"/>
    <mergeCell ref="R93:T93"/>
    <mergeCell ref="U93:AD93"/>
    <mergeCell ref="AE93:AG93"/>
    <mergeCell ref="E92:F92"/>
    <mergeCell ref="G92:H92"/>
    <mergeCell ref="I92:K92"/>
    <mergeCell ref="L92:O92"/>
    <mergeCell ref="P92:Q92"/>
    <mergeCell ref="R92:T92"/>
    <mergeCell ref="U94:AD94"/>
    <mergeCell ref="AE94:AG94"/>
    <mergeCell ref="E95:F95"/>
    <mergeCell ref="G95:H95"/>
    <mergeCell ref="I95:K95"/>
    <mergeCell ref="L95:O95"/>
    <mergeCell ref="P95:Q95"/>
    <mergeCell ref="R95:T95"/>
    <mergeCell ref="U95:AD95"/>
    <mergeCell ref="AE95:AG95"/>
    <mergeCell ref="E94:F94"/>
    <mergeCell ref="G94:H94"/>
    <mergeCell ref="I94:K94"/>
    <mergeCell ref="L94:O94"/>
    <mergeCell ref="P94:Q94"/>
    <mergeCell ref="R94:T94"/>
    <mergeCell ref="E102:K102"/>
    <mergeCell ref="L102:O102"/>
    <mergeCell ref="P102:AD102"/>
    <mergeCell ref="AE102:AG102"/>
    <mergeCell ref="E103:K103"/>
    <mergeCell ref="L103:O103"/>
    <mergeCell ref="P103:AD103"/>
    <mergeCell ref="AE103:AG103"/>
    <mergeCell ref="AE99:AG99"/>
    <mergeCell ref="E100:K100"/>
    <mergeCell ref="L100:O100"/>
    <mergeCell ref="P100:AD100"/>
    <mergeCell ref="AE100:AG100"/>
    <mergeCell ref="E101:K101"/>
    <mergeCell ref="L101:O101"/>
    <mergeCell ref="P101:AD101"/>
    <mergeCell ref="AE101:AG101"/>
    <mergeCell ref="E99:K99"/>
    <mergeCell ref="L99:O99"/>
    <mergeCell ref="P99:AD99"/>
    <mergeCell ref="E107:AD107"/>
    <mergeCell ref="AE107:AG107"/>
    <mergeCell ref="E111:AD111"/>
    <mergeCell ref="AE111:AG111"/>
    <mergeCell ref="E112:AD112"/>
    <mergeCell ref="AE112:AG112"/>
    <mergeCell ref="E113:AD113"/>
    <mergeCell ref="AE113:AG113"/>
    <mergeCell ref="E108:AD108"/>
    <mergeCell ref="AE108:AG108"/>
    <mergeCell ref="E109:AD109"/>
    <mergeCell ref="AE109:AG109"/>
    <mergeCell ref="E110:AD110"/>
    <mergeCell ref="AE110:AG110"/>
    <mergeCell ref="D117:AH117"/>
    <mergeCell ref="D118:AH118"/>
    <mergeCell ref="B119:AI119"/>
    <mergeCell ref="E114:AD114"/>
    <mergeCell ref="AE114:AG114"/>
    <mergeCell ref="E115:AD115"/>
    <mergeCell ref="AE115:AG115"/>
    <mergeCell ref="E116:AD116"/>
    <mergeCell ref="AE116:AG116"/>
    <mergeCell ref="C96:C114"/>
    <mergeCell ref="D96:AH96"/>
    <mergeCell ref="F97:AG97"/>
    <mergeCell ref="E98:K98"/>
    <mergeCell ref="L98:O98"/>
    <mergeCell ref="P98:AD98"/>
    <mergeCell ref="AE98:AG98"/>
    <mergeCell ref="E104:K104"/>
    <mergeCell ref="L104:O104"/>
    <mergeCell ref="P104:AD104"/>
    <mergeCell ref="AE104:AG104"/>
    <mergeCell ref="D105:AH105"/>
    <mergeCell ref="D106:D116"/>
    <mergeCell ref="F106:AG106"/>
    <mergeCell ref="AH106:AH116"/>
  </mergeCells>
  <pageMargins left="0.59055118110236227" right="0.15748031496062992" top="0.39370078740157483" bottom="0.19685039370078741" header="0.31496062992125984" footer="0.31496062992125984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AT67"/>
  <sheetViews>
    <sheetView zoomScale="102" zoomScaleNormal="102" workbookViewId="0">
      <selection activeCell="G6" sqref="G6:Q6"/>
    </sheetView>
  </sheetViews>
  <sheetFormatPr defaultRowHeight="15" x14ac:dyDescent="0.25"/>
  <cols>
    <col min="1" max="1" width="0.85546875" style="575" customWidth="1"/>
    <col min="2" max="18" width="3.7109375" style="575" customWidth="1"/>
    <col min="19" max="35" width="3.7109375" style="576" customWidth="1"/>
    <col min="36" max="37" width="3.7109375" style="575" customWidth="1"/>
    <col min="38" max="46" width="3.7109375" style="575" hidden="1" customWidth="1"/>
    <col min="47" max="61" width="3.7109375" style="575" customWidth="1"/>
    <col min="62" max="16384" width="9.140625" style="575"/>
  </cols>
  <sheetData>
    <row r="1" spans="2:46" ht="21.95" customHeight="1" thickBot="1" x14ac:dyDescent="0.3"/>
    <row r="2" spans="2:46" ht="18" customHeight="1" thickTop="1" thickBot="1" x14ac:dyDescent="0.3">
      <c r="B2" s="577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8"/>
      <c r="AK2" s="580"/>
    </row>
    <row r="3" spans="2:46" ht="20.100000000000001" customHeight="1" thickBot="1" x14ac:dyDescent="0.3">
      <c r="B3" s="581"/>
      <c r="C3" s="3179" t="s">
        <v>8168</v>
      </c>
      <c r="D3" s="3180"/>
      <c r="E3" s="3180"/>
      <c r="F3" s="3180"/>
      <c r="G3" s="3180"/>
      <c r="H3" s="3180"/>
      <c r="I3" s="3180"/>
      <c r="J3" s="3180"/>
      <c r="K3" s="3180"/>
      <c r="L3" s="3180"/>
      <c r="M3" s="3180"/>
      <c r="N3" s="3180"/>
      <c r="O3" s="3180"/>
      <c r="P3" s="3180"/>
      <c r="Q3" s="3180"/>
      <c r="R3" s="3180"/>
      <c r="S3" s="3180"/>
      <c r="T3" s="3180"/>
      <c r="U3" s="3180"/>
      <c r="V3" s="3180"/>
      <c r="W3" s="3180"/>
      <c r="X3" s="3180"/>
      <c r="Y3" s="3180"/>
      <c r="Z3" s="3180"/>
      <c r="AA3" s="3180"/>
      <c r="AB3" s="3180"/>
      <c r="AC3" s="3180"/>
      <c r="AD3" s="3180"/>
      <c r="AE3" s="3180"/>
      <c r="AF3" s="3180"/>
      <c r="AG3" s="3180"/>
      <c r="AH3" s="3180"/>
      <c r="AI3" s="3180"/>
      <c r="AJ3" s="3181"/>
      <c r="AK3" s="582"/>
    </row>
    <row r="4" spans="2:46" ht="18" customHeight="1" thickBot="1" x14ac:dyDescent="0.35">
      <c r="B4" s="581"/>
      <c r="C4" s="3182"/>
      <c r="D4" s="3183"/>
      <c r="E4" s="3183"/>
      <c r="F4" s="3183"/>
      <c r="G4" s="3183"/>
      <c r="H4" s="3183"/>
      <c r="I4" s="3183"/>
      <c r="J4" s="3183"/>
      <c r="K4" s="3183"/>
      <c r="L4" s="3183"/>
      <c r="M4" s="3183"/>
      <c r="N4" s="3183"/>
      <c r="O4" s="3183"/>
      <c r="P4" s="3183"/>
      <c r="Q4" s="3183"/>
      <c r="R4" s="3183"/>
      <c r="S4" s="3183"/>
      <c r="T4" s="3183"/>
      <c r="U4" s="3183"/>
      <c r="V4" s="3183"/>
      <c r="W4" s="3183"/>
      <c r="X4" s="3183"/>
      <c r="Y4" s="3183"/>
      <c r="Z4" s="3183"/>
      <c r="AA4" s="3183"/>
      <c r="AB4" s="3183"/>
      <c r="AC4" s="3183"/>
      <c r="AD4" s="3183"/>
      <c r="AE4" s="3183"/>
      <c r="AF4" s="3183"/>
      <c r="AG4" s="3183"/>
      <c r="AH4" s="3183"/>
      <c r="AI4" s="3183"/>
      <c r="AJ4" s="3184"/>
      <c r="AK4" s="582"/>
    </row>
    <row r="5" spans="2:46" ht="18" customHeight="1" x14ac:dyDescent="0.3">
      <c r="B5" s="581"/>
      <c r="C5" s="3185" t="s">
        <v>8169</v>
      </c>
      <c r="D5" s="3186"/>
      <c r="E5" s="3186"/>
      <c r="F5" s="583"/>
      <c r="G5" s="3187" t="s">
        <v>8190</v>
      </c>
      <c r="H5" s="3187"/>
      <c r="I5" s="3187"/>
      <c r="J5" s="3187"/>
      <c r="K5" s="3187"/>
      <c r="L5" s="3187"/>
      <c r="M5" s="3187"/>
      <c r="N5" s="3187"/>
      <c r="O5" s="3187"/>
      <c r="P5" s="3187"/>
      <c r="Q5" s="3187"/>
      <c r="R5" s="3187"/>
      <c r="S5" s="3187"/>
      <c r="T5" s="3187"/>
      <c r="U5" s="3187"/>
      <c r="V5" s="3187"/>
      <c r="W5" s="3187"/>
      <c r="X5" s="3148" t="s">
        <v>1</v>
      </c>
      <c r="Y5" s="3148"/>
      <c r="Z5" s="3148"/>
      <c r="AA5" s="3188">
        <v>3310430</v>
      </c>
      <c r="AB5" s="3188"/>
      <c r="AC5" s="3188"/>
      <c r="AD5" s="3188"/>
      <c r="AE5" s="3188"/>
      <c r="AF5" s="3189" t="s">
        <v>8170</v>
      </c>
      <c r="AG5" s="3189"/>
      <c r="AH5" s="3189"/>
      <c r="AI5" s="3190">
        <v>1</v>
      </c>
      <c r="AJ5" s="3191"/>
      <c r="AK5" s="582"/>
    </row>
    <row r="6" spans="2:46" ht="18" customHeight="1" thickBot="1" x14ac:dyDescent="0.3">
      <c r="B6" s="581"/>
      <c r="C6" s="3192" t="s">
        <v>8171</v>
      </c>
      <c r="D6" s="3193"/>
      <c r="E6" s="3193"/>
      <c r="F6" s="584"/>
      <c r="G6" s="3194" t="s">
        <v>8191</v>
      </c>
      <c r="H6" s="3194"/>
      <c r="I6" s="3194"/>
      <c r="J6" s="3194"/>
      <c r="K6" s="3194"/>
      <c r="L6" s="3194"/>
      <c r="M6" s="3194"/>
      <c r="N6" s="3194"/>
      <c r="O6" s="3194"/>
      <c r="P6" s="3194"/>
      <c r="Q6" s="3194"/>
      <c r="R6" s="3194"/>
      <c r="S6" s="585" t="s">
        <v>8172</v>
      </c>
      <c r="T6" s="3195" t="s">
        <v>132</v>
      </c>
      <c r="U6" s="3195"/>
      <c r="V6" s="3195"/>
      <c r="W6" s="3195"/>
      <c r="X6" s="3195"/>
      <c r="Y6" s="3195"/>
      <c r="Z6" s="3195"/>
      <c r="AA6" s="3195"/>
      <c r="AB6" s="3195"/>
      <c r="AC6" s="3195"/>
      <c r="AD6" s="3195"/>
      <c r="AE6" s="3195"/>
      <c r="AF6" s="3195"/>
      <c r="AG6" s="3195"/>
      <c r="AH6" s="3195"/>
      <c r="AI6" s="3195"/>
      <c r="AJ6" s="3196"/>
      <c r="AK6" s="582"/>
    </row>
    <row r="7" spans="2:46" ht="18" customHeight="1" thickBot="1" x14ac:dyDescent="0.3">
      <c r="B7" s="581"/>
      <c r="C7" s="3176"/>
      <c r="D7" s="3177"/>
      <c r="E7" s="3177"/>
      <c r="F7" s="3177"/>
      <c r="G7" s="3177"/>
      <c r="H7" s="3177"/>
      <c r="I7" s="3177"/>
      <c r="J7" s="3177"/>
      <c r="K7" s="3177"/>
      <c r="L7" s="3177"/>
      <c r="M7" s="3177"/>
      <c r="N7" s="3177"/>
      <c r="O7" s="3177"/>
      <c r="P7" s="3177"/>
      <c r="Q7" s="3177"/>
      <c r="R7" s="3177"/>
      <c r="S7" s="3177"/>
      <c r="T7" s="3177"/>
      <c r="U7" s="3177"/>
      <c r="V7" s="3177"/>
      <c r="W7" s="3177"/>
      <c r="X7" s="3177"/>
      <c r="Y7" s="3177"/>
      <c r="Z7" s="3177"/>
      <c r="AA7" s="3177"/>
      <c r="AB7" s="3177"/>
      <c r="AC7" s="3177"/>
      <c r="AD7" s="3177"/>
      <c r="AE7" s="3177"/>
      <c r="AF7" s="3177"/>
      <c r="AG7" s="3177"/>
      <c r="AH7" s="3177"/>
      <c r="AI7" s="3177"/>
      <c r="AJ7" s="3178"/>
      <c r="AK7" s="582"/>
    </row>
    <row r="8" spans="2:46" ht="18" customHeight="1" x14ac:dyDescent="0.3">
      <c r="B8" s="581"/>
      <c r="C8" s="3141" t="s">
        <v>8173</v>
      </c>
      <c r="D8" s="3142"/>
      <c r="E8" s="3142"/>
      <c r="F8" s="607">
        <v>8</v>
      </c>
      <c r="G8" s="586" t="s">
        <v>339</v>
      </c>
      <c r="H8" s="608">
        <v>10</v>
      </c>
      <c r="I8" s="586" t="s">
        <v>339</v>
      </c>
      <c r="J8" s="3143">
        <v>2009</v>
      </c>
      <c r="K8" s="3144"/>
      <c r="L8" s="587" t="s">
        <v>8174</v>
      </c>
      <c r="M8" s="609">
        <v>18</v>
      </c>
      <c r="N8" s="3145" t="s">
        <v>8175</v>
      </c>
      <c r="O8" s="3145"/>
      <c r="P8" s="3146" t="s">
        <v>8176</v>
      </c>
      <c r="Q8" s="3146"/>
      <c r="R8" s="3146"/>
      <c r="S8" s="3146"/>
      <c r="T8" s="3147" t="s">
        <v>8192</v>
      </c>
      <c r="U8" s="3147"/>
      <c r="V8" s="3147"/>
      <c r="W8" s="3148" t="s">
        <v>407</v>
      </c>
      <c r="X8" s="3148"/>
      <c r="Y8" s="3148"/>
      <c r="Z8" s="3148"/>
      <c r="AA8" s="3149">
        <v>691.8</v>
      </c>
      <c r="AB8" s="3149"/>
      <c r="AC8" s="3149"/>
      <c r="AD8" s="3150"/>
      <c r="AE8" s="3151" t="s">
        <v>8177</v>
      </c>
      <c r="AF8" s="3152"/>
      <c r="AG8" s="3153">
        <f>ROUND(AA8/L9,2)</f>
        <v>6.41</v>
      </c>
      <c r="AH8" s="3154"/>
      <c r="AI8" s="3154"/>
      <c r="AJ8" s="3155"/>
      <c r="AK8" s="582"/>
      <c r="AM8" s="3172" t="s">
        <v>8178</v>
      </c>
      <c r="AN8" s="3172"/>
      <c r="AO8" s="3172"/>
      <c r="AP8" s="3172"/>
      <c r="AQ8" s="3172" t="s">
        <v>8179</v>
      </c>
      <c r="AR8" s="3172"/>
      <c r="AS8" s="3172"/>
      <c r="AT8" s="3172"/>
    </row>
    <row r="9" spans="2:46" ht="18" customHeight="1" x14ac:dyDescent="0.3">
      <c r="B9" s="581"/>
      <c r="C9" s="3081" t="s">
        <v>8180</v>
      </c>
      <c r="D9" s="3082"/>
      <c r="E9" s="3082"/>
      <c r="F9" s="610">
        <v>31</v>
      </c>
      <c r="G9" s="588" t="s">
        <v>339</v>
      </c>
      <c r="H9" s="611">
        <v>12</v>
      </c>
      <c r="I9" s="588" t="s">
        <v>339</v>
      </c>
      <c r="J9" s="3083">
        <v>2009</v>
      </c>
      <c r="K9" s="3084"/>
      <c r="L9" s="3085">
        <v>108</v>
      </c>
      <c r="M9" s="3086"/>
      <c r="N9" s="3087" t="s">
        <v>8181</v>
      </c>
      <c r="O9" s="3088"/>
      <c r="P9" s="3089" t="s">
        <v>8182</v>
      </c>
      <c r="Q9" s="3089"/>
      <c r="R9" s="3089"/>
      <c r="S9" s="3089"/>
      <c r="T9" s="3089"/>
      <c r="U9" s="3089"/>
      <c r="V9" s="3089"/>
      <c r="W9" s="3090"/>
      <c r="X9" s="3173">
        <v>1</v>
      </c>
      <c r="Y9" s="3174"/>
      <c r="Z9" s="589"/>
      <c r="AA9" s="589"/>
      <c r="AB9" s="589"/>
      <c r="AC9" s="589"/>
      <c r="AD9" s="590" t="s">
        <v>8138</v>
      </c>
      <c r="AE9" s="589"/>
      <c r="AF9" s="589"/>
      <c r="AG9" s="589"/>
      <c r="AH9" s="616"/>
      <c r="AI9" s="617">
        <f>AL9</f>
        <v>1</v>
      </c>
      <c r="AJ9" s="618"/>
      <c r="AK9" s="582"/>
      <c r="AL9" s="619">
        <v>1</v>
      </c>
      <c r="AM9" s="3175">
        <f>IF(OR(M8="-",M8=0,M8="",M8="X"),"-",VLOOKUP(M8,'C Horária'!C8:E23,2))</f>
        <v>108</v>
      </c>
      <c r="AN9" s="3175"/>
      <c r="AO9" s="3175"/>
      <c r="AP9" s="3175"/>
      <c r="AQ9" s="3175">
        <f>IF(OR(I30="-",M8=0,M8="",M8="X"),"-",VLOOKUP(M8,'C Horária'!C32:E49,2))</f>
        <v>108</v>
      </c>
      <c r="AR9" s="3175"/>
      <c r="AS9" s="3175"/>
      <c r="AT9" s="3175"/>
    </row>
    <row r="10" spans="2:46" ht="6" customHeight="1" thickBot="1" x14ac:dyDescent="0.3">
      <c r="B10" s="581"/>
      <c r="C10" s="3129"/>
      <c r="D10" s="3130"/>
      <c r="E10" s="3130"/>
      <c r="F10" s="3130"/>
      <c r="G10" s="3130"/>
      <c r="H10" s="3130"/>
      <c r="I10" s="3130"/>
      <c r="J10" s="3130"/>
      <c r="K10" s="3130"/>
      <c r="L10" s="3130"/>
      <c r="M10" s="3130"/>
      <c r="N10" s="3130"/>
      <c r="O10" s="3130"/>
      <c r="P10" s="3130"/>
      <c r="Q10" s="3130"/>
      <c r="R10" s="3130"/>
      <c r="S10" s="3130"/>
      <c r="T10" s="3130"/>
      <c r="U10" s="3130"/>
      <c r="V10" s="3130"/>
      <c r="W10" s="3130"/>
      <c r="X10" s="3130"/>
      <c r="Y10" s="3130"/>
      <c r="Z10" s="3130"/>
      <c r="AA10" s="3130"/>
      <c r="AB10" s="3130"/>
      <c r="AC10" s="3130"/>
      <c r="AD10" s="3130"/>
      <c r="AE10" s="3130"/>
      <c r="AF10" s="3130"/>
      <c r="AG10" s="3130"/>
      <c r="AH10" s="3130"/>
      <c r="AI10" s="3130"/>
      <c r="AJ10" s="3131"/>
      <c r="AK10" s="582"/>
    </row>
    <row r="11" spans="2:46" ht="18" customHeight="1" x14ac:dyDescent="0.3">
      <c r="B11" s="581"/>
      <c r="C11" s="3098" t="s">
        <v>391</v>
      </c>
      <c r="D11" s="3099"/>
      <c r="E11" s="3102" t="s">
        <v>8183</v>
      </c>
      <c r="F11" s="3102" t="s">
        <v>8055</v>
      </c>
      <c r="G11" s="3104" t="s">
        <v>8184</v>
      </c>
      <c r="H11" s="3105"/>
      <c r="I11" s="3105"/>
      <c r="J11" s="3079" t="str">
        <f>IF(H8=1,"01/"&amp;J8,"")</f>
        <v/>
      </c>
      <c r="K11" s="3080"/>
      <c r="L11" s="3079" t="str">
        <f>IF(F8="","",IF(H8=2,"02/"&amp;J8,IF(AND(J11&lt;&gt;"",H9&gt;1),"02/"&amp;J8,IF(AND(H8=1,H9=1),"",IF(H8&gt;2,"")))))</f>
        <v/>
      </c>
      <c r="M11" s="3080"/>
      <c r="N11" s="3079" t="str">
        <f>IF(F8="","",IF(H8=3,"03/"&amp;J8,IF(OR(H8&gt;3,H9&lt;3),"",IF(AND(L11&lt;&gt;"",H9&gt;2),"03/"&amp;J8,IF(AND(H8=2,H9=2),"")))))</f>
        <v/>
      </c>
      <c r="O11" s="3080"/>
      <c r="P11" s="3079" t="str">
        <f>IF(F8="","",IF(H8=4,"04/"&amp;J8,IF(OR(H8&gt;4,H9&lt;4),"",IF(AND(N11&lt;&gt;"",H9&gt;3),"04/"&amp;J8,IF(AND(H8=3,H9=3),"")))))</f>
        <v/>
      </c>
      <c r="Q11" s="3080"/>
      <c r="R11" s="3079" t="str">
        <f>IF(F8="","",IF(H8=5,"05/"&amp;J8,IF(OR(H8&gt;5,H9&lt;5),"",IF(AND(P11&lt;&gt;"",H9&gt;4),"05/"&amp;J8,IF(AND(H8=4,H9=4),"")))))</f>
        <v/>
      </c>
      <c r="S11" s="3080"/>
      <c r="T11" s="3079" t="str">
        <f>IF(F8="","",IF(H8=6,"06/"&amp;J8,IF(OR(H8&gt;6,H9&lt;6),"",IF(AND(R11&lt;&gt;"",H9&gt;5),"06/"&amp;J8,IF(AND(H8=5,H9=5),"")))))</f>
        <v/>
      </c>
      <c r="U11" s="3080"/>
      <c r="V11" s="3079" t="str">
        <f>IF(F8="","",IF(H8=7,"07/"&amp;J8,IF(OR(H8&gt;7,H9&lt;7),"",IF(AND(T11&lt;&gt;"",H9&gt;6),"07/"&amp;J8,IF(AND(H8=6,H9=6),"")))))</f>
        <v/>
      </c>
      <c r="W11" s="3080"/>
      <c r="X11" s="3079" t="str">
        <f>IF(F8="","",IF(H8=8,"08/"&amp;J8,IF(OR(H8&gt;8,H9&lt;8),"",IF(AND(V11&lt;&gt;"",H9&gt;7),"08/"&amp;J8,IF(AND(H8=7,H9=7),"")))))</f>
        <v/>
      </c>
      <c r="Y11" s="3080"/>
      <c r="Z11" s="3079" t="str">
        <f>IF(F8="","",IF(H8=9,"09/"&amp;J8,IF(OR(H8&gt;9,H9&lt;9),"",IF(AND(X11&lt;&gt;"",H9&gt;8),"09/"&amp;J8,IF(AND(H8=8,H9=8),"")))))</f>
        <v/>
      </c>
      <c r="AA11" s="3080"/>
      <c r="AB11" s="3079" t="str">
        <f>IF(F8="","",IF(H8=10,"10/"&amp;J8,IF(OR(H8&gt;10,H9&lt;10),"",IF(AND(Z11&lt;&gt;"",H9&gt;9),"10/"&amp;J8,IF(AND(H8=9,H9=9),"")))))</f>
        <v>10/2009</v>
      </c>
      <c r="AC11" s="3080"/>
      <c r="AD11" s="3079" t="str">
        <f>IF(F8="","",IF(H8=11,"11/"&amp;J8,IF(OR(H8&gt;11,H9&lt;11),"",IF(AND(AB11&lt;&gt;"",H9&gt;10),"11/"&amp;J8,IF(AND(H8=10,H9=10),"")))))</f>
        <v>11/2009</v>
      </c>
      <c r="AE11" s="3080"/>
      <c r="AF11" s="3079" t="str">
        <f>IF(F8="","",IF(H8=12,"12/"&amp;J8,IF(OR(H8&gt;12,H9&lt;12),"",IF(AND(AD11&lt;&gt;"",H9&gt;11),"12/"&amp;J8,IF(AND(H8=11,H9=11),"")))))</f>
        <v>12/2009</v>
      </c>
      <c r="AG11" s="3080"/>
      <c r="AH11" s="3106" t="s">
        <v>7968</v>
      </c>
      <c r="AI11" s="3107"/>
      <c r="AJ11" s="3108"/>
      <c r="AK11" s="582"/>
    </row>
    <row r="12" spans="2:46" ht="18" customHeight="1" thickBot="1" x14ac:dyDescent="0.3">
      <c r="B12" s="581"/>
      <c r="C12" s="3100"/>
      <c r="D12" s="3101"/>
      <c r="E12" s="3103"/>
      <c r="F12" s="3103"/>
      <c r="G12" s="3109" t="s">
        <v>8185</v>
      </c>
      <c r="H12" s="3110"/>
      <c r="I12" s="3110"/>
      <c r="J12" s="592" t="str">
        <f>IF(J11="","",IF(AND(H8=1,F8=31),1,IF(AND(H8&lt;1,H9=1),F9,IF(AND(H8=1,H9=1,F9=31),31-F8,IF(AND(H8=1,H9=1,F9&lt;&gt;31),F9-F8+1,IF(AND(H8=1,H9&gt;1),31-F8,IF(AND(H8&lt;1,H9&gt;1),30,)))))))</f>
        <v/>
      </c>
      <c r="K12" s="593" t="str">
        <f>IF(J12="","","dias")</f>
        <v/>
      </c>
      <c r="L12" s="592" t="str">
        <f>IF(L11="","",IF(AND(H8&lt;2,H9&gt;2),30,IF(AND(H9&gt;2,H8=2),31-F8,IF(AND(H8&lt;2,H9=2),F9,IF(AND(H8=2,H9=2),F9-F8+1,IF(AND(H8=2,F8=28),1,IF(AND(H8=2,F8=29),1,IF(AND(H8=2,H9=2,F9=28),31-F8,IF(AND(H8=2,H9=2,F9=29),31-F8,IF(AND(H8=2,H9=2,F9&lt;28),F9-F8+1))))))))))</f>
        <v/>
      </c>
      <c r="M12" s="593" t="str">
        <f>IF(L12="","","dias")</f>
        <v/>
      </c>
      <c r="N12" s="592" t="str">
        <f>IF(N11="","",IF(AND(H8=3,F8=31),1,IF(AND(H8&lt;3,H9=3,F9=31),30,IF(AND(H8&lt;3,H9=3,F9&lt;31),F9,IF(AND(H8=3,H9=3,F9=31),31-F8,IF(AND(H8=3,H9=3,F9&lt;&gt;31),F9-F8+1,IF(AND(H8=3,H9&gt;3),31-F8,IF(AND(H8&lt;3,H9&gt;3),30,))))))))</f>
        <v/>
      </c>
      <c r="O12" s="593" t="str">
        <f>IF(N12="","","dias")</f>
        <v/>
      </c>
      <c r="P12" s="592" t="str">
        <f>IF(P11="","",IF(AND(H8=4,F8=30),1,IF(AND(H8&lt;4,H9=4,F9=31),30,IF(AND(H8&lt;4,H9=4,F9&lt;31),F9,IF(AND(H8=4,H9=4,F9=31),31-F8,IF(AND(H8=4,H9=4,F9&lt;&gt;31),F9-F8+1,IF(AND(H8=4,H9&gt;4),31-F8,IF(AND(H8&lt;4,H9&gt;4),30,))))))))</f>
        <v/>
      </c>
      <c r="Q12" s="593" t="str">
        <f>IF(P12="","","dias")</f>
        <v/>
      </c>
      <c r="R12" s="592" t="str">
        <f>IF(R11="","",IF(AND(H8=5,F8=31),1,IF(AND(H8&lt;5,H9=5,F9=31),30,IF(AND(H8&lt;5,H9=5,F9&lt;31),F9,IF(AND(H8=5,H9=5,F9=31),31-F8,IF(AND(H8=5,H9=5,F9&lt;&gt;31),F9-F8+1,IF(AND(H8=5,H9&gt;5),31-F8,IF(AND(H8&lt;5,H9&gt;5),30,))))))))</f>
        <v/>
      </c>
      <c r="S12" s="593" t="str">
        <f>IF(R12="","","dias")</f>
        <v/>
      </c>
      <c r="T12" s="592" t="str">
        <f>IF(T11="","",IF(AND(H8=6,F8=30),1,IF(AND(H8&lt;6,H9=6,F9=31),30,IF(AND(H8&lt;6,H9=6,F9&lt;31),F9,IF(AND(H8=6,H9=6,F9=31),31-F8,IF(AND(H8=6,H9=6,F9&lt;&gt;31),F9-F8+1,IF(AND(H8=6,H9&gt;6),31-F8,IF(AND(H8&lt;6,H9&gt;6),30,))))))))</f>
        <v/>
      </c>
      <c r="U12" s="593" t="str">
        <f>IF(T12="","","dias")</f>
        <v/>
      </c>
      <c r="V12" s="592" t="str">
        <f>IF(V11="","",IF(AND(H8=6,F8=31),1,IF(AND(H8&lt;7,H9=7,F9=31),30,IF(AND(H8&lt;7,H9=7,F9&lt;31),F9,IF(AND(H8=7,H9=7,F9=31),31-F8,IF(AND(H8=7,H9=7,F9&lt;&gt;31),F9-F8+1,IF(AND(H8=7,H9&gt;7),31-F8,IF(AND(H8&lt;7,H9&gt;7),30,))))))))</f>
        <v/>
      </c>
      <c r="W12" s="593" t="str">
        <f>IF(V12="","","dias")</f>
        <v/>
      </c>
      <c r="X12" s="592" t="str">
        <f>IF(X11="","",IF(AND(H8=8,F8=31),1,IF(AND(H8&lt;8,H9=8,F9=31),30,IF(AND(H8&lt;8,H9=8,F9&lt;31),F9,IF(AND(H8=8,H9=8,F9=31),31-F8,IF(AND(H8=8,H9=8,F9&lt;&gt;31),F9-F8+1,IF(AND(H8=8,H9&gt;8),31-F8,IF(AND(H8&lt;8,H9&gt;8),30,))))))))</f>
        <v/>
      </c>
      <c r="Y12" s="593" t="str">
        <f>IF(X12="","","dias")</f>
        <v/>
      </c>
      <c r="Z12" s="592" t="str">
        <f>IF(Z11="","",IF(AND(H8=9,F8=30),1,IF(AND(H8&lt;9,H9=9,F9=31),30,IF(AND(H8&lt;9,H9=9,F9&lt;31),F9,IF(AND(H8=9,H9=9,F9=31),31-F8,IF(AND(H8=9,H9=9,F9&lt;&gt;31),F9-F8+1,IF(AND(H8=9,H9&gt;9),31-F8,IF(AND(H8&lt;9,H9&gt;9),30,))))))))</f>
        <v/>
      </c>
      <c r="AA12" s="593" t="str">
        <f>IF(Z12="","","dias")</f>
        <v/>
      </c>
      <c r="AB12" s="592">
        <f>IF(AB11="","",IF(AND(H8=10,F8=31),1,IF(AND(H8&lt;10,H9=10,F9=31),30,IF(AND(H8&lt;10,H9=10,F9&lt;31),F9,IF(AND(H8=10,H9=10,F9=31),31-F8,IF(AND(H8=10,H9=10,F9&lt;&gt;31),F9-F8+1,IF(AND(H8=10,H9&gt;10),31-F8,IF(AND(H8&lt;10,H9&gt;10),30,))))))))</f>
        <v>23</v>
      </c>
      <c r="AC12" s="593" t="str">
        <f>IF(AB12="","","dias")</f>
        <v>dias</v>
      </c>
      <c r="AD12" s="592">
        <f>IF(AD11="","",IF(AND(H8=11,F8=30),1,IF(AND(H8&lt;11,H9=11,F9=31),30,IF(AND(H8&lt;11,H9=11,F9&lt;31),F9,IF(AND(H8=11,H9=11,F9=31),31-F8,IF(AND(H8=11,H9=11,F9&lt;&gt;31),F9-F8+1,IF(AND(H8=11,H9&gt;11),31-F8,IF(AND(H8&lt;11,H9&gt;11),30,))))))))</f>
        <v>30</v>
      </c>
      <c r="AE12" s="593" t="str">
        <f>IF(AD12="","","dias")</f>
        <v>dias</v>
      </c>
      <c r="AF12" s="592">
        <f>IF(AF11="","",IF(AND(H8=12,F8=31),1,IF(AND(H8&lt;12,H9=12,F9=31),30,IF(AND(H8&lt;12,H9=12,F9&lt;31),F9,IF(AND(H8=12,H9=12,F9=31),31-F8,IF(AND(H8=12,H9=12,F9&lt;&gt;31),F9-F8+1,IF(AND(H8=12,H9&gt;12),31-F8,IF(AND(H8&lt;12,H9&gt;12),30,))))))))</f>
        <v>30</v>
      </c>
      <c r="AG12" s="593" t="str">
        <f>IF(AF12="","","dias")</f>
        <v>dias</v>
      </c>
      <c r="AH12" s="3111" t="s">
        <v>8186</v>
      </c>
      <c r="AI12" s="3112"/>
      <c r="AJ12" s="3113"/>
      <c r="AK12" s="582"/>
    </row>
    <row r="13" spans="2:46" ht="18" customHeight="1" x14ac:dyDescent="0.25">
      <c r="B13" s="581"/>
      <c r="C13" s="3022" t="str">
        <f>IF(AI9=1,"2135","7135")</f>
        <v>2135</v>
      </c>
      <c r="D13" s="3023"/>
      <c r="E13" s="3170" t="s">
        <v>8193</v>
      </c>
      <c r="F13" s="3171"/>
      <c r="G13" s="3072">
        <f>AG8*X9</f>
        <v>6.41</v>
      </c>
      <c r="H13" s="3073"/>
      <c r="I13" s="3073"/>
      <c r="J13" s="3070" t="str">
        <f>IF(J11="","",(G13/30)*J12)</f>
        <v/>
      </c>
      <c r="K13" s="3071"/>
      <c r="L13" s="3070" t="str">
        <f>IF(L11="","",(G13/30)*L12)</f>
        <v/>
      </c>
      <c r="M13" s="3071"/>
      <c r="N13" s="3070" t="str">
        <f>IF(N11="","",(G13/30)*N12)</f>
        <v/>
      </c>
      <c r="O13" s="3071"/>
      <c r="P13" s="3070" t="str">
        <f>IF(P11="","",(G13/30)*P12)</f>
        <v/>
      </c>
      <c r="Q13" s="3071"/>
      <c r="R13" s="3070" t="str">
        <f>IF(R11="","",(G13/30)*R12)</f>
        <v/>
      </c>
      <c r="S13" s="3071"/>
      <c r="T13" s="3070" t="str">
        <f>IF(T11="","",(G13/30)*T12)</f>
        <v/>
      </c>
      <c r="U13" s="3071"/>
      <c r="V13" s="3070" t="str">
        <f>IF(V11="","",(G13/30)*V12)</f>
        <v/>
      </c>
      <c r="W13" s="3071"/>
      <c r="X13" s="3070" t="str">
        <f>IF(X11="","",(G13/30)*X12)</f>
        <v/>
      </c>
      <c r="Y13" s="3071"/>
      <c r="Z13" s="3070" t="str">
        <f>IF(Z11="","",(G13/30)*Z12)</f>
        <v/>
      </c>
      <c r="AA13" s="3071"/>
      <c r="AB13" s="3070">
        <f>IF(AB11="","",(G13/30)*AB12)</f>
        <v>4.9143333333333334</v>
      </c>
      <c r="AC13" s="3071"/>
      <c r="AD13" s="3070">
        <f>IF(AD11="","",(G13/30)*AD12)</f>
        <v>6.41</v>
      </c>
      <c r="AE13" s="3071"/>
      <c r="AF13" s="3070">
        <f>IF(AF11="","",(G13/30)*AF12)</f>
        <v>6.41</v>
      </c>
      <c r="AG13" s="3071"/>
      <c r="AH13" s="3072">
        <f>SUM(J13:AG13)</f>
        <v>17.734333333333332</v>
      </c>
      <c r="AI13" s="3073"/>
      <c r="AJ13" s="3074"/>
      <c r="AK13" s="615">
        <f>IF(AH13="",0,ROUND(AH13,2))</f>
        <v>17.73</v>
      </c>
    </row>
    <row r="14" spans="2:46" ht="18" customHeight="1" x14ac:dyDescent="0.25">
      <c r="B14" s="581"/>
      <c r="C14" s="3161" t="str">
        <f>IF(AI9=1,"2144","7144")</f>
        <v>2144</v>
      </c>
      <c r="D14" s="3162"/>
      <c r="E14" s="612">
        <v>6</v>
      </c>
      <c r="F14" s="648">
        <f>E14*5%</f>
        <v>0.30000000000000004</v>
      </c>
      <c r="G14" s="3167">
        <f>G13*F14</f>
        <v>1.9230000000000003</v>
      </c>
      <c r="H14" s="3168"/>
      <c r="I14" s="3168"/>
      <c r="J14" s="3159" t="str">
        <f>IF(J11="","",(G14/30)*J12)</f>
        <v/>
      </c>
      <c r="K14" s="3160"/>
      <c r="L14" s="3159" t="str">
        <f>IF(L11="","",(G14/30)*L12)</f>
        <v/>
      </c>
      <c r="M14" s="3160"/>
      <c r="N14" s="3159" t="str">
        <f>IF(N11="","",(G14/30)*N12)</f>
        <v/>
      </c>
      <c r="O14" s="3160"/>
      <c r="P14" s="3159" t="str">
        <f>IF(P11="","",(G14/30)*P12)</f>
        <v/>
      </c>
      <c r="Q14" s="3160"/>
      <c r="R14" s="3159" t="str">
        <f>IF(R11="","",(G14/30)*R12)</f>
        <v/>
      </c>
      <c r="S14" s="3160"/>
      <c r="T14" s="3159" t="str">
        <f>IF(T11="","",(G14/30)*T12)</f>
        <v/>
      </c>
      <c r="U14" s="3160"/>
      <c r="V14" s="3159" t="str">
        <f>IF(V11="","",(G14/30)*V12)</f>
        <v/>
      </c>
      <c r="W14" s="3160"/>
      <c r="X14" s="3159" t="str">
        <f>IF(X11="","",(G14/30)*X12)</f>
        <v/>
      </c>
      <c r="Y14" s="3160"/>
      <c r="Z14" s="3159" t="str">
        <f>IF(Z11="","",(G14/30)*Z12)</f>
        <v/>
      </c>
      <c r="AA14" s="3160"/>
      <c r="AB14" s="3159">
        <f>IF(AB11="","",(G14/30)*AB12)</f>
        <v>1.4743000000000002</v>
      </c>
      <c r="AC14" s="3160"/>
      <c r="AD14" s="3159">
        <f>IF(AD11="","",(G14/30)*AD12)</f>
        <v>1.923</v>
      </c>
      <c r="AE14" s="3160"/>
      <c r="AF14" s="3159">
        <f>IF(AF11="","",(G14/30)*AF12)</f>
        <v>1.923</v>
      </c>
      <c r="AG14" s="3160"/>
      <c r="AH14" s="3167">
        <f>SUM(J14:AG14)</f>
        <v>5.3203000000000005</v>
      </c>
      <c r="AI14" s="3168"/>
      <c r="AJ14" s="3169"/>
      <c r="AK14" s="615">
        <f>IF(AH14="",0,ROUND(AH14,2))</f>
        <v>5.32</v>
      </c>
    </row>
    <row r="15" spans="2:46" ht="18" customHeight="1" thickBot="1" x14ac:dyDescent="0.3">
      <c r="B15" s="581"/>
      <c r="C15" s="3161" t="str">
        <f>IF(AI9=1,"2042","7042")</f>
        <v>2042</v>
      </c>
      <c r="D15" s="3162"/>
      <c r="E15" s="612">
        <v>2</v>
      </c>
      <c r="F15" s="648">
        <f>E15*10%</f>
        <v>0.2</v>
      </c>
      <c r="G15" s="3055">
        <f>(G13+G14)*F15</f>
        <v>1.6666000000000001</v>
      </c>
      <c r="H15" s="3056"/>
      <c r="I15" s="3056"/>
      <c r="J15" s="3159" t="str">
        <f>IF(J11="","",(G15/30)*J12)</f>
        <v/>
      </c>
      <c r="K15" s="3160"/>
      <c r="L15" s="3159" t="str">
        <f>IF(L11="","",(G15/30)*L12)</f>
        <v/>
      </c>
      <c r="M15" s="3160"/>
      <c r="N15" s="3159" t="str">
        <f>IF(N11="","",(G15/30)*N12)</f>
        <v/>
      </c>
      <c r="O15" s="3160"/>
      <c r="P15" s="3159" t="str">
        <f>IF(P11="","",(G15/30)*P12)</f>
        <v/>
      </c>
      <c r="Q15" s="3160"/>
      <c r="R15" s="3159" t="str">
        <f>IF(R11="","",(G15/30)*R12)</f>
        <v/>
      </c>
      <c r="S15" s="3160"/>
      <c r="T15" s="3159" t="str">
        <f>IF(T11="","",(G15/30)*T12)</f>
        <v/>
      </c>
      <c r="U15" s="3160"/>
      <c r="V15" s="3159" t="str">
        <f>IF(V11="","",(G15/30)*V12)</f>
        <v/>
      </c>
      <c r="W15" s="3160"/>
      <c r="X15" s="3159" t="str">
        <f>IF(X11="","",(G15/30)*X12)</f>
        <v/>
      </c>
      <c r="Y15" s="3160"/>
      <c r="Z15" s="3159" t="str">
        <f>IF(Z11="","",(G15/30)*Z12)</f>
        <v/>
      </c>
      <c r="AA15" s="3160"/>
      <c r="AB15" s="3159">
        <f>IF(AB11="","",(G15/30)*AB12)</f>
        <v>1.2777266666666667</v>
      </c>
      <c r="AC15" s="3160"/>
      <c r="AD15" s="3159">
        <f>IF(AD11="","",(G15/30)*AD12)</f>
        <v>1.6666000000000001</v>
      </c>
      <c r="AE15" s="3160"/>
      <c r="AF15" s="3159">
        <f>IF(AF11="","",(G15/30)*AF12)</f>
        <v>1.6666000000000001</v>
      </c>
      <c r="AG15" s="3160"/>
      <c r="AH15" s="3167">
        <f>SUM(J15:AG15)</f>
        <v>4.6109266666666668</v>
      </c>
      <c r="AI15" s="3168"/>
      <c r="AJ15" s="3169"/>
      <c r="AK15" s="615">
        <f>IF(AH15="",0,ROUND(AH15,2))</f>
        <v>4.6100000000000003</v>
      </c>
    </row>
    <row r="16" spans="2:46" ht="18" customHeight="1" thickBot="1" x14ac:dyDescent="0.3">
      <c r="B16" s="581"/>
      <c r="C16" s="3161"/>
      <c r="D16" s="3162"/>
      <c r="E16" s="3163"/>
      <c r="F16" s="3164"/>
      <c r="G16" s="3062">
        <f>G13+G14+G15</f>
        <v>9.9996000000000009</v>
      </c>
      <c r="H16" s="3063"/>
      <c r="I16" s="3064"/>
      <c r="J16" s="3065"/>
      <c r="K16" s="3066"/>
      <c r="L16" s="3066"/>
      <c r="M16" s="3066"/>
      <c r="N16" s="3066"/>
      <c r="O16" s="3066"/>
      <c r="P16" s="3066"/>
      <c r="Q16" s="3066"/>
      <c r="R16" s="3066"/>
      <c r="S16" s="3066"/>
      <c r="T16" s="3066"/>
      <c r="U16" s="3066"/>
      <c r="V16" s="3066"/>
      <c r="W16" s="3066"/>
      <c r="X16" s="3066"/>
      <c r="Y16" s="3066"/>
      <c r="Z16" s="3066"/>
      <c r="AA16" s="3066"/>
      <c r="AB16" s="3066"/>
      <c r="AC16" s="3066"/>
      <c r="AD16" s="3066"/>
      <c r="AE16" s="3066"/>
      <c r="AF16" s="3066"/>
      <c r="AG16" s="3067"/>
      <c r="AH16" s="3062">
        <f>AK13+AK14+AK15</f>
        <v>27.66</v>
      </c>
      <c r="AI16" s="3063"/>
      <c r="AJ16" s="3064"/>
      <c r="AK16" s="582"/>
    </row>
    <row r="17" spans="2:37" ht="18" customHeight="1" x14ac:dyDescent="0.25">
      <c r="B17" s="581"/>
      <c r="C17" s="3050" t="str">
        <f>IF(OR(F9&lt;&gt;31,H9&lt;&gt;12),"",IF(AI9=1,"2151","7151"))</f>
        <v>2151</v>
      </c>
      <c r="D17" s="3051"/>
      <c r="E17" s="3165" t="str">
        <f>IF(C17="","","13º")</f>
        <v>13º</v>
      </c>
      <c r="F17" s="3166"/>
      <c r="G17" s="3013">
        <f>IF(C17="","",G16)</f>
        <v>9.9996000000000009</v>
      </c>
      <c r="H17" s="3014"/>
      <c r="I17" s="3015"/>
      <c r="J17" s="3016">
        <f>IF(G17="",0,ROUND(G17,2))</f>
        <v>10</v>
      </c>
      <c r="K17" s="3017"/>
      <c r="L17" s="3017"/>
      <c r="M17" s="3017"/>
      <c r="N17" s="3017"/>
      <c r="O17" s="3017"/>
      <c r="P17" s="3017"/>
      <c r="Q17" s="3017"/>
      <c r="R17" s="3017"/>
      <c r="S17" s="3017"/>
      <c r="T17" s="3017"/>
      <c r="U17" s="3017"/>
      <c r="V17" s="3017"/>
      <c r="W17" s="3017"/>
      <c r="X17" s="3017"/>
      <c r="Y17" s="3017"/>
      <c r="Z17" s="3017"/>
      <c r="AA17" s="3017"/>
      <c r="AB17" s="3017"/>
      <c r="AC17" s="3017"/>
      <c r="AD17" s="3017"/>
      <c r="AE17" s="3017"/>
      <c r="AF17" s="3017"/>
      <c r="AG17" s="3017"/>
      <c r="AH17" s="3017"/>
      <c r="AI17" s="3017"/>
      <c r="AJ17" s="3018"/>
      <c r="AK17" s="582"/>
    </row>
    <row r="18" spans="2:37" ht="6" customHeight="1" x14ac:dyDescent="0.25">
      <c r="B18" s="581"/>
      <c r="C18" s="3156"/>
      <c r="D18" s="3157"/>
      <c r="E18" s="3157"/>
      <c r="F18" s="3157"/>
      <c r="G18" s="3157"/>
      <c r="H18" s="3157"/>
      <c r="I18" s="3157"/>
      <c r="J18" s="3157"/>
      <c r="K18" s="3157"/>
      <c r="L18" s="3157"/>
      <c r="M18" s="3157"/>
      <c r="N18" s="3157"/>
      <c r="O18" s="3157"/>
      <c r="P18" s="3157"/>
      <c r="Q18" s="3157"/>
      <c r="R18" s="3157"/>
      <c r="S18" s="3157"/>
      <c r="T18" s="3157"/>
      <c r="U18" s="3157"/>
      <c r="V18" s="3157"/>
      <c r="W18" s="3157"/>
      <c r="X18" s="3157"/>
      <c r="Y18" s="3157"/>
      <c r="Z18" s="3157"/>
      <c r="AA18" s="3157"/>
      <c r="AB18" s="3157"/>
      <c r="AC18" s="3157"/>
      <c r="AD18" s="3157"/>
      <c r="AE18" s="3157"/>
      <c r="AF18" s="3157"/>
      <c r="AG18" s="3157"/>
      <c r="AH18" s="3157"/>
      <c r="AI18" s="3157"/>
      <c r="AJ18" s="3158"/>
      <c r="AK18" s="582"/>
    </row>
    <row r="19" spans="2:37" ht="18" customHeight="1" x14ac:dyDescent="0.25">
      <c r="B19" s="581"/>
      <c r="C19" s="3022" t="str">
        <f>IF(AI9=2,"0532","7832")</f>
        <v>7832</v>
      </c>
      <c r="D19" s="3023"/>
      <c r="E19" s="594"/>
      <c r="F19" s="649">
        <v>3.2000000000000001E-2</v>
      </c>
      <c r="G19" s="3024">
        <f>AH16*F19</f>
        <v>0.88512000000000002</v>
      </c>
      <c r="H19" s="3024"/>
      <c r="I19" s="3024"/>
      <c r="J19" s="3016">
        <f>IF(G19="",0,ROUND(G19,2))</f>
        <v>0.89</v>
      </c>
      <c r="K19" s="3017"/>
      <c r="L19" s="3017"/>
      <c r="M19" s="3017"/>
      <c r="N19" s="3017"/>
      <c r="O19" s="3017"/>
      <c r="P19" s="3017"/>
      <c r="Q19" s="3017"/>
      <c r="R19" s="3017"/>
      <c r="S19" s="3017"/>
      <c r="T19" s="3017"/>
      <c r="U19" s="3017"/>
      <c r="V19" s="3017"/>
      <c r="W19" s="3017"/>
      <c r="X19" s="3017"/>
      <c r="Y19" s="3017"/>
      <c r="Z19" s="3017"/>
      <c r="AA19" s="3017"/>
      <c r="AB19" s="3017"/>
      <c r="AC19" s="3017"/>
      <c r="AD19" s="3017"/>
      <c r="AE19" s="3017"/>
      <c r="AF19" s="3017"/>
      <c r="AG19" s="3017"/>
      <c r="AH19" s="3017"/>
      <c r="AI19" s="3017"/>
      <c r="AJ19" s="3018"/>
      <c r="AK19" s="582"/>
    </row>
    <row r="20" spans="2:37" ht="18" customHeight="1" thickBot="1" x14ac:dyDescent="0.3">
      <c r="B20" s="581"/>
      <c r="C20" s="3132" t="str">
        <f>IF(OR(F9&lt;&gt;31,H9&lt;&gt;12),"",IF(AI9=2,"0632","7932"))</f>
        <v>7932</v>
      </c>
      <c r="D20" s="3133"/>
      <c r="E20" s="595"/>
      <c r="F20" s="650">
        <f>IF(C20="","",3.2%)</f>
        <v>3.2000000000000001E-2</v>
      </c>
      <c r="G20" s="3134">
        <f>IF(C20="","",G17*F20)</f>
        <v>0.31998720000000003</v>
      </c>
      <c r="H20" s="3134"/>
      <c r="I20" s="3134"/>
      <c r="J20" s="3135">
        <f>IF(G20="",0,ROUND(G20,2))</f>
        <v>0.32</v>
      </c>
      <c r="K20" s="3136"/>
      <c r="L20" s="3136"/>
      <c r="M20" s="3136"/>
      <c r="N20" s="3136"/>
      <c r="O20" s="3136"/>
      <c r="P20" s="3136"/>
      <c r="Q20" s="3136"/>
      <c r="R20" s="3136"/>
      <c r="S20" s="3136"/>
      <c r="T20" s="3136"/>
      <c r="U20" s="3136"/>
      <c r="V20" s="3136"/>
      <c r="W20" s="3136"/>
      <c r="X20" s="3136"/>
      <c r="Y20" s="3136"/>
      <c r="Z20" s="3136"/>
      <c r="AA20" s="3136"/>
      <c r="AB20" s="3136"/>
      <c r="AC20" s="3136"/>
      <c r="AD20" s="3136"/>
      <c r="AE20" s="3136"/>
      <c r="AF20" s="3136"/>
      <c r="AG20" s="3136"/>
      <c r="AH20" s="3136"/>
      <c r="AI20" s="3136"/>
      <c r="AJ20" s="3137"/>
      <c r="AK20" s="582"/>
    </row>
    <row r="21" spans="2:37" ht="18" customHeight="1" thickBot="1" x14ac:dyDescent="0.3">
      <c r="B21" s="581"/>
      <c r="C21" s="3138"/>
      <c r="D21" s="3139"/>
      <c r="E21" s="3139"/>
      <c r="F21" s="3139"/>
      <c r="G21" s="3139"/>
      <c r="H21" s="3139"/>
      <c r="I21" s="3139"/>
      <c r="J21" s="3139"/>
      <c r="K21" s="3139"/>
      <c r="L21" s="3139"/>
      <c r="M21" s="3139"/>
      <c r="N21" s="3139"/>
      <c r="O21" s="3139"/>
      <c r="P21" s="3139"/>
      <c r="Q21" s="3139"/>
      <c r="R21" s="3139"/>
      <c r="S21" s="3139"/>
      <c r="T21" s="3139"/>
      <c r="U21" s="3139"/>
      <c r="V21" s="3139"/>
      <c r="W21" s="3139"/>
      <c r="X21" s="3139"/>
      <c r="Y21" s="3139"/>
      <c r="Z21" s="3139"/>
      <c r="AA21" s="3139"/>
      <c r="AB21" s="3139"/>
      <c r="AC21" s="3139"/>
      <c r="AD21" s="3139"/>
      <c r="AE21" s="3139"/>
      <c r="AF21" s="3139"/>
      <c r="AG21" s="3139"/>
      <c r="AH21" s="3139"/>
      <c r="AI21" s="3139"/>
      <c r="AJ21" s="3140"/>
      <c r="AK21" s="582"/>
    </row>
    <row r="22" spans="2:37" ht="18" customHeight="1" x14ac:dyDescent="0.3">
      <c r="B22" s="581"/>
      <c r="C22" s="3141" t="s">
        <v>8187</v>
      </c>
      <c r="D22" s="3142"/>
      <c r="E22" s="3142"/>
      <c r="F22" s="607">
        <v>1</v>
      </c>
      <c r="G22" s="586" t="s">
        <v>339</v>
      </c>
      <c r="H22" s="608">
        <v>1</v>
      </c>
      <c r="I22" s="586" t="s">
        <v>339</v>
      </c>
      <c r="J22" s="3143">
        <v>2010</v>
      </c>
      <c r="K22" s="3144"/>
      <c r="L22" s="587" t="s">
        <v>8174</v>
      </c>
      <c r="M22" s="596">
        <f>IF(F22&gt;0,M8,"")</f>
        <v>18</v>
      </c>
      <c r="N22" s="3145" t="s">
        <v>8175</v>
      </c>
      <c r="O22" s="3145"/>
      <c r="P22" s="3146" t="s">
        <v>8176</v>
      </c>
      <c r="Q22" s="3146"/>
      <c r="R22" s="3146"/>
      <c r="S22" s="3146"/>
      <c r="T22" s="3147" t="s">
        <v>8192</v>
      </c>
      <c r="U22" s="3147"/>
      <c r="V22" s="3147"/>
      <c r="W22" s="3148" t="s">
        <v>407</v>
      </c>
      <c r="X22" s="3148"/>
      <c r="Y22" s="3148"/>
      <c r="Z22" s="3148"/>
      <c r="AA22" s="3149">
        <v>691.8</v>
      </c>
      <c r="AB22" s="3149"/>
      <c r="AC22" s="3149"/>
      <c r="AD22" s="3150"/>
      <c r="AE22" s="3151" t="s">
        <v>8177</v>
      </c>
      <c r="AF22" s="3152"/>
      <c r="AG22" s="3153">
        <f>IF(F22&gt;0,AA22/L23,"")</f>
        <v>6.405555555555555</v>
      </c>
      <c r="AH22" s="3154"/>
      <c r="AI22" s="3154"/>
      <c r="AJ22" s="3155"/>
      <c r="AK22" s="582"/>
    </row>
    <row r="23" spans="2:37" ht="18" customHeight="1" x14ac:dyDescent="0.3">
      <c r="B23" s="581"/>
      <c r="C23" s="3081" t="s">
        <v>8180</v>
      </c>
      <c r="D23" s="3082"/>
      <c r="E23" s="3082"/>
      <c r="F23" s="610">
        <v>29</v>
      </c>
      <c r="G23" s="588" t="s">
        <v>339</v>
      </c>
      <c r="H23" s="611">
        <v>6</v>
      </c>
      <c r="I23" s="588" t="s">
        <v>339</v>
      </c>
      <c r="J23" s="3083">
        <v>2010</v>
      </c>
      <c r="K23" s="3084"/>
      <c r="L23" s="3085">
        <f>IF(F22&gt;0,L9,"")</f>
        <v>108</v>
      </c>
      <c r="M23" s="3086"/>
      <c r="N23" s="3087" t="s">
        <v>8181</v>
      </c>
      <c r="O23" s="3088"/>
      <c r="P23" s="3089" t="s">
        <v>8182</v>
      </c>
      <c r="Q23" s="3089"/>
      <c r="R23" s="3089"/>
      <c r="S23" s="3089"/>
      <c r="T23" s="3089"/>
      <c r="U23" s="3089"/>
      <c r="V23" s="3089"/>
      <c r="W23" s="3090"/>
      <c r="X23" s="3091">
        <f>IF(F22&gt;0,X9,"")</f>
        <v>1</v>
      </c>
      <c r="Y23" s="3092"/>
      <c r="Z23" s="3093"/>
      <c r="AA23" s="3094"/>
      <c r="AB23" s="3094"/>
      <c r="AC23" s="3094"/>
      <c r="AD23" s="3094"/>
      <c r="AE23" s="3094"/>
      <c r="AF23" s="3094"/>
      <c r="AG23" s="3094"/>
      <c r="AH23" s="3094"/>
      <c r="AI23" s="617">
        <f>IF(F22&gt;0,AI9,"")</f>
        <v>1</v>
      </c>
      <c r="AJ23" s="591"/>
      <c r="AK23" s="582"/>
    </row>
    <row r="24" spans="2:37" ht="6" customHeight="1" thickBot="1" x14ac:dyDescent="0.3">
      <c r="B24" s="581"/>
      <c r="C24" s="3129"/>
      <c r="D24" s="3130"/>
      <c r="E24" s="3130"/>
      <c r="F24" s="3130"/>
      <c r="G24" s="3130"/>
      <c r="H24" s="3130"/>
      <c r="I24" s="3130"/>
      <c r="J24" s="3130"/>
      <c r="K24" s="3130"/>
      <c r="L24" s="3130"/>
      <c r="M24" s="3130"/>
      <c r="N24" s="3130"/>
      <c r="O24" s="3130"/>
      <c r="P24" s="3130"/>
      <c r="Q24" s="3130"/>
      <c r="R24" s="3130"/>
      <c r="S24" s="3130"/>
      <c r="T24" s="3130"/>
      <c r="U24" s="3130"/>
      <c r="V24" s="3130"/>
      <c r="W24" s="3130"/>
      <c r="X24" s="3130"/>
      <c r="Y24" s="3130"/>
      <c r="Z24" s="3130"/>
      <c r="AA24" s="3130"/>
      <c r="AB24" s="3130"/>
      <c r="AC24" s="3130"/>
      <c r="AD24" s="3130"/>
      <c r="AE24" s="3130"/>
      <c r="AF24" s="3130"/>
      <c r="AG24" s="3130"/>
      <c r="AH24" s="3130"/>
      <c r="AI24" s="3130"/>
      <c r="AJ24" s="3131"/>
      <c r="AK24" s="582"/>
    </row>
    <row r="25" spans="2:37" ht="18" customHeight="1" x14ac:dyDescent="0.3">
      <c r="B25" s="581"/>
      <c r="C25" s="3098" t="s">
        <v>391</v>
      </c>
      <c r="D25" s="3099"/>
      <c r="E25" s="3102" t="s">
        <v>8183</v>
      </c>
      <c r="F25" s="3102" t="s">
        <v>8055</v>
      </c>
      <c r="G25" s="3104" t="s">
        <v>8184</v>
      </c>
      <c r="H25" s="3105"/>
      <c r="I25" s="3105"/>
      <c r="J25" s="3079" t="str">
        <f>IF(H22=1,"01/"&amp;J22,"")</f>
        <v>01/2010</v>
      </c>
      <c r="K25" s="3080"/>
      <c r="L25" s="3079" t="str">
        <f>IF(F22="","",IF(H22=2,"02/"&amp;J22,IF(AND(J25&lt;&gt;"",H23&gt;1),"02/"&amp;J22,IF(AND(H22=1,H23=1),"",IF(H22&gt;2,"")))))</f>
        <v>02/2010</v>
      </c>
      <c r="M25" s="3080"/>
      <c r="N25" s="3079" t="str">
        <f>IF(F22="","",IF(H22=3,"03/"&amp;J22,IF(OR(H22&gt;3,H23&lt;3),"",IF(AND(L25&lt;&gt;"",H23&gt;2),"03/"&amp;J22,IF(AND(H22=2,H23=2),"")))))</f>
        <v>03/2010</v>
      </c>
      <c r="O25" s="3080"/>
      <c r="P25" s="3079" t="str">
        <f>IF(F22="","",IF(H22=4,"04/"&amp;J22,IF(OR(H22&gt;4,H23&lt;4),"",IF(AND(N25&lt;&gt;"",H23&gt;3),"04/"&amp;J22,IF(AND(H22=3,H23=3),"")))))</f>
        <v>04/2010</v>
      </c>
      <c r="Q25" s="3080"/>
      <c r="R25" s="3079" t="str">
        <f>IF(F22="","",IF(H22=5,"05/"&amp;J22,IF(OR(H22&gt;5,H23&lt;5),"",IF(AND(P25&lt;&gt;"",H23&gt;4),"05/"&amp;J22,IF(AND(H22=4,H23=4),"")))))</f>
        <v>05/2010</v>
      </c>
      <c r="S25" s="3080"/>
      <c r="T25" s="3079" t="str">
        <f>IF(F22="","",IF(H22=6,"06/"&amp;J22,IF(OR(H22&gt;6,H23&lt;6),"",IF(AND(R25&lt;&gt;"",H23&gt;5),"06/"&amp;J22,IF(AND(H22=5,H23=5),"")))))</f>
        <v>06/2010</v>
      </c>
      <c r="U25" s="3080"/>
      <c r="V25" s="3079" t="str">
        <f>IF(F22="","",IF(H22=7,"07/"&amp;J22,IF(OR(H22&gt;7,H23&lt;7),"",IF(AND(T25&lt;&gt;"",H23&gt;6),"07/"&amp;J22,IF(AND(H22=6,H23=6),"")))))</f>
        <v/>
      </c>
      <c r="W25" s="3080"/>
      <c r="X25" s="3079" t="str">
        <f>IF(F22="","",IF(H22=8,"08/"&amp;J22,IF(OR(H22&gt;8,H23&lt;8),"",IF(AND(V25&lt;&gt;"",H23&gt;7),"08/"&amp;J22,IF(AND(H22=7,H23=7),"")))))</f>
        <v/>
      </c>
      <c r="Y25" s="3080"/>
      <c r="Z25" s="3079" t="str">
        <f>IF(F22="","",IF(H22=9,"09/"&amp;J22,IF(OR(H22&gt;9,H23&lt;9),"",IF(AND(X25&lt;&gt;"",H23&gt;8),"09/"&amp;J22,IF(AND(H22=8,H23=8),"")))))</f>
        <v/>
      </c>
      <c r="AA25" s="3080"/>
      <c r="AB25" s="3079" t="str">
        <f>IF(F22="","",IF(H22=10,"10/"&amp;J22,IF(OR(H22&gt;10,H23&lt;10),"",IF(AND(Z25&lt;&gt;"",H23&gt;9),"10/"&amp;J22,IF(AND(H22=9,H23=9),"")))))</f>
        <v/>
      </c>
      <c r="AC25" s="3080"/>
      <c r="AD25" s="3079" t="str">
        <f>IF(F22="","",IF(H22=11,"11/"&amp;J22,IF(OR(H22&gt;11,H23&lt;11),"",IF(AND(AB25&lt;&gt;"",H23&gt;10),"11/"&amp;J22,IF(AND(H22=10,H23=10),"")))))</f>
        <v/>
      </c>
      <c r="AE25" s="3080"/>
      <c r="AF25" s="3079" t="str">
        <f>IF(F22="","",IF(H22=12,"12/"&amp;J22,IF(OR(H22&gt;12,H23&lt;12),"",IF(AND(AD25&lt;&gt;"",H23&gt;11),"12/"&amp;J22,IF(AND(H22=11,H23=11),"")))))</f>
        <v/>
      </c>
      <c r="AG25" s="3080"/>
      <c r="AH25" s="3106" t="s">
        <v>7968</v>
      </c>
      <c r="AI25" s="3107"/>
      <c r="AJ25" s="3108"/>
      <c r="AK25" s="582"/>
    </row>
    <row r="26" spans="2:37" ht="18" customHeight="1" thickBot="1" x14ac:dyDescent="0.3">
      <c r="B26" s="581"/>
      <c r="C26" s="3100"/>
      <c r="D26" s="3101"/>
      <c r="E26" s="3103"/>
      <c r="F26" s="3103"/>
      <c r="G26" s="3109" t="s">
        <v>8185</v>
      </c>
      <c r="H26" s="3110"/>
      <c r="I26" s="3110"/>
      <c r="J26" s="592">
        <f>IF(J25="","",IF(AND(H22=1,F22=31),1,IF(AND(H22&lt;1,H23=1),F23,IF(AND(H22=1,H23=1,F23=31),31-F22,IF(AND(H22=1,H23=1,F23&lt;&gt;31),F23-F22+1,IF(AND(H22=1,H23&gt;1),31-F22,IF(AND(H22&lt;1,H23&gt;1),30,)))))))</f>
        <v>30</v>
      </c>
      <c r="K26" s="593" t="str">
        <f>IF(J26="","","dias")</f>
        <v>dias</v>
      </c>
      <c r="L26" s="592">
        <f>IF(L25="","",IF(AND(H22&lt;2,H23&gt;2),30,IF(AND(H23&gt;2,H22=2),31-F22,IF(AND(H22&lt;2,H23=2),F23,IF(AND(H22=2,H23=2),F23-F22+1,IF(AND(H22=2,F22=28),1,IF(AND(H22=2,F22=29),1,IF(AND(H22=2,H23=2,F23=28),31-F22,IF(AND(H22=2,H23=2,F23=29),31-F22,IF(AND(H22=2,H23=2,F23&lt;28),F23-F22+1))))))))))</f>
        <v>30</v>
      </c>
      <c r="M26" s="593" t="str">
        <f>IF(L26="","","dias")</f>
        <v>dias</v>
      </c>
      <c r="N26" s="592">
        <f>IF(N25="","",IF(AND(H22=3,F22=31),1,IF(AND(H22&lt;3,H23=3,F23=31),30,IF(AND(H22&lt;3,H23=3,F23&lt;31),F23,IF(AND(H22=3,H23=3,F23=31),31-F22,IF(AND(H22=3,H23=3,F23&lt;&gt;31),F23-F22+1,IF(AND(H22=3,H23&gt;3),31-F22,IF(AND(H22&lt;3,H23&gt;3),30,))))))))</f>
        <v>30</v>
      </c>
      <c r="O26" s="593" t="str">
        <f>IF(N26="","","dias")</f>
        <v>dias</v>
      </c>
      <c r="P26" s="592">
        <f>IF(P25="","",IF(AND(H22=4,F22=30),1,IF(AND(H22&lt;4,H23=4,F23=31),30,IF(AND(H22&lt;4,H23=4,F23&lt;31),F23,IF(AND(H22=4,H23=4,F23=31),31-F22,IF(AND(H22=4,H23=4,F23&lt;&gt;31),F23-F22+1,IF(AND(H22=4,H23&gt;4),31-F22,IF(AND(H22&lt;4,H23&gt;4),30,))))))))</f>
        <v>30</v>
      </c>
      <c r="Q26" s="593" t="str">
        <f>IF(P26="","","dias")</f>
        <v>dias</v>
      </c>
      <c r="R26" s="592">
        <f>IF(R25="","",IF(AND(H22=5,F22=31),1,IF(AND(H22&lt;5,H23=5,F23=31),30,IF(AND(H22&lt;5,H23=5,F23&lt;31),F23,IF(AND(H22=5,H23=5,F23=31),31-F22,IF(AND(H22=5,H23=5,F23&lt;&gt;31),F23-F22+1,IF(AND(H22=5,H23&gt;5),31-F22,IF(AND(H22&lt;5,H23&gt;5),30,))))))))</f>
        <v>30</v>
      </c>
      <c r="S26" s="593" t="str">
        <f>IF(R26="","","dias")</f>
        <v>dias</v>
      </c>
      <c r="T26" s="592">
        <f>IF(T25="","",IF(AND(H22=6,F22=30),1,IF(AND(H22&lt;6,H23=6,F23=31),30,IF(AND(H22&lt;6,H23=6,F23&lt;31),F23,IF(AND(H22=6,H23=6,F23=31),31-F22,IF(AND(H22=6,H23=6,F23&lt;&gt;31),F23-F22+1,IF(AND(H22=6,H23&gt;6),31-F22,IF(AND(H22&lt;6,H23&gt;6),30,))))))))</f>
        <v>29</v>
      </c>
      <c r="U26" s="593" t="str">
        <f>IF(T26="","","dias")</f>
        <v>dias</v>
      </c>
      <c r="V26" s="592" t="str">
        <f>IF(V25="","",IF(AND(H22=6,F22=31),1,IF(AND(H22&lt;7,H23=7,F23=31),30,IF(AND(H22&lt;7,H23=7,F23&lt;31),F23,IF(AND(H22=7,H23=7,F23=31),31-F22,IF(AND(H22=7,H23=7,F23&lt;&gt;31),F23-F22+1,IF(AND(H22=7,H23&gt;7),31-F22,IF(AND(H22&lt;7,H23&gt;7),30,))))))))</f>
        <v/>
      </c>
      <c r="W26" s="593" t="str">
        <f>IF(V26="","","dias")</f>
        <v/>
      </c>
      <c r="X26" s="592" t="str">
        <f>IF(X25="","",IF(AND(H22=8,F22=31),1,IF(AND(H22&lt;8,H23=8,F23=31),30,IF(AND(H22&lt;8,H23=8,F23&lt;31),F23,IF(AND(H22=8,H23=8,F23=31),31-F22,IF(AND(H22=8,H23=8,F23&lt;&gt;31),F23-F22+1,IF(AND(H22=8,H23&gt;8),31-F22,IF(AND(H22&lt;8,H23&gt;8),30,))))))))</f>
        <v/>
      </c>
      <c r="Y26" s="593" t="str">
        <f>IF(X26="","","dias")</f>
        <v/>
      </c>
      <c r="Z26" s="592" t="str">
        <f>IF(Z25="","",IF(AND(H22=9,F22=30),1,IF(AND(H22&lt;9,H23=9,F23=31),30,IF(AND(H22&lt;9,H23=9,F23&lt;31),F23,IF(AND(H22=9,H23=9,F23=31),31-F22,IF(AND(H22=9,H23=9,F23&lt;&gt;31),F23-F22+1,IF(AND(H22=9,H23&gt;9),31-F22,IF(AND(H22&lt;9,H23&gt;9),30,))))))))</f>
        <v/>
      </c>
      <c r="AA26" s="593" t="str">
        <f>IF(Z26="","","dias")</f>
        <v/>
      </c>
      <c r="AB26" s="592" t="str">
        <f>IF(AB25="","",IF(AND(H22=10,F22=31),1,IF(AND(H22&lt;10,H23=10,F23=31),30,IF(AND(H22&lt;10,H23=10,F23&lt;31),F23,IF(AND(H22=10,H23=10,F23=31),31-F22,IF(AND(H22=10,H23=10,F23&lt;&gt;31),F23-F22+1,IF(AND(H22=10,H23&gt;10),31-F22,IF(AND(H22&lt;10,H23&gt;10),30,))))))))</f>
        <v/>
      </c>
      <c r="AC26" s="593" t="str">
        <f>IF(AB26="","","dias")</f>
        <v/>
      </c>
      <c r="AD26" s="592" t="str">
        <f>IF(AD25="","",IF(AND(H22=11,F22=30),1,IF(AND(H22&lt;11,H23=11,F23=31),30,IF(AND(H22&lt;11,H23=11,F23&lt;31),F23,IF(AND(H22=11,H23=11,F23=31),31-F22,IF(AND(H22=11,H23=11,F23&lt;&gt;31),F23-F22+1,IF(AND(H22=11,H23&gt;11),31-F22,IF(AND(H22&lt;11,H23&gt;11),30,))))))))</f>
        <v/>
      </c>
      <c r="AE26" s="593" t="str">
        <f>IF(AD26="","","dias")</f>
        <v/>
      </c>
      <c r="AF26" s="592" t="str">
        <f>IF(AF25="","",IF(AND(H22=12,F22=31),1,IF(AND(H22&lt;12,H23=12,F23=31),30,IF(AND(H22&lt;12,H23=12,F23&lt;31),F23,IF(AND(H22=12,H23=12,F23=31),31-F22,IF(AND(H22=12,H23=12,F23&lt;&gt;31),F23-F22+1,IF(AND(H22=12,H23&gt;12),31-F22,IF(AND(H22&lt;12,H23&gt;12),30,))))))))</f>
        <v/>
      </c>
      <c r="AG26" s="593" t="str">
        <f>IF(AF26="","","dias")</f>
        <v/>
      </c>
      <c r="AH26" s="3111" t="s">
        <v>8186</v>
      </c>
      <c r="AI26" s="3112"/>
      <c r="AJ26" s="3113"/>
      <c r="AK26" s="582"/>
    </row>
    <row r="27" spans="2:37" ht="18" customHeight="1" x14ac:dyDescent="0.25">
      <c r="B27" s="581"/>
      <c r="C27" s="3022" t="str">
        <f>IF(F22&lt;1,"",IF(AI23=1,"2135","7135"))</f>
        <v>2135</v>
      </c>
      <c r="D27" s="3023"/>
      <c r="E27" s="3077" t="str">
        <f>IF(F22&lt;1,"",E13)</f>
        <v>EC</v>
      </c>
      <c r="F27" s="3078"/>
      <c r="G27" s="3072">
        <f>IF(F22&lt;1,"",AG22*X23)</f>
        <v>6.405555555555555</v>
      </c>
      <c r="H27" s="3073"/>
      <c r="I27" s="3073"/>
      <c r="J27" s="3070">
        <f>IF(J25="","",(G27/30)*J26)</f>
        <v>6.405555555555555</v>
      </c>
      <c r="K27" s="3071"/>
      <c r="L27" s="3070">
        <f>IF(L25="","",(G27/30)*L26)</f>
        <v>6.405555555555555</v>
      </c>
      <c r="M27" s="3071"/>
      <c r="N27" s="3070">
        <f>IF(N25="","",(G27/30)*N26)</f>
        <v>6.405555555555555</v>
      </c>
      <c r="O27" s="3071"/>
      <c r="P27" s="3070">
        <f>IF(P25="","",(G27/30)*P26)</f>
        <v>6.405555555555555</v>
      </c>
      <c r="Q27" s="3071"/>
      <c r="R27" s="3070">
        <f>IF(R25="","",(G27/30)*R26)</f>
        <v>6.405555555555555</v>
      </c>
      <c r="S27" s="3071"/>
      <c r="T27" s="3070">
        <f>IF(T25="","",(G27/30)*T26)</f>
        <v>6.1920370370370366</v>
      </c>
      <c r="U27" s="3071"/>
      <c r="V27" s="3070" t="str">
        <f>IF(V25="","",(G27/30)*V26)</f>
        <v/>
      </c>
      <c r="W27" s="3071"/>
      <c r="X27" s="3070" t="str">
        <f>IF(X25="","",(G27/30)*X26)</f>
        <v/>
      </c>
      <c r="Y27" s="3071"/>
      <c r="Z27" s="3070" t="str">
        <f>IF(Z25="","",(G27/30)*Z26)</f>
        <v/>
      </c>
      <c r="AA27" s="3071"/>
      <c r="AB27" s="3070" t="str">
        <f>IF(AB25="","",(G27/30)*AB26)</f>
        <v/>
      </c>
      <c r="AC27" s="3071"/>
      <c r="AD27" s="3070" t="str">
        <f>IF(AD25="","",(G27/30)*AD26)</f>
        <v/>
      </c>
      <c r="AE27" s="3071"/>
      <c r="AF27" s="3070" t="str">
        <f>IF(AF25="","",(G27/30)*AF26)</f>
        <v/>
      </c>
      <c r="AG27" s="3071"/>
      <c r="AH27" s="3072">
        <f>IF(F22&lt;1,"",SUM(J27:AF27))</f>
        <v>38.219814814814811</v>
      </c>
      <c r="AI27" s="3073"/>
      <c r="AJ27" s="3074"/>
      <c r="AK27" s="615">
        <f>IF(AH27="",0,ROUND(AH27,2))</f>
        <v>38.22</v>
      </c>
    </row>
    <row r="28" spans="2:37" ht="18" customHeight="1" x14ac:dyDescent="0.25">
      <c r="B28" s="581"/>
      <c r="C28" s="3161" t="str">
        <f>IF(F22&lt;1,"",IF(AI23=1,"2144","7144"))</f>
        <v>2144</v>
      </c>
      <c r="D28" s="3162"/>
      <c r="E28" s="597">
        <f>IF(F22&lt;1,"",E14)</f>
        <v>6</v>
      </c>
      <c r="F28" s="648">
        <f>IF(F22&lt;1,"",F14)</f>
        <v>0.30000000000000004</v>
      </c>
      <c r="G28" s="3167">
        <f>IF(F22&lt;1,"",G27*F28)</f>
        <v>1.9216666666666669</v>
      </c>
      <c r="H28" s="3168"/>
      <c r="I28" s="3168"/>
      <c r="J28" s="3159">
        <f>IF(J25="","",(G28/30)*J26)</f>
        <v>1.9216666666666669</v>
      </c>
      <c r="K28" s="3160"/>
      <c r="L28" s="3159">
        <f>IF(L25="","",(G28/30)*L26)</f>
        <v>1.9216666666666669</v>
      </c>
      <c r="M28" s="3160"/>
      <c r="N28" s="3159">
        <f>IF(N25="","",(G28/30)*N26)</f>
        <v>1.9216666666666669</v>
      </c>
      <c r="O28" s="3160"/>
      <c r="P28" s="3159">
        <f>IF(P25="","",(G28/30)*P26)</f>
        <v>1.9216666666666669</v>
      </c>
      <c r="Q28" s="3160"/>
      <c r="R28" s="3159">
        <f>IF(R25="","",(G28/30)*R26)</f>
        <v>1.9216666666666669</v>
      </c>
      <c r="S28" s="3160"/>
      <c r="T28" s="3159">
        <f>IF(T25="","",(G28/30)*T26)</f>
        <v>1.8576111111111113</v>
      </c>
      <c r="U28" s="3160"/>
      <c r="V28" s="3159" t="str">
        <f>IF(V25="","",(G28/30)*V26)</f>
        <v/>
      </c>
      <c r="W28" s="3160"/>
      <c r="X28" s="3159" t="str">
        <f>IF(X25="","",(G28/30)*X26)</f>
        <v/>
      </c>
      <c r="Y28" s="3160"/>
      <c r="Z28" s="3159" t="str">
        <f>IF(Z25="","",(G28/30)*Z26)</f>
        <v/>
      </c>
      <c r="AA28" s="3160"/>
      <c r="AB28" s="3159" t="str">
        <f>IF(AB25="","",(G28/30)*AB26)</f>
        <v/>
      </c>
      <c r="AC28" s="3160"/>
      <c r="AD28" s="3159" t="str">
        <f>IF(AD25="","",(G28/30)*AD26)</f>
        <v/>
      </c>
      <c r="AE28" s="3160"/>
      <c r="AF28" s="3159" t="str">
        <f>IF(AF25="","",(G28/30)*AF26)</f>
        <v/>
      </c>
      <c r="AG28" s="3160"/>
      <c r="AH28" s="3072">
        <f>IF(F22&lt;1,"",SUM(J28:AF28))</f>
        <v>11.465944444444446</v>
      </c>
      <c r="AI28" s="3073"/>
      <c r="AJ28" s="3074"/>
      <c r="AK28" s="615">
        <f>IF(AH28="",0,ROUND(AH28,2))</f>
        <v>11.47</v>
      </c>
    </row>
    <row r="29" spans="2:37" ht="18" customHeight="1" thickBot="1" x14ac:dyDescent="0.3">
      <c r="B29" s="581"/>
      <c r="C29" s="3161" t="str">
        <f>IF(F22&lt;1,"",IF(AI23=1,"2042","7042"))</f>
        <v>2042</v>
      </c>
      <c r="D29" s="3162"/>
      <c r="E29" s="597">
        <f>IF(F22&lt;1,"",E15)</f>
        <v>2</v>
      </c>
      <c r="F29" s="648">
        <f>IF(F22&lt;1,"",F15)</f>
        <v>0.2</v>
      </c>
      <c r="G29" s="3055">
        <f>IF(F22&lt;1,"",(G27+G28)*F29)</f>
        <v>1.6654444444444445</v>
      </c>
      <c r="H29" s="3056"/>
      <c r="I29" s="3056"/>
      <c r="J29" s="3159">
        <f>IF(J25="","",(G29/30)*J26)</f>
        <v>1.6654444444444445</v>
      </c>
      <c r="K29" s="3160"/>
      <c r="L29" s="3159">
        <f>IF(L25="","",(G29/30)*L26)</f>
        <v>1.6654444444444445</v>
      </c>
      <c r="M29" s="3160"/>
      <c r="N29" s="3159">
        <f>IF(N25="","",(G29/30)*N26)</f>
        <v>1.6654444444444445</v>
      </c>
      <c r="O29" s="3160"/>
      <c r="P29" s="3159">
        <f>IF(P25="","",(G29/30)*P26)</f>
        <v>1.6654444444444445</v>
      </c>
      <c r="Q29" s="3160"/>
      <c r="R29" s="3159">
        <f>IF(R25="","",(G29/30)*R26)</f>
        <v>1.6654444444444445</v>
      </c>
      <c r="S29" s="3160"/>
      <c r="T29" s="3159">
        <f>IF(T25="","",(G29/30)*T26)</f>
        <v>1.6099296296296297</v>
      </c>
      <c r="U29" s="3160"/>
      <c r="V29" s="3159" t="str">
        <f>IF(V25="","",(G29/30)*V26)</f>
        <v/>
      </c>
      <c r="W29" s="3160"/>
      <c r="X29" s="3159" t="str">
        <f>IF(X25="","",(G29/30)*X26)</f>
        <v/>
      </c>
      <c r="Y29" s="3160"/>
      <c r="Z29" s="3159" t="str">
        <f>IF(Z25="","",(G29/30)*Z26)</f>
        <v/>
      </c>
      <c r="AA29" s="3160"/>
      <c r="AB29" s="3159" t="str">
        <f>IF(AB25="","",(G29/30)*AB26)</f>
        <v/>
      </c>
      <c r="AC29" s="3160"/>
      <c r="AD29" s="3159" t="str">
        <f>IF(AD25="","",(G29/30)*AD26)</f>
        <v/>
      </c>
      <c r="AE29" s="3160"/>
      <c r="AF29" s="3159" t="str">
        <f>IF(AF25="","",(G29/30)*AF26)</f>
        <v/>
      </c>
      <c r="AG29" s="3160"/>
      <c r="AH29" s="3055">
        <f>IF(F22&lt;1,"",SUM(J29:AF29))</f>
        <v>9.9371518518518513</v>
      </c>
      <c r="AI29" s="3056"/>
      <c r="AJ29" s="3057"/>
      <c r="AK29" s="615">
        <f>IF(AH29="",0,ROUND(AH29,2))</f>
        <v>9.94</v>
      </c>
    </row>
    <row r="30" spans="2:37" ht="18" customHeight="1" thickBot="1" x14ac:dyDescent="0.3">
      <c r="B30" s="581"/>
      <c r="C30" s="3161"/>
      <c r="D30" s="3162"/>
      <c r="E30" s="3163"/>
      <c r="F30" s="3164"/>
      <c r="G30" s="3062">
        <f>IF(F22&lt;1,"",G27+G28+G29)</f>
        <v>9.9926666666666666</v>
      </c>
      <c r="H30" s="3063"/>
      <c r="I30" s="3064"/>
      <c r="J30" s="3065"/>
      <c r="K30" s="3066"/>
      <c r="L30" s="3066"/>
      <c r="M30" s="3066"/>
      <c r="N30" s="3066"/>
      <c r="O30" s="3066"/>
      <c r="P30" s="3066"/>
      <c r="Q30" s="3066"/>
      <c r="R30" s="3066"/>
      <c r="S30" s="3066"/>
      <c r="T30" s="3066"/>
      <c r="U30" s="3066"/>
      <c r="V30" s="3066"/>
      <c r="W30" s="3066"/>
      <c r="X30" s="3066"/>
      <c r="Y30" s="3066"/>
      <c r="Z30" s="3066"/>
      <c r="AA30" s="3066"/>
      <c r="AB30" s="3066"/>
      <c r="AC30" s="3066"/>
      <c r="AD30" s="3066"/>
      <c r="AE30" s="3066"/>
      <c r="AF30" s="3066"/>
      <c r="AG30" s="3067"/>
      <c r="AH30" s="3062">
        <f>IF(F22&lt;1,"",AK27+AK28+AK29)</f>
        <v>59.629999999999995</v>
      </c>
      <c r="AI30" s="3063"/>
      <c r="AJ30" s="3064"/>
      <c r="AK30" s="582"/>
    </row>
    <row r="31" spans="2:37" ht="18" customHeight="1" x14ac:dyDescent="0.25">
      <c r="B31" s="581"/>
      <c r="C31" s="3050" t="str">
        <f>IF(F22&lt;1,"",IF(OR(F23&lt;&gt;31,H23&lt;&gt;12),"",IF(AI23=1,"2151","7151")))</f>
        <v/>
      </c>
      <c r="D31" s="3051"/>
      <c r="E31" s="3165" t="str">
        <f>IF(C31="","","13º")</f>
        <v/>
      </c>
      <c r="F31" s="3166"/>
      <c r="G31" s="3013" t="str">
        <f>IF(C31="","",G30)</f>
        <v/>
      </c>
      <c r="H31" s="3014"/>
      <c r="I31" s="3015"/>
      <c r="J31" s="3016">
        <f>IF(G31="",0,ROUND(G31,2))</f>
        <v>0</v>
      </c>
      <c r="K31" s="3017"/>
      <c r="L31" s="3017"/>
      <c r="M31" s="3017"/>
      <c r="N31" s="3017"/>
      <c r="O31" s="3017"/>
      <c r="P31" s="3017"/>
      <c r="Q31" s="3017"/>
      <c r="R31" s="3017"/>
      <c r="S31" s="3017"/>
      <c r="T31" s="3017"/>
      <c r="U31" s="3017"/>
      <c r="V31" s="3017"/>
      <c r="W31" s="3017"/>
      <c r="X31" s="3017"/>
      <c r="Y31" s="3017"/>
      <c r="Z31" s="3017"/>
      <c r="AA31" s="3017"/>
      <c r="AB31" s="3017"/>
      <c r="AC31" s="3017"/>
      <c r="AD31" s="3017"/>
      <c r="AE31" s="3017"/>
      <c r="AF31" s="3017"/>
      <c r="AG31" s="3017"/>
      <c r="AH31" s="3017"/>
      <c r="AI31" s="3017"/>
      <c r="AJ31" s="3018"/>
      <c r="AK31" s="582"/>
    </row>
    <row r="32" spans="2:37" ht="6" customHeight="1" x14ac:dyDescent="0.25">
      <c r="B32" s="581"/>
      <c r="C32" s="3156"/>
      <c r="D32" s="3157"/>
      <c r="E32" s="3157"/>
      <c r="F32" s="3157"/>
      <c r="G32" s="3157"/>
      <c r="H32" s="3157"/>
      <c r="I32" s="3157"/>
      <c r="J32" s="3157"/>
      <c r="K32" s="3157"/>
      <c r="L32" s="3157"/>
      <c r="M32" s="3157"/>
      <c r="N32" s="3157"/>
      <c r="O32" s="3157"/>
      <c r="P32" s="3157"/>
      <c r="Q32" s="3157"/>
      <c r="R32" s="3157"/>
      <c r="S32" s="3157"/>
      <c r="T32" s="3157"/>
      <c r="U32" s="3157"/>
      <c r="V32" s="3157"/>
      <c r="W32" s="3157"/>
      <c r="X32" s="3157"/>
      <c r="Y32" s="3157"/>
      <c r="Z32" s="3157"/>
      <c r="AA32" s="3157"/>
      <c r="AB32" s="3157"/>
      <c r="AC32" s="3157"/>
      <c r="AD32" s="3157"/>
      <c r="AE32" s="3157"/>
      <c r="AF32" s="3157"/>
      <c r="AG32" s="3157"/>
      <c r="AH32" s="3157"/>
      <c r="AI32" s="3157"/>
      <c r="AJ32" s="3158"/>
      <c r="AK32" s="582"/>
    </row>
    <row r="33" spans="2:37" ht="18" customHeight="1" x14ac:dyDescent="0.25">
      <c r="B33" s="581"/>
      <c r="C33" s="3022" t="str">
        <f>IF(F22&lt;1,"",IF(AI23=2,"0532","7832"))</f>
        <v>7832</v>
      </c>
      <c r="D33" s="3023"/>
      <c r="E33" s="594"/>
      <c r="F33" s="652">
        <f>IF(F22&lt;1,"",F19)</f>
        <v>3.2000000000000001E-2</v>
      </c>
      <c r="G33" s="3024">
        <f>IF(F22&lt;1,"",AH30*F33)</f>
        <v>1.9081599999999999</v>
      </c>
      <c r="H33" s="3024"/>
      <c r="I33" s="3024"/>
      <c r="J33" s="3025">
        <f>IF(G33="",0,ROUND(G33,2))</f>
        <v>1.91</v>
      </c>
      <c r="K33" s="3026"/>
      <c r="L33" s="3026"/>
      <c r="M33" s="3026"/>
      <c r="N33" s="3026"/>
      <c r="O33" s="3026"/>
      <c r="P33" s="3026"/>
      <c r="Q33" s="3026"/>
      <c r="R33" s="3026"/>
      <c r="S33" s="3026"/>
      <c r="T33" s="3026"/>
      <c r="U33" s="3026"/>
      <c r="V33" s="3026"/>
      <c r="W33" s="3026"/>
      <c r="X33" s="3026"/>
      <c r="Y33" s="3026"/>
      <c r="Z33" s="3026"/>
      <c r="AA33" s="3026"/>
      <c r="AB33" s="3026"/>
      <c r="AC33" s="3026"/>
      <c r="AD33" s="3026"/>
      <c r="AE33" s="3026"/>
      <c r="AF33" s="3026"/>
      <c r="AG33" s="3026"/>
      <c r="AH33" s="3026"/>
      <c r="AI33" s="3026"/>
      <c r="AJ33" s="3027"/>
      <c r="AK33" s="582"/>
    </row>
    <row r="34" spans="2:37" ht="18" customHeight="1" thickBot="1" x14ac:dyDescent="0.3">
      <c r="B34" s="581"/>
      <c r="C34" s="3132" t="str">
        <f>IF(F22&lt;1,"",IF(OR(F23&lt;&gt;31,H23&lt;&gt;12),"",IF(AI23=2,"0632","7932")))</f>
        <v/>
      </c>
      <c r="D34" s="3133"/>
      <c r="E34" s="595"/>
      <c r="F34" s="650" t="str">
        <f>IF(C34="","",3.2%)</f>
        <v/>
      </c>
      <c r="G34" s="3134" t="str">
        <f>IF(C34="","",G31*F34)</f>
        <v/>
      </c>
      <c r="H34" s="3134"/>
      <c r="I34" s="3134"/>
      <c r="J34" s="3135">
        <f>IF(G34="",0,ROUND(G34,2))</f>
        <v>0</v>
      </c>
      <c r="K34" s="3136"/>
      <c r="L34" s="3136"/>
      <c r="M34" s="3136"/>
      <c r="N34" s="3136"/>
      <c r="O34" s="3136"/>
      <c r="P34" s="3136"/>
      <c r="Q34" s="3136"/>
      <c r="R34" s="3136"/>
      <c r="S34" s="3136"/>
      <c r="T34" s="3136"/>
      <c r="U34" s="3136"/>
      <c r="V34" s="3136"/>
      <c r="W34" s="3136"/>
      <c r="X34" s="3136"/>
      <c r="Y34" s="3136"/>
      <c r="Z34" s="3136"/>
      <c r="AA34" s="3136"/>
      <c r="AB34" s="3136"/>
      <c r="AC34" s="3136"/>
      <c r="AD34" s="3136"/>
      <c r="AE34" s="3136"/>
      <c r="AF34" s="3136"/>
      <c r="AG34" s="3136"/>
      <c r="AH34" s="3136"/>
      <c r="AI34" s="3136"/>
      <c r="AJ34" s="3137"/>
      <c r="AK34" s="582"/>
    </row>
    <row r="35" spans="2:37" ht="18" customHeight="1" thickBot="1" x14ac:dyDescent="0.3">
      <c r="B35" s="581"/>
      <c r="C35" s="3138"/>
      <c r="D35" s="3139"/>
      <c r="E35" s="3139"/>
      <c r="F35" s="3139"/>
      <c r="G35" s="3139"/>
      <c r="H35" s="3139"/>
      <c r="I35" s="3139"/>
      <c r="J35" s="3139"/>
      <c r="K35" s="3139"/>
      <c r="L35" s="3139"/>
      <c r="M35" s="3139"/>
      <c r="N35" s="3139"/>
      <c r="O35" s="3139"/>
      <c r="P35" s="3139"/>
      <c r="Q35" s="3139"/>
      <c r="R35" s="3139"/>
      <c r="S35" s="3139"/>
      <c r="T35" s="3139"/>
      <c r="U35" s="3139"/>
      <c r="V35" s="3139"/>
      <c r="W35" s="3139"/>
      <c r="X35" s="3139"/>
      <c r="Y35" s="3139"/>
      <c r="Z35" s="3139"/>
      <c r="AA35" s="3139"/>
      <c r="AB35" s="3139"/>
      <c r="AC35" s="3139"/>
      <c r="AD35" s="3139"/>
      <c r="AE35" s="3139"/>
      <c r="AF35" s="3139"/>
      <c r="AG35" s="3139"/>
      <c r="AH35" s="3139"/>
      <c r="AI35" s="3139"/>
      <c r="AJ35" s="3140"/>
      <c r="AK35" s="582"/>
    </row>
    <row r="36" spans="2:37" ht="18" customHeight="1" x14ac:dyDescent="0.3">
      <c r="B36" s="581"/>
      <c r="C36" s="3141" t="s">
        <v>8187</v>
      </c>
      <c r="D36" s="3142"/>
      <c r="E36" s="3142"/>
      <c r="F36" s="607">
        <v>30</v>
      </c>
      <c r="G36" s="586" t="s">
        <v>339</v>
      </c>
      <c r="H36" s="608">
        <v>6</v>
      </c>
      <c r="I36" s="586" t="s">
        <v>339</v>
      </c>
      <c r="J36" s="3143">
        <v>2010</v>
      </c>
      <c r="K36" s="3144"/>
      <c r="L36" s="587" t="s">
        <v>8174</v>
      </c>
      <c r="M36" s="596">
        <f>IF(F36&gt;0,M8,"")</f>
        <v>18</v>
      </c>
      <c r="N36" s="3145" t="s">
        <v>8175</v>
      </c>
      <c r="O36" s="3145"/>
      <c r="P36" s="3146" t="s">
        <v>8176</v>
      </c>
      <c r="Q36" s="3146"/>
      <c r="R36" s="3146"/>
      <c r="S36" s="3146"/>
      <c r="T36" s="3147" t="s">
        <v>8194</v>
      </c>
      <c r="U36" s="3147"/>
      <c r="V36" s="3147"/>
      <c r="W36" s="3148" t="s">
        <v>407</v>
      </c>
      <c r="X36" s="3148"/>
      <c r="Y36" s="3148"/>
      <c r="Z36" s="3148"/>
      <c r="AA36" s="3149">
        <v>733.93</v>
      </c>
      <c r="AB36" s="3149"/>
      <c r="AC36" s="3149"/>
      <c r="AD36" s="3150"/>
      <c r="AE36" s="3151" t="s">
        <v>8177</v>
      </c>
      <c r="AF36" s="3152"/>
      <c r="AG36" s="3153">
        <f>IF(F36&gt;0,AA36/L37,"")</f>
        <v>6.7956481481481479</v>
      </c>
      <c r="AH36" s="3154"/>
      <c r="AI36" s="3154"/>
      <c r="AJ36" s="3155"/>
      <c r="AK36" s="582"/>
    </row>
    <row r="37" spans="2:37" ht="18" customHeight="1" x14ac:dyDescent="0.3">
      <c r="B37" s="581"/>
      <c r="C37" s="3081" t="s">
        <v>8180</v>
      </c>
      <c r="D37" s="3082"/>
      <c r="E37" s="3082"/>
      <c r="F37" s="610">
        <v>31</v>
      </c>
      <c r="G37" s="588" t="s">
        <v>339</v>
      </c>
      <c r="H37" s="611">
        <v>12</v>
      </c>
      <c r="I37" s="588" t="s">
        <v>339</v>
      </c>
      <c r="J37" s="3083">
        <v>2010</v>
      </c>
      <c r="K37" s="3084"/>
      <c r="L37" s="3085">
        <f>IF(F36&gt;0,L9,"")</f>
        <v>108</v>
      </c>
      <c r="M37" s="3086"/>
      <c r="N37" s="3087" t="s">
        <v>8181</v>
      </c>
      <c r="O37" s="3088"/>
      <c r="P37" s="3089" t="s">
        <v>8182</v>
      </c>
      <c r="Q37" s="3089"/>
      <c r="R37" s="3089"/>
      <c r="S37" s="3089"/>
      <c r="T37" s="3089"/>
      <c r="U37" s="3089"/>
      <c r="V37" s="3089"/>
      <c r="W37" s="3090"/>
      <c r="X37" s="3091">
        <f>IF(F36&gt;0,X9,"")</f>
        <v>1</v>
      </c>
      <c r="Y37" s="3092"/>
      <c r="Z37" s="3093"/>
      <c r="AA37" s="3094"/>
      <c r="AB37" s="3094"/>
      <c r="AC37" s="3094"/>
      <c r="AD37" s="3094"/>
      <c r="AE37" s="3094"/>
      <c r="AF37" s="3094"/>
      <c r="AG37" s="3094"/>
      <c r="AH37" s="3094"/>
      <c r="AI37" s="617">
        <f>IF(F36&gt;0,AI9,"")</f>
        <v>1</v>
      </c>
      <c r="AJ37" s="591"/>
      <c r="AK37" s="582"/>
    </row>
    <row r="38" spans="2:37" ht="6" customHeight="1" thickBot="1" x14ac:dyDescent="0.3">
      <c r="B38" s="581"/>
      <c r="C38" s="3129"/>
      <c r="D38" s="3130"/>
      <c r="E38" s="3130"/>
      <c r="F38" s="3130"/>
      <c r="G38" s="3130"/>
      <c r="H38" s="3130"/>
      <c r="I38" s="3130"/>
      <c r="J38" s="3130"/>
      <c r="K38" s="3130"/>
      <c r="L38" s="3130"/>
      <c r="M38" s="3130"/>
      <c r="N38" s="3130"/>
      <c r="O38" s="3130"/>
      <c r="P38" s="3130"/>
      <c r="Q38" s="3130"/>
      <c r="R38" s="3130"/>
      <c r="S38" s="3130"/>
      <c r="T38" s="3130"/>
      <c r="U38" s="3130"/>
      <c r="V38" s="3130"/>
      <c r="W38" s="3130"/>
      <c r="X38" s="3130"/>
      <c r="Y38" s="3130"/>
      <c r="Z38" s="3130"/>
      <c r="AA38" s="3130"/>
      <c r="AB38" s="3130"/>
      <c r="AC38" s="3130"/>
      <c r="AD38" s="3130"/>
      <c r="AE38" s="3130"/>
      <c r="AF38" s="3130"/>
      <c r="AG38" s="3130"/>
      <c r="AH38" s="3130"/>
      <c r="AI38" s="3130"/>
      <c r="AJ38" s="3131"/>
      <c r="AK38" s="582"/>
    </row>
    <row r="39" spans="2:37" ht="18" customHeight="1" x14ac:dyDescent="0.3">
      <c r="B39" s="581"/>
      <c r="C39" s="3098" t="s">
        <v>391</v>
      </c>
      <c r="D39" s="3099"/>
      <c r="E39" s="3102" t="s">
        <v>8183</v>
      </c>
      <c r="F39" s="3102" t="s">
        <v>8055</v>
      </c>
      <c r="G39" s="3104" t="s">
        <v>8184</v>
      </c>
      <c r="H39" s="3105"/>
      <c r="I39" s="3105"/>
      <c r="J39" s="3079" t="str">
        <f>IF(H36=1,"01/"&amp;J36,"")</f>
        <v/>
      </c>
      <c r="K39" s="3080"/>
      <c r="L39" s="3079" t="str">
        <f>IF(F36="","",IF(H36=2,"02/"&amp;J36,IF(AND(J39&lt;&gt;"",H37&gt;1),"02/"&amp;J36,IF(AND(H36=1,H37=1),"",IF(H36&gt;2,"")))))</f>
        <v/>
      </c>
      <c r="M39" s="3080"/>
      <c r="N39" s="3079" t="str">
        <f>IF(F36="","",IF(H36=3,"03/"&amp;J36,IF(OR(H36&gt;3,H37&lt;3),"",IF(AND(L39&lt;&gt;"",H37&gt;2),"03/"&amp;J36,IF(AND(H36=2,H37=2),"")))))</f>
        <v/>
      </c>
      <c r="O39" s="3080"/>
      <c r="P39" s="3079" t="str">
        <f>IF(F36="","",IF(H36=4,"04/"&amp;J36,IF(OR(H36&gt;4,H37&lt;4),"",IF(AND(N39&lt;&gt;"",H37&gt;3),"04/"&amp;J36,IF(AND(H36=3,H37=3),"")))))</f>
        <v/>
      </c>
      <c r="Q39" s="3080"/>
      <c r="R39" s="3079" t="str">
        <f>IF(F36="","",IF(H36=5,"05/"&amp;J36,IF(OR(H36&gt;5,H37&lt;5),"",IF(AND(P39&lt;&gt;"",H37&gt;4),"05/"&amp;J36,IF(AND(H36=4,H37=4),"")))))</f>
        <v/>
      </c>
      <c r="S39" s="3080"/>
      <c r="T39" s="3079" t="str">
        <f>IF(F36="","",IF(H36=6,"06/"&amp;J36,IF(OR(H36&gt;6,H37&lt;6),"",IF(AND(R39&lt;&gt;"",H37&gt;5),"06/"&amp;J36,IF(AND(H36=5,H37=5),"")))))</f>
        <v>06/2010</v>
      </c>
      <c r="U39" s="3080"/>
      <c r="V39" s="3079" t="str">
        <f>IF(F36="","",IF(H36=7,"07/"&amp;J36,IF(OR(H36&gt;7,H37&lt;7),"",IF(AND(T39&lt;&gt;"",H37&gt;6),"07/"&amp;J36,IF(AND(H36=6,H37=6),"")))))</f>
        <v>07/2010</v>
      </c>
      <c r="W39" s="3080"/>
      <c r="X39" s="3079" t="str">
        <f>IF(F36="","",IF(H36=8,"08/"&amp;J36,IF(OR(H36&gt;8,H37&lt;8),"",IF(AND(V39&lt;&gt;"",H37&gt;7),"08/"&amp;J36,IF(AND(H36=7,H37=7),"")))))</f>
        <v>08/2010</v>
      </c>
      <c r="Y39" s="3080"/>
      <c r="Z39" s="3079" t="str">
        <f>IF(F36="","",IF(H36=9,"09/"&amp;J36,IF(OR(H36&gt;9,H37&lt;9),"",IF(AND(X39&lt;&gt;"",H37&gt;8),"09/"&amp;J36,IF(AND(H36=8,H37=8),"")))))</f>
        <v>09/2010</v>
      </c>
      <c r="AA39" s="3080"/>
      <c r="AB39" s="3079" t="str">
        <f>IF(F36="","",IF(H36=10,"10/"&amp;J36,IF(OR(H36&gt;10,H37&lt;10),"",IF(AND(Z39&lt;&gt;"",H37&gt;9),"10/"&amp;J36,IF(AND(H36=9,H37=9),"")))))</f>
        <v>10/2010</v>
      </c>
      <c r="AC39" s="3080"/>
      <c r="AD39" s="3079" t="str">
        <f>IF(F36="","",IF(H36=11,"11/"&amp;J36,IF(OR(H36&gt;11,H37&lt;11),"",IF(AND(AB39&lt;&gt;"",H37&gt;10),"11/"&amp;J36,IF(AND(H36=10,H37=10),"")))))</f>
        <v>11/2010</v>
      </c>
      <c r="AE39" s="3080"/>
      <c r="AF39" s="3079" t="str">
        <f>IF(F36="","",IF(H36=12,"12/"&amp;J36,IF(OR(H36&gt;12,H37&lt;12),"",IF(AND(AD39&lt;&gt;"",H37&gt;11),"12/"&amp;J36,IF(AND(H36=11,H37=11),"")))))</f>
        <v>12/2010</v>
      </c>
      <c r="AG39" s="3080"/>
      <c r="AH39" s="3106" t="s">
        <v>7968</v>
      </c>
      <c r="AI39" s="3107"/>
      <c r="AJ39" s="3108"/>
      <c r="AK39" s="582"/>
    </row>
    <row r="40" spans="2:37" ht="18" customHeight="1" thickBot="1" x14ac:dyDescent="0.3">
      <c r="B40" s="581"/>
      <c r="C40" s="3100"/>
      <c r="D40" s="3101"/>
      <c r="E40" s="3103"/>
      <c r="F40" s="3103"/>
      <c r="G40" s="3109" t="s">
        <v>8185</v>
      </c>
      <c r="H40" s="3110"/>
      <c r="I40" s="3110"/>
      <c r="J40" s="592" t="str">
        <f>IF(J39="","",IF(AND(H36=1,F36=31),1,IF(AND(H36&lt;1,H37=1),F37,IF(AND(H36=1,H37=1,F37=31),31-F36,IF(AND(H36=1,H37=1,F37&lt;&gt;31),F37-F36+1,IF(AND(H36=1,H37&gt;1),31-F36,IF(AND(H36&lt;1,H37&gt;1),30,)))))))</f>
        <v/>
      </c>
      <c r="K40" s="593" t="str">
        <f>IF(J40="","","dias")</f>
        <v/>
      </c>
      <c r="L40" s="592" t="str">
        <f>IF(L39="","",IF(AND(H36&lt;2,H37&gt;2),30,IF(AND(H37&gt;2,H36=2),31-F36,IF(AND(H36&lt;2,H37=2),F37,IF(AND(H36=2,H37=2),F37-F36+1,IF(AND(H36=2,F36=28),1,IF(AND(H36=2,F36=29),1,IF(AND(H36=2,H37=2,F37=28),31-F36,IF(AND(H36=2,H37=2,F37=29),31-F36,IF(AND(H36=2,H37=2,F37&lt;28),F37-F36+1))))))))))</f>
        <v/>
      </c>
      <c r="M40" s="593" t="str">
        <f>IF(L40="","","dias")</f>
        <v/>
      </c>
      <c r="N40" s="592" t="str">
        <f>IF(N39="","",IF(AND(H36=3,F36=31),1,IF(AND(H36&lt;3,H37=3,F37=31),30,IF(AND(H36&lt;3,H37=3,F37&lt;31),F37,IF(AND(H36=3,H37=3,F37=31),31-F36,IF(AND(H36=3,H37=3,F37&lt;&gt;31),F37-F36+1,IF(AND(H36=3,H37&gt;3),31-F36,IF(AND(H36&lt;3,H37&gt;3),30,))))))))</f>
        <v/>
      </c>
      <c r="O40" s="593" t="str">
        <f>IF(N40="","","dias")</f>
        <v/>
      </c>
      <c r="P40" s="592" t="str">
        <f>IF(P39="","",IF(AND(H36=4,F36=30),1,IF(AND(H36&lt;4,H37=4,F37=31),30,IF(AND(H36&lt;4,H37=4,F37&lt;31),F37,IF(AND(H36=4,H37=4,F37=31),31-F36,IF(AND(H36=4,H37=4,F37&lt;&gt;31),F37-F36+1,IF(AND(H36=4,H37&gt;4),31-F36,IF(AND(H36&lt;4,H37&gt;4),30,))))))))</f>
        <v/>
      </c>
      <c r="Q40" s="593" t="str">
        <f>IF(P40="","","dias")</f>
        <v/>
      </c>
      <c r="R40" s="592" t="str">
        <f>IF(R39="","",IF(AND(H36=5,F36=31),1,IF(AND(H36&lt;5,H37=5,F37=31),30,IF(AND(H36&lt;5,H37=5,F37&lt;31),F37,IF(AND(H36=5,H37=5,F37=31),31-F36,IF(AND(H36=5,H37=5,F37&lt;&gt;31),F37-F36+1,IF(AND(H36=5,H37&gt;5),31-F36,IF(AND(H36&lt;5,H37&gt;5),30,))))))))</f>
        <v/>
      </c>
      <c r="S40" s="593" t="str">
        <f>IF(R40="","","dias")</f>
        <v/>
      </c>
      <c r="T40" s="592">
        <f>IF(T39="","",IF(AND(H36=6,F36=30),1,IF(AND(H36&lt;6,H37=6,F37=31),30,IF(AND(H36&lt;6,H37=6,F37&lt;31),F37,IF(AND(H36=6,H37=6,F37=31),31-F36,IF(AND(H36=6,H37=6,F37&lt;&gt;31),F37-F36+1,IF(AND(H36=6,H37&gt;6),31-F36,IF(AND(H36&lt;6,H37&gt;6),30,))))))))</f>
        <v>1</v>
      </c>
      <c r="U40" s="593" t="str">
        <f>IF(T40="","","dias")</f>
        <v>dias</v>
      </c>
      <c r="V40" s="592">
        <f>IF(V39="","",IF(AND(H36=6,F36=31),1,IF(AND(H36&lt;7,H37=7,F37=31),30,IF(AND(H36&lt;7,H37=7,F37&lt;31),F37,IF(AND(H36=7,H37=7,F37=31),31-F36,IF(AND(H36=7,H37=7,F37&lt;&gt;31),F37-F36+1,IF(AND(H36=7,H37&gt;7),31-F36,IF(AND(H36&lt;7,H37&gt;7),30,))))))))</f>
        <v>30</v>
      </c>
      <c r="W40" s="593" t="str">
        <f>IF(V40="","","dias")</f>
        <v>dias</v>
      </c>
      <c r="X40" s="592">
        <f>IF(X39="","",IF(AND(H36=8,F36=31),1,IF(AND(H36&lt;8,H37=8,F37=31),30,IF(AND(H36&lt;8,H37=8,F37&lt;31),F37,IF(AND(H36=8,H37=8,F37=31),31-F36,IF(AND(H36=8,H37=8,F37&lt;&gt;31),F37-F36+1,IF(AND(H36=8,H37&gt;8),31-F36,IF(AND(H36&lt;8,H37&gt;8),30,))))))))</f>
        <v>30</v>
      </c>
      <c r="Y40" s="593" t="str">
        <f>IF(X40="","","dias")</f>
        <v>dias</v>
      </c>
      <c r="Z40" s="592">
        <f>IF(Z39="","",IF(AND(H36=9,F36=30),1,IF(AND(H36&lt;9,H37=9,F37=31),30,IF(AND(H36&lt;9,H37=9,F37&lt;31),F37,IF(AND(H36=9,H37=9,F37=31),31-F36,IF(AND(H36=9,H37=9,F37&lt;&gt;31),F37-F36+1,IF(AND(H36=9,H37&gt;9),31-F36,IF(AND(H36&lt;9,H37&gt;9),30,))))))))</f>
        <v>30</v>
      </c>
      <c r="AA40" s="593" t="str">
        <f>IF(Z40="","","dias")</f>
        <v>dias</v>
      </c>
      <c r="AB40" s="592">
        <f>IF(AB39="","",IF(AND(H36=10,F36=31),1,IF(AND(H36&lt;10,H37=10,F37=31),30,IF(AND(H36&lt;10,H37=10,F37&lt;31),F37,IF(AND(H36=10,H37=10,F37=31),31-F36,IF(AND(H36=10,H37=10,F37&lt;&gt;31),F37-F36+1,IF(AND(H36=10,H37&gt;10),31-F36,IF(AND(H36&lt;10,H37&gt;10),30,))))))))</f>
        <v>30</v>
      </c>
      <c r="AC40" s="593" t="str">
        <f>IF(AB40="","","dias")</f>
        <v>dias</v>
      </c>
      <c r="AD40" s="592">
        <f>IF(AD39="","",IF(AND(H36=11,F36=30),1,IF(AND(H36&lt;11,H37=11,F37=31),30,IF(AND(H36&lt;11,H37=11,F37&lt;31),F37,IF(AND(H36=11,H37=11,F37=31),31-F36,IF(AND(H36=11,H37=11,F37&lt;&gt;31),F37-F36+1,IF(AND(H36=11,H37&gt;11),31-F36,IF(AND(H36&lt;11,H37&gt;11),30,))))))))</f>
        <v>30</v>
      </c>
      <c r="AE40" s="593" t="str">
        <f>IF(AD40="","","dias")</f>
        <v>dias</v>
      </c>
      <c r="AF40" s="592">
        <f>IF(AF39="","",IF(AND(H36=12,F36=31),1,IF(AND(H36&lt;12,H37=12,F37=31),30,IF(AND(H36&lt;12,H37=12,F37&lt;31),F37,IF(AND(H36=12,H37=12,F37=31),31-F36,IF(AND(H36=12,H37=12,F37&lt;&gt;31),F37-F36+1,IF(AND(H36=12,H37&gt;12),31-F36,IF(AND(H36&lt;12,H37&gt;12),30,))))))))</f>
        <v>30</v>
      </c>
      <c r="AG40" s="593" t="str">
        <f>IF(AF40="","","dias")</f>
        <v>dias</v>
      </c>
      <c r="AH40" s="3111" t="s">
        <v>8186</v>
      </c>
      <c r="AI40" s="3112"/>
      <c r="AJ40" s="3113"/>
      <c r="AK40" s="582"/>
    </row>
    <row r="41" spans="2:37" ht="18" customHeight="1" x14ac:dyDescent="0.25">
      <c r="B41" s="581"/>
      <c r="C41" s="3022" t="str">
        <f>IF(F36&lt;1,"",IF(AI37=1,"2135","7135"))</f>
        <v>2135</v>
      </c>
      <c r="D41" s="3023"/>
      <c r="E41" s="3077" t="str">
        <f>IF(F36&lt;1,"",E13)</f>
        <v>EC</v>
      </c>
      <c r="F41" s="3078"/>
      <c r="G41" s="3072">
        <f>IF(F36&lt;1,"",AG36*X37)</f>
        <v>6.7956481481481479</v>
      </c>
      <c r="H41" s="3073"/>
      <c r="I41" s="3073"/>
      <c r="J41" s="3070" t="str">
        <f>IF(J39="","",(G41/30)*J40)</f>
        <v/>
      </c>
      <c r="K41" s="3071"/>
      <c r="L41" s="3070" t="str">
        <f>IF(L39="","",(G41/30)*L40)</f>
        <v/>
      </c>
      <c r="M41" s="3071"/>
      <c r="N41" s="3070" t="str">
        <f>IF(N39="","",(G41/30)*N40)</f>
        <v/>
      </c>
      <c r="O41" s="3071"/>
      <c r="P41" s="3070" t="str">
        <f>IF(P39="","",(G41/30)*P40)</f>
        <v/>
      </c>
      <c r="Q41" s="3071"/>
      <c r="R41" s="3070" t="str">
        <f>IF(R39="","",(G41/30)*R40)</f>
        <v/>
      </c>
      <c r="S41" s="3071"/>
      <c r="T41" s="3070">
        <f>IF(T39="","",(G41/30)*T40)</f>
        <v>0.22652160493827159</v>
      </c>
      <c r="U41" s="3071"/>
      <c r="V41" s="3070">
        <f>IF(V39="","",(G41/30)*V40)</f>
        <v>6.7956481481481479</v>
      </c>
      <c r="W41" s="3071"/>
      <c r="X41" s="3070">
        <f>IF(X39="","",(G41/30)*X40)</f>
        <v>6.7956481481481479</v>
      </c>
      <c r="Y41" s="3071"/>
      <c r="Z41" s="3070">
        <f>IF(Z39="","",(G41/30)*Z40)</f>
        <v>6.7956481481481479</v>
      </c>
      <c r="AA41" s="3071"/>
      <c r="AB41" s="3070">
        <f>IF(AB39="","",(G41/30)*AB40)</f>
        <v>6.7956481481481479</v>
      </c>
      <c r="AC41" s="3071"/>
      <c r="AD41" s="3070">
        <f>IF(AD39="","",(G41/30)*AD40)</f>
        <v>6.7956481481481479</v>
      </c>
      <c r="AE41" s="3071"/>
      <c r="AF41" s="3070">
        <f>IF(AF39="","",(G41/30)*AF40)</f>
        <v>6.7956481481481479</v>
      </c>
      <c r="AG41" s="3071"/>
      <c r="AH41" s="3072">
        <f>IF(F36&lt;1,"",SUM(J41:AF41))</f>
        <v>41.000410493827154</v>
      </c>
      <c r="AI41" s="3073"/>
      <c r="AJ41" s="3074"/>
      <c r="AK41" s="615">
        <f>IF(AH41="",0,ROUND(AH41,2))</f>
        <v>41</v>
      </c>
    </row>
    <row r="42" spans="2:37" ht="18" customHeight="1" x14ac:dyDescent="0.25">
      <c r="B42" s="581"/>
      <c r="C42" s="3058" t="str">
        <f>IF(F36&lt;1,"",IF(AI37=1,"2144","7144"))</f>
        <v>2144</v>
      </c>
      <c r="D42" s="3059"/>
      <c r="E42" s="598">
        <f>IF(F36&lt;1,"",E14)</f>
        <v>6</v>
      </c>
      <c r="F42" s="651">
        <f>IF(F36&lt;1,"",F14)</f>
        <v>0.30000000000000004</v>
      </c>
      <c r="G42" s="3075">
        <f>IF(F36&lt;1,"",G41*F42)</f>
        <v>2.0386944444444448</v>
      </c>
      <c r="H42" s="3076"/>
      <c r="I42" s="3076"/>
      <c r="J42" s="3053" t="str">
        <f>IF(J39="","",(G42/30)*J40)</f>
        <v/>
      </c>
      <c r="K42" s="3054"/>
      <c r="L42" s="3053" t="str">
        <f>IF(L39="","",(G42/30)*L40)</f>
        <v/>
      </c>
      <c r="M42" s="3054"/>
      <c r="N42" s="3053" t="str">
        <f>IF(N39="","",(G42/30)*N40)</f>
        <v/>
      </c>
      <c r="O42" s="3054"/>
      <c r="P42" s="3053" t="str">
        <f>IF(P39="","",(G42/30)*P40)</f>
        <v/>
      </c>
      <c r="Q42" s="3054"/>
      <c r="R42" s="3053" t="str">
        <f>IF(R39="","",(G42/30)*R40)</f>
        <v/>
      </c>
      <c r="S42" s="3054"/>
      <c r="T42" s="3053">
        <f>IF(T39="","",(G42/30)*T40)</f>
        <v>6.7956481481481493E-2</v>
      </c>
      <c r="U42" s="3054"/>
      <c r="V42" s="3053">
        <f>IF(V39="","",(G42/30)*V40)</f>
        <v>2.0386944444444448</v>
      </c>
      <c r="W42" s="3054"/>
      <c r="X42" s="3053">
        <f>IF(X39="","",(G42/30)*X40)</f>
        <v>2.0386944444444448</v>
      </c>
      <c r="Y42" s="3054"/>
      <c r="Z42" s="3053">
        <f>IF(Z39="","",(G42/30)*Z40)</f>
        <v>2.0386944444444448</v>
      </c>
      <c r="AA42" s="3054"/>
      <c r="AB42" s="3053">
        <f>IF(AB39="","",(G42/30)*AB40)</f>
        <v>2.0386944444444448</v>
      </c>
      <c r="AC42" s="3054"/>
      <c r="AD42" s="3053">
        <f>IF(AD39="","",(G42/30)*AD40)</f>
        <v>2.0386944444444448</v>
      </c>
      <c r="AE42" s="3054"/>
      <c r="AF42" s="3053">
        <f>IF(AF39="","",(G42/30)*AF40)</f>
        <v>2.0386944444444448</v>
      </c>
      <c r="AG42" s="3054"/>
      <c r="AH42" s="3072">
        <f>IF(F36&lt;1,"",SUM(J42:AF42))</f>
        <v>12.300123148148153</v>
      </c>
      <c r="AI42" s="3073"/>
      <c r="AJ42" s="3074"/>
      <c r="AK42" s="615">
        <f>IF(AH42="",0,ROUND(AH42,2))</f>
        <v>12.3</v>
      </c>
    </row>
    <row r="43" spans="2:37" ht="18" customHeight="1" thickBot="1" x14ac:dyDescent="0.3">
      <c r="B43" s="581"/>
      <c r="C43" s="3058" t="str">
        <f>IF(F36&lt;1,"",IF(AI37=1,"2042","7042"))</f>
        <v>2042</v>
      </c>
      <c r="D43" s="3059"/>
      <c r="E43" s="598">
        <f>IF(F36&lt;1,"",E15)</f>
        <v>2</v>
      </c>
      <c r="F43" s="651">
        <f>IF(F36&lt;1,"",F15)</f>
        <v>0.2</v>
      </c>
      <c r="G43" s="3068">
        <f>IF(F36&lt;1,"",(G41+G42)*F43)</f>
        <v>1.7668685185185187</v>
      </c>
      <c r="H43" s="3069"/>
      <c r="I43" s="3069"/>
      <c r="J43" s="3053" t="str">
        <f>IF(J39="","",(G43/30)*J40)</f>
        <v/>
      </c>
      <c r="K43" s="3054"/>
      <c r="L43" s="3053" t="str">
        <f>IF(L39="","",(G43/30)*L40)</f>
        <v/>
      </c>
      <c r="M43" s="3054"/>
      <c r="N43" s="3053" t="str">
        <f>IF(N39="","",(G43/30)*N40)</f>
        <v/>
      </c>
      <c r="O43" s="3054"/>
      <c r="P43" s="3053" t="str">
        <f>IF(P39="","",(G43/30)*P40)</f>
        <v/>
      </c>
      <c r="Q43" s="3054"/>
      <c r="R43" s="3053" t="str">
        <f>IF(R39="","",(G43/30)*R40)</f>
        <v/>
      </c>
      <c r="S43" s="3054"/>
      <c r="T43" s="3053">
        <f>IF(T39="","",(G43/30)*T40)</f>
        <v>5.8895617283950624E-2</v>
      </c>
      <c r="U43" s="3054"/>
      <c r="V43" s="3053">
        <f>IF(V39="","",(G43/30)*V40)</f>
        <v>1.7668685185185187</v>
      </c>
      <c r="W43" s="3054"/>
      <c r="X43" s="3053">
        <f>IF(X39="","",(G43/30)*X40)</f>
        <v>1.7668685185185187</v>
      </c>
      <c r="Y43" s="3054"/>
      <c r="Z43" s="3053">
        <f>IF(Z39="","",(G43/30)*Z40)</f>
        <v>1.7668685185185187</v>
      </c>
      <c r="AA43" s="3054"/>
      <c r="AB43" s="3053">
        <f>IF(AB39="","",(G43/30)*AB40)</f>
        <v>1.7668685185185187</v>
      </c>
      <c r="AC43" s="3054"/>
      <c r="AD43" s="3053">
        <f>IF(AD39="","",(G43/30)*AD40)</f>
        <v>1.7668685185185187</v>
      </c>
      <c r="AE43" s="3054"/>
      <c r="AF43" s="3053">
        <f>IF(AF39="","",(G43/30)*AF40)</f>
        <v>1.7668685185185187</v>
      </c>
      <c r="AG43" s="3054"/>
      <c r="AH43" s="3055">
        <f>IF(F36&lt;1,"",SUM(J43:AF43))</f>
        <v>10.660106728395062</v>
      </c>
      <c r="AI43" s="3056"/>
      <c r="AJ43" s="3057"/>
      <c r="AK43" s="615">
        <f>IF(AH43="",0,ROUND(AH43,2))</f>
        <v>10.66</v>
      </c>
    </row>
    <row r="44" spans="2:37" ht="18" customHeight="1" thickBot="1" x14ac:dyDescent="0.3">
      <c r="B44" s="581"/>
      <c r="C44" s="3058"/>
      <c r="D44" s="3059"/>
      <c r="E44" s="3060"/>
      <c r="F44" s="3061"/>
      <c r="G44" s="3062">
        <f>IF(F36&lt;1,"",G41+G42+G43)</f>
        <v>10.601211111111112</v>
      </c>
      <c r="H44" s="3063"/>
      <c r="I44" s="3064"/>
      <c r="J44" s="3065"/>
      <c r="K44" s="3066"/>
      <c r="L44" s="3066"/>
      <c r="M44" s="3066"/>
      <c r="N44" s="3066"/>
      <c r="O44" s="3066"/>
      <c r="P44" s="3066"/>
      <c r="Q44" s="3066"/>
      <c r="R44" s="3066"/>
      <c r="S44" s="3066"/>
      <c r="T44" s="3066"/>
      <c r="U44" s="3066"/>
      <c r="V44" s="3066"/>
      <c r="W44" s="3066"/>
      <c r="X44" s="3066"/>
      <c r="Y44" s="3066"/>
      <c r="Z44" s="3066"/>
      <c r="AA44" s="3066"/>
      <c r="AB44" s="3066"/>
      <c r="AC44" s="3066"/>
      <c r="AD44" s="3066"/>
      <c r="AE44" s="3066"/>
      <c r="AF44" s="3066"/>
      <c r="AG44" s="3067"/>
      <c r="AH44" s="3062">
        <f>IF(F36&lt;1,"",AK41+AK42+AK43)</f>
        <v>63.959999999999994</v>
      </c>
      <c r="AI44" s="3063"/>
      <c r="AJ44" s="3064"/>
      <c r="AK44" s="582"/>
    </row>
    <row r="45" spans="2:37" ht="18" customHeight="1" x14ac:dyDescent="0.25">
      <c r="B45" s="581"/>
      <c r="C45" s="3009" t="str">
        <f>IF(F36&lt;1,"",IF(OR(F37&lt;&gt;31,H37&lt;&gt;12),"",IF(AI37=1,"2151","7151")))</f>
        <v>2151</v>
      </c>
      <c r="D45" s="3010"/>
      <c r="E45" s="3011" t="str">
        <f>IF(C45="","","13º")</f>
        <v>13º</v>
      </c>
      <c r="F45" s="3012"/>
      <c r="G45" s="3013">
        <f>IF(C45="","",G44)</f>
        <v>10.601211111111112</v>
      </c>
      <c r="H45" s="3014"/>
      <c r="I45" s="3015"/>
      <c r="J45" s="3016">
        <f>IF(G45="",0,ROUND(G45,2))</f>
        <v>10.6</v>
      </c>
      <c r="K45" s="3017"/>
      <c r="L45" s="3017"/>
      <c r="M45" s="3017"/>
      <c r="N45" s="3017"/>
      <c r="O45" s="3017"/>
      <c r="P45" s="3017"/>
      <c r="Q45" s="3017"/>
      <c r="R45" s="3017"/>
      <c r="S45" s="3017"/>
      <c r="T45" s="3017"/>
      <c r="U45" s="3017"/>
      <c r="V45" s="3017"/>
      <c r="W45" s="3017"/>
      <c r="X45" s="3017"/>
      <c r="Y45" s="3017"/>
      <c r="Z45" s="3017"/>
      <c r="AA45" s="3017"/>
      <c r="AB45" s="3017"/>
      <c r="AC45" s="3017"/>
      <c r="AD45" s="3017"/>
      <c r="AE45" s="3017"/>
      <c r="AF45" s="3017"/>
      <c r="AG45" s="3017"/>
      <c r="AH45" s="3017"/>
      <c r="AI45" s="3017"/>
      <c r="AJ45" s="3018"/>
      <c r="AK45" s="582"/>
    </row>
    <row r="46" spans="2:37" ht="6" customHeight="1" x14ac:dyDescent="0.25">
      <c r="B46" s="581"/>
      <c r="C46" s="3019"/>
      <c r="D46" s="3020"/>
      <c r="E46" s="3020"/>
      <c r="F46" s="3020"/>
      <c r="G46" s="3020"/>
      <c r="H46" s="3020"/>
      <c r="I46" s="3020"/>
      <c r="J46" s="3020"/>
      <c r="K46" s="3020"/>
      <c r="L46" s="3020"/>
      <c r="M46" s="3020"/>
      <c r="N46" s="3020"/>
      <c r="O46" s="3020"/>
      <c r="P46" s="3020"/>
      <c r="Q46" s="3020"/>
      <c r="R46" s="3020"/>
      <c r="S46" s="3020"/>
      <c r="T46" s="3020"/>
      <c r="U46" s="3020"/>
      <c r="V46" s="3020"/>
      <c r="W46" s="3020"/>
      <c r="X46" s="3020"/>
      <c r="Y46" s="3020"/>
      <c r="Z46" s="3020"/>
      <c r="AA46" s="3020"/>
      <c r="AB46" s="3020"/>
      <c r="AC46" s="3020"/>
      <c r="AD46" s="3020"/>
      <c r="AE46" s="3020"/>
      <c r="AF46" s="3020"/>
      <c r="AG46" s="3020"/>
      <c r="AH46" s="3020"/>
      <c r="AI46" s="3020"/>
      <c r="AJ46" s="3021"/>
      <c r="AK46" s="582"/>
    </row>
    <row r="47" spans="2:37" ht="18" customHeight="1" x14ac:dyDescent="0.25">
      <c r="B47" s="581"/>
      <c r="C47" s="3022" t="str">
        <f>IF(F36&lt;1,"",IF(AI37=2,"0532","7832"))</f>
        <v>7832</v>
      </c>
      <c r="D47" s="3023"/>
      <c r="E47" s="594"/>
      <c r="F47" s="652">
        <f>IF(F36&lt;1,"",F19)</f>
        <v>3.2000000000000001E-2</v>
      </c>
      <c r="G47" s="3024">
        <f>IF(F36&lt;1,"",AH44*F47)</f>
        <v>2.0467199999999997</v>
      </c>
      <c r="H47" s="3024"/>
      <c r="I47" s="3024"/>
      <c r="J47" s="3025">
        <f>IF(G47="",0,ROUND(G47,2))</f>
        <v>2.0499999999999998</v>
      </c>
      <c r="K47" s="3026"/>
      <c r="L47" s="3026"/>
      <c r="M47" s="3026"/>
      <c r="N47" s="3026"/>
      <c r="O47" s="3026"/>
      <c r="P47" s="3026"/>
      <c r="Q47" s="3026"/>
      <c r="R47" s="3026"/>
      <c r="S47" s="3026"/>
      <c r="T47" s="3026"/>
      <c r="U47" s="3026"/>
      <c r="V47" s="3026"/>
      <c r="W47" s="3026"/>
      <c r="X47" s="3026"/>
      <c r="Y47" s="3026"/>
      <c r="Z47" s="3026"/>
      <c r="AA47" s="3026"/>
      <c r="AB47" s="3026"/>
      <c r="AC47" s="3026"/>
      <c r="AD47" s="3026"/>
      <c r="AE47" s="3026"/>
      <c r="AF47" s="3026"/>
      <c r="AG47" s="3026"/>
      <c r="AH47" s="3026"/>
      <c r="AI47" s="3026"/>
      <c r="AJ47" s="3027"/>
      <c r="AK47" s="582"/>
    </row>
    <row r="48" spans="2:37" ht="18" customHeight="1" thickBot="1" x14ac:dyDescent="0.3">
      <c r="B48" s="581"/>
      <c r="C48" s="3050" t="str">
        <f>IF(F36&lt;1,"",IF(OR(F37&lt;&gt;31,H37&lt;&gt;12),"",IF(AI37=2,"0632","7932")))</f>
        <v>7932</v>
      </c>
      <c r="D48" s="3051"/>
      <c r="E48" s="599"/>
      <c r="F48" s="653">
        <f>IF(C48="","",3.2%)</f>
        <v>3.2000000000000001E-2</v>
      </c>
      <c r="G48" s="3052">
        <f>IF(C48="","",G45*F48)</f>
        <v>0.3392387555555556</v>
      </c>
      <c r="H48" s="3052"/>
      <c r="I48" s="3052"/>
      <c r="J48" s="3000">
        <f>IF(G48="",0,ROUND(G48,2))</f>
        <v>0.34</v>
      </c>
      <c r="K48" s="3001"/>
      <c r="L48" s="3001"/>
      <c r="M48" s="3001"/>
      <c r="N48" s="3001"/>
      <c r="O48" s="3001"/>
      <c r="P48" s="3001"/>
      <c r="Q48" s="3001"/>
      <c r="R48" s="3001"/>
      <c r="S48" s="3001"/>
      <c r="T48" s="3001"/>
      <c r="U48" s="3001"/>
      <c r="V48" s="3001"/>
      <c r="W48" s="3001"/>
      <c r="X48" s="3001"/>
      <c r="Y48" s="3001"/>
      <c r="Z48" s="3001"/>
      <c r="AA48" s="3001"/>
      <c r="AB48" s="3001"/>
      <c r="AC48" s="3001"/>
      <c r="AD48" s="3001"/>
      <c r="AE48" s="3001"/>
      <c r="AF48" s="3001"/>
      <c r="AG48" s="3001"/>
      <c r="AH48" s="3001"/>
      <c r="AI48" s="3001"/>
      <c r="AJ48" s="3002"/>
      <c r="AK48" s="582"/>
    </row>
    <row r="49" spans="2:37" ht="18" customHeight="1" thickBot="1" x14ac:dyDescent="0.3">
      <c r="B49" s="581"/>
      <c r="C49" s="3003"/>
      <c r="D49" s="3004"/>
      <c r="E49" s="3004"/>
      <c r="F49" s="3004"/>
      <c r="G49" s="3004"/>
      <c r="H49" s="3004"/>
      <c r="I49" s="3004"/>
      <c r="J49" s="3004"/>
      <c r="K49" s="3004"/>
      <c r="L49" s="3004"/>
      <c r="M49" s="3004"/>
      <c r="N49" s="3004"/>
      <c r="O49" s="3004"/>
      <c r="P49" s="3004"/>
      <c r="Q49" s="3004"/>
      <c r="R49" s="3004"/>
      <c r="S49" s="3004"/>
      <c r="T49" s="3004"/>
      <c r="U49" s="3004"/>
      <c r="V49" s="3004"/>
      <c r="W49" s="3004"/>
      <c r="X49" s="3004"/>
      <c r="Y49" s="3004"/>
      <c r="Z49" s="3004"/>
      <c r="AA49" s="3004"/>
      <c r="AB49" s="3004"/>
      <c r="AC49" s="3004"/>
      <c r="AD49" s="3004"/>
      <c r="AE49" s="3004"/>
      <c r="AF49" s="3004"/>
      <c r="AG49" s="3004"/>
      <c r="AH49" s="3004"/>
      <c r="AI49" s="3004"/>
      <c r="AJ49" s="3005"/>
      <c r="AK49" s="582"/>
    </row>
    <row r="50" spans="2:37" ht="18" customHeight="1" x14ac:dyDescent="0.3">
      <c r="B50" s="581"/>
      <c r="C50" s="3114" t="s">
        <v>8187</v>
      </c>
      <c r="D50" s="3115"/>
      <c r="E50" s="3115"/>
      <c r="F50" s="613"/>
      <c r="G50" s="600" t="s">
        <v>339</v>
      </c>
      <c r="H50" s="614"/>
      <c r="I50" s="600" t="s">
        <v>339</v>
      </c>
      <c r="J50" s="3116"/>
      <c r="K50" s="3117"/>
      <c r="L50" s="601" t="s">
        <v>8174</v>
      </c>
      <c r="M50" s="602" t="str">
        <f>IF(F50&gt;0,M8,"")</f>
        <v/>
      </c>
      <c r="N50" s="3118" t="s">
        <v>8175</v>
      </c>
      <c r="O50" s="3118"/>
      <c r="P50" s="3119" t="s">
        <v>8176</v>
      </c>
      <c r="Q50" s="3119"/>
      <c r="R50" s="3119"/>
      <c r="S50" s="3119"/>
      <c r="T50" s="3120"/>
      <c r="U50" s="3120"/>
      <c r="V50" s="3120"/>
      <c r="W50" s="3121" t="s">
        <v>407</v>
      </c>
      <c r="X50" s="3121"/>
      <c r="Y50" s="3121"/>
      <c r="Z50" s="3121"/>
      <c r="AA50" s="3122"/>
      <c r="AB50" s="3122"/>
      <c r="AC50" s="3122"/>
      <c r="AD50" s="3123"/>
      <c r="AE50" s="3124" t="s">
        <v>8177</v>
      </c>
      <c r="AF50" s="3125"/>
      <c r="AG50" s="3126" t="str">
        <f>IF(F50&gt;0,AA50/L51,"")</f>
        <v/>
      </c>
      <c r="AH50" s="3127"/>
      <c r="AI50" s="3127"/>
      <c r="AJ50" s="3128"/>
      <c r="AK50" s="582"/>
    </row>
    <row r="51" spans="2:37" ht="18" customHeight="1" x14ac:dyDescent="0.3">
      <c r="B51" s="581"/>
      <c r="C51" s="3081" t="s">
        <v>8180</v>
      </c>
      <c r="D51" s="3082"/>
      <c r="E51" s="3082"/>
      <c r="F51" s="610"/>
      <c r="G51" s="588" t="s">
        <v>339</v>
      </c>
      <c r="H51" s="611"/>
      <c r="I51" s="588" t="s">
        <v>339</v>
      </c>
      <c r="J51" s="3083"/>
      <c r="K51" s="3084"/>
      <c r="L51" s="3085" t="str">
        <f>IF(F50&gt;0,L9,"")</f>
        <v/>
      </c>
      <c r="M51" s="3086"/>
      <c r="N51" s="3087" t="s">
        <v>8181</v>
      </c>
      <c r="O51" s="3088"/>
      <c r="P51" s="3089" t="s">
        <v>8182</v>
      </c>
      <c r="Q51" s="3089"/>
      <c r="R51" s="3089"/>
      <c r="S51" s="3089"/>
      <c r="T51" s="3089"/>
      <c r="U51" s="3089"/>
      <c r="V51" s="3089"/>
      <c r="W51" s="3090"/>
      <c r="X51" s="3091" t="str">
        <f>IF(F50&gt;0,X9,"")</f>
        <v/>
      </c>
      <c r="Y51" s="3092"/>
      <c r="Z51" s="3093"/>
      <c r="AA51" s="3094"/>
      <c r="AB51" s="3094"/>
      <c r="AC51" s="3094"/>
      <c r="AD51" s="3094"/>
      <c r="AE51" s="3094"/>
      <c r="AF51" s="3094"/>
      <c r="AG51" s="3094"/>
      <c r="AH51" s="3094"/>
      <c r="AI51" s="617" t="str">
        <f>IF(F50&gt;0,AI9,"")</f>
        <v/>
      </c>
      <c r="AJ51" s="591"/>
      <c r="AK51" s="582"/>
    </row>
    <row r="52" spans="2:37" ht="6" customHeight="1" thickBot="1" x14ac:dyDescent="0.3">
      <c r="B52" s="581"/>
      <c r="C52" s="3095"/>
      <c r="D52" s="3096"/>
      <c r="E52" s="3096"/>
      <c r="F52" s="3096"/>
      <c r="G52" s="3096"/>
      <c r="H52" s="3096"/>
      <c r="I52" s="3096"/>
      <c r="J52" s="3096"/>
      <c r="K52" s="3096"/>
      <c r="L52" s="3096"/>
      <c r="M52" s="3096"/>
      <c r="N52" s="3096"/>
      <c r="O52" s="3096"/>
      <c r="P52" s="3096"/>
      <c r="Q52" s="3096"/>
      <c r="R52" s="3096"/>
      <c r="S52" s="3096"/>
      <c r="T52" s="3096"/>
      <c r="U52" s="3096"/>
      <c r="V52" s="3096"/>
      <c r="W52" s="3096"/>
      <c r="X52" s="3096"/>
      <c r="Y52" s="3096"/>
      <c r="Z52" s="3096"/>
      <c r="AA52" s="3096"/>
      <c r="AB52" s="3096"/>
      <c r="AC52" s="3096"/>
      <c r="AD52" s="3096"/>
      <c r="AE52" s="3096"/>
      <c r="AF52" s="3096"/>
      <c r="AG52" s="3096"/>
      <c r="AH52" s="3096"/>
      <c r="AI52" s="3096"/>
      <c r="AJ52" s="3097"/>
      <c r="AK52" s="582"/>
    </row>
    <row r="53" spans="2:37" ht="18" customHeight="1" x14ac:dyDescent="0.3">
      <c r="B53" s="581"/>
      <c r="C53" s="3098" t="s">
        <v>391</v>
      </c>
      <c r="D53" s="3099"/>
      <c r="E53" s="3102" t="s">
        <v>8183</v>
      </c>
      <c r="F53" s="3102" t="s">
        <v>8055</v>
      </c>
      <c r="G53" s="3104" t="s">
        <v>8184</v>
      </c>
      <c r="H53" s="3105"/>
      <c r="I53" s="3105"/>
      <c r="J53" s="3079" t="str">
        <f>IF(H50=1,"01/"&amp;J50,"")</f>
        <v/>
      </c>
      <c r="K53" s="3080"/>
      <c r="L53" s="3079" t="str">
        <f>IF(F50="","",IF(H50=2,"02/"&amp;J50,IF(AND(J53&lt;&gt;"",H51&gt;1),"02/"&amp;J50,IF(AND(H50=1,H51=1),"",IF(H50&gt;2,"")))))</f>
        <v/>
      </c>
      <c r="M53" s="3080"/>
      <c r="N53" s="3079" t="str">
        <f>IF(F50="","",IF(H50=3,"03/"&amp;J50,IF(OR(H50&gt;3,H51&lt;3),"",IF(AND(L53&lt;&gt;"",H51&gt;2),"03/"&amp;J50,IF(AND(H50=2,H51=2),"")))))</f>
        <v/>
      </c>
      <c r="O53" s="3080"/>
      <c r="P53" s="3079" t="str">
        <f>IF(F50="","",IF(H50=4,"04/"&amp;J50,IF(OR(H50&gt;4,H51&lt;4),"",IF(AND(N53&lt;&gt;"",H51&gt;3),"04/"&amp;J50,IF(AND(H50=3,H51=3),"")))))</f>
        <v/>
      </c>
      <c r="Q53" s="3080"/>
      <c r="R53" s="3079" t="str">
        <f>IF(F50="","",IF(H50=5,"05/"&amp;J50,IF(OR(H50&gt;5,H51&lt;5),"",IF(AND(P53&lt;&gt;"",H51&gt;4),"05/"&amp;J50,IF(AND(H50=4,H51=4),"")))))</f>
        <v/>
      </c>
      <c r="S53" s="3080"/>
      <c r="T53" s="3079" t="str">
        <f>IF(F50="","",IF(H50=6,"06/"&amp;J50,IF(OR(H50&gt;6,H51&lt;6),"",IF(AND(R53&lt;&gt;"",H51&gt;5),"06/"&amp;J50,IF(AND(H50=5,H51=5),"")))))</f>
        <v/>
      </c>
      <c r="U53" s="3080"/>
      <c r="V53" s="3079" t="str">
        <f>IF(F50="","",IF(H50=7,"07/"&amp;J50,IF(OR(H50&gt;7,H51&lt;7),"",IF(AND(T53&lt;&gt;"",H51&gt;6),"07/"&amp;J50,IF(AND(H50=6,H51=6),"")))))</f>
        <v/>
      </c>
      <c r="W53" s="3080"/>
      <c r="X53" s="3079" t="str">
        <f>IF(F50="","",IF(H50=8,"08/"&amp;J50,IF(OR(H50&gt;8,H51&lt;8),"",IF(AND(V53&lt;&gt;"",H51&gt;7),"08/"&amp;J50,IF(AND(H50=7,H51=7),"")))))</f>
        <v/>
      </c>
      <c r="Y53" s="3080"/>
      <c r="Z53" s="3079" t="str">
        <f>IF(F50="","",IF(H50=9,"09/"&amp;J50,IF(OR(H50&gt;9,H51&lt;9),"",IF(AND(X53&lt;&gt;"",H51&gt;8),"09/"&amp;J50,IF(AND(H50=8,H51=8),"")))))</f>
        <v/>
      </c>
      <c r="AA53" s="3080"/>
      <c r="AB53" s="3079" t="str">
        <f>IF(F50="","",IF(H50=10,"10/"&amp;J50,IF(OR(H50&gt;10,H51&lt;10),"",IF(AND(Z53&lt;&gt;"",H51&gt;9),"10/"&amp;J50,IF(AND(H50=9,H51=9),"")))))</f>
        <v/>
      </c>
      <c r="AC53" s="3080"/>
      <c r="AD53" s="3079" t="str">
        <f>IF(F50="","",IF(H50=11,"11/"&amp;J50,IF(OR(H50&gt;11,H51&lt;11),"",IF(AND(AB53&lt;&gt;"",H51&gt;10),"11/"&amp;J50,IF(AND(H50=10,H51=10),"")))))</f>
        <v/>
      </c>
      <c r="AE53" s="3080"/>
      <c r="AF53" s="3079" t="str">
        <f>IF(F50="","",IF(H50=12,"12/"&amp;J50,IF(OR(H50&gt;12,H51&lt;12),"",IF(AND(AD53&lt;&gt;"",H51&gt;11),"12/"&amp;J50,IF(AND(H50=11,H51=11),"")))))</f>
        <v/>
      </c>
      <c r="AG53" s="3080"/>
      <c r="AH53" s="3106" t="s">
        <v>7968</v>
      </c>
      <c r="AI53" s="3107"/>
      <c r="AJ53" s="3108"/>
      <c r="AK53" s="582"/>
    </row>
    <row r="54" spans="2:37" ht="18" customHeight="1" thickBot="1" x14ac:dyDescent="0.3">
      <c r="B54" s="581"/>
      <c r="C54" s="3100"/>
      <c r="D54" s="3101"/>
      <c r="E54" s="3103"/>
      <c r="F54" s="3103"/>
      <c r="G54" s="3109" t="s">
        <v>8185</v>
      </c>
      <c r="H54" s="3110"/>
      <c r="I54" s="3110"/>
      <c r="J54" s="592" t="str">
        <f>IF(J53="","",IF(AND(H50=1,F50=31),1,IF(AND(H50&lt;1,H51=1),F51,IF(AND(H50=1,H51=1,F51=31),31-F50,IF(AND(H50=1,H51=1,F51&lt;&gt;31),F51-F50+1,IF(AND(H50=1,H51&gt;1),31-F50,IF(AND(H50&lt;1,H51&gt;1),30,)))))))</f>
        <v/>
      </c>
      <c r="K54" s="593" t="str">
        <f>IF(J54="","","dias")</f>
        <v/>
      </c>
      <c r="L54" s="592" t="str">
        <f>IF(L53="","",IF(AND(H50&lt;2,H51&gt;2),30,IF(AND(H51&gt;2,H50=2),31-F50,IF(AND(H50&lt;2,H51=2),F51,IF(AND(H50=2,H51=2),F51-F50+1,IF(AND(H50=2,F50=28),1,IF(AND(H50=2,F50=29),1,IF(AND(H50=2,H51=2,F51=28),31-F50,IF(AND(H50=2,H51=2,F51=29),31-F50,IF(AND(H50=2,H51=2,F51&lt;28),F51-F50+1))))))))))</f>
        <v/>
      </c>
      <c r="M54" s="593" t="str">
        <f>IF(L54="","","dias")</f>
        <v/>
      </c>
      <c r="N54" s="592" t="str">
        <f>IF(N53="","",IF(AND(H50=3,F50=31),1,IF(AND(H50&lt;3,H51=3,F51=31),30,IF(AND(H50&lt;3,H51=3,F51&lt;31),F51,IF(AND(H50=3,H51=3,F51=31),31-F50,IF(AND(H50=3,H51=3,F51&lt;&gt;31),F51-F50+1,IF(AND(H50=3,H51&gt;3),31-F50,IF(AND(H50&lt;3,H51&gt;3),30,))))))))</f>
        <v/>
      </c>
      <c r="O54" s="593" t="str">
        <f>IF(N54="","","dias")</f>
        <v/>
      </c>
      <c r="P54" s="592" t="str">
        <f>IF(P53="","",IF(AND(H50=4,F50=30),1,IF(AND(H50&lt;4,H51=4,F51=31),30,IF(AND(H50&lt;4,H51=4,F51&lt;31),F51,IF(AND(H50=4,H51=4,F51=31),31-F50,IF(AND(H50=4,H51=4,F51&lt;&gt;31),F51-F50+1,IF(AND(H50=4,H51&gt;4),31-F50,IF(AND(H50&lt;4,H51&gt;4),30,))))))))</f>
        <v/>
      </c>
      <c r="Q54" s="593" t="str">
        <f>IF(P54="","","dias")</f>
        <v/>
      </c>
      <c r="R54" s="592" t="str">
        <f>IF(R53="","",IF(AND(H50=5,F50=31),1,IF(AND(H50&lt;5,H51=5,F51=31),30,IF(AND(H50&lt;5,H51=5,F51&lt;31),F51,IF(AND(H50=5,H51=5,F51=31),31-F50,IF(AND(H50=5,H51=5,F51&lt;&gt;31),F51-F50+1,IF(AND(H50=5,H51&gt;5),31-F50,IF(AND(H50&lt;5,H51&gt;5),30,))))))))</f>
        <v/>
      </c>
      <c r="S54" s="593" t="str">
        <f>IF(R54="","","dias")</f>
        <v/>
      </c>
      <c r="T54" s="592" t="str">
        <f>IF(T53="","",IF(AND(H50=6,F50=30),1,IF(AND(H50&lt;6,H51=6,F51=31),30,IF(AND(H50&lt;6,H51=6,F51&lt;31),F51,IF(AND(H50=6,H51=6,F51=31),31-F50,IF(AND(H50=6,H51=6,F51&lt;&gt;31),F51-F50+1,IF(AND(H50=6,H51&gt;6),31-F50,IF(AND(H50&lt;6,H51&gt;6),30,))))))))</f>
        <v/>
      </c>
      <c r="U54" s="593" t="str">
        <f>IF(T54="","","dias")</f>
        <v/>
      </c>
      <c r="V54" s="592" t="str">
        <f>IF(V53="","",IF(AND(H50=6,F50=31),1,IF(AND(H50&lt;7,H51=7,F51=31),30,IF(AND(H50&lt;7,H51=7,F51&lt;31),F51,IF(AND(H50=7,H51=7,F51=31),31-F50,IF(AND(H50=7,H51=7,F51&lt;&gt;31),F51-F50+1,IF(AND(H50=7,H51&gt;7),31-F50,IF(AND(H50&lt;7,H51&gt;7),30,))))))))</f>
        <v/>
      </c>
      <c r="W54" s="593" t="str">
        <f>IF(V54="","","dias")</f>
        <v/>
      </c>
      <c r="X54" s="592" t="str">
        <f>IF(X53="","",IF(AND(H50=8,F50=31),1,IF(AND(H50&lt;8,H51=8,F51=31),30,IF(AND(H50&lt;8,H51=8,F51&lt;31),F51,IF(AND(H50=8,H51=8,F51=31),31-F50,IF(AND(H50=8,H51=8,F51&lt;&gt;31),F51-F50+1,IF(AND(H50=8,H51&gt;8),31-F50,IF(AND(H50&lt;8,H51&gt;8),30,))))))))</f>
        <v/>
      </c>
      <c r="Y54" s="593" t="str">
        <f>IF(X54="","","dias")</f>
        <v/>
      </c>
      <c r="Z54" s="592" t="str">
        <f>IF(Z53="","",IF(AND(H50=9,F50=30),1,IF(AND(H50&lt;9,H51=9,F51=31),30,IF(AND(H50&lt;9,H51=9,F51&lt;31),F51,IF(AND(H50=9,H51=9,F51=31),31-F50,IF(AND(H50=9,H51=9,F51&lt;&gt;31),F51-F50+1,IF(AND(H50=9,H51&gt;9),31-F50,IF(AND(H50&lt;9,H51&gt;9),30,))))))))</f>
        <v/>
      </c>
      <c r="AA54" s="593" t="str">
        <f>IF(Z54="","","dias")</f>
        <v/>
      </c>
      <c r="AB54" s="592" t="str">
        <f>IF(AB53="","",IF(AND(H50=10,F50=31),1,IF(AND(H50&lt;10,H51=10,F51=31),30,IF(AND(H50&lt;10,H51=10,F51&lt;31),F51,IF(AND(H50=10,H51=10,F51=31),31-F50,IF(AND(H50=10,H51=10,F51&lt;&gt;31),F51-F50+1,IF(AND(H50=10,H51&gt;10),31-F50,IF(AND(H50&lt;10,H51&gt;10),30,))))))))</f>
        <v/>
      </c>
      <c r="AC54" s="593" t="str">
        <f>IF(AB54="","","dias")</f>
        <v/>
      </c>
      <c r="AD54" s="592" t="str">
        <f>IF(AD53="","",IF(AND(H50=11,F50=30),1,IF(AND(H50&lt;11,H51=11,F51=31),30,IF(AND(H50&lt;11,H51=11,F51&lt;31),F51,IF(AND(H50=11,H51=11,F51=31),31-F50,IF(AND(H50=11,H51=11,F51&lt;&gt;31),F51-F50+1,IF(AND(H50=11,H51&gt;11),31-F50,IF(AND(H50&lt;11,H51&gt;11),30,))))))))</f>
        <v/>
      </c>
      <c r="AE54" s="593" t="str">
        <f>IF(AD54="","","dias")</f>
        <v/>
      </c>
      <c r="AF54" s="592" t="str">
        <f>IF(AF53="","",IF(AND(H50=12,F50=31),1,IF(AND(H50&lt;12,H51=12,F51=31),30,IF(AND(H50&lt;12,H51=12,F51&lt;31),F51,IF(AND(H50=12,H51=12,F51=31),31-F50,IF(AND(H50=12,H51=12,F51&lt;&gt;31),F51-F50+1,IF(AND(H50=12,H51&gt;12),31-F50,IF(AND(H50&lt;12,H51&gt;12),30,))))))))</f>
        <v/>
      </c>
      <c r="AG54" s="593" t="str">
        <f>IF(AF54="","","dias")</f>
        <v/>
      </c>
      <c r="AH54" s="3111" t="s">
        <v>8186</v>
      </c>
      <c r="AI54" s="3112"/>
      <c r="AJ54" s="3113"/>
      <c r="AK54" s="582"/>
    </row>
    <row r="55" spans="2:37" ht="18" customHeight="1" x14ac:dyDescent="0.25">
      <c r="B55" s="581"/>
      <c r="C55" s="3022" t="str">
        <f>IF(F50&lt;1,"",IF(AI51=1,"2135","7135"))</f>
        <v/>
      </c>
      <c r="D55" s="3023"/>
      <c r="E55" s="3077" t="str">
        <f>IF(F50&lt;1,"",E13)</f>
        <v/>
      </c>
      <c r="F55" s="3078"/>
      <c r="G55" s="3072" t="str">
        <f>IF(F50&lt;1,"",AG50*X51)</f>
        <v/>
      </c>
      <c r="H55" s="3073"/>
      <c r="I55" s="3073"/>
      <c r="J55" s="3070" t="str">
        <f>IF(J53="","",(G55/30)*J54)</f>
        <v/>
      </c>
      <c r="K55" s="3071"/>
      <c r="L55" s="3070" t="str">
        <f>IF(L53="","",(G55/30)*L54)</f>
        <v/>
      </c>
      <c r="M55" s="3071"/>
      <c r="N55" s="3070" t="str">
        <f>IF(N53="","",(G55/30)*N54)</f>
        <v/>
      </c>
      <c r="O55" s="3071"/>
      <c r="P55" s="3070" t="str">
        <f>IF(P53="","",(G55/30)*P54)</f>
        <v/>
      </c>
      <c r="Q55" s="3071"/>
      <c r="R55" s="3070" t="str">
        <f>IF(R53="","",(G55/30)*R54)</f>
        <v/>
      </c>
      <c r="S55" s="3071"/>
      <c r="T55" s="3070" t="str">
        <f>IF(T53="","",(G55/30)*T54)</f>
        <v/>
      </c>
      <c r="U55" s="3071"/>
      <c r="V55" s="3070" t="str">
        <f>IF(V53="","",(G55/30)*V54)</f>
        <v/>
      </c>
      <c r="W55" s="3071"/>
      <c r="X55" s="3070" t="str">
        <f>IF(X53="","",(G55/30)*X54)</f>
        <v/>
      </c>
      <c r="Y55" s="3071"/>
      <c r="Z55" s="3070" t="str">
        <f>IF(Z53="","",(G55/30)*Z54)</f>
        <v/>
      </c>
      <c r="AA55" s="3071"/>
      <c r="AB55" s="3070" t="str">
        <f>IF(AB53="","",(G55/30)*AB54)</f>
        <v/>
      </c>
      <c r="AC55" s="3071"/>
      <c r="AD55" s="3070" t="str">
        <f>IF(AD53="","",(G55/30)*AD54)</f>
        <v/>
      </c>
      <c r="AE55" s="3071"/>
      <c r="AF55" s="3070" t="str">
        <f>IF(AF53="","",(G55/30)*AF54)</f>
        <v/>
      </c>
      <c r="AG55" s="3071"/>
      <c r="AH55" s="3072" t="str">
        <f>IF(F50&lt;1,"",SUM(J55:AF55))</f>
        <v/>
      </c>
      <c r="AI55" s="3073"/>
      <c r="AJ55" s="3074"/>
      <c r="AK55" s="615">
        <f>IF(AH55="",0,ROUND(AH55,2))</f>
        <v>0</v>
      </c>
    </row>
    <row r="56" spans="2:37" ht="18" customHeight="1" x14ac:dyDescent="0.25">
      <c r="B56" s="581"/>
      <c r="C56" s="3058" t="str">
        <f>IF(F50&lt;1,"",IF(AI51=1,"2144","7144"))</f>
        <v/>
      </c>
      <c r="D56" s="3059"/>
      <c r="E56" s="598" t="str">
        <f>IF(F50&lt;1,"",E14)</f>
        <v/>
      </c>
      <c r="F56" s="651" t="str">
        <f>IF(F50&lt;1,"",F14)</f>
        <v/>
      </c>
      <c r="G56" s="3075" t="str">
        <f>IF(F50&lt;1,"",G55*F56)</f>
        <v/>
      </c>
      <c r="H56" s="3076"/>
      <c r="I56" s="3076"/>
      <c r="J56" s="3053" t="str">
        <f>IF(J53="","",(G56/30)*J54)</f>
        <v/>
      </c>
      <c r="K56" s="3054"/>
      <c r="L56" s="3053" t="str">
        <f>IF(L53="","",(G56/30)*L54)</f>
        <v/>
      </c>
      <c r="M56" s="3054"/>
      <c r="N56" s="3053" t="str">
        <f>IF(N53="","",(G56/30)*N54)</f>
        <v/>
      </c>
      <c r="O56" s="3054"/>
      <c r="P56" s="3053" t="str">
        <f>IF(P53="","",(G56/30)*P54)</f>
        <v/>
      </c>
      <c r="Q56" s="3054"/>
      <c r="R56" s="3053" t="str">
        <f>IF(R53="","",(G56/30)*R54)</f>
        <v/>
      </c>
      <c r="S56" s="3054"/>
      <c r="T56" s="3053" t="str">
        <f>IF(T53="","",(G56/30)*T54)</f>
        <v/>
      </c>
      <c r="U56" s="3054"/>
      <c r="V56" s="3053" t="str">
        <f>IF(V53="","",(G56/30)*V54)</f>
        <v/>
      </c>
      <c r="W56" s="3054"/>
      <c r="X56" s="3053" t="str">
        <f>IF(X53="","",(G56/30)*X54)</f>
        <v/>
      </c>
      <c r="Y56" s="3054"/>
      <c r="Z56" s="3053" t="str">
        <f>IF(Z53="","",(G56/30)*Z54)</f>
        <v/>
      </c>
      <c r="AA56" s="3054"/>
      <c r="AB56" s="3053" t="str">
        <f>IF(AB53="","",(G56/30)*AB54)</f>
        <v/>
      </c>
      <c r="AC56" s="3054"/>
      <c r="AD56" s="3053" t="str">
        <f>IF(AD53="","",(G56/30)*AD54)</f>
        <v/>
      </c>
      <c r="AE56" s="3054"/>
      <c r="AF56" s="3053" t="str">
        <f>IF(AF53="","",(G56/30)*AF54)</f>
        <v/>
      </c>
      <c r="AG56" s="3054"/>
      <c r="AH56" s="3072" t="str">
        <f>IF(F50&lt;1,"",SUM(J56:AF56))</f>
        <v/>
      </c>
      <c r="AI56" s="3073"/>
      <c r="AJ56" s="3074"/>
      <c r="AK56" s="615">
        <f>IF(AH56="",0,ROUND(AH56,2))</f>
        <v>0</v>
      </c>
    </row>
    <row r="57" spans="2:37" ht="18" customHeight="1" thickBot="1" x14ac:dyDescent="0.3">
      <c r="B57" s="581"/>
      <c r="C57" s="3058" t="str">
        <f>IF(F50&lt;1,"",IF(AI51=1,"2042","7042"))</f>
        <v/>
      </c>
      <c r="D57" s="3059"/>
      <c r="E57" s="598" t="str">
        <f>IF(F50&lt;1,"",E15)</f>
        <v/>
      </c>
      <c r="F57" s="651" t="str">
        <f>IF(F50&lt;1,"",F15)</f>
        <v/>
      </c>
      <c r="G57" s="3068" t="str">
        <f>IF(F50&lt;1,"",(G55+G56)*F57)</f>
        <v/>
      </c>
      <c r="H57" s="3069"/>
      <c r="I57" s="3069"/>
      <c r="J57" s="3053" t="str">
        <f>IF(J53="","",(G57/30)*J54)</f>
        <v/>
      </c>
      <c r="K57" s="3054"/>
      <c r="L57" s="3053" t="str">
        <f>IF(L53="","",(G57/30)*L54)</f>
        <v/>
      </c>
      <c r="M57" s="3054"/>
      <c r="N57" s="3053" t="str">
        <f>IF(N53="","",(G57/30)*N54)</f>
        <v/>
      </c>
      <c r="O57" s="3054"/>
      <c r="P57" s="3053" t="str">
        <f>IF(P53="","",(G57/30)*P54)</f>
        <v/>
      </c>
      <c r="Q57" s="3054"/>
      <c r="R57" s="3053" t="str">
        <f>IF(R53="","",(G57/30)*R54)</f>
        <v/>
      </c>
      <c r="S57" s="3054"/>
      <c r="T57" s="3053" t="str">
        <f>IF(T53="","",(G57/30)*T54)</f>
        <v/>
      </c>
      <c r="U57" s="3054"/>
      <c r="V57" s="3053" t="str">
        <f>IF(V53="","",(G57/30)*V54)</f>
        <v/>
      </c>
      <c r="W57" s="3054"/>
      <c r="X57" s="3053" t="str">
        <f>IF(X53="","",(G57/30)*X54)</f>
        <v/>
      </c>
      <c r="Y57" s="3054"/>
      <c r="Z57" s="3053" t="str">
        <f>IF(Z53="","",(G57/30)*Z54)</f>
        <v/>
      </c>
      <c r="AA57" s="3054"/>
      <c r="AB57" s="3053" t="str">
        <f>IF(AB53="","",(G57/30)*AB54)</f>
        <v/>
      </c>
      <c r="AC57" s="3054"/>
      <c r="AD57" s="3053" t="str">
        <f>IF(AD53="","",(G57/30)*AD54)</f>
        <v/>
      </c>
      <c r="AE57" s="3054"/>
      <c r="AF57" s="3053" t="str">
        <f>IF(AF53="","",(G57/30)*AF54)</f>
        <v/>
      </c>
      <c r="AG57" s="3054"/>
      <c r="AH57" s="3055" t="str">
        <f>IF(F50&lt;1,"",SUM(J57:AF57))</f>
        <v/>
      </c>
      <c r="AI57" s="3056"/>
      <c r="AJ57" s="3057"/>
      <c r="AK57" s="615">
        <f>IF(AH57="",0,ROUND(AH57,2))</f>
        <v>0</v>
      </c>
    </row>
    <row r="58" spans="2:37" ht="18" customHeight="1" thickBot="1" x14ac:dyDescent="0.3">
      <c r="B58" s="581"/>
      <c r="C58" s="3058"/>
      <c r="D58" s="3059"/>
      <c r="E58" s="3060"/>
      <c r="F58" s="3061"/>
      <c r="G58" s="3062" t="str">
        <f>IF(F50&lt;1,"",G55+G56+G57)</f>
        <v/>
      </c>
      <c r="H58" s="3063"/>
      <c r="I58" s="3064"/>
      <c r="J58" s="3065"/>
      <c r="K58" s="3066"/>
      <c r="L58" s="3066"/>
      <c r="M58" s="3066"/>
      <c r="N58" s="3066"/>
      <c r="O58" s="3066"/>
      <c r="P58" s="3066"/>
      <c r="Q58" s="3066"/>
      <c r="R58" s="3066"/>
      <c r="S58" s="3066"/>
      <c r="T58" s="3066"/>
      <c r="U58" s="3066"/>
      <c r="V58" s="3066"/>
      <c r="W58" s="3066"/>
      <c r="X58" s="3066"/>
      <c r="Y58" s="3066"/>
      <c r="Z58" s="3066"/>
      <c r="AA58" s="3066"/>
      <c r="AB58" s="3066"/>
      <c r="AC58" s="3066"/>
      <c r="AD58" s="3066"/>
      <c r="AE58" s="3066"/>
      <c r="AF58" s="3066"/>
      <c r="AG58" s="3067"/>
      <c r="AH58" s="3062" t="str">
        <f>IF(F50&lt;1,"",AK55+AK56+AK57)</f>
        <v/>
      </c>
      <c r="AI58" s="3063"/>
      <c r="AJ58" s="3064"/>
      <c r="AK58" s="582"/>
    </row>
    <row r="59" spans="2:37" ht="18" customHeight="1" x14ac:dyDescent="0.25">
      <c r="B59" s="581"/>
      <c r="C59" s="3009" t="str">
        <f>IF(F50&lt;1,"",IF(OR(F51&lt;&gt;31,H51&lt;&gt;12),"",IF(AI51=1,"2151","7151")))</f>
        <v/>
      </c>
      <c r="D59" s="3010"/>
      <c r="E59" s="3011" t="str">
        <f>IF(C59="","","13º")</f>
        <v/>
      </c>
      <c r="F59" s="3012"/>
      <c r="G59" s="3013" t="str">
        <f>IF(C59="","",G58)</f>
        <v/>
      </c>
      <c r="H59" s="3014"/>
      <c r="I59" s="3015"/>
      <c r="J59" s="3016">
        <f>IF(G59="",0,ROUND(G59,2))</f>
        <v>0</v>
      </c>
      <c r="K59" s="3017"/>
      <c r="L59" s="3017"/>
      <c r="M59" s="3017"/>
      <c r="N59" s="3017"/>
      <c r="O59" s="3017"/>
      <c r="P59" s="3017"/>
      <c r="Q59" s="3017"/>
      <c r="R59" s="3017"/>
      <c r="S59" s="3017"/>
      <c r="T59" s="3017"/>
      <c r="U59" s="3017"/>
      <c r="V59" s="3017"/>
      <c r="W59" s="3017"/>
      <c r="X59" s="3017"/>
      <c r="Y59" s="3017"/>
      <c r="Z59" s="3017"/>
      <c r="AA59" s="3017"/>
      <c r="AB59" s="3017"/>
      <c r="AC59" s="3017"/>
      <c r="AD59" s="3017"/>
      <c r="AE59" s="3017"/>
      <c r="AF59" s="3017"/>
      <c r="AG59" s="3017"/>
      <c r="AH59" s="3017"/>
      <c r="AI59" s="3017"/>
      <c r="AJ59" s="3018"/>
      <c r="AK59" s="582"/>
    </row>
    <row r="60" spans="2:37" ht="6" customHeight="1" x14ac:dyDescent="0.25">
      <c r="B60" s="581"/>
      <c r="C60" s="3019"/>
      <c r="D60" s="3020"/>
      <c r="E60" s="3020"/>
      <c r="F60" s="3020"/>
      <c r="G60" s="3020"/>
      <c r="H60" s="3020"/>
      <c r="I60" s="3020"/>
      <c r="J60" s="3020"/>
      <c r="K60" s="3020"/>
      <c r="L60" s="3020"/>
      <c r="M60" s="3020"/>
      <c r="N60" s="3020"/>
      <c r="O60" s="3020"/>
      <c r="P60" s="3020"/>
      <c r="Q60" s="3020"/>
      <c r="R60" s="3020"/>
      <c r="S60" s="3020"/>
      <c r="T60" s="3020"/>
      <c r="U60" s="3020"/>
      <c r="V60" s="3020"/>
      <c r="W60" s="3020"/>
      <c r="X60" s="3020"/>
      <c r="Y60" s="3020"/>
      <c r="Z60" s="3020"/>
      <c r="AA60" s="3020"/>
      <c r="AB60" s="3020"/>
      <c r="AC60" s="3020"/>
      <c r="AD60" s="3020"/>
      <c r="AE60" s="3020"/>
      <c r="AF60" s="3020"/>
      <c r="AG60" s="3020"/>
      <c r="AH60" s="3020"/>
      <c r="AI60" s="3020"/>
      <c r="AJ60" s="3021"/>
      <c r="AK60" s="582"/>
    </row>
    <row r="61" spans="2:37" ht="18" customHeight="1" x14ac:dyDescent="0.25">
      <c r="B61" s="581"/>
      <c r="C61" s="3022" t="str">
        <f>IF(F50&lt;1,"",IF(AI51=2,"0532","7832"))</f>
        <v/>
      </c>
      <c r="D61" s="3023"/>
      <c r="E61" s="594"/>
      <c r="F61" s="652" t="str">
        <f>IF(F50&lt;1,"",F19)</f>
        <v/>
      </c>
      <c r="G61" s="3024" t="str">
        <f>IF(F50&lt;1,"",AH58*F61)</f>
        <v/>
      </c>
      <c r="H61" s="3024"/>
      <c r="I61" s="3024"/>
      <c r="J61" s="3025">
        <f>IF(G61="",0,ROUND(G61,2))</f>
        <v>0</v>
      </c>
      <c r="K61" s="3026"/>
      <c r="L61" s="3026"/>
      <c r="M61" s="3026"/>
      <c r="N61" s="3026"/>
      <c r="O61" s="3026"/>
      <c r="P61" s="3026"/>
      <c r="Q61" s="3026"/>
      <c r="R61" s="3026"/>
      <c r="S61" s="3026"/>
      <c r="T61" s="3026"/>
      <c r="U61" s="3026"/>
      <c r="V61" s="3026"/>
      <c r="W61" s="3026"/>
      <c r="X61" s="3026"/>
      <c r="Y61" s="3026"/>
      <c r="Z61" s="3026"/>
      <c r="AA61" s="3026"/>
      <c r="AB61" s="3026"/>
      <c r="AC61" s="3026"/>
      <c r="AD61" s="3026"/>
      <c r="AE61" s="3026"/>
      <c r="AF61" s="3026"/>
      <c r="AG61" s="3026"/>
      <c r="AH61" s="3026"/>
      <c r="AI61" s="3026"/>
      <c r="AJ61" s="3027"/>
      <c r="AK61" s="582"/>
    </row>
    <row r="62" spans="2:37" ht="18" customHeight="1" thickBot="1" x14ac:dyDescent="0.3">
      <c r="B62" s="581"/>
      <c r="C62" s="3050" t="str">
        <f>IF(F50&lt;1,"",IF(OR(F51&lt;&gt;31,H51&lt;&gt;12),"",IF(AI51=2,"0632","7932")))</f>
        <v/>
      </c>
      <c r="D62" s="3051"/>
      <c r="E62" s="599"/>
      <c r="F62" s="653" t="str">
        <f>IF(C62="","",3.2%)</f>
        <v/>
      </c>
      <c r="G62" s="3052" t="str">
        <f>IF(C62="","",G59*F62)</f>
        <v/>
      </c>
      <c r="H62" s="3052"/>
      <c r="I62" s="3052"/>
      <c r="J62" s="3000">
        <f>IF(G62="",0,ROUND(G62,2))</f>
        <v>0</v>
      </c>
      <c r="K62" s="3001"/>
      <c r="L62" s="3001"/>
      <c r="M62" s="3001"/>
      <c r="N62" s="3001"/>
      <c r="O62" s="3001"/>
      <c r="P62" s="3001"/>
      <c r="Q62" s="3001"/>
      <c r="R62" s="3001"/>
      <c r="S62" s="3001"/>
      <c r="T62" s="3001"/>
      <c r="U62" s="3001"/>
      <c r="V62" s="3001"/>
      <c r="W62" s="3001"/>
      <c r="X62" s="3001"/>
      <c r="Y62" s="3001"/>
      <c r="Z62" s="3001"/>
      <c r="AA62" s="3001"/>
      <c r="AB62" s="3001"/>
      <c r="AC62" s="3001"/>
      <c r="AD62" s="3001"/>
      <c r="AE62" s="3001"/>
      <c r="AF62" s="3001"/>
      <c r="AG62" s="3001"/>
      <c r="AH62" s="3001"/>
      <c r="AI62" s="3001"/>
      <c r="AJ62" s="3002"/>
      <c r="AK62" s="582"/>
    </row>
    <row r="63" spans="2:37" ht="18" customHeight="1" thickBot="1" x14ac:dyDescent="0.3">
      <c r="B63" s="581"/>
      <c r="C63" s="3003"/>
      <c r="D63" s="3004"/>
      <c r="E63" s="3004"/>
      <c r="F63" s="3004"/>
      <c r="G63" s="3004"/>
      <c r="H63" s="3004"/>
      <c r="I63" s="3004"/>
      <c r="J63" s="3004"/>
      <c r="K63" s="3004"/>
      <c r="L63" s="3004"/>
      <c r="M63" s="3004"/>
      <c r="N63" s="3004"/>
      <c r="O63" s="3004"/>
      <c r="P63" s="3004"/>
      <c r="Q63" s="3004"/>
      <c r="R63" s="3004"/>
      <c r="S63" s="3004"/>
      <c r="T63" s="3004"/>
      <c r="U63" s="3004"/>
      <c r="V63" s="3004"/>
      <c r="W63" s="3004"/>
      <c r="X63" s="3004"/>
      <c r="Y63" s="3004"/>
      <c r="Z63" s="3004"/>
      <c r="AA63" s="3004"/>
      <c r="AB63" s="3004"/>
      <c r="AC63" s="3004"/>
      <c r="AD63" s="3004"/>
      <c r="AE63" s="3004"/>
      <c r="AF63" s="3004"/>
      <c r="AG63" s="3004"/>
      <c r="AH63" s="3004"/>
      <c r="AI63" s="3004"/>
      <c r="AJ63" s="3005"/>
      <c r="AK63" s="582"/>
    </row>
    <row r="64" spans="2:37" ht="18" customHeight="1" x14ac:dyDescent="0.25">
      <c r="B64" s="581"/>
      <c r="C64" s="3028" t="s">
        <v>8188</v>
      </c>
      <c r="D64" s="3029"/>
      <c r="E64" s="3032" t="str">
        <f>IF(AI9=1,"Crédito","Débito")</f>
        <v>Crédito</v>
      </c>
      <c r="F64" s="3033"/>
      <c r="G64" s="3006" t="str">
        <f>C13</f>
        <v>2135</v>
      </c>
      <c r="H64" s="3007"/>
      <c r="I64" s="3007"/>
      <c r="J64" s="3006" t="str">
        <f>C14</f>
        <v>2144</v>
      </c>
      <c r="K64" s="3007"/>
      <c r="L64" s="3007"/>
      <c r="M64" s="3006" t="str">
        <f>C15</f>
        <v>2042</v>
      </c>
      <c r="N64" s="3007"/>
      <c r="O64" s="3008"/>
      <c r="P64" s="3006" t="str">
        <f>IF(C17&lt;&gt;"",C17,IF(C31&lt;&gt;"",C31,IF(C45&lt;&gt;"",C45,IF(C59&lt;&gt;"",C59))))</f>
        <v>2151</v>
      </c>
      <c r="Q64" s="3007"/>
      <c r="R64" s="3008"/>
      <c r="S64" s="3038" t="str">
        <f>IF(AI9=1,"Débito","Restituição")</f>
        <v>Débito</v>
      </c>
      <c r="T64" s="3039"/>
      <c r="U64" s="3040"/>
      <c r="V64" s="3006" t="str">
        <f>C19</f>
        <v>7832</v>
      </c>
      <c r="W64" s="3007"/>
      <c r="X64" s="3008"/>
      <c r="Y64" s="3006" t="str">
        <f>IF(C20&lt;&gt;"",C20,IF(C34&lt;&gt;"",C34,IF(C48&lt;&gt;"",C48,IF(C62&lt;&gt;"",C62))))</f>
        <v>7932</v>
      </c>
      <c r="Z64" s="3007"/>
      <c r="AA64" s="3008"/>
      <c r="AB64" s="3044"/>
      <c r="AC64" s="3045"/>
      <c r="AD64" s="3045"/>
      <c r="AE64" s="3045"/>
      <c r="AF64" s="3045"/>
      <c r="AG64" s="3045"/>
      <c r="AH64" s="3045"/>
      <c r="AI64" s="3045"/>
      <c r="AJ64" s="3046"/>
      <c r="AK64" s="582"/>
    </row>
    <row r="65" spans="2:37" ht="18" customHeight="1" thickBot="1" x14ac:dyDescent="0.3">
      <c r="B65" s="581"/>
      <c r="C65" s="3030"/>
      <c r="D65" s="3031"/>
      <c r="E65" s="3034"/>
      <c r="F65" s="3035"/>
      <c r="G65" s="3036">
        <f>AK13+AK27+AK41+AK55</f>
        <v>96.95</v>
      </c>
      <c r="H65" s="3036"/>
      <c r="I65" s="3036"/>
      <c r="J65" s="3036">
        <f>AK14+AK28+AK42+AK56</f>
        <v>29.09</v>
      </c>
      <c r="K65" s="3036"/>
      <c r="L65" s="3036"/>
      <c r="M65" s="3036">
        <f>AK15+AK29+AK43+AK57</f>
        <v>25.21</v>
      </c>
      <c r="N65" s="3036"/>
      <c r="O65" s="3037"/>
      <c r="P65" s="3036">
        <f>J17+J31+J45+J59</f>
        <v>20.6</v>
      </c>
      <c r="Q65" s="3036"/>
      <c r="R65" s="3037"/>
      <c r="S65" s="3041"/>
      <c r="T65" s="3042"/>
      <c r="U65" s="3043"/>
      <c r="V65" s="3036">
        <f>J19+J33+J47+J61</f>
        <v>4.8499999999999996</v>
      </c>
      <c r="W65" s="3036"/>
      <c r="X65" s="3037"/>
      <c r="Y65" s="3036">
        <f>J20+J34+J48+J62</f>
        <v>0.66</v>
      </c>
      <c r="Z65" s="3036"/>
      <c r="AA65" s="3037"/>
      <c r="AB65" s="3047"/>
      <c r="AC65" s="3048"/>
      <c r="AD65" s="3048"/>
      <c r="AE65" s="3048"/>
      <c r="AF65" s="3048"/>
      <c r="AG65" s="3048"/>
      <c r="AH65" s="3048"/>
      <c r="AI65" s="3048"/>
      <c r="AJ65" s="3049"/>
      <c r="AK65" s="582"/>
    </row>
    <row r="66" spans="2:37" ht="18" customHeight="1" thickBot="1" x14ac:dyDescent="0.3">
      <c r="B66" s="603"/>
      <c r="C66" s="604"/>
      <c r="D66" s="604"/>
      <c r="E66" s="604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4"/>
      <c r="R66" s="604"/>
      <c r="S66" s="605"/>
      <c r="T66" s="605"/>
      <c r="U66" s="605"/>
      <c r="V66" s="605"/>
      <c r="W66" s="605"/>
      <c r="X66" s="605"/>
      <c r="Y66" s="605"/>
      <c r="Z66" s="605"/>
      <c r="AA66" s="605"/>
      <c r="AB66" s="605"/>
      <c r="AC66" s="605"/>
      <c r="AD66" s="605"/>
      <c r="AE66" s="605"/>
      <c r="AF66" s="605"/>
      <c r="AG66" s="605"/>
      <c r="AH66" s="605"/>
      <c r="AI66" s="605"/>
      <c r="AJ66" s="604"/>
      <c r="AK66" s="606"/>
    </row>
    <row r="67" spans="2:37" ht="15.75" thickTop="1" x14ac:dyDescent="0.25"/>
  </sheetData>
  <sheetProtection selectLockedCells="1"/>
  <mergeCells count="427">
    <mergeCell ref="C3:AJ3"/>
    <mergeCell ref="C4:AJ4"/>
    <mergeCell ref="C5:E5"/>
    <mergeCell ref="G5:W5"/>
    <mergeCell ref="X5:Z5"/>
    <mergeCell ref="AA5:AE5"/>
    <mergeCell ref="AF5:AH5"/>
    <mergeCell ref="AI5:AJ5"/>
    <mergeCell ref="C6:E6"/>
    <mergeCell ref="G6:R6"/>
    <mergeCell ref="T6:AJ6"/>
    <mergeCell ref="C7:AJ7"/>
    <mergeCell ref="C8:E8"/>
    <mergeCell ref="J8:K8"/>
    <mergeCell ref="N8:O8"/>
    <mergeCell ref="P8:S8"/>
    <mergeCell ref="T8:V8"/>
    <mergeCell ref="W8:Z8"/>
    <mergeCell ref="AA8:AD8"/>
    <mergeCell ref="AE8:AF8"/>
    <mergeCell ref="AG8:AJ8"/>
    <mergeCell ref="AM8:AP8"/>
    <mergeCell ref="AQ8:AT8"/>
    <mergeCell ref="C9:E9"/>
    <mergeCell ref="J9:K9"/>
    <mergeCell ref="L9:M9"/>
    <mergeCell ref="N9:O9"/>
    <mergeCell ref="P9:W9"/>
    <mergeCell ref="X9:Y9"/>
    <mergeCell ref="AM9:AP9"/>
    <mergeCell ref="AQ9:AT9"/>
    <mergeCell ref="C10:AJ10"/>
    <mergeCell ref="C11:D12"/>
    <mergeCell ref="E11:E12"/>
    <mergeCell ref="F11:F12"/>
    <mergeCell ref="G11:I11"/>
    <mergeCell ref="J11:K11"/>
    <mergeCell ref="L11:M11"/>
    <mergeCell ref="Z11:AA11"/>
    <mergeCell ref="AB11:AC11"/>
    <mergeCell ref="AD11:AE11"/>
    <mergeCell ref="AF11:AG11"/>
    <mergeCell ref="AH11:AJ11"/>
    <mergeCell ref="G12:I12"/>
    <mergeCell ref="AH12:AJ12"/>
    <mergeCell ref="N11:O11"/>
    <mergeCell ref="P11:Q11"/>
    <mergeCell ref="R11:S11"/>
    <mergeCell ref="T11:U11"/>
    <mergeCell ref="V11:W11"/>
    <mergeCell ref="X11:Y11"/>
    <mergeCell ref="AB13:AC13"/>
    <mergeCell ref="AD13:AE13"/>
    <mergeCell ref="AF13:AG13"/>
    <mergeCell ref="AH13:AJ13"/>
    <mergeCell ref="C14:D14"/>
    <mergeCell ref="G14:I14"/>
    <mergeCell ref="J14:K14"/>
    <mergeCell ref="L14:M14"/>
    <mergeCell ref="N14:O14"/>
    <mergeCell ref="P14:Q14"/>
    <mergeCell ref="P13:Q13"/>
    <mergeCell ref="R13:S13"/>
    <mergeCell ref="T13:U13"/>
    <mergeCell ref="V13:W13"/>
    <mergeCell ref="X13:Y13"/>
    <mergeCell ref="Z13:AA13"/>
    <mergeCell ref="C13:D13"/>
    <mergeCell ref="E13:F13"/>
    <mergeCell ref="G13:I13"/>
    <mergeCell ref="J13:K13"/>
    <mergeCell ref="L13:M13"/>
    <mergeCell ref="N13:O13"/>
    <mergeCell ref="AD14:AE14"/>
    <mergeCell ref="AF14:AG14"/>
    <mergeCell ref="AH14:AJ14"/>
    <mergeCell ref="C15:D15"/>
    <mergeCell ref="G15:I15"/>
    <mergeCell ref="J15:K15"/>
    <mergeCell ref="L15:M15"/>
    <mergeCell ref="N15:O15"/>
    <mergeCell ref="P15:Q15"/>
    <mergeCell ref="R15:S15"/>
    <mergeCell ref="R14:S14"/>
    <mergeCell ref="T14:U14"/>
    <mergeCell ref="V14:W14"/>
    <mergeCell ref="X14:Y14"/>
    <mergeCell ref="Z14:AA14"/>
    <mergeCell ref="AB14:AC14"/>
    <mergeCell ref="C17:D17"/>
    <mergeCell ref="E17:F17"/>
    <mergeCell ref="G17:I17"/>
    <mergeCell ref="J17:AJ17"/>
    <mergeCell ref="C18:AJ18"/>
    <mergeCell ref="C19:D19"/>
    <mergeCell ref="G19:I19"/>
    <mergeCell ref="J19:AJ19"/>
    <mergeCell ref="AF15:AG15"/>
    <mergeCell ref="AH15:AJ15"/>
    <mergeCell ref="C16:D16"/>
    <mergeCell ref="E16:F16"/>
    <mergeCell ref="G16:I16"/>
    <mergeCell ref="J16:AG16"/>
    <mergeCell ref="AH16:AJ16"/>
    <mergeCell ref="T15:U15"/>
    <mergeCell ref="V15:W15"/>
    <mergeCell ref="X15:Y15"/>
    <mergeCell ref="Z15:AA15"/>
    <mergeCell ref="AB15:AC15"/>
    <mergeCell ref="AD15:AE15"/>
    <mergeCell ref="C20:D20"/>
    <mergeCell ref="G20:I20"/>
    <mergeCell ref="J20:AJ20"/>
    <mergeCell ref="C21:AJ21"/>
    <mergeCell ref="C22:E22"/>
    <mergeCell ref="J22:K22"/>
    <mergeCell ref="N22:O22"/>
    <mergeCell ref="P22:S22"/>
    <mergeCell ref="T22:V22"/>
    <mergeCell ref="W22:Z22"/>
    <mergeCell ref="AA22:AD22"/>
    <mergeCell ref="AE22:AF22"/>
    <mergeCell ref="AG22:AJ22"/>
    <mergeCell ref="Z23:AH23"/>
    <mergeCell ref="C24:AJ24"/>
    <mergeCell ref="C25:D26"/>
    <mergeCell ref="E25:E26"/>
    <mergeCell ref="F25:F26"/>
    <mergeCell ref="G25:I25"/>
    <mergeCell ref="J25:K25"/>
    <mergeCell ref="L25:M25"/>
    <mergeCell ref="N25:O25"/>
    <mergeCell ref="P25:Q25"/>
    <mergeCell ref="R25:S25"/>
    <mergeCell ref="AF25:AG25"/>
    <mergeCell ref="AH25:AJ25"/>
    <mergeCell ref="G26:I26"/>
    <mergeCell ref="AH26:AJ26"/>
    <mergeCell ref="Z25:AA25"/>
    <mergeCell ref="AB25:AC25"/>
    <mergeCell ref="AD25:AE25"/>
    <mergeCell ref="T25:U25"/>
    <mergeCell ref="V25:W25"/>
    <mergeCell ref="X25:Y25"/>
    <mergeCell ref="C23:E23"/>
    <mergeCell ref="J23:K23"/>
    <mergeCell ref="L23:M23"/>
    <mergeCell ref="N23:O23"/>
    <mergeCell ref="P23:W23"/>
    <mergeCell ref="X23:Y23"/>
    <mergeCell ref="AH27:AJ27"/>
    <mergeCell ref="C28:D28"/>
    <mergeCell ref="G28:I28"/>
    <mergeCell ref="J28:K28"/>
    <mergeCell ref="L28:M28"/>
    <mergeCell ref="N28:O28"/>
    <mergeCell ref="P28:Q28"/>
    <mergeCell ref="P27:Q27"/>
    <mergeCell ref="R27:S27"/>
    <mergeCell ref="T27:U27"/>
    <mergeCell ref="V27:W27"/>
    <mergeCell ref="X27:Y27"/>
    <mergeCell ref="Z27:AA27"/>
    <mergeCell ref="AD28:AE28"/>
    <mergeCell ref="AF28:AG28"/>
    <mergeCell ref="AH28:AJ28"/>
    <mergeCell ref="V28:W28"/>
    <mergeCell ref="X28:Y28"/>
    <mergeCell ref="Z28:AA28"/>
    <mergeCell ref="AB28:AC28"/>
    <mergeCell ref="C27:D27"/>
    <mergeCell ref="AB27:AC27"/>
    <mergeCell ref="AD27:AE27"/>
    <mergeCell ref="AF27:AG27"/>
    <mergeCell ref="L27:M27"/>
    <mergeCell ref="N27:O27"/>
    <mergeCell ref="C31:D31"/>
    <mergeCell ref="E31:F31"/>
    <mergeCell ref="G31:I31"/>
    <mergeCell ref="J31:AJ31"/>
    <mergeCell ref="E27:F27"/>
    <mergeCell ref="G27:I27"/>
    <mergeCell ref="J27:K27"/>
    <mergeCell ref="L29:M29"/>
    <mergeCell ref="N29:O29"/>
    <mergeCell ref="P29:Q29"/>
    <mergeCell ref="R29:S29"/>
    <mergeCell ref="R28:S28"/>
    <mergeCell ref="T28:U28"/>
    <mergeCell ref="C32:AJ32"/>
    <mergeCell ref="C33:D33"/>
    <mergeCell ref="G33:I33"/>
    <mergeCell ref="J33:AJ33"/>
    <mergeCell ref="AF29:AG29"/>
    <mergeCell ref="AH29:AJ29"/>
    <mergeCell ref="C30:D30"/>
    <mergeCell ref="E30:F30"/>
    <mergeCell ref="G30:I30"/>
    <mergeCell ref="J30:AG30"/>
    <mergeCell ref="AH30:AJ30"/>
    <mergeCell ref="T29:U29"/>
    <mergeCell ref="V29:W29"/>
    <mergeCell ref="X29:Y29"/>
    <mergeCell ref="Z29:AA29"/>
    <mergeCell ref="AB29:AC29"/>
    <mergeCell ref="AD29:AE29"/>
    <mergeCell ref="C29:D29"/>
    <mergeCell ref="G29:I29"/>
    <mergeCell ref="J29:K29"/>
    <mergeCell ref="C34:D34"/>
    <mergeCell ref="G34:I34"/>
    <mergeCell ref="J34:AJ34"/>
    <mergeCell ref="C35:AJ35"/>
    <mergeCell ref="C36:E36"/>
    <mergeCell ref="J36:K36"/>
    <mergeCell ref="N36:O36"/>
    <mergeCell ref="P36:S36"/>
    <mergeCell ref="T36:V36"/>
    <mergeCell ref="W36:Z36"/>
    <mergeCell ref="AA36:AD36"/>
    <mergeCell ref="AE36:AF36"/>
    <mergeCell ref="AG36:AJ36"/>
    <mergeCell ref="Z37:AH37"/>
    <mergeCell ref="C38:AJ38"/>
    <mergeCell ref="C39:D40"/>
    <mergeCell ref="E39:E40"/>
    <mergeCell ref="F39:F40"/>
    <mergeCell ref="G39:I39"/>
    <mergeCell ref="J39:K39"/>
    <mergeCell ref="L39:M39"/>
    <mergeCell ref="N39:O39"/>
    <mergeCell ref="P39:Q39"/>
    <mergeCell ref="R39:S39"/>
    <mergeCell ref="AF39:AG39"/>
    <mergeCell ref="AH39:AJ39"/>
    <mergeCell ref="G40:I40"/>
    <mergeCell ref="AH40:AJ40"/>
    <mergeCell ref="Z39:AA39"/>
    <mergeCell ref="AB39:AC39"/>
    <mergeCell ref="AD39:AE39"/>
    <mergeCell ref="T39:U39"/>
    <mergeCell ref="V39:W39"/>
    <mergeCell ref="X39:Y39"/>
    <mergeCell ref="C37:E37"/>
    <mergeCell ref="J37:K37"/>
    <mergeCell ref="L37:M37"/>
    <mergeCell ref="N37:O37"/>
    <mergeCell ref="P37:W37"/>
    <mergeCell ref="X37:Y37"/>
    <mergeCell ref="AH41:AJ41"/>
    <mergeCell ref="C42:D42"/>
    <mergeCell ref="G42:I42"/>
    <mergeCell ref="J42:K42"/>
    <mergeCell ref="L42:M42"/>
    <mergeCell ref="N42:O42"/>
    <mergeCell ref="P42:Q42"/>
    <mergeCell ref="P41:Q41"/>
    <mergeCell ref="R41:S41"/>
    <mergeCell ref="T41:U41"/>
    <mergeCell ref="V41:W41"/>
    <mergeCell ref="X41:Y41"/>
    <mergeCell ref="Z41:AA41"/>
    <mergeCell ref="AD42:AE42"/>
    <mergeCell ref="AF42:AG42"/>
    <mergeCell ref="AH42:AJ42"/>
    <mergeCell ref="V42:W42"/>
    <mergeCell ref="X42:Y42"/>
    <mergeCell ref="Z42:AA42"/>
    <mergeCell ref="AB42:AC42"/>
    <mergeCell ref="C41:D41"/>
    <mergeCell ref="AB41:AC41"/>
    <mergeCell ref="AD41:AE41"/>
    <mergeCell ref="AF41:AG41"/>
    <mergeCell ref="L41:M41"/>
    <mergeCell ref="N41:O41"/>
    <mergeCell ref="C45:D45"/>
    <mergeCell ref="E45:F45"/>
    <mergeCell ref="G45:I45"/>
    <mergeCell ref="J45:AJ45"/>
    <mergeCell ref="E41:F41"/>
    <mergeCell ref="G41:I41"/>
    <mergeCell ref="J41:K41"/>
    <mergeCell ref="L43:M43"/>
    <mergeCell ref="N43:O43"/>
    <mergeCell ref="P43:Q43"/>
    <mergeCell ref="R43:S43"/>
    <mergeCell ref="R42:S42"/>
    <mergeCell ref="T42:U42"/>
    <mergeCell ref="C46:AJ46"/>
    <mergeCell ref="C47:D47"/>
    <mergeCell ref="G47:I47"/>
    <mergeCell ref="J47:AJ47"/>
    <mergeCell ref="AF43:AG43"/>
    <mergeCell ref="AH43:AJ43"/>
    <mergeCell ref="C44:D44"/>
    <mergeCell ref="E44:F44"/>
    <mergeCell ref="G44:I44"/>
    <mergeCell ref="J44:AG44"/>
    <mergeCell ref="AH44:AJ44"/>
    <mergeCell ref="T43:U43"/>
    <mergeCell ref="V43:W43"/>
    <mergeCell ref="X43:Y43"/>
    <mergeCell ref="Z43:AA43"/>
    <mergeCell ref="AB43:AC43"/>
    <mergeCell ref="AD43:AE43"/>
    <mergeCell ref="C43:D43"/>
    <mergeCell ref="G43:I43"/>
    <mergeCell ref="J43:K43"/>
    <mergeCell ref="AD53:AE53"/>
    <mergeCell ref="C48:D48"/>
    <mergeCell ref="G48:I48"/>
    <mergeCell ref="J48:AJ48"/>
    <mergeCell ref="C49:AJ49"/>
    <mergeCell ref="C50:E50"/>
    <mergeCell ref="J50:K50"/>
    <mergeCell ref="N50:O50"/>
    <mergeCell ref="P50:S50"/>
    <mergeCell ref="T50:V50"/>
    <mergeCell ref="W50:Z50"/>
    <mergeCell ref="AA50:AD50"/>
    <mergeCell ref="AE50:AF50"/>
    <mergeCell ref="AG50:AJ50"/>
    <mergeCell ref="AB55:AC55"/>
    <mergeCell ref="C51:E51"/>
    <mergeCell ref="J51:K51"/>
    <mergeCell ref="L51:M51"/>
    <mergeCell ref="N51:O51"/>
    <mergeCell ref="P51:W51"/>
    <mergeCell ref="X51:Y51"/>
    <mergeCell ref="Z51:AH51"/>
    <mergeCell ref="C52:AJ52"/>
    <mergeCell ref="C53:D54"/>
    <mergeCell ref="E53:E54"/>
    <mergeCell ref="F53:F54"/>
    <mergeCell ref="G53:I53"/>
    <mergeCell ref="J53:K53"/>
    <mergeCell ref="L53:M53"/>
    <mergeCell ref="N53:O53"/>
    <mergeCell ref="P53:Q53"/>
    <mergeCell ref="R53:S53"/>
    <mergeCell ref="AF53:AG53"/>
    <mergeCell ref="AH53:AJ53"/>
    <mergeCell ref="G54:I54"/>
    <mergeCell ref="AH54:AJ54"/>
    <mergeCell ref="Z53:AA53"/>
    <mergeCell ref="AB53:AC53"/>
    <mergeCell ref="G55:I55"/>
    <mergeCell ref="J55:K55"/>
    <mergeCell ref="L55:M55"/>
    <mergeCell ref="N55:O55"/>
    <mergeCell ref="T53:U53"/>
    <mergeCell ref="V53:W53"/>
    <mergeCell ref="X53:Y53"/>
    <mergeCell ref="R56:S56"/>
    <mergeCell ref="T56:U56"/>
    <mergeCell ref="AD55:AE55"/>
    <mergeCell ref="AF55:AG55"/>
    <mergeCell ref="AH55:AJ55"/>
    <mergeCell ref="C56:D56"/>
    <mergeCell ref="G56:I56"/>
    <mergeCell ref="J56:K56"/>
    <mergeCell ref="L56:M56"/>
    <mergeCell ref="N56:O56"/>
    <mergeCell ref="P56:Q56"/>
    <mergeCell ref="P55:Q55"/>
    <mergeCell ref="R55:S55"/>
    <mergeCell ref="T55:U55"/>
    <mergeCell ref="V55:W55"/>
    <mergeCell ref="X55:Y55"/>
    <mergeCell ref="Z55:AA55"/>
    <mergeCell ref="AD56:AE56"/>
    <mergeCell ref="AF56:AG56"/>
    <mergeCell ref="AH56:AJ56"/>
    <mergeCell ref="V56:W56"/>
    <mergeCell ref="X56:Y56"/>
    <mergeCell ref="Z56:AA56"/>
    <mergeCell ref="AB56:AC56"/>
    <mergeCell ref="C55:D55"/>
    <mergeCell ref="E55:F55"/>
    <mergeCell ref="J65:L65"/>
    <mergeCell ref="M64:O64"/>
    <mergeCell ref="C62:D62"/>
    <mergeCell ref="G62:I62"/>
    <mergeCell ref="AF57:AG57"/>
    <mergeCell ref="AH57:AJ57"/>
    <mergeCell ref="C58:D58"/>
    <mergeCell ref="E58:F58"/>
    <mergeCell ref="G58:I58"/>
    <mergeCell ref="J58:AG58"/>
    <mergeCell ref="AH58:AJ58"/>
    <mergeCell ref="T57:U57"/>
    <mergeCell ref="V57:W57"/>
    <mergeCell ref="X57:Y57"/>
    <mergeCell ref="Z57:AA57"/>
    <mergeCell ref="AB57:AC57"/>
    <mergeCell ref="AD57:AE57"/>
    <mergeCell ref="C57:D57"/>
    <mergeCell ref="G57:I57"/>
    <mergeCell ref="J57:K57"/>
    <mergeCell ref="L57:M57"/>
    <mergeCell ref="N57:O57"/>
    <mergeCell ref="P57:Q57"/>
    <mergeCell ref="R57:S57"/>
    <mergeCell ref="J62:AJ62"/>
    <mergeCell ref="C63:AJ63"/>
    <mergeCell ref="V64:X64"/>
    <mergeCell ref="Y64:AA64"/>
    <mergeCell ref="C59:D59"/>
    <mergeCell ref="E59:F59"/>
    <mergeCell ref="G59:I59"/>
    <mergeCell ref="J59:AJ59"/>
    <mergeCell ref="C60:AJ60"/>
    <mergeCell ref="C61:D61"/>
    <mergeCell ref="G61:I61"/>
    <mergeCell ref="J61:AJ61"/>
    <mergeCell ref="C64:D65"/>
    <mergeCell ref="E64:F65"/>
    <mergeCell ref="P65:R65"/>
    <mergeCell ref="S64:U65"/>
    <mergeCell ref="AB64:AJ65"/>
    <mergeCell ref="V65:X65"/>
    <mergeCell ref="Y65:AA65"/>
    <mergeCell ref="M65:O65"/>
    <mergeCell ref="P64:R64"/>
    <mergeCell ref="G64:I64"/>
    <mergeCell ref="G65:I65"/>
    <mergeCell ref="J64:L64"/>
  </mergeCells>
  <printOptions horizontalCentered="1"/>
  <pageMargins left="0.31496062992125984" right="0.31496062992125984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 sizeWithCells="1">
                  <from>
                    <xdr:col>26</xdr:col>
                    <xdr:colOff>152400</xdr:colOff>
                    <xdr:row>8</xdr:row>
                    <xdr:rowOff>19050</xdr:rowOff>
                  </from>
                  <to>
                    <xdr:col>29</xdr:col>
                    <xdr:colOff>123825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 sizeWithCells="1">
                  <from>
                    <xdr:col>30</xdr:col>
                    <xdr:colOff>152400</xdr:colOff>
                    <xdr:row>8</xdr:row>
                    <xdr:rowOff>19050</xdr:rowOff>
                  </from>
                  <to>
                    <xdr:col>33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2:AR128"/>
  <sheetViews>
    <sheetView showGridLines="0" showRowColHeaders="0" topLeftCell="F1" zoomScale="90" zoomScaleNormal="90" workbookViewId="0">
      <selection activeCell="G6" sqref="G6:Q6"/>
    </sheetView>
  </sheetViews>
  <sheetFormatPr defaultColWidth="3.28515625" defaultRowHeight="15" customHeight="1" x14ac:dyDescent="0.25"/>
  <cols>
    <col min="1" max="2" width="3.28515625" style="38"/>
    <col min="3" max="4" width="3.28515625" style="39"/>
    <col min="5" max="21" width="3.28515625" style="38"/>
    <col min="22" max="22" width="5.42578125" style="38" bestFit="1" customWidth="1"/>
    <col min="23" max="23" width="3.28515625" style="38"/>
    <col min="24" max="24" width="5.42578125" style="38" bestFit="1" customWidth="1"/>
    <col min="25" max="39" width="3.28515625" style="38"/>
    <col min="40" max="40" width="5.42578125" style="38" bestFit="1" customWidth="1"/>
    <col min="41" max="41" width="4.85546875" style="38" bestFit="1" customWidth="1"/>
    <col min="42" max="42" width="3.28515625" style="38"/>
    <col min="43" max="43" width="4.85546875" style="38" bestFit="1" customWidth="1"/>
    <col min="44" max="16384" width="3.28515625" style="38"/>
  </cols>
  <sheetData>
    <row r="2" spans="2:44" ht="15" customHeight="1" thickBot="1" x14ac:dyDescent="0.3"/>
    <row r="3" spans="2:44" ht="15" customHeight="1" thickTop="1" thickBot="1" x14ac:dyDescent="0.3">
      <c r="B3" s="3212"/>
      <c r="C3" s="3213"/>
      <c r="D3" s="3213"/>
      <c r="E3" s="3213"/>
      <c r="F3" s="3213"/>
      <c r="G3" s="3213"/>
      <c r="H3" s="3213"/>
      <c r="I3" s="3213"/>
      <c r="J3" s="3213"/>
      <c r="K3" s="3213"/>
      <c r="L3" s="3213"/>
      <c r="M3" s="3213"/>
      <c r="N3" s="3213"/>
      <c r="O3" s="3213"/>
      <c r="P3" s="3213"/>
      <c r="Q3" s="3213"/>
      <c r="R3" s="3213"/>
      <c r="S3" s="3213"/>
      <c r="T3" s="3213"/>
      <c r="U3" s="3213"/>
      <c r="V3" s="3213"/>
      <c r="W3" s="3213"/>
      <c r="X3" s="3213"/>
      <c r="Y3" s="3213"/>
      <c r="Z3" s="3213"/>
      <c r="AA3" s="3213"/>
      <c r="AB3" s="3213"/>
      <c r="AC3" s="3213"/>
      <c r="AD3" s="3213"/>
      <c r="AE3" s="3213"/>
      <c r="AF3" s="3213"/>
      <c r="AG3" s="3213"/>
      <c r="AH3" s="3213"/>
      <c r="AI3" s="3213"/>
      <c r="AJ3" s="3213"/>
      <c r="AK3" s="3213"/>
      <c r="AL3" s="3213"/>
      <c r="AM3" s="3213"/>
      <c r="AN3" s="3213"/>
      <c r="AO3" s="3213"/>
      <c r="AP3" s="3213"/>
      <c r="AQ3" s="3213"/>
      <c r="AR3" s="3214"/>
    </row>
    <row r="4" spans="2:44" ht="15" customHeight="1" x14ac:dyDescent="0.25">
      <c r="B4" s="3215"/>
      <c r="C4" s="3322"/>
      <c r="D4" s="3323"/>
      <c r="E4" s="3230" t="s">
        <v>345</v>
      </c>
      <c r="F4" s="3231"/>
      <c r="G4" s="3231"/>
      <c r="H4" s="3231"/>
      <c r="I4" s="3231"/>
      <c r="J4" s="3231"/>
      <c r="K4" s="3231"/>
      <c r="L4" s="3231"/>
      <c r="M4" s="3231"/>
      <c r="N4" s="3231"/>
      <c r="O4" s="3231"/>
      <c r="P4" s="3231"/>
      <c r="Q4" s="3235" t="s">
        <v>338</v>
      </c>
      <c r="R4" s="3235"/>
      <c r="S4" s="3235"/>
      <c r="T4" s="3235"/>
      <c r="U4" s="3235"/>
      <c r="V4" s="3235"/>
      <c r="W4" s="3235"/>
      <c r="X4" s="3235"/>
      <c r="Y4" s="3235"/>
      <c r="Z4" s="3235"/>
      <c r="AA4" s="3235"/>
      <c r="AB4" s="3235"/>
      <c r="AC4" s="3235"/>
      <c r="AD4" s="3235"/>
      <c r="AE4" s="3236"/>
      <c r="AF4" s="3299"/>
      <c r="AG4" s="3300"/>
      <c r="AH4" s="3300"/>
      <c r="AI4" s="3300"/>
      <c r="AJ4" s="3300"/>
      <c r="AK4" s="3300"/>
      <c r="AL4" s="3301"/>
      <c r="AM4" s="3210" t="s">
        <v>340</v>
      </c>
      <c r="AN4" s="3211"/>
      <c r="AO4" s="112">
        <v>1</v>
      </c>
      <c r="AP4" s="113" t="s">
        <v>339</v>
      </c>
      <c r="AQ4" s="114">
        <v>1</v>
      </c>
      <c r="AR4" s="3217"/>
    </row>
    <row r="5" spans="2:44" ht="15" customHeight="1" x14ac:dyDescent="0.25">
      <c r="B5" s="3216"/>
      <c r="C5" s="3324"/>
      <c r="D5" s="3325"/>
      <c r="E5" s="3232" t="s">
        <v>343</v>
      </c>
      <c r="F5" s="3233"/>
      <c r="G5" s="3233"/>
      <c r="H5" s="3233"/>
      <c r="I5" s="3233"/>
      <c r="J5" s="3233"/>
      <c r="K5" s="3233"/>
      <c r="L5" s="3233"/>
      <c r="M5" s="3233"/>
      <c r="N5" s="3233"/>
      <c r="O5" s="3233"/>
      <c r="P5" s="3233"/>
      <c r="Q5" s="3222" t="s">
        <v>341</v>
      </c>
      <c r="R5" s="3222"/>
      <c r="S5" s="3222"/>
      <c r="T5" s="3222"/>
      <c r="U5" s="3222"/>
      <c r="V5" s="3222"/>
      <c r="W5" s="3222"/>
      <c r="X5" s="3222"/>
      <c r="Y5" s="3222"/>
      <c r="Z5" s="3222"/>
      <c r="AA5" s="3222"/>
      <c r="AB5" s="3222"/>
      <c r="AC5" s="3222"/>
      <c r="AD5" s="3222"/>
      <c r="AE5" s="3234"/>
      <c r="AF5" s="3221"/>
      <c r="AG5" s="3222"/>
      <c r="AH5" s="3222"/>
      <c r="AI5" s="3222"/>
      <c r="AJ5" s="3222"/>
      <c r="AK5" s="3222"/>
      <c r="AL5" s="3222"/>
      <c r="AM5" s="3222"/>
      <c r="AN5" s="3222"/>
      <c r="AO5" s="3222"/>
      <c r="AP5" s="3222"/>
      <c r="AQ5" s="3223"/>
      <c r="AR5" s="3218"/>
    </row>
    <row r="6" spans="2:44" ht="15" customHeight="1" x14ac:dyDescent="0.25">
      <c r="B6" s="3216"/>
      <c r="C6" s="3328" t="s">
        <v>342</v>
      </c>
      <c r="D6" s="3329"/>
      <c r="E6" s="3329"/>
      <c r="F6" s="3329"/>
      <c r="G6" s="3329"/>
      <c r="H6" s="3329"/>
      <c r="I6" s="3329"/>
      <c r="J6" s="3329"/>
      <c r="K6" s="3329"/>
      <c r="L6" s="3329"/>
      <c r="M6" s="3329"/>
      <c r="N6" s="3329"/>
      <c r="O6" s="3329"/>
      <c r="P6" s="3329"/>
      <c r="Q6" s="3329"/>
      <c r="R6" s="3329"/>
      <c r="S6" s="3329"/>
      <c r="T6" s="3329"/>
      <c r="U6" s="3329"/>
      <c r="V6" s="3329"/>
      <c r="W6" s="3329"/>
      <c r="X6" s="3329"/>
      <c r="Y6" s="3329"/>
      <c r="Z6" s="3329"/>
      <c r="AA6" s="3329"/>
      <c r="AB6" s="3329"/>
      <c r="AC6" s="3329"/>
      <c r="AD6" s="3329"/>
      <c r="AE6" s="3329"/>
      <c r="AF6" s="3329"/>
      <c r="AG6" s="3329"/>
      <c r="AH6" s="3329"/>
      <c r="AI6" s="3329"/>
      <c r="AJ6" s="3329"/>
      <c r="AK6" s="3329"/>
      <c r="AL6" s="3329"/>
      <c r="AM6" s="3329"/>
      <c r="AN6" s="3329"/>
      <c r="AO6" s="3329"/>
      <c r="AP6" s="3329"/>
      <c r="AQ6" s="3330"/>
      <c r="AR6" s="3218"/>
    </row>
    <row r="7" spans="2:44" ht="15" customHeight="1" x14ac:dyDescent="0.25">
      <c r="B7" s="3216"/>
      <c r="C7" s="3224" t="s">
        <v>344</v>
      </c>
      <c r="D7" s="3225"/>
      <c r="E7" s="3225"/>
      <c r="F7" s="3225"/>
      <c r="G7" s="3226"/>
      <c r="H7" s="3227" t="str">
        <f>Geral!I8</f>
        <v>Uberaba</v>
      </c>
      <c r="I7" s="3228"/>
      <c r="J7" s="3228"/>
      <c r="K7" s="3228"/>
      <c r="L7" s="3228"/>
      <c r="M7" s="3228"/>
      <c r="N7" s="3228"/>
      <c r="O7" s="3228"/>
      <c r="P7" s="3228"/>
      <c r="Q7" s="3228"/>
      <c r="R7" s="3228"/>
      <c r="S7" s="3228"/>
      <c r="T7" s="3228"/>
      <c r="U7" s="3228"/>
      <c r="V7" s="3228"/>
      <c r="W7" s="3229"/>
      <c r="X7" s="3221"/>
      <c r="Y7" s="3222"/>
      <c r="Z7" s="3222"/>
      <c r="AA7" s="3222"/>
      <c r="AB7" s="3222"/>
      <c r="AC7" s="3222"/>
      <c r="AD7" s="3222"/>
      <c r="AE7" s="3222"/>
      <c r="AF7" s="3222"/>
      <c r="AG7" s="3222"/>
      <c r="AH7" s="3222"/>
      <c r="AI7" s="3222"/>
      <c r="AJ7" s="3222"/>
      <c r="AK7" s="3222"/>
      <c r="AL7" s="3222"/>
      <c r="AM7" s="3234"/>
      <c r="AN7" s="115">
        <v>7</v>
      </c>
      <c r="AO7" s="116" t="s">
        <v>339</v>
      </c>
      <c r="AP7" s="3219">
        <v>2017</v>
      </c>
      <c r="AQ7" s="3220"/>
      <c r="AR7" s="3218"/>
    </row>
    <row r="8" spans="2:44" ht="3.95" customHeight="1" x14ac:dyDescent="0.25">
      <c r="B8" s="3216"/>
      <c r="C8" s="3309"/>
      <c r="D8" s="3222"/>
      <c r="E8" s="3222"/>
      <c r="F8" s="3222"/>
      <c r="G8" s="3222"/>
      <c r="H8" s="3222"/>
      <c r="I8" s="3222"/>
      <c r="J8" s="3222"/>
      <c r="K8" s="3222"/>
      <c r="L8" s="3222"/>
      <c r="M8" s="3222"/>
      <c r="N8" s="3222"/>
      <c r="O8" s="3222"/>
      <c r="P8" s="3222"/>
      <c r="Q8" s="3222"/>
      <c r="R8" s="3222"/>
      <c r="S8" s="3222"/>
      <c r="T8" s="3222"/>
      <c r="U8" s="3222"/>
      <c r="V8" s="3222"/>
      <c r="W8" s="3222"/>
      <c r="X8" s="3222"/>
      <c r="Y8" s="3222"/>
      <c r="Z8" s="3222"/>
      <c r="AA8" s="3222"/>
      <c r="AB8" s="3222"/>
      <c r="AC8" s="3222"/>
      <c r="AD8" s="3222"/>
      <c r="AE8" s="3222"/>
      <c r="AF8" s="3222"/>
      <c r="AG8" s="3222"/>
      <c r="AH8" s="3222"/>
      <c r="AI8" s="3222"/>
      <c r="AJ8" s="3222"/>
      <c r="AK8" s="3222"/>
      <c r="AL8" s="3222"/>
      <c r="AM8" s="3222"/>
      <c r="AN8" s="3222"/>
      <c r="AO8" s="3222"/>
      <c r="AP8" s="3222"/>
      <c r="AQ8" s="3223"/>
      <c r="AR8" s="3218"/>
    </row>
    <row r="9" spans="2:44" s="96" customFormat="1" ht="14.1" customHeight="1" x14ac:dyDescent="0.25">
      <c r="B9" s="3216"/>
      <c r="C9" s="3257" t="str">
        <f>IF(ISERROR(VLOOKUP(Y9,Escolas!C5:K269,3,FALSE)),"",VLOOKUP(Y9,Escolas!C5:K269,3,FALSE))</f>
        <v>E.E. Alysson Roberto Bruno</v>
      </c>
      <c r="D9" s="3258"/>
      <c r="E9" s="3258"/>
      <c r="F9" s="3258"/>
      <c r="G9" s="3258"/>
      <c r="H9" s="3258"/>
      <c r="I9" s="3258"/>
      <c r="J9" s="3258"/>
      <c r="K9" s="3258"/>
      <c r="L9" s="3258"/>
      <c r="M9" s="3258"/>
      <c r="N9" s="3258"/>
      <c r="O9" s="3258"/>
      <c r="P9" s="3258"/>
      <c r="Q9" s="3258"/>
      <c r="R9" s="3258"/>
      <c r="S9" s="3259"/>
      <c r="T9" s="3221" t="s">
        <v>376</v>
      </c>
      <c r="U9" s="3222"/>
      <c r="V9" s="3222"/>
      <c r="W9" s="3234"/>
      <c r="X9" s="117">
        <f>IF(Y9&lt;100,4,5)</f>
        <v>5</v>
      </c>
      <c r="Y9" s="3260">
        <v>159417</v>
      </c>
      <c r="Z9" s="3261"/>
      <c r="AA9" s="3261"/>
      <c r="AB9" s="3313"/>
      <c r="AC9" s="3313"/>
      <c r="AD9" s="3314"/>
      <c r="AE9" s="3240" t="s">
        <v>377</v>
      </c>
      <c r="AF9" s="3241"/>
      <c r="AG9" s="3241"/>
      <c r="AH9" s="3241"/>
      <c r="AI9" s="3242"/>
      <c r="AJ9" s="3232" t="str">
        <f>IF(ISERROR(VLOOKUP(Y9,Escolas!C5:K269,7,FALSE)),"",VLOOKUP(Y9,Escolas!C5:K269,7,FALSE))</f>
        <v>Planura</v>
      </c>
      <c r="AK9" s="3233"/>
      <c r="AL9" s="3233"/>
      <c r="AM9" s="3233"/>
      <c r="AN9" s="3233"/>
      <c r="AO9" s="3233"/>
      <c r="AP9" s="3233"/>
      <c r="AQ9" s="3239"/>
      <c r="AR9" s="3218"/>
    </row>
    <row r="10" spans="2:44" ht="2.1" customHeight="1" x14ac:dyDescent="0.25">
      <c r="B10" s="3216"/>
      <c r="C10" s="3309"/>
      <c r="D10" s="3222"/>
      <c r="E10" s="3222"/>
      <c r="F10" s="3222"/>
      <c r="G10" s="3222"/>
      <c r="H10" s="3222"/>
      <c r="I10" s="3222"/>
      <c r="J10" s="3222"/>
      <c r="K10" s="3222"/>
      <c r="L10" s="3222"/>
      <c r="M10" s="3222"/>
      <c r="N10" s="3222"/>
      <c r="O10" s="3222"/>
      <c r="P10" s="3222"/>
      <c r="Q10" s="3222"/>
      <c r="R10" s="3222"/>
      <c r="S10" s="3222"/>
      <c r="T10" s="3222"/>
      <c r="U10" s="3222"/>
      <c r="V10" s="3222"/>
      <c r="W10" s="3222"/>
      <c r="X10" s="3222"/>
      <c r="Y10" s="3222"/>
      <c r="Z10" s="3222"/>
      <c r="AA10" s="3222"/>
      <c r="AB10" s="3222"/>
      <c r="AC10" s="3222"/>
      <c r="AD10" s="3222"/>
      <c r="AE10" s="3222"/>
      <c r="AF10" s="3222"/>
      <c r="AG10" s="3222"/>
      <c r="AH10" s="3222"/>
      <c r="AI10" s="3222"/>
      <c r="AJ10" s="3222"/>
      <c r="AK10" s="3222"/>
      <c r="AL10" s="3222"/>
      <c r="AM10" s="3222"/>
      <c r="AN10" s="3222"/>
      <c r="AO10" s="3222"/>
      <c r="AP10" s="3222"/>
      <c r="AQ10" s="3223"/>
      <c r="AR10" s="3218"/>
    </row>
    <row r="11" spans="2:44" ht="15.95" customHeight="1" x14ac:dyDescent="0.25">
      <c r="B11" s="3216"/>
      <c r="C11" s="3243" t="s">
        <v>378</v>
      </c>
      <c r="D11" s="3244"/>
      <c r="E11" s="3244"/>
      <c r="F11" s="3244"/>
      <c r="G11" s="3244"/>
      <c r="H11" s="3244"/>
      <c r="I11" s="3244"/>
      <c r="J11" s="3244"/>
      <c r="K11" s="3244"/>
      <c r="L11" s="3244"/>
      <c r="M11" s="3244"/>
      <c r="N11" s="3244"/>
      <c r="O11" s="3244"/>
      <c r="P11" s="3244"/>
      <c r="Q11" s="3244"/>
      <c r="R11" s="3244"/>
      <c r="S11" s="3244"/>
      <c r="T11" s="3244"/>
      <c r="U11" s="3244"/>
      <c r="V11" s="3244"/>
      <c r="W11" s="3244"/>
      <c r="X11" s="3244"/>
      <c r="Y11" s="3244"/>
      <c r="Z11" s="3244"/>
      <c r="AA11" s="3244"/>
      <c r="AB11" s="3244"/>
      <c r="AC11" s="3244"/>
      <c r="AD11" s="3244"/>
      <c r="AE11" s="3244"/>
      <c r="AF11" s="3244"/>
      <c r="AG11" s="3244"/>
      <c r="AH11" s="3244"/>
      <c r="AI11" s="3244"/>
      <c r="AJ11" s="3244"/>
      <c r="AK11" s="3244"/>
      <c r="AL11" s="3244"/>
      <c r="AM11" s="3244"/>
      <c r="AN11" s="3244"/>
      <c r="AO11" s="3244"/>
      <c r="AP11" s="3244"/>
      <c r="AQ11" s="3245"/>
      <c r="AR11" s="3218"/>
    </row>
    <row r="12" spans="2:44" ht="15.95" customHeight="1" x14ac:dyDescent="0.25">
      <c r="B12" s="3216"/>
      <c r="C12" s="3246"/>
      <c r="D12" s="3247"/>
      <c r="E12" s="3247"/>
      <c r="F12" s="3247"/>
      <c r="G12" s="3247"/>
      <c r="H12" s="3247"/>
      <c r="I12" s="3247"/>
      <c r="J12" s="3247"/>
      <c r="K12" s="3247"/>
      <c r="L12" s="3247"/>
      <c r="M12" s="3247"/>
      <c r="N12" s="3247"/>
      <c r="O12" s="3247"/>
      <c r="P12" s="3247"/>
      <c r="Q12" s="3247"/>
      <c r="R12" s="3247"/>
      <c r="S12" s="3247"/>
      <c r="T12" s="3247"/>
      <c r="U12" s="3247"/>
      <c r="V12" s="3247"/>
      <c r="W12" s="3247"/>
      <c r="X12" s="3247"/>
      <c r="Y12" s="3247"/>
      <c r="Z12" s="3247"/>
      <c r="AA12" s="3247"/>
      <c r="AB12" s="3247"/>
      <c r="AC12" s="3247"/>
      <c r="AD12" s="3247"/>
      <c r="AE12" s="3247"/>
      <c r="AF12" s="3247"/>
      <c r="AG12" s="3247"/>
      <c r="AH12" s="3247"/>
      <c r="AI12" s="3247"/>
      <c r="AJ12" s="3247"/>
      <c r="AK12" s="3247"/>
      <c r="AL12" s="3247"/>
      <c r="AM12" s="3247"/>
      <c r="AN12" s="3247"/>
      <c r="AO12" s="3247"/>
      <c r="AP12" s="3247"/>
      <c r="AQ12" s="3248"/>
      <c r="AR12" s="3218"/>
    </row>
    <row r="13" spans="2:44" ht="2.1" customHeight="1" x14ac:dyDescent="0.25">
      <c r="B13" s="3216"/>
      <c r="C13" s="3254"/>
      <c r="D13" s="3255"/>
      <c r="E13" s="3255"/>
      <c r="F13" s="3255"/>
      <c r="G13" s="3255"/>
      <c r="H13" s="3255"/>
      <c r="I13" s="3255"/>
      <c r="J13" s="3255"/>
      <c r="K13" s="3255"/>
      <c r="L13" s="3255"/>
      <c r="M13" s="3255"/>
      <c r="N13" s="3255"/>
      <c r="O13" s="3255"/>
      <c r="P13" s="3255"/>
      <c r="Q13" s="3255"/>
      <c r="R13" s="3255"/>
      <c r="S13" s="3255"/>
      <c r="T13" s="3255"/>
      <c r="U13" s="3255"/>
      <c r="V13" s="3255"/>
      <c r="W13" s="3255"/>
      <c r="X13" s="3255"/>
      <c r="Y13" s="3255"/>
      <c r="Z13" s="3255"/>
      <c r="AA13" s="3255"/>
      <c r="AB13" s="3255"/>
      <c r="AC13" s="3255"/>
      <c r="AD13" s="3255"/>
      <c r="AE13" s="3255"/>
      <c r="AF13" s="3255"/>
      <c r="AG13" s="3255"/>
      <c r="AH13" s="3255"/>
      <c r="AI13" s="3255"/>
      <c r="AJ13" s="3255"/>
      <c r="AK13" s="3255"/>
      <c r="AL13" s="3255"/>
      <c r="AM13" s="3255"/>
      <c r="AN13" s="3255"/>
      <c r="AO13" s="3255"/>
      <c r="AP13" s="3255"/>
      <c r="AQ13" s="3256"/>
      <c r="AR13" s="3218"/>
    </row>
    <row r="14" spans="2:44" ht="15" customHeight="1" x14ac:dyDescent="0.25">
      <c r="B14" s="3216"/>
      <c r="C14" s="3309"/>
      <c r="D14" s="3222"/>
      <c r="E14" s="3222"/>
      <c r="F14" s="3222"/>
      <c r="G14" s="3222"/>
      <c r="H14" s="3222"/>
      <c r="I14" s="3222"/>
      <c r="J14" s="3222"/>
      <c r="K14" s="3222"/>
      <c r="L14" s="3222"/>
      <c r="M14" s="3222"/>
      <c r="N14" s="3222"/>
      <c r="O14" s="3222"/>
      <c r="P14" s="3234"/>
      <c r="Q14" s="3249" t="s">
        <v>379</v>
      </c>
      <c r="R14" s="3250"/>
      <c r="S14" s="3250"/>
      <c r="T14" s="3250"/>
      <c r="U14" s="3251"/>
      <c r="V14" s="119"/>
      <c r="W14" s="118" t="s">
        <v>339</v>
      </c>
      <c r="X14" s="119"/>
      <c r="Y14" s="118" t="s">
        <v>339</v>
      </c>
      <c r="Z14" s="3252"/>
      <c r="AA14" s="3253"/>
      <c r="AB14" s="3310"/>
      <c r="AC14" s="3311"/>
      <c r="AD14" s="3311"/>
      <c r="AE14" s="3311"/>
      <c r="AF14" s="3311"/>
      <c r="AG14" s="3311"/>
      <c r="AH14" s="3311"/>
      <c r="AI14" s="3311"/>
      <c r="AJ14" s="3311"/>
      <c r="AK14" s="3311"/>
      <c r="AL14" s="3311"/>
      <c r="AM14" s="3311"/>
      <c r="AN14" s="3311"/>
      <c r="AO14" s="3311"/>
      <c r="AP14" s="3311"/>
      <c r="AQ14" s="3312"/>
      <c r="AR14" s="3218"/>
    </row>
    <row r="15" spans="2:44" ht="2.1" customHeight="1" thickBot="1" x14ac:dyDescent="0.3">
      <c r="B15" s="3216"/>
      <c r="C15" s="3315"/>
      <c r="D15" s="3316"/>
      <c r="E15" s="3316"/>
      <c r="F15" s="3316"/>
      <c r="G15" s="3316"/>
      <c r="H15" s="3316"/>
      <c r="I15" s="3316"/>
      <c r="J15" s="3316"/>
      <c r="K15" s="3316"/>
      <c r="L15" s="3316"/>
      <c r="M15" s="3316"/>
      <c r="N15" s="3316"/>
      <c r="O15" s="3316"/>
      <c r="P15" s="3316"/>
      <c r="Q15" s="3316"/>
      <c r="R15" s="3316"/>
      <c r="S15" s="3316"/>
      <c r="T15" s="3316"/>
      <c r="U15" s="3316"/>
      <c r="V15" s="3316"/>
      <c r="W15" s="3316"/>
      <c r="X15" s="3316"/>
      <c r="Y15" s="3316"/>
      <c r="Z15" s="3316"/>
      <c r="AA15" s="3316"/>
      <c r="AB15" s="3316"/>
      <c r="AC15" s="3316"/>
      <c r="AD15" s="3316"/>
      <c r="AE15" s="3316"/>
      <c r="AF15" s="3316"/>
      <c r="AG15" s="3316"/>
      <c r="AH15" s="3316"/>
      <c r="AI15" s="3316"/>
      <c r="AJ15" s="3316"/>
      <c r="AK15" s="3316"/>
      <c r="AL15" s="3316"/>
      <c r="AM15" s="3316"/>
      <c r="AN15" s="3316"/>
      <c r="AO15" s="3316"/>
      <c r="AP15" s="3316"/>
      <c r="AQ15" s="3317"/>
      <c r="AR15" s="3218"/>
    </row>
    <row r="16" spans="2:44" ht="15" customHeight="1" thickBot="1" x14ac:dyDescent="0.3">
      <c r="B16" s="3216"/>
      <c r="C16" s="3237" t="s">
        <v>13</v>
      </c>
      <c r="D16" s="3238"/>
      <c r="E16" s="3238"/>
      <c r="F16" s="3238"/>
      <c r="G16" s="3238" t="s">
        <v>380</v>
      </c>
      <c r="H16" s="3238"/>
      <c r="I16" s="3238"/>
      <c r="J16" s="3275" t="s">
        <v>381</v>
      </c>
      <c r="K16" s="3275"/>
      <c r="L16" s="3275"/>
      <c r="M16" s="3275"/>
      <c r="N16" s="3275"/>
      <c r="O16" s="3275"/>
      <c r="P16" s="3275"/>
      <c r="Q16" s="3275"/>
      <c r="R16" s="3275"/>
      <c r="S16" s="3275"/>
      <c r="T16" s="3275"/>
      <c r="U16" s="3275"/>
      <c r="V16" s="3275"/>
      <c r="W16" s="3275"/>
      <c r="X16" s="3275" t="s">
        <v>347</v>
      </c>
      <c r="Y16" s="3275"/>
      <c r="Z16" s="3275"/>
      <c r="AA16" s="3275" t="s">
        <v>382</v>
      </c>
      <c r="AB16" s="3275"/>
      <c r="AC16" s="3275"/>
      <c r="AD16" s="3275"/>
      <c r="AE16" s="3275"/>
      <c r="AF16" s="3275"/>
      <c r="AG16" s="3275"/>
      <c r="AH16" s="3275"/>
      <c r="AI16" s="3275"/>
      <c r="AJ16" s="3275"/>
      <c r="AK16" s="3275"/>
      <c r="AL16" s="3275"/>
      <c r="AM16" s="3275"/>
      <c r="AN16" s="3275"/>
      <c r="AO16" s="3275"/>
      <c r="AP16" s="3275"/>
      <c r="AQ16" s="3276"/>
      <c r="AR16" s="3218"/>
    </row>
    <row r="17" spans="2:44" ht="15.95" customHeight="1" x14ac:dyDescent="0.25">
      <c r="B17" s="3216"/>
      <c r="C17" s="3197">
        <v>14398317</v>
      </c>
      <c r="D17" s="3198"/>
      <c r="E17" s="3198"/>
      <c r="F17" s="3198"/>
      <c r="G17" s="3269">
        <v>1</v>
      </c>
      <c r="H17" s="3269"/>
      <c r="I17" s="3269"/>
      <c r="J17" s="3272" t="s">
        <v>9407</v>
      </c>
      <c r="K17" s="3272"/>
      <c r="L17" s="3272"/>
      <c r="M17" s="3272"/>
      <c r="N17" s="3272"/>
      <c r="O17" s="3272"/>
      <c r="P17" s="3272"/>
      <c r="Q17" s="3272"/>
      <c r="R17" s="3272"/>
      <c r="S17" s="3272"/>
      <c r="T17" s="3272"/>
      <c r="U17" s="3272"/>
      <c r="V17" s="3272"/>
      <c r="W17" s="3272"/>
      <c r="X17" s="3277" t="s">
        <v>7983</v>
      </c>
      <c r="Y17" s="3277"/>
      <c r="Z17" s="3277"/>
      <c r="AA17" s="3203" t="s">
        <v>9408</v>
      </c>
      <c r="AB17" s="3204"/>
      <c r="AC17" s="3204"/>
      <c r="AD17" s="3204"/>
      <c r="AE17" s="3204"/>
      <c r="AF17" s="3204"/>
      <c r="AG17" s="3204"/>
      <c r="AH17" s="3204"/>
      <c r="AI17" s="3204"/>
      <c r="AJ17" s="3204"/>
      <c r="AK17" s="3204"/>
      <c r="AL17" s="3204"/>
      <c r="AM17" s="3204"/>
      <c r="AN17" s="3204"/>
      <c r="AO17" s="3204"/>
      <c r="AP17" s="3204"/>
      <c r="AQ17" s="3205"/>
      <c r="AR17" s="3218"/>
    </row>
    <row r="18" spans="2:44" ht="15.95" customHeight="1" x14ac:dyDescent="0.25">
      <c r="B18" s="3216"/>
      <c r="C18" s="3199"/>
      <c r="D18" s="3200"/>
      <c r="E18" s="3200"/>
      <c r="F18" s="3200"/>
      <c r="G18" s="3270"/>
      <c r="H18" s="3270"/>
      <c r="I18" s="3270"/>
      <c r="J18" s="3273"/>
      <c r="K18" s="3273"/>
      <c r="L18" s="3273"/>
      <c r="M18" s="3273"/>
      <c r="N18" s="3273"/>
      <c r="O18" s="3273"/>
      <c r="P18" s="3273"/>
      <c r="Q18" s="3273"/>
      <c r="R18" s="3273"/>
      <c r="S18" s="3273"/>
      <c r="T18" s="3273"/>
      <c r="U18" s="3273"/>
      <c r="V18" s="3273"/>
      <c r="W18" s="3273"/>
      <c r="X18" s="3278"/>
      <c r="Y18" s="3278"/>
      <c r="Z18" s="3278"/>
      <c r="AA18" s="3206"/>
      <c r="AB18" s="3206"/>
      <c r="AC18" s="3206"/>
      <c r="AD18" s="3206"/>
      <c r="AE18" s="3206"/>
      <c r="AF18" s="3206"/>
      <c r="AG18" s="3206"/>
      <c r="AH18" s="3206"/>
      <c r="AI18" s="3206"/>
      <c r="AJ18" s="3206"/>
      <c r="AK18" s="3206"/>
      <c r="AL18" s="3206"/>
      <c r="AM18" s="3206"/>
      <c r="AN18" s="3206"/>
      <c r="AO18" s="3206"/>
      <c r="AP18" s="3206"/>
      <c r="AQ18" s="3207"/>
      <c r="AR18" s="3218"/>
    </row>
    <row r="19" spans="2:44" ht="15.95" customHeight="1" x14ac:dyDescent="0.25">
      <c r="B19" s="3216"/>
      <c r="C19" s="3199"/>
      <c r="D19" s="3200"/>
      <c r="E19" s="3200"/>
      <c r="F19" s="3200"/>
      <c r="G19" s="3270"/>
      <c r="H19" s="3270"/>
      <c r="I19" s="3270"/>
      <c r="J19" s="3273"/>
      <c r="K19" s="3273"/>
      <c r="L19" s="3273"/>
      <c r="M19" s="3273"/>
      <c r="N19" s="3273"/>
      <c r="O19" s="3273"/>
      <c r="P19" s="3273"/>
      <c r="Q19" s="3273"/>
      <c r="R19" s="3273"/>
      <c r="S19" s="3273"/>
      <c r="T19" s="3273"/>
      <c r="U19" s="3273"/>
      <c r="V19" s="3273"/>
      <c r="W19" s="3273"/>
      <c r="X19" s="3278"/>
      <c r="Y19" s="3278"/>
      <c r="Z19" s="3278"/>
      <c r="AA19" s="3206"/>
      <c r="AB19" s="3206"/>
      <c r="AC19" s="3206"/>
      <c r="AD19" s="3206"/>
      <c r="AE19" s="3206"/>
      <c r="AF19" s="3206"/>
      <c r="AG19" s="3206"/>
      <c r="AH19" s="3206"/>
      <c r="AI19" s="3206"/>
      <c r="AJ19" s="3206"/>
      <c r="AK19" s="3206"/>
      <c r="AL19" s="3206"/>
      <c r="AM19" s="3206"/>
      <c r="AN19" s="3206"/>
      <c r="AO19" s="3206"/>
      <c r="AP19" s="3206"/>
      <c r="AQ19" s="3207"/>
      <c r="AR19" s="3218"/>
    </row>
    <row r="20" spans="2:44" ht="15.95" customHeight="1" x14ac:dyDescent="0.25">
      <c r="B20" s="3216"/>
      <c r="C20" s="3199"/>
      <c r="D20" s="3200"/>
      <c r="E20" s="3200"/>
      <c r="F20" s="3200"/>
      <c r="G20" s="3270"/>
      <c r="H20" s="3270"/>
      <c r="I20" s="3270"/>
      <c r="J20" s="3273"/>
      <c r="K20" s="3273"/>
      <c r="L20" s="3273"/>
      <c r="M20" s="3273"/>
      <c r="N20" s="3273"/>
      <c r="O20" s="3273"/>
      <c r="P20" s="3273"/>
      <c r="Q20" s="3273"/>
      <c r="R20" s="3273"/>
      <c r="S20" s="3273"/>
      <c r="T20" s="3273"/>
      <c r="U20" s="3273"/>
      <c r="V20" s="3273"/>
      <c r="W20" s="3273"/>
      <c r="X20" s="3278"/>
      <c r="Y20" s="3278"/>
      <c r="Z20" s="3278"/>
      <c r="AA20" s="3206"/>
      <c r="AB20" s="3206"/>
      <c r="AC20" s="3206"/>
      <c r="AD20" s="3206"/>
      <c r="AE20" s="3206"/>
      <c r="AF20" s="3206"/>
      <c r="AG20" s="3206"/>
      <c r="AH20" s="3206"/>
      <c r="AI20" s="3206"/>
      <c r="AJ20" s="3206"/>
      <c r="AK20" s="3206"/>
      <c r="AL20" s="3206"/>
      <c r="AM20" s="3206"/>
      <c r="AN20" s="3206"/>
      <c r="AO20" s="3206"/>
      <c r="AP20" s="3206"/>
      <c r="AQ20" s="3207"/>
      <c r="AR20" s="3218"/>
    </row>
    <row r="21" spans="2:44" ht="15.95" customHeight="1" thickBot="1" x14ac:dyDescent="0.3">
      <c r="B21" s="3216"/>
      <c r="C21" s="3201"/>
      <c r="D21" s="3202"/>
      <c r="E21" s="3202"/>
      <c r="F21" s="3202"/>
      <c r="G21" s="3271"/>
      <c r="H21" s="3271"/>
      <c r="I21" s="3271"/>
      <c r="J21" s="3274"/>
      <c r="K21" s="3274"/>
      <c r="L21" s="3274"/>
      <c r="M21" s="3274"/>
      <c r="N21" s="3274"/>
      <c r="O21" s="3274"/>
      <c r="P21" s="3274"/>
      <c r="Q21" s="3274"/>
      <c r="R21" s="3274"/>
      <c r="S21" s="3274"/>
      <c r="T21" s="3274"/>
      <c r="U21" s="3274"/>
      <c r="V21" s="3274"/>
      <c r="W21" s="3274"/>
      <c r="X21" s="3279"/>
      <c r="Y21" s="3279"/>
      <c r="Z21" s="3279"/>
      <c r="AA21" s="3208"/>
      <c r="AB21" s="3208"/>
      <c r="AC21" s="3208"/>
      <c r="AD21" s="3208"/>
      <c r="AE21" s="3208"/>
      <c r="AF21" s="3208"/>
      <c r="AG21" s="3208"/>
      <c r="AH21" s="3208"/>
      <c r="AI21" s="3208"/>
      <c r="AJ21" s="3208"/>
      <c r="AK21" s="3208"/>
      <c r="AL21" s="3208"/>
      <c r="AM21" s="3208"/>
      <c r="AN21" s="3208"/>
      <c r="AO21" s="3208"/>
      <c r="AP21" s="3208"/>
      <c r="AQ21" s="3209"/>
      <c r="AR21" s="3218"/>
    </row>
    <row r="22" spans="2:44" ht="15.95" customHeight="1" x14ac:dyDescent="0.25">
      <c r="B22" s="3216"/>
      <c r="C22" s="3197"/>
      <c r="D22" s="3198"/>
      <c r="E22" s="3198"/>
      <c r="F22" s="3198"/>
      <c r="G22" s="3269"/>
      <c r="H22" s="3269"/>
      <c r="I22" s="3269"/>
      <c r="J22" s="3272"/>
      <c r="K22" s="3272"/>
      <c r="L22" s="3272"/>
      <c r="M22" s="3272"/>
      <c r="N22" s="3272"/>
      <c r="O22" s="3272"/>
      <c r="P22" s="3272"/>
      <c r="Q22" s="3272"/>
      <c r="R22" s="3272"/>
      <c r="S22" s="3272"/>
      <c r="T22" s="3272"/>
      <c r="U22" s="3272"/>
      <c r="V22" s="3272"/>
      <c r="W22" s="3272"/>
      <c r="X22" s="3277"/>
      <c r="Y22" s="3277"/>
      <c r="Z22" s="3277"/>
      <c r="AA22" s="3203"/>
      <c r="AB22" s="3204"/>
      <c r="AC22" s="3204"/>
      <c r="AD22" s="3204"/>
      <c r="AE22" s="3204"/>
      <c r="AF22" s="3204"/>
      <c r="AG22" s="3204"/>
      <c r="AH22" s="3204"/>
      <c r="AI22" s="3204"/>
      <c r="AJ22" s="3204"/>
      <c r="AK22" s="3204"/>
      <c r="AL22" s="3204"/>
      <c r="AM22" s="3204"/>
      <c r="AN22" s="3204"/>
      <c r="AO22" s="3204"/>
      <c r="AP22" s="3204"/>
      <c r="AQ22" s="3205"/>
      <c r="AR22" s="3218"/>
    </row>
    <row r="23" spans="2:44" ht="15.95" customHeight="1" x14ac:dyDescent="0.25">
      <c r="B23" s="3216"/>
      <c r="C23" s="3199"/>
      <c r="D23" s="3200"/>
      <c r="E23" s="3200"/>
      <c r="F23" s="3200"/>
      <c r="G23" s="3270"/>
      <c r="H23" s="3270"/>
      <c r="I23" s="3270"/>
      <c r="J23" s="3273"/>
      <c r="K23" s="3273"/>
      <c r="L23" s="3273"/>
      <c r="M23" s="3273"/>
      <c r="N23" s="3273"/>
      <c r="O23" s="3273"/>
      <c r="P23" s="3273"/>
      <c r="Q23" s="3273"/>
      <c r="R23" s="3273"/>
      <c r="S23" s="3273"/>
      <c r="T23" s="3273"/>
      <c r="U23" s="3273"/>
      <c r="V23" s="3273"/>
      <c r="W23" s="3273"/>
      <c r="X23" s="3278"/>
      <c r="Y23" s="3278"/>
      <c r="Z23" s="3278"/>
      <c r="AA23" s="3206"/>
      <c r="AB23" s="3206"/>
      <c r="AC23" s="3206"/>
      <c r="AD23" s="3206"/>
      <c r="AE23" s="3206"/>
      <c r="AF23" s="3206"/>
      <c r="AG23" s="3206"/>
      <c r="AH23" s="3206"/>
      <c r="AI23" s="3206"/>
      <c r="AJ23" s="3206"/>
      <c r="AK23" s="3206"/>
      <c r="AL23" s="3206"/>
      <c r="AM23" s="3206"/>
      <c r="AN23" s="3206"/>
      <c r="AO23" s="3206"/>
      <c r="AP23" s="3206"/>
      <c r="AQ23" s="3207"/>
      <c r="AR23" s="3218"/>
    </row>
    <row r="24" spans="2:44" ht="15.95" customHeight="1" x14ac:dyDescent="0.25">
      <c r="B24" s="3216"/>
      <c r="C24" s="3199"/>
      <c r="D24" s="3200"/>
      <c r="E24" s="3200"/>
      <c r="F24" s="3200"/>
      <c r="G24" s="3270"/>
      <c r="H24" s="3270"/>
      <c r="I24" s="3270"/>
      <c r="J24" s="3273"/>
      <c r="K24" s="3273"/>
      <c r="L24" s="3273"/>
      <c r="M24" s="3273"/>
      <c r="N24" s="3273"/>
      <c r="O24" s="3273"/>
      <c r="P24" s="3273"/>
      <c r="Q24" s="3273"/>
      <c r="R24" s="3273"/>
      <c r="S24" s="3273"/>
      <c r="T24" s="3273"/>
      <c r="U24" s="3273"/>
      <c r="V24" s="3273"/>
      <c r="W24" s="3273"/>
      <c r="X24" s="3278"/>
      <c r="Y24" s="3278"/>
      <c r="Z24" s="3278"/>
      <c r="AA24" s="3206"/>
      <c r="AB24" s="3206"/>
      <c r="AC24" s="3206"/>
      <c r="AD24" s="3206"/>
      <c r="AE24" s="3206"/>
      <c r="AF24" s="3206"/>
      <c r="AG24" s="3206"/>
      <c r="AH24" s="3206"/>
      <c r="AI24" s="3206"/>
      <c r="AJ24" s="3206"/>
      <c r="AK24" s="3206"/>
      <c r="AL24" s="3206"/>
      <c r="AM24" s="3206"/>
      <c r="AN24" s="3206"/>
      <c r="AO24" s="3206"/>
      <c r="AP24" s="3206"/>
      <c r="AQ24" s="3207"/>
      <c r="AR24" s="3218"/>
    </row>
    <row r="25" spans="2:44" ht="15.95" customHeight="1" x14ac:dyDescent="0.25">
      <c r="B25" s="3216"/>
      <c r="C25" s="3199"/>
      <c r="D25" s="3200"/>
      <c r="E25" s="3200"/>
      <c r="F25" s="3200"/>
      <c r="G25" s="3270"/>
      <c r="H25" s="3270"/>
      <c r="I25" s="3270"/>
      <c r="J25" s="3273"/>
      <c r="K25" s="3273"/>
      <c r="L25" s="3273"/>
      <c r="M25" s="3273"/>
      <c r="N25" s="3273"/>
      <c r="O25" s="3273"/>
      <c r="P25" s="3273"/>
      <c r="Q25" s="3273"/>
      <c r="R25" s="3273"/>
      <c r="S25" s="3273"/>
      <c r="T25" s="3273"/>
      <c r="U25" s="3273"/>
      <c r="V25" s="3273"/>
      <c r="W25" s="3273"/>
      <c r="X25" s="3278"/>
      <c r="Y25" s="3278"/>
      <c r="Z25" s="3278"/>
      <c r="AA25" s="3206"/>
      <c r="AB25" s="3206"/>
      <c r="AC25" s="3206"/>
      <c r="AD25" s="3206"/>
      <c r="AE25" s="3206"/>
      <c r="AF25" s="3206"/>
      <c r="AG25" s="3206"/>
      <c r="AH25" s="3206"/>
      <c r="AI25" s="3206"/>
      <c r="AJ25" s="3206"/>
      <c r="AK25" s="3206"/>
      <c r="AL25" s="3206"/>
      <c r="AM25" s="3206"/>
      <c r="AN25" s="3206"/>
      <c r="AO25" s="3206"/>
      <c r="AP25" s="3206"/>
      <c r="AQ25" s="3207"/>
      <c r="AR25" s="3218"/>
    </row>
    <row r="26" spans="2:44" ht="15.95" customHeight="1" thickBot="1" x14ac:dyDescent="0.3">
      <c r="B26" s="3216"/>
      <c r="C26" s="3201"/>
      <c r="D26" s="3202"/>
      <c r="E26" s="3202"/>
      <c r="F26" s="3202"/>
      <c r="G26" s="3271"/>
      <c r="H26" s="3271"/>
      <c r="I26" s="3271"/>
      <c r="J26" s="3274"/>
      <c r="K26" s="3274"/>
      <c r="L26" s="3274"/>
      <c r="M26" s="3274"/>
      <c r="N26" s="3274"/>
      <c r="O26" s="3274"/>
      <c r="P26" s="3274"/>
      <c r="Q26" s="3274"/>
      <c r="R26" s="3274"/>
      <c r="S26" s="3274"/>
      <c r="T26" s="3274"/>
      <c r="U26" s="3274"/>
      <c r="V26" s="3274"/>
      <c r="W26" s="3274"/>
      <c r="X26" s="3279"/>
      <c r="Y26" s="3279"/>
      <c r="Z26" s="3279"/>
      <c r="AA26" s="3208"/>
      <c r="AB26" s="3208"/>
      <c r="AC26" s="3208"/>
      <c r="AD26" s="3208"/>
      <c r="AE26" s="3208"/>
      <c r="AF26" s="3208"/>
      <c r="AG26" s="3208"/>
      <c r="AH26" s="3208"/>
      <c r="AI26" s="3208"/>
      <c r="AJ26" s="3208"/>
      <c r="AK26" s="3208"/>
      <c r="AL26" s="3208"/>
      <c r="AM26" s="3208"/>
      <c r="AN26" s="3208"/>
      <c r="AO26" s="3208"/>
      <c r="AP26" s="3208"/>
      <c r="AQ26" s="3209"/>
      <c r="AR26" s="3218"/>
    </row>
    <row r="27" spans="2:44" ht="15.95" customHeight="1" x14ac:dyDescent="0.25">
      <c r="B27" s="3216"/>
      <c r="C27" s="3197"/>
      <c r="D27" s="3198"/>
      <c r="E27" s="3198"/>
      <c r="F27" s="3198"/>
      <c r="G27" s="3269"/>
      <c r="H27" s="3269"/>
      <c r="I27" s="3269"/>
      <c r="J27" s="3272"/>
      <c r="K27" s="3272"/>
      <c r="L27" s="3272"/>
      <c r="M27" s="3272"/>
      <c r="N27" s="3272"/>
      <c r="O27" s="3272"/>
      <c r="P27" s="3272"/>
      <c r="Q27" s="3272"/>
      <c r="R27" s="3272"/>
      <c r="S27" s="3272"/>
      <c r="T27" s="3272"/>
      <c r="U27" s="3272"/>
      <c r="V27" s="3272"/>
      <c r="W27" s="3272"/>
      <c r="X27" s="3277"/>
      <c r="Y27" s="3277"/>
      <c r="Z27" s="3277"/>
      <c r="AA27" s="3203"/>
      <c r="AB27" s="3204"/>
      <c r="AC27" s="3204"/>
      <c r="AD27" s="3204"/>
      <c r="AE27" s="3204"/>
      <c r="AF27" s="3204"/>
      <c r="AG27" s="3204"/>
      <c r="AH27" s="3204"/>
      <c r="AI27" s="3204"/>
      <c r="AJ27" s="3204"/>
      <c r="AK27" s="3204"/>
      <c r="AL27" s="3204"/>
      <c r="AM27" s="3204"/>
      <c r="AN27" s="3204"/>
      <c r="AO27" s="3204"/>
      <c r="AP27" s="3204"/>
      <c r="AQ27" s="3205"/>
      <c r="AR27" s="3218"/>
    </row>
    <row r="28" spans="2:44" ht="15.95" customHeight="1" x14ac:dyDescent="0.25">
      <c r="B28" s="3216"/>
      <c r="C28" s="3199"/>
      <c r="D28" s="3200"/>
      <c r="E28" s="3200"/>
      <c r="F28" s="3200"/>
      <c r="G28" s="3270"/>
      <c r="H28" s="3270"/>
      <c r="I28" s="3270"/>
      <c r="J28" s="3273"/>
      <c r="K28" s="3273"/>
      <c r="L28" s="3273"/>
      <c r="M28" s="3273"/>
      <c r="N28" s="3273"/>
      <c r="O28" s="3273"/>
      <c r="P28" s="3273"/>
      <c r="Q28" s="3273"/>
      <c r="R28" s="3273"/>
      <c r="S28" s="3273"/>
      <c r="T28" s="3273"/>
      <c r="U28" s="3273"/>
      <c r="V28" s="3273"/>
      <c r="W28" s="3273"/>
      <c r="X28" s="3278"/>
      <c r="Y28" s="3278"/>
      <c r="Z28" s="3278"/>
      <c r="AA28" s="3206"/>
      <c r="AB28" s="3206"/>
      <c r="AC28" s="3206"/>
      <c r="AD28" s="3206"/>
      <c r="AE28" s="3206"/>
      <c r="AF28" s="3206"/>
      <c r="AG28" s="3206"/>
      <c r="AH28" s="3206"/>
      <c r="AI28" s="3206"/>
      <c r="AJ28" s="3206"/>
      <c r="AK28" s="3206"/>
      <c r="AL28" s="3206"/>
      <c r="AM28" s="3206"/>
      <c r="AN28" s="3206"/>
      <c r="AO28" s="3206"/>
      <c r="AP28" s="3206"/>
      <c r="AQ28" s="3207"/>
      <c r="AR28" s="3218"/>
    </row>
    <row r="29" spans="2:44" ht="15.95" customHeight="1" x14ac:dyDescent="0.25">
      <c r="B29" s="3216"/>
      <c r="C29" s="3199"/>
      <c r="D29" s="3200"/>
      <c r="E29" s="3200"/>
      <c r="F29" s="3200"/>
      <c r="G29" s="3270"/>
      <c r="H29" s="3270"/>
      <c r="I29" s="3270"/>
      <c r="J29" s="3273"/>
      <c r="K29" s="3273"/>
      <c r="L29" s="3273"/>
      <c r="M29" s="3273"/>
      <c r="N29" s="3273"/>
      <c r="O29" s="3273"/>
      <c r="P29" s="3273"/>
      <c r="Q29" s="3273"/>
      <c r="R29" s="3273"/>
      <c r="S29" s="3273"/>
      <c r="T29" s="3273"/>
      <c r="U29" s="3273"/>
      <c r="V29" s="3273"/>
      <c r="W29" s="3273"/>
      <c r="X29" s="3278"/>
      <c r="Y29" s="3278"/>
      <c r="Z29" s="3278"/>
      <c r="AA29" s="3206"/>
      <c r="AB29" s="3206"/>
      <c r="AC29" s="3206"/>
      <c r="AD29" s="3206"/>
      <c r="AE29" s="3206"/>
      <c r="AF29" s="3206"/>
      <c r="AG29" s="3206"/>
      <c r="AH29" s="3206"/>
      <c r="AI29" s="3206"/>
      <c r="AJ29" s="3206"/>
      <c r="AK29" s="3206"/>
      <c r="AL29" s="3206"/>
      <c r="AM29" s="3206"/>
      <c r="AN29" s="3206"/>
      <c r="AO29" s="3206"/>
      <c r="AP29" s="3206"/>
      <c r="AQ29" s="3207"/>
      <c r="AR29" s="3218"/>
    </row>
    <row r="30" spans="2:44" ht="15.95" customHeight="1" x14ac:dyDescent="0.25">
      <c r="B30" s="3216"/>
      <c r="C30" s="3199"/>
      <c r="D30" s="3200"/>
      <c r="E30" s="3200"/>
      <c r="F30" s="3200"/>
      <c r="G30" s="3270"/>
      <c r="H30" s="3270"/>
      <c r="I30" s="3270"/>
      <c r="J30" s="3273"/>
      <c r="K30" s="3273"/>
      <c r="L30" s="3273"/>
      <c r="M30" s="3273"/>
      <c r="N30" s="3273"/>
      <c r="O30" s="3273"/>
      <c r="P30" s="3273"/>
      <c r="Q30" s="3273"/>
      <c r="R30" s="3273"/>
      <c r="S30" s="3273"/>
      <c r="T30" s="3273"/>
      <c r="U30" s="3273"/>
      <c r="V30" s="3273"/>
      <c r="W30" s="3273"/>
      <c r="X30" s="3278"/>
      <c r="Y30" s="3278"/>
      <c r="Z30" s="3278"/>
      <c r="AA30" s="3206"/>
      <c r="AB30" s="3206"/>
      <c r="AC30" s="3206"/>
      <c r="AD30" s="3206"/>
      <c r="AE30" s="3206"/>
      <c r="AF30" s="3206"/>
      <c r="AG30" s="3206"/>
      <c r="AH30" s="3206"/>
      <c r="AI30" s="3206"/>
      <c r="AJ30" s="3206"/>
      <c r="AK30" s="3206"/>
      <c r="AL30" s="3206"/>
      <c r="AM30" s="3206"/>
      <c r="AN30" s="3206"/>
      <c r="AO30" s="3206"/>
      <c r="AP30" s="3206"/>
      <c r="AQ30" s="3207"/>
      <c r="AR30" s="3218"/>
    </row>
    <row r="31" spans="2:44" ht="15.95" customHeight="1" thickBot="1" x14ac:dyDescent="0.3">
      <c r="B31" s="3216"/>
      <c r="C31" s="3201"/>
      <c r="D31" s="3202"/>
      <c r="E31" s="3202"/>
      <c r="F31" s="3202"/>
      <c r="G31" s="3271"/>
      <c r="H31" s="3271"/>
      <c r="I31" s="3271"/>
      <c r="J31" s="3274"/>
      <c r="K31" s="3274"/>
      <c r="L31" s="3274"/>
      <c r="M31" s="3274"/>
      <c r="N31" s="3274"/>
      <c r="O31" s="3274"/>
      <c r="P31" s="3274"/>
      <c r="Q31" s="3274"/>
      <c r="R31" s="3274"/>
      <c r="S31" s="3274"/>
      <c r="T31" s="3274"/>
      <c r="U31" s="3274"/>
      <c r="V31" s="3274"/>
      <c r="W31" s="3274"/>
      <c r="X31" s="3279"/>
      <c r="Y31" s="3279"/>
      <c r="Z31" s="3279"/>
      <c r="AA31" s="3208"/>
      <c r="AB31" s="3208"/>
      <c r="AC31" s="3208"/>
      <c r="AD31" s="3208"/>
      <c r="AE31" s="3208"/>
      <c r="AF31" s="3208"/>
      <c r="AG31" s="3208"/>
      <c r="AH31" s="3208"/>
      <c r="AI31" s="3208"/>
      <c r="AJ31" s="3208"/>
      <c r="AK31" s="3208"/>
      <c r="AL31" s="3208"/>
      <c r="AM31" s="3208"/>
      <c r="AN31" s="3208"/>
      <c r="AO31" s="3208"/>
      <c r="AP31" s="3208"/>
      <c r="AQ31" s="3209"/>
      <c r="AR31" s="3218"/>
    </row>
    <row r="32" spans="2:44" ht="15.95" customHeight="1" x14ac:dyDescent="0.25">
      <c r="B32" s="3216"/>
      <c r="C32" s="3197"/>
      <c r="D32" s="3198"/>
      <c r="E32" s="3198"/>
      <c r="F32" s="3198"/>
      <c r="G32" s="3269"/>
      <c r="H32" s="3269"/>
      <c r="I32" s="3269"/>
      <c r="J32" s="3272"/>
      <c r="K32" s="3272"/>
      <c r="L32" s="3272"/>
      <c r="M32" s="3272"/>
      <c r="N32" s="3272"/>
      <c r="O32" s="3272"/>
      <c r="P32" s="3272"/>
      <c r="Q32" s="3272"/>
      <c r="R32" s="3272"/>
      <c r="S32" s="3272"/>
      <c r="T32" s="3272"/>
      <c r="U32" s="3272"/>
      <c r="V32" s="3272"/>
      <c r="W32" s="3272"/>
      <c r="X32" s="3277"/>
      <c r="Y32" s="3277"/>
      <c r="Z32" s="3277"/>
      <c r="AA32" s="3203"/>
      <c r="AB32" s="3204"/>
      <c r="AC32" s="3204"/>
      <c r="AD32" s="3204"/>
      <c r="AE32" s="3204"/>
      <c r="AF32" s="3204"/>
      <c r="AG32" s="3204"/>
      <c r="AH32" s="3204"/>
      <c r="AI32" s="3204"/>
      <c r="AJ32" s="3204"/>
      <c r="AK32" s="3204"/>
      <c r="AL32" s="3204"/>
      <c r="AM32" s="3204"/>
      <c r="AN32" s="3204"/>
      <c r="AO32" s="3204"/>
      <c r="AP32" s="3204"/>
      <c r="AQ32" s="3205"/>
      <c r="AR32" s="3218"/>
    </row>
    <row r="33" spans="1:44" ht="15.95" customHeight="1" x14ac:dyDescent="0.25">
      <c r="B33" s="3216"/>
      <c r="C33" s="3199"/>
      <c r="D33" s="3200"/>
      <c r="E33" s="3200"/>
      <c r="F33" s="3200"/>
      <c r="G33" s="3270"/>
      <c r="H33" s="3270"/>
      <c r="I33" s="3270"/>
      <c r="J33" s="3273"/>
      <c r="K33" s="3273"/>
      <c r="L33" s="3273"/>
      <c r="M33" s="3273"/>
      <c r="N33" s="3273"/>
      <c r="O33" s="3273"/>
      <c r="P33" s="3273"/>
      <c r="Q33" s="3273"/>
      <c r="R33" s="3273"/>
      <c r="S33" s="3273"/>
      <c r="T33" s="3273"/>
      <c r="U33" s="3273"/>
      <c r="V33" s="3273"/>
      <c r="W33" s="3273"/>
      <c r="X33" s="3278"/>
      <c r="Y33" s="3278"/>
      <c r="Z33" s="3278"/>
      <c r="AA33" s="3206"/>
      <c r="AB33" s="3206"/>
      <c r="AC33" s="3206"/>
      <c r="AD33" s="3206"/>
      <c r="AE33" s="3206"/>
      <c r="AF33" s="3206"/>
      <c r="AG33" s="3206"/>
      <c r="AH33" s="3206"/>
      <c r="AI33" s="3206"/>
      <c r="AJ33" s="3206"/>
      <c r="AK33" s="3206"/>
      <c r="AL33" s="3206"/>
      <c r="AM33" s="3206"/>
      <c r="AN33" s="3206"/>
      <c r="AO33" s="3206"/>
      <c r="AP33" s="3206"/>
      <c r="AQ33" s="3207"/>
      <c r="AR33" s="3218"/>
    </row>
    <row r="34" spans="1:44" ht="15.95" customHeight="1" x14ac:dyDescent="0.25">
      <c r="B34" s="3216"/>
      <c r="C34" s="3199"/>
      <c r="D34" s="3200"/>
      <c r="E34" s="3200"/>
      <c r="F34" s="3200"/>
      <c r="G34" s="3270"/>
      <c r="H34" s="3270"/>
      <c r="I34" s="3270"/>
      <c r="J34" s="3273"/>
      <c r="K34" s="3273"/>
      <c r="L34" s="3273"/>
      <c r="M34" s="3273"/>
      <c r="N34" s="3273"/>
      <c r="O34" s="3273"/>
      <c r="P34" s="3273"/>
      <c r="Q34" s="3273"/>
      <c r="R34" s="3273"/>
      <c r="S34" s="3273"/>
      <c r="T34" s="3273"/>
      <c r="U34" s="3273"/>
      <c r="V34" s="3273"/>
      <c r="W34" s="3273"/>
      <c r="X34" s="3278"/>
      <c r="Y34" s="3278"/>
      <c r="Z34" s="3278"/>
      <c r="AA34" s="3206"/>
      <c r="AB34" s="3206"/>
      <c r="AC34" s="3206"/>
      <c r="AD34" s="3206"/>
      <c r="AE34" s="3206"/>
      <c r="AF34" s="3206"/>
      <c r="AG34" s="3206"/>
      <c r="AH34" s="3206"/>
      <c r="AI34" s="3206"/>
      <c r="AJ34" s="3206"/>
      <c r="AK34" s="3206"/>
      <c r="AL34" s="3206"/>
      <c r="AM34" s="3206"/>
      <c r="AN34" s="3206"/>
      <c r="AO34" s="3206"/>
      <c r="AP34" s="3206"/>
      <c r="AQ34" s="3207"/>
      <c r="AR34" s="3218"/>
    </row>
    <row r="35" spans="1:44" ht="15.95" customHeight="1" x14ac:dyDescent="0.25">
      <c r="B35" s="3216"/>
      <c r="C35" s="3199"/>
      <c r="D35" s="3200"/>
      <c r="E35" s="3200"/>
      <c r="F35" s="3200"/>
      <c r="G35" s="3270"/>
      <c r="H35" s="3270"/>
      <c r="I35" s="3270"/>
      <c r="J35" s="3273"/>
      <c r="K35" s="3273"/>
      <c r="L35" s="3273"/>
      <c r="M35" s="3273"/>
      <c r="N35" s="3273"/>
      <c r="O35" s="3273"/>
      <c r="P35" s="3273"/>
      <c r="Q35" s="3273"/>
      <c r="R35" s="3273"/>
      <c r="S35" s="3273"/>
      <c r="T35" s="3273"/>
      <c r="U35" s="3273"/>
      <c r="V35" s="3273"/>
      <c r="W35" s="3273"/>
      <c r="X35" s="3278"/>
      <c r="Y35" s="3278"/>
      <c r="Z35" s="3278"/>
      <c r="AA35" s="3206"/>
      <c r="AB35" s="3206"/>
      <c r="AC35" s="3206"/>
      <c r="AD35" s="3206"/>
      <c r="AE35" s="3206"/>
      <c r="AF35" s="3206"/>
      <c r="AG35" s="3206"/>
      <c r="AH35" s="3206"/>
      <c r="AI35" s="3206"/>
      <c r="AJ35" s="3206"/>
      <c r="AK35" s="3206"/>
      <c r="AL35" s="3206"/>
      <c r="AM35" s="3206"/>
      <c r="AN35" s="3206"/>
      <c r="AO35" s="3206"/>
      <c r="AP35" s="3206"/>
      <c r="AQ35" s="3207"/>
      <c r="AR35" s="3218"/>
    </row>
    <row r="36" spans="1:44" ht="15.95" customHeight="1" thickBot="1" x14ac:dyDescent="0.3">
      <c r="B36" s="3216"/>
      <c r="C36" s="3289"/>
      <c r="D36" s="3290"/>
      <c r="E36" s="3290"/>
      <c r="F36" s="3290"/>
      <c r="G36" s="3291"/>
      <c r="H36" s="3291"/>
      <c r="I36" s="3291"/>
      <c r="J36" s="3292"/>
      <c r="K36" s="3292"/>
      <c r="L36" s="3292"/>
      <c r="M36" s="3292"/>
      <c r="N36" s="3292"/>
      <c r="O36" s="3292"/>
      <c r="P36" s="3292"/>
      <c r="Q36" s="3292"/>
      <c r="R36" s="3292"/>
      <c r="S36" s="3292"/>
      <c r="T36" s="3292"/>
      <c r="U36" s="3292"/>
      <c r="V36" s="3292"/>
      <c r="W36" s="3292"/>
      <c r="X36" s="3293"/>
      <c r="Y36" s="3293"/>
      <c r="Z36" s="3293"/>
      <c r="AA36" s="3294"/>
      <c r="AB36" s="3294"/>
      <c r="AC36" s="3294"/>
      <c r="AD36" s="3294"/>
      <c r="AE36" s="3294"/>
      <c r="AF36" s="3294"/>
      <c r="AG36" s="3294"/>
      <c r="AH36" s="3294"/>
      <c r="AI36" s="3294"/>
      <c r="AJ36" s="3294"/>
      <c r="AK36" s="3294"/>
      <c r="AL36" s="3294"/>
      <c r="AM36" s="3294"/>
      <c r="AN36" s="3294"/>
      <c r="AO36" s="3294"/>
      <c r="AP36" s="3294"/>
      <c r="AQ36" s="3295"/>
      <c r="AR36" s="3218"/>
    </row>
    <row r="37" spans="1:44" ht="15" customHeight="1" x14ac:dyDescent="0.25">
      <c r="B37" s="3216"/>
      <c r="C37" s="3266" t="s">
        <v>383</v>
      </c>
      <c r="D37" s="3267"/>
      <c r="E37" s="3267"/>
      <c r="F37" s="3267"/>
      <c r="G37" s="3267"/>
      <c r="H37" s="3267"/>
      <c r="I37" s="3267"/>
      <c r="J37" s="3267"/>
      <c r="K37" s="3267"/>
      <c r="L37" s="3267"/>
      <c r="M37" s="3267"/>
      <c r="N37" s="3267"/>
      <c r="O37" s="3267"/>
      <c r="P37" s="3267"/>
      <c r="Q37" s="3268"/>
      <c r="R37" s="3296"/>
      <c r="S37" s="3297"/>
      <c r="T37" s="3297"/>
      <c r="U37" s="3297"/>
      <c r="V37" s="3297"/>
      <c r="W37" s="3297"/>
      <c r="X37" s="3297"/>
      <c r="Y37" s="3297"/>
      <c r="Z37" s="3297"/>
      <c r="AA37" s="3297"/>
      <c r="AB37" s="3297"/>
      <c r="AC37" s="3297"/>
      <c r="AD37" s="3297"/>
      <c r="AE37" s="3297"/>
      <c r="AF37" s="3297"/>
      <c r="AG37" s="3297"/>
      <c r="AH37" s="3298"/>
      <c r="AI37" s="3286" t="s">
        <v>384</v>
      </c>
      <c r="AJ37" s="3287"/>
      <c r="AK37" s="3287"/>
      <c r="AL37" s="3287"/>
      <c r="AM37" s="3287"/>
      <c r="AN37" s="3287"/>
      <c r="AO37" s="3287"/>
      <c r="AP37" s="3287"/>
      <c r="AQ37" s="3288"/>
      <c r="AR37" s="3218"/>
    </row>
    <row r="38" spans="1:44" ht="15" customHeight="1" x14ac:dyDescent="0.25">
      <c r="B38" s="3216"/>
      <c r="C38" s="3264" t="str">
        <f>Geral!I11</f>
        <v>Elizabet das Graças Limido Santos</v>
      </c>
      <c r="D38" s="3265"/>
      <c r="E38" s="3265"/>
      <c r="F38" s="3265"/>
      <c r="G38" s="3265"/>
      <c r="H38" s="3265"/>
      <c r="I38" s="3265"/>
      <c r="J38" s="3265"/>
      <c r="K38" s="3265"/>
      <c r="L38" s="3265"/>
      <c r="M38" s="3265"/>
      <c r="N38" s="127" t="s">
        <v>339</v>
      </c>
      <c r="O38" s="3263">
        <f>Geral!T11</f>
        <v>4440780</v>
      </c>
      <c r="P38" s="3263"/>
      <c r="Q38" s="3263"/>
      <c r="R38" s="3263"/>
      <c r="S38" s="3262"/>
      <c r="T38" s="3262"/>
      <c r="U38" s="3262"/>
      <c r="V38" s="3262"/>
      <c r="W38" s="3262"/>
      <c r="X38" s="3262"/>
      <c r="Y38" s="3262"/>
      <c r="Z38" s="3262"/>
      <c r="AA38" s="3284"/>
      <c r="AB38" s="3284"/>
      <c r="AC38" s="3284"/>
      <c r="AD38" s="3284"/>
      <c r="AE38" s="3284"/>
      <c r="AF38" s="3284"/>
      <c r="AG38" s="3284"/>
      <c r="AH38" s="3284"/>
      <c r="AI38" s="3284"/>
      <c r="AJ38" s="3284"/>
      <c r="AK38" s="3284"/>
      <c r="AL38" s="3284"/>
      <c r="AM38" s="3284"/>
      <c r="AN38" s="3284"/>
      <c r="AO38" s="3284"/>
      <c r="AP38" s="3284"/>
      <c r="AQ38" s="3378"/>
      <c r="AR38" s="3218"/>
    </row>
    <row r="39" spans="1:44" ht="15" customHeight="1" x14ac:dyDescent="0.25">
      <c r="B39" s="3216"/>
      <c r="C39" s="3266"/>
      <c r="D39" s="3267"/>
      <c r="E39" s="3267"/>
      <c r="F39" s="3267"/>
      <c r="G39" s="3267"/>
      <c r="H39" s="3267"/>
      <c r="I39" s="3267"/>
      <c r="J39" s="3267"/>
      <c r="K39" s="3267"/>
      <c r="L39" s="3267"/>
      <c r="M39" s="3267"/>
      <c r="N39" s="3267"/>
      <c r="O39" s="3267"/>
      <c r="P39" s="3267"/>
      <c r="Q39" s="3267"/>
      <c r="R39" s="3267"/>
      <c r="S39" s="3267"/>
      <c r="T39" s="3267"/>
      <c r="U39" s="3267"/>
      <c r="V39" s="3267"/>
      <c r="W39" s="3267"/>
      <c r="X39" s="3267"/>
      <c r="Y39" s="3267"/>
      <c r="Z39" s="3268"/>
      <c r="AA39" s="3283" t="s">
        <v>388</v>
      </c>
      <c r="AB39" s="3284"/>
      <c r="AC39" s="3284"/>
      <c r="AD39" s="3284"/>
      <c r="AE39" s="3284"/>
      <c r="AF39" s="3285"/>
      <c r="AG39" s="3280" t="s">
        <v>389</v>
      </c>
      <c r="AH39" s="3281"/>
      <c r="AI39" s="3281"/>
      <c r="AJ39" s="3281"/>
      <c r="AK39" s="3281"/>
      <c r="AL39" s="3281"/>
      <c r="AM39" s="3281"/>
      <c r="AN39" s="3281"/>
      <c r="AO39" s="3281"/>
      <c r="AP39" s="3281"/>
      <c r="AQ39" s="3282"/>
      <c r="AR39" s="3218"/>
    </row>
    <row r="40" spans="1:44" ht="15" customHeight="1" x14ac:dyDescent="0.25">
      <c r="B40" s="3216"/>
      <c r="C40" s="3266" t="s">
        <v>385</v>
      </c>
      <c r="D40" s="3267"/>
      <c r="E40" s="3267"/>
      <c r="F40" s="3267"/>
      <c r="G40" s="3267"/>
      <c r="H40" s="3267"/>
      <c r="I40" s="3267"/>
      <c r="J40" s="3267"/>
      <c r="K40" s="3267"/>
      <c r="L40" s="3267"/>
      <c r="M40" s="3267"/>
      <c r="N40" s="3267"/>
      <c r="O40" s="3267"/>
      <c r="P40" s="3267"/>
      <c r="Q40" s="3268"/>
      <c r="R40" s="3283"/>
      <c r="S40" s="3284"/>
      <c r="T40" s="3284"/>
      <c r="U40" s="3284"/>
      <c r="V40" s="3284"/>
      <c r="W40" s="3284"/>
      <c r="X40" s="3284"/>
      <c r="Y40" s="3284"/>
      <c r="Z40" s="3284"/>
      <c r="AA40" s="3284"/>
      <c r="AB40" s="3284"/>
      <c r="AC40" s="3284"/>
      <c r="AD40" s="3284"/>
      <c r="AE40" s="3284"/>
      <c r="AF40" s="3284"/>
      <c r="AG40" s="3284"/>
      <c r="AH40" s="3284"/>
      <c r="AI40" s="3284"/>
      <c r="AJ40" s="3284"/>
      <c r="AK40" s="3284"/>
      <c r="AL40" s="3284"/>
      <c r="AM40" s="3284"/>
      <c r="AN40" s="3284"/>
      <c r="AO40" s="3284"/>
      <c r="AP40" s="3284"/>
      <c r="AQ40" s="3378"/>
      <c r="AR40" s="3218"/>
    </row>
    <row r="41" spans="1:44" ht="15" customHeight="1" x14ac:dyDescent="0.25">
      <c r="B41" s="3216"/>
      <c r="C41" s="3264" t="str">
        <f>Geral!I10</f>
        <v>Alterar</v>
      </c>
      <c r="D41" s="3265"/>
      <c r="E41" s="3265"/>
      <c r="F41" s="3265"/>
      <c r="G41" s="3265"/>
      <c r="H41" s="3265"/>
      <c r="I41" s="3265"/>
      <c r="J41" s="3265"/>
      <c r="K41" s="3265"/>
      <c r="L41" s="3265"/>
      <c r="M41" s="3265"/>
      <c r="N41" s="126" t="s">
        <v>339</v>
      </c>
      <c r="O41" s="3263">
        <f>Geral!T10</f>
        <v>0</v>
      </c>
      <c r="P41" s="3263"/>
      <c r="Q41" s="3263"/>
      <c r="R41" s="3263"/>
      <c r="S41" s="3262"/>
      <c r="T41" s="3262"/>
      <c r="U41" s="3262"/>
      <c r="V41" s="3262"/>
      <c r="W41" s="3262"/>
      <c r="X41" s="3262"/>
      <c r="Y41" s="3262"/>
      <c r="Z41" s="3262"/>
      <c r="AA41" s="3284"/>
      <c r="AB41" s="3284"/>
      <c r="AC41" s="3284"/>
      <c r="AD41" s="3284"/>
      <c r="AE41" s="3284"/>
      <c r="AF41" s="3285"/>
      <c r="AG41" s="3405"/>
      <c r="AH41" s="3262"/>
      <c r="AI41" s="3262"/>
      <c r="AJ41" s="3262"/>
      <c r="AK41" s="3262"/>
      <c r="AL41" s="3262"/>
      <c r="AM41" s="3262"/>
      <c r="AN41" s="3262"/>
      <c r="AO41" s="3262"/>
      <c r="AP41" s="3262"/>
      <c r="AQ41" s="3406"/>
      <c r="AR41" s="3218"/>
    </row>
    <row r="42" spans="1:44" ht="15" customHeight="1" x14ac:dyDescent="0.25">
      <c r="B42" s="3216"/>
      <c r="C42" s="3386" t="s">
        <v>386</v>
      </c>
      <c r="D42" s="3387"/>
      <c r="E42" s="3388"/>
      <c r="F42" s="3389">
        <f ca="1">TODAY()</f>
        <v>43238</v>
      </c>
      <c r="G42" s="3390"/>
      <c r="H42" s="3390"/>
      <c r="I42" s="3391"/>
      <c r="J42" s="3410"/>
      <c r="K42" s="3411"/>
      <c r="L42" s="3411"/>
      <c r="M42" s="3411"/>
      <c r="N42" s="3411"/>
      <c r="O42" s="3411"/>
      <c r="P42" s="3411"/>
      <c r="Q42" s="3411"/>
      <c r="R42" s="3411"/>
      <c r="S42" s="3411"/>
      <c r="T42" s="3411"/>
      <c r="U42" s="3411"/>
      <c r="V42" s="3411"/>
      <c r="W42" s="3411"/>
      <c r="X42" s="3411"/>
      <c r="Y42" s="3411"/>
      <c r="Z42" s="3412"/>
      <c r="AA42" s="3283" t="s">
        <v>388</v>
      </c>
      <c r="AB42" s="3284"/>
      <c r="AC42" s="3284"/>
      <c r="AD42" s="3284"/>
      <c r="AE42" s="3284"/>
      <c r="AF42" s="3285"/>
      <c r="AG42" s="3318" t="s">
        <v>390</v>
      </c>
      <c r="AH42" s="3319"/>
      <c r="AI42" s="3319"/>
      <c r="AJ42" s="3319"/>
      <c r="AK42" s="3319"/>
      <c r="AL42" s="3319"/>
      <c r="AM42" s="3319"/>
      <c r="AN42" s="3319"/>
      <c r="AO42" s="3319"/>
      <c r="AP42" s="3319"/>
      <c r="AQ42" s="3320"/>
      <c r="AR42" s="3218"/>
    </row>
    <row r="43" spans="1:44" ht="15" customHeight="1" thickBot="1" x14ac:dyDescent="0.3">
      <c r="B43" s="3216"/>
      <c r="C43" s="3392" t="s">
        <v>387</v>
      </c>
      <c r="D43" s="3393"/>
      <c r="E43" s="3393"/>
      <c r="F43" s="3393"/>
      <c r="G43" s="3393"/>
      <c r="H43" s="3393"/>
      <c r="I43" s="3393"/>
      <c r="J43" s="3393"/>
      <c r="K43" s="3393"/>
      <c r="L43" s="3393"/>
      <c r="M43" s="3393"/>
      <c r="N43" s="3393"/>
      <c r="O43" s="3393"/>
      <c r="P43" s="3393"/>
      <c r="Q43" s="3393"/>
      <c r="R43" s="3393"/>
      <c r="S43" s="3393"/>
      <c r="T43" s="3393"/>
      <c r="U43" s="3393"/>
      <c r="V43" s="3393"/>
      <c r="W43" s="3393"/>
      <c r="X43" s="3393"/>
      <c r="Y43" s="3393"/>
      <c r="Z43" s="3393"/>
      <c r="AA43" s="3393"/>
      <c r="AB43" s="3393"/>
      <c r="AC43" s="3393"/>
      <c r="AD43" s="3393"/>
      <c r="AE43" s="3393"/>
      <c r="AF43" s="3393"/>
      <c r="AG43" s="3393"/>
      <c r="AH43" s="3393"/>
      <c r="AI43" s="3393"/>
      <c r="AJ43" s="3393"/>
      <c r="AK43" s="3393"/>
      <c r="AL43" s="3393"/>
      <c r="AM43" s="3393"/>
      <c r="AN43" s="3393"/>
      <c r="AO43" s="3393"/>
      <c r="AP43" s="3393"/>
      <c r="AQ43" s="3394"/>
      <c r="AR43" s="3218"/>
    </row>
    <row r="44" spans="1:44" ht="15" customHeight="1" thickBot="1" x14ac:dyDescent="0.3">
      <c r="B44" s="3395"/>
      <c r="C44" s="3396"/>
      <c r="D44" s="3396"/>
      <c r="E44" s="3396"/>
      <c r="F44" s="3396"/>
      <c r="G44" s="3396"/>
      <c r="H44" s="3396"/>
      <c r="I44" s="3396"/>
      <c r="J44" s="3396"/>
      <c r="K44" s="3396"/>
      <c r="L44" s="3396"/>
      <c r="M44" s="3396"/>
      <c r="N44" s="3396"/>
      <c r="O44" s="3396"/>
      <c r="P44" s="3396"/>
      <c r="Q44" s="3396"/>
      <c r="R44" s="3396"/>
      <c r="S44" s="3396"/>
      <c r="T44" s="3396"/>
      <c r="U44" s="3396"/>
      <c r="V44" s="3396"/>
      <c r="W44" s="3396"/>
      <c r="X44" s="3396"/>
      <c r="Y44" s="3396"/>
      <c r="Z44" s="3396"/>
      <c r="AA44" s="3396"/>
      <c r="AB44" s="3396"/>
      <c r="AC44" s="3396"/>
      <c r="AD44" s="3396"/>
      <c r="AE44" s="3396"/>
      <c r="AF44" s="3396"/>
      <c r="AG44" s="3396"/>
      <c r="AH44" s="3396"/>
      <c r="AI44" s="3396"/>
      <c r="AJ44" s="3396"/>
      <c r="AK44" s="3396"/>
      <c r="AL44" s="3396"/>
      <c r="AM44" s="3396"/>
      <c r="AN44" s="3396"/>
      <c r="AO44" s="3396"/>
      <c r="AP44" s="3396"/>
      <c r="AQ44" s="3396"/>
      <c r="AR44" s="3397"/>
    </row>
    <row r="45" spans="1:44" ht="15" customHeight="1" thickTop="1" x14ac:dyDescent="0.25">
      <c r="A45" s="3416"/>
      <c r="B45" s="3416"/>
      <c r="C45" s="3416"/>
      <c r="D45" s="3416"/>
      <c r="E45" s="3416"/>
      <c r="F45" s="3416"/>
      <c r="G45" s="3416"/>
      <c r="H45" s="3416"/>
      <c r="I45" s="3416"/>
      <c r="J45" s="3416"/>
      <c r="K45" s="3416"/>
      <c r="L45" s="3416"/>
      <c r="M45" s="3416"/>
      <c r="N45" s="3416"/>
      <c r="O45" s="3416"/>
      <c r="P45" s="3416"/>
      <c r="Q45" s="3416"/>
      <c r="R45" s="3416"/>
      <c r="S45" s="3416"/>
      <c r="T45" s="3416"/>
      <c r="U45" s="3416"/>
      <c r="V45" s="3416"/>
      <c r="W45" s="3416"/>
      <c r="X45" s="3416"/>
      <c r="Y45" s="3416"/>
      <c r="Z45" s="3416"/>
      <c r="AA45" s="3416"/>
      <c r="AB45" s="3416"/>
      <c r="AC45" s="3416"/>
      <c r="AD45" s="3416"/>
      <c r="AE45" s="3416"/>
      <c r="AF45" s="3416"/>
      <c r="AG45" s="3416"/>
      <c r="AH45" s="3416"/>
      <c r="AI45" s="3416"/>
      <c r="AJ45" s="3416"/>
      <c r="AK45" s="3416"/>
      <c r="AL45" s="3416"/>
      <c r="AM45" s="3416"/>
      <c r="AN45" s="3416"/>
      <c r="AO45" s="3416"/>
      <c r="AP45" s="3416"/>
      <c r="AQ45" s="3416"/>
      <c r="AR45" s="3416"/>
    </row>
    <row r="46" spans="1:44" ht="15" customHeight="1" x14ac:dyDescent="0.25">
      <c r="A46" s="3331"/>
      <c r="B46" s="3331"/>
      <c r="C46" s="3331"/>
      <c r="D46" s="3331"/>
      <c r="E46" s="3331"/>
      <c r="F46" s="3331"/>
      <c r="G46" s="3331"/>
      <c r="H46" s="3331"/>
      <c r="I46" s="3331"/>
      <c r="J46" s="3331"/>
      <c r="K46" s="3331"/>
      <c r="L46" s="3331"/>
      <c r="M46" s="3331"/>
      <c r="N46" s="3331"/>
      <c r="O46" s="3331"/>
      <c r="P46" s="3331"/>
      <c r="Q46" s="3331"/>
      <c r="R46" s="3331"/>
      <c r="S46" s="3331"/>
      <c r="T46" s="3331"/>
      <c r="U46" s="3331"/>
      <c r="V46" s="3331"/>
      <c r="W46" s="3331"/>
      <c r="X46" s="3331"/>
      <c r="Y46" s="3331"/>
      <c r="Z46" s="3331"/>
      <c r="AA46" s="3331"/>
      <c r="AB46" s="3331"/>
      <c r="AC46" s="3331"/>
      <c r="AD46" s="3331"/>
      <c r="AE46" s="3331"/>
      <c r="AF46" s="3331"/>
      <c r="AG46" s="3331"/>
      <c r="AH46" s="3331"/>
      <c r="AI46" s="3331"/>
      <c r="AJ46" s="3331"/>
      <c r="AK46" s="3331"/>
      <c r="AL46" s="3331"/>
      <c r="AM46" s="3331"/>
      <c r="AN46" s="3331"/>
      <c r="AO46" s="3331"/>
      <c r="AP46" s="3331"/>
      <c r="AQ46" s="3331"/>
      <c r="AR46" s="3331"/>
    </row>
    <row r="47" spans="1:44" ht="15" customHeight="1" x14ac:dyDescent="0.25">
      <c r="A47" s="3331"/>
      <c r="B47" s="3331"/>
      <c r="C47" s="3331"/>
      <c r="D47" s="3331"/>
      <c r="E47" s="3331"/>
      <c r="F47" s="3331"/>
      <c r="G47" s="3331"/>
      <c r="H47" s="3331"/>
      <c r="I47" s="3331"/>
      <c r="J47" s="3331"/>
      <c r="K47" s="3331"/>
      <c r="L47" s="3331"/>
      <c r="M47" s="3331"/>
      <c r="N47" s="3331"/>
      <c r="O47" s="3331"/>
      <c r="P47" s="3331"/>
      <c r="Q47" s="3331"/>
      <c r="R47" s="3331"/>
      <c r="S47" s="3331"/>
      <c r="T47" s="3331"/>
      <c r="U47" s="3331"/>
      <c r="V47" s="3331"/>
      <c r="W47" s="3331"/>
      <c r="X47" s="3331"/>
      <c r="Y47" s="3331"/>
      <c r="Z47" s="3331"/>
      <c r="AA47" s="3331"/>
      <c r="AB47" s="3331"/>
      <c r="AC47" s="3331"/>
      <c r="AD47" s="3331"/>
      <c r="AE47" s="3331"/>
      <c r="AF47" s="3331"/>
      <c r="AG47" s="3331"/>
      <c r="AH47" s="3331"/>
      <c r="AI47" s="3331"/>
      <c r="AJ47" s="3331"/>
      <c r="AK47" s="3331"/>
      <c r="AL47" s="3331"/>
      <c r="AM47" s="3331"/>
      <c r="AN47" s="3331"/>
      <c r="AO47" s="3331"/>
      <c r="AP47" s="3331"/>
      <c r="AQ47" s="3331"/>
      <c r="AR47" s="3331"/>
    </row>
    <row r="48" spans="1:44" ht="15" customHeight="1" x14ac:dyDescent="0.25">
      <c r="A48" s="3331"/>
      <c r="B48" s="3331"/>
      <c r="C48" s="3331"/>
      <c r="D48" s="3331"/>
      <c r="E48" s="3331"/>
      <c r="F48" s="3331"/>
      <c r="G48" s="3331"/>
      <c r="H48" s="3331"/>
      <c r="I48" s="3331"/>
      <c r="J48" s="3331"/>
      <c r="K48" s="3331"/>
      <c r="L48" s="3331"/>
      <c r="M48" s="3331"/>
      <c r="N48" s="3331"/>
      <c r="O48" s="3331"/>
      <c r="P48" s="3331"/>
      <c r="Q48" s="3331"/>
      <c r="R48" s="3331"/>
      <c r="S48" s="3331"/>
      <c r="T48" s="3331"/>
      <c r="U48" s="3331"/>
      <c r="V48" s="3331"/>
      <c r="W48" s="3331"/>
      <c r="X48" s="3331"/>
      <c r="Y48" s="3331"/>
      <c r="Z48" s="3331"/>
      <c r="AA48" s="3331"/>
      <c r="AB48" s="3331"/>
      <c r="AC48" s="3331"/>
      <c r="AD48" s="3331"/>
      <c r="AE48" s="3331"/>
      <c r="AF48" s="3331"/>
      <c r="AG48" s="3331"/>
      <c r="AH48" s="3331"/>
      <c r="AI48" s="3331"/>
      <c r="AJ48" s="3331"/>
      <c r="AK48" s="3331"/>
      <c r="AL48" s="3331"/>
      <c r="AM48" s="3331"/>
      <c r="AN48" s="3331"/>
      <c r="AO48" s="3331"/>
      <c r="AP48" s="3331"/>
      <c r="AQ48" s="3331"/>
      <c r="AR48" s="3331"/>
    </row>
    <row r="49" spans="1:44" ht="15" customHeight="1" x14ac:dyDescent="0.25">
      <c r="A49" s="3331"/>
      <c r="B49" s="3331"/>
      <c r="C49" s="3331"/>
      <c r="D49" s="3331"/>
      <c r="E49" s="3331"/>
      <c r="F49" s="3331"/>
      <c r="G49" s="3331"/>
      <c r="H49" s="3331"/>
      <c r="I49" s="3331"/>
      <c r="J49" s="3331"/>
      <c r="K49" s="3331"/>
      <c r="L49" s="3331"/>
      <c r="M49" s="3331"/>
      <c r="N49" s="3331"/>
      <c r="O49" s="3331"/>
      <c r="P49" s="3331"/>
      <c r="Q49" s="3331"/>
      <c r="R49" s="3331"/>
      <c r="S49" s="3331"/>
      <c r="T49" s="3331"/>
      <c r="U49" s="3331"/>
      <c r="V49" s="3331"/>
      <c r="W49" s="3331"/>
      <c r="X49" s="3331"/>
      <c r="Y49" s="3331"/>
      <c r="Z49" s="3331"/>
      <c r="AA49" s="3331"/>
      <c r="AB49" s="3331"/>
      <c r="AC49" s="3331"/>
      <c r="AD49" s="3331"/>
      <c r="AE49" s="3331"/>
      <c r="AF49" s="3331"/>
      <c r="AG49" s="3331"/>
      <c r="AH49" s="3331"/>
      <c r="AI49" s="3331"/>
      <c r="AJ49" s="3331"/>
      <c r="AK49" s="3331"/>
      <c r="AL49" s="3331"/>
      <c r="AM49" s="3331"/>
      <c r="AN49" s="3331"/>
      <c r="AO49" s="3331"/>
      <c r="AP49" s="3331"/>
      <c r="AQ49" s="3331"/>
      <c r="AR49" s="3331"/>
    </row>
    <row r="50" spans="1:44" ht="15" customHeight="1" x14ac:dyDescent="0.25">
      <c r="A50" s="3331"/>
      <c r="B50" s="3331"/>
      <c r="C50" s="3331"/>
      <c r="D50" s="3331"/>
      <c r="E50" s="3331"/>
      <c r="F50" s="3331"/>
      <c r="G50" s="3331"/>
      <c r="H50" s="3331"/>
      <c r="I50" s="3331"/>
      <c r="J50" s="3331"/>
      <c r="K50" s="3331"/>
      <c r="L50" s="3331"/>
      <c r="M50" s="3331"/>
      <c r="N50" s="3331"/>
      <c r="O50" s="3331"/>
      <c r="P50" s="3331"/>
      <c r="Q50" s="3331"/>
      <c r="R50" s="3331"/>
      <c r="S50" s="3331"/>
      <c r="T50" s="3331"/>
      <c r="U50" s="3331"/>
      <c r="V50" s="3331"/>
      <c r="W50" s="3331"/>
      <c r="X50" s="3331"/>
      <c r="Y50" s="3331"/>
      <c r="Z50" s="3331"/>
      <c r="AA50" s="3331"/>
      <c r="AB50" s="3331"/>
      <c r="AC50" s="3331"/>
      <c r="AD50" s="3331"/>
      <c r="AE50" s="3331"/>
      <c r="AF50" s="3331"/>
      <c r="AG50" s="3331"/>
      <c r="AH50" s="3331"/>
      <c r="AI50" s="3331"/>
      <c r="AJ50" s="3331"/>
      <c r="AK50" s="3331"/>
      <c r="AL50" s="3331"/>
      <c r="AM50" s="3331"/>
      <c r="AN50" s="3331"/>
      <c r="AO50" s="3331"/>
      <c r="AP50" s="3331"/>
      <c r="AQ50" s="3331"/>
      <c r="AR50" s="3331"/>
    </row>
    <row r="51" spans="1:44" ht="15" customHeight="1" x14ac:dyDescent="0.25">
      <c r="A51" s="3331"/>
      <c r="B51" s="3331"/>
      <c r="C51" s="3331"/>
      <c r="D51" s="3331"/>
      <c r="E51" s="3331"/>
      <c r="F51" s="3331"/>
      <c r="G51" s="3331"/>
      <c r="H51" s="3331"/>
      <c r="I51" s="3331"/>
      <c r="J51" s="3331"/>
      <c r="K51" s="3331"/>
      <c r="L51" s="3331"/>
      <c r="M51" s="3331"/>
      <c r="N51" s="3331"/>
      <c r="O51" s="3331"/>
      <c r="P51" s="3331"/>
      <c r="Q51" s="3331"/>
      <c r="R51" s="3331"/>
      <c r="S51" s="3331"/>
      <c r="T51" s="3331"/>
      <c r="U51" s="3331"/>
      <c r="V51" s="3331"/>
      <c r="W51" s="3331"/>
      <c r="X51" s="3331"/>
      <c r="Y51" s="3331"/>
      <c r="Z51" s="3331"/>
      <c r="AA51" s="3331"/>
      <c r="AB51" s="3331"/>
      <c r="AC51" s="3331"/>
      <c r="AD51" s="3331"/>
      <c r="AE51" s="3331"/>
      <c r="AF51" s="3331"/>
      <c r="AG51" s="3331"/>
      <c r="AH51" s="3331"/>
      <c r="AI51" s="3331"/>
      <c r="AJ51" s="3331"/>
      <c r="AK51" s="3331"/>
      <c r="AL51" s="3331"/>
      <c r="AM51" s="3331"/>
      <c r="AN51" s="3331"/>
      <c r="AO51" s="3331"/>
      <c r="AP51" s="3331"/>
      <c r="AQ51" s="3331"/>
      <c r="AR51" s="3331"/>
    </row>
    <row r="52" spans="1:44" ht="15" customHeight="1" x14ac:dyDescent="0.25">
      <c r="A52" s="3331"/>
      <c r="B52" s="3331"/>
      <c r="C52" s="3331"/>
      <c r="D52" s="3331"/>
      <c r="E52" s="3331"/>
      <c r="F52" s="3331"/>
      <c r="G52" s="3331"/>
      <c r="H52" s="3331"/>
      <c r="I52" s="3331"/>
      <c r="J52" s="3331"/>
      <c r="K52" s="3331"/>
      <c r="L52" s="3331"/>
      <c r="M52" s="3331"/>
      <c r="N52" s="3331"/>
      <c r="O52" s="3331"/>
      <c r="P52" s="3331"/>
      <c r="Q52" s="3331"/>
      <c r="R52" s="3331"/>
      <c r="S52" s="3331"/>
      <c r="T52" s="3331"/>
      <c r="U52" s="3331"/>
      <c r="V52" s="3331"/>
      <c r="W52" s="3331"/>
      <c r="X52" s="3331"/>
      <c r="Y52" s="3331"/>
      <c r="Z52" s="3331"/>
      <c r="AA52" s="3331"/>
      <c r="AB52" s="3331"/>
      <c r="AC52" s="3331"/>
      <c r="AD52" s="3331"/>
      <c r="AE52" s="3331"/>
      <c r="AF52" s="3331"/>
      <c r="AG52" s="3331"/>
      <c r="AH52" s="3331"/>
      <c r="AI52" s="3331"/>
      <c r="AJ52" s="3331"/>
      <c r="AK52" s="3331"/>
      <c r="AL52" s="3331"/>
      <c r="AM52" s="3331"/>
      <c r="AN52" s="3331"/>
      <c r="AO52" s="3331"/>
      <c r="AP52" s="3331"/>
      <c r="AQ52" s="3331"/>
      <c r="AR52" s="3331"/>
    </row>
    <row r="53" spans="1:44" ht="15" customHeight="1" x14ac:dyDescent="0.25">
      <c r="A53" s="3331"/>
      <c r="B53" s="3331"/>
      <c r="C53" s="3331"/>
      <c r="D53" s="3331"/>
      <c r="E53" s="3331"/>
      <c r="F53" s="3331"/>
      <c r="G53" s="3331"/>
      <c r="H53" s="3331"/>
      <c r="I53" s="3331"/>
      <c r="J53" s="3331"/>
      <c r="K53" s="3331"/>
      <c r="L53" s="3331"/>
      <c r="M53" s="3331"/>
      <c r="N53" s="3331"/>
      <c r="O53" s="3331"/>
      <c r="P53" s="3331"/>
      <c r="Q53" s="3331"/>
      <c r="R53" s="3331"/>
      <c r="S53" s="3331"/>
      <c r="T53" s="3331"/>
      <c r="U53" s="3331"/>
      <c r="V53" s="3331"/>
      <c r="W53" s="3331"/>
      <c r="X53" s="3331"/>
      <c r="Y53" s="3331"/>
      <c r="Z53" s="3331"/>
      <c r="AA53" s="3331"/>
      <c r="AB53" s="3331"/>
      <c r="AC53" s="3331"/>
      <c r="AD53" s="3331"/>
      <c r="AE53" s="3331"/>
      <c r="AF53" s="3331"/>
      <c r="AG53" s="3331"/>
      <c r="AH53" s="3331"/>
      <c r="AI53" s="3331"/>
      <c r="AJ53" s="3331"/>
      <c r="AK53" s="3331"/>
      <c r="AL53" s="3331"/>
      <c r="AM53" s="3331"/>
      <c r="AN53" s="3331"/>
      <c r="AO53" s="3331"/>
      <c r="AP53" s="3331"/>
      <c r="AQ53" s="3331"/>
      <c r="AR53" s="3331"/>
    </row>
    <row r="54" spans="1:44" ht="15" customHeight="1" x14ac:dyDescent="0.25">
      <c r="A54" s="3331"/>
      <c r="B54" s="3331"/>
      <c r="C54" s="3331"/>
      <c r="D54" s="3331"/>
      <c r="E54" s="3331"/>
      <c r="F54" s="3331"/>
      <c r="G54" s="3331"/>
      <c r="H54" s="3331"/>
      <c r="I54" s="3331"/>
      <c r="J54" s="3331"/>
      <c r="K54" s="3331"/>
      <c r="L54" s="3331"/>
      <c r="M54" s="3331"/>
      <c r="N54" s="3331"/>
      <c r="O54" s="3331"/>
      <c r="P54" s="3331"/>
      <c r="Q54" s="3331"/>
      <c r="R54" s="3331"/>
      <c r="S54" s="3331"/>
      <c r="T54" s="3331"/>
      <c r="U54" s="3331"/>
      <c r="V54" s="3331"/>
      <c r="W54" s="3331"/>
      <c r="X54" s="3331"/>
      <c r="Y54" s="3331"/>
      <c r="Z54" s="3331"/>
      <c r="AA54" s="3331"/>
      <c r="AB54" s="3331"/>
      <c r="AC54" s="3331"/>
      <c r="AD54" s="3331"/>
      <c r="AE54" s="3331"/>
      <c r="AF54" s="3331"/>
      <c r="AG54" s="3331"/>
      <c r="AH54" s="3331"/>
      <c r="AI54" s="3331"/>
      <c r="AJ54" s="3331"/>
      <c r="AK54" s="3331"/>
      <c r="AL54" s="3331"/>
      <c r="AM54" s="3331"/>
      <c r="AN54" s="3331"/>
      <c r="AO54" s="3331"/>
      <c r="AP54" s="3331"/>
      <c r="AQ54" s="3331"/>
      <c r="AR54" s="3331"/>
    </row>
    <row r="55" spans="1:44" ht="15" customHeight="1" x14ac:dyDescent="0.25">
      <c r="A55" s="3331"/>
      <c r="B55" s="3331"/>
      <c r="C55" s="3331"/>
      <c r="D55" s="3331"/>
      <c r="E55" s="3331"/>
      <c r="F55" s="3331"/>
      <c r="G55" s="3331"/>
      <c r="H55" s="3331"/>
      <c r="I55" s="3331"/>
      <c r="J55" s="3331"/>
      <c r="K55" s="3331"/>
      <c r="L55" s="3331"/>
      <c r="M55" s="3331"/>
      <c r="N55" s="3331"/>
      <c r="O55" s="3331"/>
      <c r="P55" s="3331"/>
      <c r="Q55" s="3331"/>
      <c r="R55" s="3331"/>
      <c r="S55" s="3331"/>
      <c r="T55" s="3331"/>
      <c r="U55" s="3331"/>
      <c r="V55" s="3331"/>
      <c r="W55" s="3331"/>
      <c r="X55" s="3331"/>
      <c r="Y55" s="3331"/>
      <c r="Z55" s="3331"/>
      <c r="AA55" s="3331"/>
      <c r="AB55" s="3331"/>
      <c r="AC55" s="3331"/>
      <c r="AD55" s="3331"/>
      <c r="AE55" s="3331"/>
      <c r="AF55" s="3331"/>
      <c r="AG55" s="3331"/>
      <c r="AH55" s="3331"/>
      <c r="AI55" s="3331"/>
      <c r="AJ55" s="3331"/>
      <c r="AK55" s="3331"/>
      <c r="AL55" s="3331"/>
      <c r="AM55" s="3331"/>
      <c r="AN55" s="3331"/>
      <c r="AO55" s="3331"/>
      <c r="AP55" s="3331"/>
      <c r="AQ55" s="3331"/>
      <c r="AR55" s="3331"/>
    </row>
    <row r="56" spans="1:44" ht="15" customHeight="1" x14ac:dyDescent="0.25">
      <c r="A56" s="3331"/>
      <c r="B56" s="3331"/>
      <c r="C56" s="3331"/>
      <c r="D56" s="3331"/>
      <c r="E56" s="3331"/>
      <c r="F56" s="3331"/>
      <c r="G56" s="3331"/>
      <c r="H56" s="3331"/>
      <c r="I56" s="3331"/>
      <c r="J56" s="3331"/>
      <c r="K56" s="3331"/>
      <c r="L56" s="3331"/>
      <c r="M56" s="3331"/>
      <c r="N56" s="3331"/>
      <c r="O56" s="3331"/>
      <c r="P56" s="3331"/>
      <c r="Q56" s="3331"/>
      <c r="R56" s="3331"/>
      <c r="S56" s="3331"/>
      <c r="T56" s="3331"/>
      <c r="U56" s="3331"/>
      <c r="V56" s="3331"/>
      <c r="W56" s="3331"/>
      <c r="X56" s="3331"/>
      <c r="Y56" s="3331"/>
      <c r="Z56" s="3331"/>
      <c r="AA56" s="3331"/>
      <c r="AB56" s="3331"/>
      <c r="AC56" s="3331"/>
      <c r="AD56" s="3331"/>
      <c r="AE56" s="3331"/>
      <c r="AF56" s="3331"/>
      <c r="AG56" s="3331"/>
      <c r="AH56" s="3331"/>
      <c r="AI56" s="3331"/>
      <c r="AJ56" s="3331"/>
      <c r="AK56" s="3331"/>
      <c r="AL56" s="3331"/>
      <c r="AM56" s="3331"/>
      <c r="AN56" s="3331"/>
      <c r="AO56" s="3331"/>
      <c r="AP56" s="3331"/>
      <c r="AQ56" s="3331"/>
      <c r="AR56" s="3331"/>
    </row>
    <row r="57" spans="1:44" ht="15" customHeight="1" x14ac:dyDescent="0.25">
      <c r="A57" s="3331"/>
      <c r="B57" s="3331"/>
      <c r="C57" s="3331"/>
      <c r="D57" s="3331"/>
      <c r="E57" s="3331"/>
      <c r="F57" s="3331"/>
      <c r="G57" s="3331"/>
      <c r="H57" s="3331"/>
      <c r="I57" s="3331"/>
      <c r="J57" s="3331"/>
      <c r="K57" s="3331"/>
      <c r="L57" s="3331"/>
      <c r="M57" s="3331"/>
      <c r="N57" s="3331"/>
      <c r="O57" s="3331"/>
      <c r="P57" s="3331"/>
      <c r="Q57" s="3331"/>
      <c r="R57" s="3331"/>
      <c r="S57" s="3331"/>
      <c r="T57" s="3331"/>
      <c r="U57" s="3331"/>
      <c r="V57" s="3331"/>
      <c r="W57" s="3331"/>
      <c r="X57" s="3331"/>
      <c r="Y57" s="3331"/>
      <c r="Z57" s="3331"/>
      <c r="AA57" s="3331"/>
      <c r="AB57" s="3331"/>
      <c r="AC57" s="3331"/>
      <c r="AD57" s="3331"/>
      <c r="AE57" s="3331"/>
      <c r="AF57" s="3331"/>
      <c r="AG57" s="3331"/>
      <c r="AH57" s="3331"/>
      <c r="AI57" s="3331"/>
      <c r="AJ57" s="3331"/>
      <c r="AK57" s="3331"/>
      <c r="AL57" s="3331"/>
      <c r="AM57" s="3331"/>
      <c r="AN57" s="3331"/>
      <c r="AO57" s="3331"/>
      <c r="AP57" s="3331"/>
      <c r="AQ57" s="3331"/>
      <c r="AR57" s="3331"/>
    </row>
    <row r="58" spans="1:44" ht="15" customHeight="1" x14ac:dyDescent="0.25">
      <c r="A58" s="3331"/>
      <c r="B58" s="3331"/>
      <c r="C58" s="3331"/>
      <c r="D58" s="3331"/>
      <c r="E58" s="3331"/>
      <c r="F58" s="3331"/>
      <c r="G58" s="3331"/>
      <c r="H58" s="3331"/>
      <c r="I58" s="3331"/>
      <c r="J58" s="3331"/>
      <c r="K58" s="3331"/>
      <c r="L58" s="3331"/>
      <c r="M58" s="3331"/>
      <c r="N58" s="3331"/>
      <c r="O58" s="3331"/>
      <c r="P58" s="3331"/>
      <c r="Q58" s="3331"/>
      <c r="R58" s="3331"/>
      <c r="S58" s="3331"/>
      <c r="T58" s="3331"/>
      <c r="U58" s="3331"/>
      <c r="V58" s="3331"/>
      <c r="W58" s="3331"/>
      <c r="X58" s="3331"/>
      <c r="Y58" s="3331"/>
      <c r="Z58" s="3331"/>
      <c r="AA58" s="3331"/>
      <c r="AB58" s="3331"/>
      <c r="AC58" s="3331"/>
      <c r="AD58" s="3331"/>
      <c r="AE58" s="3331"/>
      <c r="AF58" s="3331"/>
      <c r="AG58" s="3331"/>
      <c r="AH58" s="3331"/>
      <c r="AI58" s="3331"/>
      <c r="AJ58" s="3331"/>
      <c r="AK58" s="3331"/>
      <c r="AL58" s="3331"/>
      <c r="AM58" s="3331"/>
      <c r="AN58" s="3331"/>
      <c r="AO58" s="3331"/>
      <c r="AP58" s="3331"/>
      <c r="AQ58" s="3331"/>
      <c r="AR58" s="3331"/>
    </row>
    <row r="59" spans="1:44" ht="15" customHeight="1" x14ac:dyDescent="0.25">
      <c r="A59" s="3331"/>
      <c r="B59" s="3331"/>
      <c r="C59" s="3331"/>
      <c r="D59" s="3331"/>
      <c r="E59" s="3331"/>
      <c r="F59" s="3331"/>
      <c r="G59" s="3331"/>
      <c r="H59" s="3331"/>
      <c r="I59" s="3331"/>
      <c r="J59" s="3331"/>
      <c r="K59" s="3331"/>
      <c r="L59" s="3331"/>
      <c r="M59" s="3331"/>
      <c r="N59" s="3331"/>
      <c r="O59" s="3331"/>
      <c r="P59" s="3331"/>
      <c r="Q59" s="3331"/>
      <c r="R59" s="3331"/>
      <c r="S59" s="3331"/>
      <c r="T59" s="3331"/>
      <c r="U59" s="3331"/>
      <c r="V59" s="3331"/>
      <c r="W59" s="3331"/>
      <c r="X59" s="3331"/>
      <c r="Y59" s="3331"/>
      <c r="Z59" s="3331"/>
      <c r="AA59" s="3331"/>
      <c r="AB59" s="3331"/>
      <c r="AC59" s="3331"/>
      <c r="AD59" s="3331"/>
      <c r="AE59" s="3331"/>
      <c r="AF59" s="3331"/>
      <c r="AG59" s="3331"/>
      <c r="AH59" s="3331"/>
      <c r="AI59" s="3331"/>
      <c r="AJ59" s="3331"/>
      <c r="AK59" s="3331"/>
      <c r="AL59" s="3331"/>
      <c r="AM59" s="3331"/>
      <c r="AN59" s="3331"/>
      <c r="AO59" s="3331"/>
      <c r="AP59" s="3331"/>
      <c r="AQ59" s="3331"/>
      <c r="AR59" s="3331"/>
    </row>
    <row r="60" spans="1:44" ht="15" customHeight="1" x14ac:dyDescent="0.25">
      <c r="A60" s="3331"/>
      <c r="B60" s="3331"/>
      <c r="C60" s="3331"/>
      <c r="D60" s="3331"/>
      <c r="E60" s="3331"/>
      <c r="F60" s="3331"/>
      <c r="G60" s="3331"/>
      <c r="H60" s="3331"/>
      <c r="I60" s="3331"/>
      <c r="J60" s="3331"/>
      <c r="K60" s="3331"/>
      <c r="L60" s="3331"/>
      <c r="M60" s="3331"/>
      <c r="N60" s="3331"/>
      <c r="O60" s="3331"/>
      <c r="P60" s="3331"/>
      <c r="Q60" s="3331"/>
      <c r="R60" s="3331"/>
      <c r="S60" s="3331"/>
      <c r="T60" s="3331"/>
      <c r="U60" s="3331"/>
      <c r="V60" s="3331"/>
      <c r="W60" s="3331"/>
      <c r="X60" s="3331"/>
      <c r="Y60" s="3331"/>
      <c r="Z60" s="3331"/>
      <c r="AA60" s="3331"/>
      <c r="AB60" s="3331"/>
      <c r="AC60" s="3331"/>
      <c r="AD60" s="3331"/>
      <c r="AE60" s="3331"/>
      <c r="AF60" s="3331"/>
      <c r="AG60" s="3331"/>
      <c r="AH60" s="3331"/>
      <c r="AI60" s="3331"/>
      <c r="AJ60" s="3331"/>
      <c r="AK60" s="3331"/>
      <c r="AL60" s="3331"/>
      <c r="AM60" s="3331"/>
      <c r="AN60" s="3331"/>
      <c r="AO60" s="3331"/>
      <c r="AP60" s="3331"/>
      <c r="AQ60" s="3331"/>
      <c r="AR60" s="3331"/>
    </row>
    <row r="61" spans="1:44" ht="15" customHeight="1" x14ac:dyDescent="0.25">
      <c r="A61" s="3331"/>
      <c r="B61" s="3331"/>
      <c r="C61" s="3331"/>
      <c r="D61" s="3331"/>
      <c r="E61" s="3331"/>
      <c r="F61" s="3331"/>
      <c r="G61" s="3331"/>
      <c r="H61" s="3331"/>
      <c r="I61" s="3331"/>
      <c r="J61" s="3331"/>
      <c r="K61" s="3331"/>
      <c r="L61" s="3331"/>
      <c r="M61" s="3331"/>
      <c r="N61" s="3331"/>
      <c r="O61" s="3331"/>
      <c r="P61" s="3331"/>
      <c r="Q61" s="3331"/>
      <c r="R61" s="3331"/>
      <c r="S61" s="3331"/>
      <c r="T61" s="3331"/>
      <c r="U61" s="3331"/>
      <c r="V61" s="3331"/>
      <c r="W61" s="3331"/>
      <c r="X61" s="3331"/>
      <c r="Y61" s="3331"/>
      <c r="Z61" s="3331"/>
      <c r="AA61" s="3331"/>
      <c r="AB61" s="3331"/>
      <c r="AC61" s="3331"/>
      <c r="AD61" s="3331"/>
      <c r="AE61" s="3331"/>
      <c r="AF61" s="3331"/>
      <c r="AG61" s="3331"/>
      <c r="AH61" s="3331"/>
      <c r="AI61" s="3331"/>
      <c r="AJ61" s="3331"/>
      <c r="AK61" s="3331"/>
      <c r="AL61" s="3331"/>
      <c r="AM61" s="3331"/>
      <c r="AN61" s="3331"/>
      <c r="AO61" s="3331"/>
      <c r="AP61" s="3331"/>
      <c r="AQ61" s="3331"/>
      <c r="AR61" s="3331"/>
    </row>
    <row r="62" spans="1:44" ht="15" customHeight="1" x14ac:dyDescent="0.25">
      <c r="A62" s="3331"/>
      <c r="B62" s="3331"/>
      <c r="C62" s="3331"/>
      <c r="D62" s="3331"/>
      <c r="E62" s="3331"/>
      <c r="F62" s="3331"/>
      <c r="G62" s="3331"/>
      <c r="H62" s="3331"/>
      <c r="I62" s="3331"/>
      <c r="J62" s="3331"/>
      <c r="K62" s="3331"/>
      <c r="L62" s="3331"/>
      <c r="M62" s="3331"/>
      <c r="N62" s="3331"/>
      <c r="O62" s="3331"/>
      <c r="P62" s="3331"/>
      <c r="Q62" s="3331"/>
      <c r="R62" s="3331"/>
      <c r="S62" s="3331"/>
      <c r="T62" s="3331"/>
      <c r="U62" s="3331"/>
      <c r="V62" s="3331"/>
      <c r="W62" s="3331"/>
      <c r="X62" s="3331"/>
      <c r="Y62" s="3331"/>
      <c r="Z62" s="3331"/>
      <c r="AA62" s="3331"/>
      <c r="AB62" s="3331"/>
      <c r="AC62" s="3331"/>
      <c r="AD62" s="3331"/>
      <c r="AE62" s="3331"/>
      <c r="AF62" s="3331"/>
      <c r="AG62" s="3331"/>
      <c r="AH62" s="3331"/>
      <c r="AI62" s="3331"/>
      <c r="AJ62" s="3331"/>
      <c r="AK62" s="3331"/>
      <c r="AL62" s="3331"/>
      <c r="AM62" s="3331"/>
      <c r="AN62" s="3331"/>
      <c r="AO62" s="3331"/>
      <c r="AP62" s="3331"/>
      <c r="AQ62" s="3331"/>
      <c r="AR62" s="3331"/>
    </row>
    <row r="63" spans="1:44" ht="15" customHeight="1" x14ac:dyDescent="0.25">
      <c r="A63" s="3331"/>
      <c r="B63" s="3331"/>
      <c r="C63" s="3331"/>
      <c r="D63" s="3331"/>
      <c r="E63" s="3331"/>
      <c r="F63" s="3331"/>
      <c r="G63" s="3331"/>
      <c r="H63" s="3331"/>
      <c r="I63" s="3331"/>
      <c r="J63" s="3331"/>
      <c r="K63" s="3331"/>
      <c r="L63" s="3331"/>
      <c r="M63" s="3331"/>
      <c r="N63" s="3331"/>
      <c r="O63" s="3331"/>
      <c r="P63" s="3331"/>
      <c r="Q63" s="3331"/>
      <c r="R63" s="3331"/>
      <c r="S63" s="3331"/>
      <c r="T63" s="3331"/>
      <c r="U63" s="3331"/>
      <c r="V63" s="3331"/>
      <c r="W63" s="3331"/>
      <c r="X63" s="3331"/>
      <c r="Y63" s="3331"/>
      <c r="Z63" s="3331"/>
      <c r="AA63" s="3331"/>
      <c r="AB63" s="3331"/>
      <c r="AC63" s="3331"/>
      <c r="AD63" s="3331"/>
      <c r="AE63" s="3331"/>
      <c r="AF63" s="3331"/>
      <c r="AG63" s="3331"/>
      <c r="AH63" s="3331"/>
      <c r="AI63" s="3331"/>
      <c r="AJ63" s="3331"/>
      <c r="AK63" s="3331"/>
      <c r="AL63" s="3331"/>
      <c r="AM63" s="3331"/>
      <c r="AN63" s="3331"/>
      <c r="AO63" s="3331"/>
      <c r="AP63" s="3331"/>
      <c r="AQ63" s="3331"/>
      <c r="AR63" s="3331"/>
    </row>
    <row r="64" spans="1:44" ht="15" customHeight="1" x14ac:dyDescent="0.25">
      <c r="A64" s="3331"/>
      <c r="B64" s="3331"/>
      <c r="C64" s="3331"/>
      <c r="D64" s="3331"/>
      <c r="E64" s="3331"/>
      <c r="F64" s="3331"/>
      <c r="G64" s="3331"/>
      <c r="H64" s="3331"/>
      <c r="I64" s="3331"/>
      <c r="J64" s="3331"/>
      <c r="K64" s="3331"/>
      <c r="L64" s="3331"/>
      <c r="M64" s="3331"/>
      <c r="N64" s="3331"/>
      <c r="O64" s="3331"/>
      <c r="P64" s="3331"/>
      <c r="Q64" s="3331"/>
      <c r="R64" s="3331"/>
      <c r="S64" s="3331"/>
      <c r="T64" s="3331"/>
      <c r="U64" s="3331"/>
      <c r="V64" s="3331"/>
      <c r="W64" s="3331"/>
      <c r="X64" s="3331"/>
      <c r="Y64" s="3331"/>
      <c r="Z64" s="3331"/>
      <c r="AA64" s="3331"/>
      <c r="AB64" s="3331"/>
      <c r="AC64" s="3331"/>
      <c r="AD64" s="3331"/>
      <c r="AE64" s="3331"/>
      <c r="AF64" s="3331"/>
      <c r="AG64" s="3331"/>
      <c r="AH64" s="3331"/>
      <c r="AI64" s="3331"/>
      <c r="AJ64" s="3331"/>
      <c r="AK64" s="3331"/>
      <c r="AL64" s="3331"/>
      <c r="AM64" s="3331"/>
      <c r="AN64" s="3331"/>
      <c r="AO64" s="3331"/>
      <c r="AP64" s="3331"/>
      <c r="AQ64" s="3331"/>
      <c r="AR64" s="3331"/>
    </row>
    <row r="65" spans="1:44" ht="15" customHeight="1" x14ac:dyDescent="0.25">
      <c r="A65" s="3331"/>
      <c r="B65" s="3331"/>
      <c r="C65" s="3331"/>
      <c r="D65" s="3331"/>
      <c r="E65" s="3331"/>
      <c r="F65" s="3331"/>
      <c r="G65" s="3331"/>
      <c r="H65" s="3331"/>
      <c r="I65" s="3331"/>
      <c r="J65" s="3331"/>
      <c r="K65" s="3331"/>
      <c r="L65" s="3331"/>
      <c r="M65" s="3331"/>
      <c r="N65" s="3331"/>
      <c r="O65" s="3331"/>
      <c r="P65" s="3331"/>
      <c r="Q65" s="3331"/>
      <c r="R65" s="3331"/>
      <c r="S65" s="3331"/>
      <c r="T65" s="3331"/>
      <c r="U65" s="3331"/>
      <c r="V65" s="3331"/>
      <c r="W65" s="3331"/>
      <c r="X65" s="3331"/>
      <c r="Y65" s="3331"/>
      <c r="Z65" s="3331"/>
      <c r="AA65" s="3331"/>
      <c r="AB65" s="3331"/>
      <c r="AC65" s="3331"/>
      <c r="AD65" s="3331"/>
      <c r="AE65" s="3331"/>
      <c r="AF65" s="3331"/>
      <c r="AG65" s="3331"/>
      <c r="AH65" s="3331"/>
      <c r="AI65" s="3331"/>
      <c r="AJ65" s="3331"/>
      <c r="AK65" s="3331"/>
      <c r="AL65" s="3331"/>
      <c r="AM65" s="3331"/>
      <c r="AN65" s="3331"/>
      <c r="AO65" s="3331"/>
      <c r="AP65" s="3331"/>
      <c r="AQ65" s="3331"/>
      <c r="AR65" s="3331"/>
    </row>
    <row r="66" spans="1:44" ht="15" customHeight="1" x14ac:dyDescent="0.25">
      <c r="A66" s="3331"/>
      <c r="B66" s="3331"/>
      <c r="C66" s="3331"/>
      <c r="D66" s="3331"/>
      <c r="E66" s="3331"/>
      <c r="F66" s="3331"/>
      <c r="G66" s="3331"/>
      <c r="H66" s="3331"/>
      <c r="I66" s="3331"/>
      <c r="J66" s="3331"/>
      <c r="K66" s="3331"/>
      <c r="L66" s="3331"/>
      <c r="M66" s="3331"/>
      <c r="N66" s="3331"/>
      <c r="O66" s="3331"/>
      <c r="P66" s="3331"/>
      <c r="Q66" s="3331"/>
      <c r="R66" s="3331"/>
      <c r="S66" s="3331"/>
      <c r="T66" s="3331"/>
      <c r="U66" s="3331"/>
      <c r="V66" s="3331"/>
      <c r="W66" s="3331"/>
      <c r="X66" s="3331"/>
      <c r="Y66" s="3331"/>
      <c r="Z66" s="3331"/>
      <c r="AA66" s="3331"/>
      <c r="AB66" s="3331"/>
      <c r="AC66" s="3331"/>
      <c r="AD66" s="3331"/>
      <c r="AE66" s="3331"/>
      <c r="AF66" s="3331"/>
      <c r="AG66" s="3331"/>
      <c r="AH66" s="3331"/>
      <c r="AI66" s="3331"/>
      <c r="AJ66" s="3331"/>
      <c r="AK66" s="3331"/>
      <c r="AL66" s="3331"/>
      <c r="AM66" s="3331"/>
      <c r="AN66" s="3331"/>
      <c r="AO66" s="3331"/>
      <c r="AP66" s="3331"/>
      <c r="AQ66" s="3331"/>
      <c r="AR66" s="3331"/>
    </row>
    <row r="67" spans="1:44" ht="15" customHeight="1" x14ac:dyDescent="0.25">
      <c r="A67" s="3331"/>
      <c r="B67" s="3331"/>
      <c r="C67" s="3331"/>
      <c r="D67" s="3331"/>
      <c r="E67" s="3331"/>
      <c r="F67" s="3331"/>
      <c r="G67" s="3331"/>
      <c r="H67" s="3331"/>
      <c r="I67" s="3331"/>
      <c r="J67" s="3331"/>
      <c r="K67" s="3331"/>
      <c r="L67" s="3331"/>
      <c r="M67" s="3331"/>
      <c r="N67" s="3331"/>
      <c r="O67" s="3331"/>
      <c r="P67" s="3331"/>
      <c r="Q67" s="3331"/>
      <c r="R67" s="3331"/>
      <c r="S67" s="3331"/>
      <c r="T67" s="3331"/>
      <c r="U67" s="3331"/>
      <c r="V67" s="3331"/>
      <c r="W67" s="3331"/>
      <c r="X67" s="3331"/>
      <c r="Y67" s="3331"/>
      <c r="Z67" s="3331"/>
      <c r="AA67" s="3331"/>
      <c r="AB67" s="3331"/>
      <c r="AC67" s="3331"/>
      <c r="AD67" s="3331"/>
      <c r="AE67" s="3331"/>
      <c r="AF67" s="3331"/>
      <c r="AG67" s="3331"/>
      <c r="AH67" s="3331"/>
      <c r="AI67" s="3331"/>
      <c r="AJ67" s="3331"/>
      <c r="AK67" s="3331"/>
      <c r="AL67" s="3331"/>
      <c r="AM67" s="3331"/>
      <c r="AN67" s="3331"/>
      <c r="AO67" s="3331"/>
      <c r="AP67" s="3331"/>
      <c r="AQ67" s="3331"/>
      <c r="AR67" s="3331"/>
    </row>
    <row r="68" spans="1:44" ht="15" customHeight="1" x14ac:dyDescent="0.25">
      <c r="A68" s="3331"/>
      <c r="B68" s="3331"/>
      <c r="C68" s="3331"/>
      <c r="D68" s="3331"/>
      <c r="E68" s="3331"/>
      <c r="F68" s="3331"/>
      <c r="G68" s="3331"/>
      <c r="H68" s="3331"/>
      <c r="I68" s="3331"/>
      <c r="J68" s="3331"/>
      <c r="K68" s="3331"/>
      <c r="L68" s="3331"/>
      <c r="M68" s="3331"/>
      <c r="N68" s="3331"/>
      <c r="O68" s="3331"/>
      <c r="P68" s="3331"/>
      <c r="Q68" s="3331"/>
      <c r="R68" s="3331"/>
      <c r="S68" s="3331"/>
      <c r="T68" s="3331"/>
      <c r="U68" s="3331"/>
      <c r="V68" s="3331"/>
      <c r="W68" s="3331"/>
      <c r="X68" s="3331"/>
      <c r="Y68" s="3331"/>
      <c r="Z68" s="3331"/>
      <c r="AA68" s="3331"/>
      <c r="AB68" s="3331"/>
      <c r="AC68" s="3331"/>
      <c r="AD68" s="3331"/>
      <c r="AE68" s="3331"/>
      <c r="AF68" s="3331"/>
      <c r="AG68" s="3331"/>
      <c r="AH68" s="3331"/>
      <c r="AI68" s="3331"/>
      <c r="AJ68" s="3331"/>
      <c r="AK68" s="3331"/>
      <c r="AL68" s="3331"/>
      <c r="AM68" s="3331"/>
      <c r="AN68" s="3331"/>
      <c r="AO68" s="3331"/>
      <c r="AP68" s="3331"/>
      <c r="AQ68" s="3331"/>
      <c r="AR68" s="3331"/>
    </row>
    <row r="69" spans="1:44" ht="15" customHeight="1" x14ac:dyDescent="0.25">
      <c r="A69" s="3331"/>
      <c r="B69" s="3331"/>
      <c r="C69" s="3331"/>
      <c r="D69" s="3331"/>
      <c r="E69" s="3331"/>
      <c r="F69" s="3331"/>
      <c r="G69" s="3331"/>
      <c r="H69" s="3331"/>
      <c r="I69" s="3331"/>
      <c r="J69" s="3331"/>
      <c r="K69" s="3331"/>
      <c r="L69" s="3331"/>
      <c r="M69" s="3331"/>
      <c r="N69" s="3331"/>
      <c r="O69" s="3331"/>
      <c r="P69" s="3331"/>
      <c r="Q69" s="3331"/>
      <c r="R69" s="3331"/>
      <c r="S69" s="3331"/>
      <c r="T69" s="3331"/>
      <c r="U69" s="3331"/>
      <c r="V69" s="3331"/>
      <c r="W69" s="3331"/>
      <c r="X69" s="3331"/>
      <c r="Y69" s="3331"/>
      <c r="Z69" s="3331"/>
      <c r="AA69" s="3331"/>
      <c r="AB69" s="3331"/>
      <c r="AC69" s="3331"/>
      <c r="AD69" s="3331"/>
      <c r="AE69" s="3331"/>
      <c r="AF69" s="3331"/>
      <c r="AG69" s="3331"/>
      <c r="AH69" s="3331"/>
      <c r="AI69" s="3331"/>
      <c r="AJ69" s="3331"/>
      <c r="AK69" s="3331"/>
      <c r="AL69" s="3331"/>
      <c r="AM69" s="3331"/>
      <c r="AN69" s="3331"/>
      <c r="AO69" s="3331"/>
      <c r="AP69" s="3331"/>
      <c r="AQ69" s="3331"/>
      <c r="AR69" s="3331"/>
    </row>
    <row r="70" spans="1:44" ht="15" customHeight="1" x14ac:dyDescent="0.25">
      <c r="A70" s="3331"/>
      <c r="B70" s="3331"/>
      <c r="C70" s="3331"/>
      <c r="D70" s="3331"/>
      <c r="E70" s="3331"/>
      <c r="F70" s="3331"/>
      <c r="G70" s="3331"/>
      <c r="H70" s="3331"/>
      <c r="I70" s="3331"/>
      <c r="J70" s="3331"/>
      <c r="K70" s="3331"/>
      <c r="L70" s="3331"/>
      <c r="M70" s="3331"/>
      <c r="N70" s="3331"/>
      <c r="O70" s="3331"/>
      <c r="P70" s="3331"/>
      <c r="Q70" s="3331"/>
      <c r="R70" s="3331"/>
      <c r="S70" s="3331"/>
      <c r="T70" s="3331"/>
      <c r="U70" s="3331"/>
      <c r="V70" s="3331"/>
      <c r="W70" s="3331"/>
      <c r="X70" s="3331"/>
      <c r="Y70" s="3331"/>
      <c r="Z70" s="3331"/>
      <c r="AA70" s="3331"/>
      <c r="AB70" s="3331"/>
      <c r="AC70" s="3331"/>
      <c r="AD70" s="3331"/>
      <c r="AE70" s="3331"/>
      <c r="AF70" s="3331"/>
      <c r="AG70" s="3331"/>
      <c r="AH70" s="3331"/>
      <c r="AI70" s="3331"/>
      <c r="AJ70" s="3331"/>
      <c r="AK70" s="3331"/>
      <c r="AL70" s="3331"/>
      <c r="AM70" s="3331"/>
      <c r="AN70" s="3331"/>
      <c r="AO70" s="3331"/>
      <c r="AP70" s="3331"/>
      <c r="AQ70" s="3331"/>
      <c r="AR70" s="3331"/>
    </row>
    <row r="71" spans="1:44" ht="15" customHeight="1" x14ac:dyDescent="0.25">
      <c r="A71" s="3331"/>
      <c r="B71" s="3331"/>
      <c r="C71" s="3331"/>
      <c r="D71" s="3331"/>
      <c r="E71" s="3331"/>
      <c r="F71" s="3331"/>
      <c r="G71" s="3331"/>
      <c r="H71" s="3331"/>
      <c r="I71" s="3331"/>
      <c r="J71" s="3331"/>
      <c r="K71" s="3331"/>
      <c r="L71" s="3331"/>
      <c r="M71" s="3331"/>
      <c r="N71" s="3331"/>
      <c r="O71" s="3331"/>
      <c r="P71" s="3331"/>
      <c r="Q71" s="3331"/>
      <c r="R71" s="3331"/>
      <c r="S71" s="3331"/>
      <c r="T71" s="3331"/>
      <c r="U71" s="3331"/>
      <c r="V71" s="3331"/>
      <c r="W71" s="3331"/>
      <c r="X71" s="3331"/>
      <c r="Y71" s="3331"/>
      <c r="Z71" s="3331"/>
      <c r="AA71" s="3331"/>
      <c r="AB71" s="3331"/>
      <c r="AC71" s="3331"/>
      <c r="AD71" s="3331"/>
      <c r="AE71" s="3331"/>
      <c r="AF71" s="3331"/>
      <c r="AG71" s="3331"/>
      <c r="AH71" s="3331"/>
      <c r="AI71" s="3331"/>
      <c r="AJ71" s="3331"/>
      <c r="AK71" s="3331"/>
      <c r="AL71" s="3331"/>
      <c r="AM71" s="3331"/>
      <c r="AN71" s="3331"/>
      <c r="AO71" s="3331"/>
      <c r="AP71" s="3331"/>
      <c r="AQ71" s="3331"/>
      <c r="AR71" s="3331"/>
    </row>
    <row r="72" spans="1:44" ht="15" customHeight="1" x14ac:dyDescent="0.25">
      <c r="A72" s="3331"/>
      <c r="B72" s="3331"/>
      <c r="C72" s="3331"/>
      <c r="D72" s="3331"/>
      <c r="E72" s="3331"/>
      <c r="F72" s="3331"/>
      <c r="G72" s="3331"/>
      <c r="H72" s="3331"/>
      <c r="I72" s="3331"/>
      <c r="J72" s="3331"/>
      <c r="K72" s="3331"/>
      <c r="L72" s="3331"/>
      <c r="M72" s="3331"/>
      <c r="N72" s="3331"/>
      <c r="O72" s="3331"/>
      <c r="P72" s="3331"/>
      <c r="Q72" s="3331"/>
      <c r="R72" s="3331"/>
      <c r="S72" s="3331"/>
      <c r="T72" s="3331"/>
      <c r="U72" s="3331"/>
      <c r="V72" s="3331"/>
      <c r="W72" s="3331"/>
      <c r="X72" s="3331"/>
      <c r="Y72" s="3331"/>
      <c r="Z72" s="3331"/>
      <c r="AA72" s="3331"/>
      <c r="AB72" s="3331"/>
      <c r="AC72" s="3331"/>
      <c r="AD72" s="3331"/>
      <c r="AE72" s="3331"/>
      <c r="AF72" s="3331"/>
      <c r="AG72" s="3331"/>
      <c r="AH72" s="3331"/>
      <c r="AI72" s="3331"/>
      <c r="AJ72" s="3331"/>
      <c r="AK72" s="3331"/>
      <c r="AL72" s="3331"/>
      <c r="AM72" s="3331"/>
      <c r="AN72" s="3331"/>
      <c r="AO72" s="3331"/>
      <c r="AP72" s="3331"/>
      <c r="AQ72" s="3331"/>
      <c r="AR72" s="3331"/>
    </row>
    <row r="73" spans="1:44" ht="15" customHeight="1" x14ac:dyDescent="0.25">
      <c r="A73" s="3331"/>
      <c r="B73" s="3331"/>
      <c r="C73" s="3331"/>
      <c r="D73" s="3331"/>
      <c r="E73" s="3331"/>
      <c r="F73" s="3331"/>
      <c r="G73" s="3331"/>
      <c r="H73" s="3331"/>
      <c r="I73" s="3331"/>
      <c r="J73" s="3331"/>
      <c r="K73" s="3331"/>
      <c r="L73" s="3331"/>
      <c r="M73" s="3331"/>
      <c r="N73" s="3331"/>
      <c r="O73" s="3331"/>
      <c r="P73" s="3331"/>
      <c r="Q73" s="3331"/>
      <c r="R73" s="3331"/>
      <c r="S73" s="3331"/>
      <c r="T73" s="3331"/>
      <c r="U73" s="3331"/>
      <c r="V73" s="3331"/>
      <c r="W73" s="3331"/>
      <c r="X73" s="3331"/>
      <c r="Y73" s="3331"/>
      <c r="Z73" s="3331"/>
      <c r="AA73" s="3331"/>
      <c r="AB73" s="3331"/>
      <c r="AC73" s="3331"/>
      <c r="AD73" s="3331"/>
      <c r="AE73" s="3331"/>
      <c r="AF73" s="3331"/>
      <c r="AG73" s="3331"/>
      <c r="AH73" s="3331"/>
      <c r="AI73" s="3331"/>
      <c r="AJ73" s="3331"/>
      <c r="AK73" s="3331"/>
      <c r="AL73" s="3331"/>
      <c r="AM73" s="3331"/>
      <c r="AN73" s="3331"/>
      <c r="AO73" s="3331"/>
      <c r="AP73" s="3331"/>
      <c r="AQ73" s="3331"/>
      <c r="AR73" s="3331"/>
    </row>
    <row r="74" spans="1:44" ht="15" customHeight="1" x14ac:dyDescent="0.25">
      <c r="A74" s="3331"/>
      <c r="B74" s="3331"/>
      <c r="C74" s="3331"/>
      <c r="D74" s="3331"/>
      <c r="E74" s="3331"/>
      <c r="F74" s="3331"/>
      <c r="G74" s="3331"/>
      <c r="H74" s="3331"/>
      <c r="I74" s="3331"/>
      <c r="J74" s="3331"/>
      <c r="K74" s="3331"/>
      <c r="L74" s="3331"/>
      <c r="M74" s="3331"/>
      <c r="N74" s="3331"/>
      <c r="O74" s="3331"/>
      <c r="P74" s="3331"/>
      <c r="Q74" s="3331"/>
      <c r="R74" s="3331"/>
      <c r="S74" s="3331"/>
      <c r="T74" s="3331"/>
      <c r="U74" s="3331"/>
      <c r="V74" s="3331"/>
      <c r="W74" s="3331"/>
      <c r="X74" s="3331"/>
      <c r="Y74" s="3331"/>
      <c r="Z74" s="3331"/>
      <c r="AA74" s="3331"/>
      <c r="AB74" s="3331"/>
      <c r="AC74" s="3331"/>
      <c r="AD74" s="3331"/>
      <c r="AE74" s="3331"/>
      <c r="AF74" s="3331"/>
      <c r="AG74" s="3331"/>
      <c r="AH74" s="3331"/>
      <c r="AI74" s="3331"/>
      <c r="AJ74" s="3331"/>
      <c r="AK74" s="3331"/>
      <c r="AL74" s="3331"/>
      <c r="AM74" s="3331"/>
      <c r="AN74" s="3331"/>
      <c r="AO74" s="3331"/>
      <c r="AP74" s="3331"/>
      <c r="AQ74" s="3331"/>
      <c r="AR74" s="3331"/>
    </row>
    <row r="75" spans="1:44" ht="15" customHeight="1" x14ac:dyDescent="0.25">
      <c r="A75" s="3331"/>
      <c r="B75" s="3331"/>
      <c r="C75" s="3331"/>
      <c r="D75" s="3331"/>
      <c r="E75" s="3331"/>
      <c r="F75" s="3331"/>
      <c r="G75" s="3331"/>
      <c r="H75" s="3331"/>
      <c r="I75" s="3331"/>
      <c r="J75" s="3331"/>
      <c r="K75" s="3331"/>
      <c r="L75" s="3331"/>
      <c r="M75" s="3331"/>
      <c r="N75" s="3331"/>
      <c r="O75" s="3331"/>
      <c r="P75" s="3331"/>
      <c r="Q75" s="3331"/>
      <c r="R75" s="3331"/>
      <c r="S75" s="3331"/>
      <c r="T75" s="3331"/>
      <c r="U75" s="3331"/>
      <c r="V75" s="3331"/>
      <c r="W75" s="3331"/>
      <c r="X75" s="3331"/>
      <c r="Y75" s="3331"/>
      <c r="Z75" s="3331"/>
      <c r="AA75" s="3331"/>
      <c r="AB75" s="3331"/>
      <c r="AC75" s="3331"/>
      <c r="AD75" s="3331"/>
      <c r="AE75" s="3331"/>
      <c r="AF75" s="3331"/>
      <c r="AG75" s="3331"/>
      <c r="AH75" s="3331"/>
      <c r="AI75" s="3331"/>
      <c r="AJ75" s="3331"/>
      <c r="AK75" s="3331"/>
      <c r="AL75" s="3331"/>
      <c r="AM75" s="3331"/>
      <c r="AN75" s="3331"/>
      <c r="AO75" s="3331"/>
      <c r="AP75" s="3331"/>
      <c r="AQ75" s="3331"/>
      <c r="AR75" s="3331"/>
    </row>
    <row r="76" spans="1:44" ht="15" customHeight="1" x14ac:dyDescent="0.25">
      <c r="A76" s="3331"/>
      <c r="B76" s="3331"/>
      <c r="C76" s="3331"/>
      <c r="D76" s="3331"/>
      <c r="E76" s="3331"/>
      <c r="F76" s="3331"/>
      <c r="G76" s="3331"/>
      <c r="H76" s="3331"/>
      <c r="I76" s="3331"/>
      <c r="J76" s="3331"/>
      <c r="K76" s="3331"/>
      <c r="L76" s="3331"/>
      <c r="M76" s="3331"/>
      <c r="N76" s="3331"/>
      <c r="O76" s="3331"/>
      <c r="P76" s="3331"/>
      <c r="Q76" s="3331"/>
      <c r="R76" s="3331"/>
      <c r="S76" s="3331"/>
      <c r="T76" s="3331"/>
      <c r="U76" s="3331"/>
      <c r="V76" s="3331"/>
      <c r="W76" s="3331"/>
      <c r="X76" s="3331"/>
      <c r="Y76" s="3331"/>
      <c r="Z76" s="3331"/>
      <c r="AA76" s="3331"/>
      <c r="AB76" s="3331"/>
      <c r="AC76" s="3331"/>
      <c r="AD76" s="3331"/>
      <c r="AE76" s="3331"/>
      <c r="AF76" s="3331"/>
      <c r="AG76" s="3331"/>
      <c r="AH76" s="3331"/>
      <c r="AI76" s="3331"/>
      <c r="AJ76" s="3331"/>
      <c r="AK76" s="3331"/>
      <c r="AL76" s="3331"/>
      <c r="AM76" s="3331"/>
      <c r="AN76" s="3331"/>
      <c r="AO76" s="3331"/>
      <c r="AP76" s="3331"/>
      <c r="AQ76" s="3331"/>
      <c r="AR76" s="3331"/>
    </row>
    <row r="77" spans="1:44" ht="15" customHeight="1" x14ac:dyDescent="0.25">
      <c r="A77" s="3331"/>
      <c r="B77" s="3331"/>
      <c r="C77" s="3331"/>
      <c r="D77" s="3331"/>
      <c r="E77" s="3331"/>
      <c r="F77" s="3331"/>
      <c r="G77" s="3331"/>
      <c r="H77" s="3331"/>
      <c r="I77" s="3331"/>
      <c r="J77" s="3331"/>
      <c r="K77" s="3331"/>
      <c r="L77" s="3331"/>
      <c r="M77" s="3331"/>
      <c r="N77" s="3331"/>
      <c r="O77" s="3331"/>
      <c r="P77" s="3331"/>
      <c r="Q77" s="3331"/>
      <c r="R77" s="3331"/>
      <c r="S77" s="3331"/>
      <c r="T77" s="3331"/>
      <c r="U77" s="3331"/>
      <c r="V77" s="3331"/>
      <c r="W77" s="3331"/>
      <c r="X77" s="3331"/>
      <c r="Y77" s="3331"/>
      <c r="Z77" s="3331"/>
      <c r="AA77" s="3331"/>
      <c r="AB77" s="3331"/>
      <c r="AC77" s="3331"/>
      <c r="AD77" s="3331"/>
      <c r="AE77" s="3331"/>
      <c r="AF77" s="3331"/>
      <c r="AG77" s="3331"/>
      <c r="AH77" s="3331"/>
      <c r="AI77" s="3331"/>
      <c r="AJ77" s="3331"/>
      <c r="AK77" s="3331"/>
      <c r="AL77" s="3331"/>
      <c r="AM77" s="3331"/>
      <c r="AN77" s="3331"/>
      <c r="AO77" s="3331"/>
      <c r="AP77" s="3331"/>
      <c r="AQ77" s="3331"/>
      <c r="AR77" s="3331"/>
    </row>
    <row r="78" spans="1:44" ht="15" customHeight="1" x14ac:dyDescent="0.25">
      <c r="A78" s="3331"/>
      <c r="B78" s="3331"/>
      <c r="C78" s="3331"/>
      <c r="D78" s="3331"/>
      <c r="E78" s="3331"/>
      <c r="F78" s="3331"/>
      <c r="G78" s="3331"/>
      <c r="H78" s="3331"/>
      <c r="I78" s="3331"/>
      <c r="J78" s="3331"/>
      <c r="K78" s="3331"/>
      <c r="L78" s="3331"/>
      <c r="M78" s="3331"/>
      <c r="N78" s="3331"/>
      <c r="O78" s="3331"/>
      <c r="P78" s="3331"/>
      <c r="Q78" s="3331"/>
      <c r="R78" s="3331"/>
      <c r="S78" s="3331"/>
      <c r="T78" s="3331"/>
      <c r="U78" s="3331"/>
      <c r="V78" s="3331"/>
      <c r="W78" s="3331"/>
      <c r="X78" s="3331"/>
      <c r="Y78" s="3331"/>
      <c r="Z78" s="3331"/>
      <c r="AA78" s="3331"/>
      <c r="AB78" s="3331"/>
      <c r="AC78" s="3331"/>
      <c r="AD78" s="3331"/>
      <c r="AE78" s="3331"/>
      <c r="AF78" s="3331"/>
      <c r="AG78" s="3331"/>
      <c r="AH78" s="3331"/>
      <c r="AI78" s="3331"/>
      <c r="AJ78" s="3331"/>
      <c r="AK78" s="3331"/>
      <c r="AL78" s="3331"/>
      <c r="AM78" s="3331"/>
      <c r="AN78" s="3331"/>
      <c r="AO78" s="3331"/>
      <c r="AP78" s="3331"/>
      <c r="AQ78" s="3331"/>
      <c r="AR78" s="3331"/>
    </row>
    <row r="79" spans="1:44" ht="15" customHeight="1" x14ac:dyDescent="0.25">
      <c r="A79" s="3331"/>
      <c r="B79" s="3331"/>
      <c r="C79" s="3331"/>
      <c r="D79" s="3331"/>
      <c r="E79" s="3331"/>
      <c r="F79" s="3331"/>
      <c r="G79" s="3331"/>
      <c r="H79" s="3331"/>
      <c r="I79" s="3331"/>
      <c r="J79" s="3331"/>
      <c r="K79" s="3331"/>
      <c r="L79" s="3331"/>
      <c r="M79" s="3331"/>
      <c r="N79" s="3331"/>
      <c r="O79" s="3331"/>
      <c r="P79" s="3331"/>
      <c r="Q79" s="3331"/>
      <c r="R79" s="3331"/>
      <c r="S79" s="3331"/>
      <c r="T79" s="3331"/>
      <c r="U79" s="3331"/>
      <c r="V79" s="3331"/>
      <c r="W79" s="3331"/>
      <c r="X79" s="3331"/>
      <c r="Y79" s="3331"/>
      <c r="Z79" s="3331"/>
      <c r="AA79" s="3331"/>
      <c r="AB79" s="3331"/>
      <c r="AC79" s="3331"/>
      <c r="AD79" s="3331"/>
      <c r="AE79" s="3331"/>
      <c r="AF79" s="3331"/>
      <c r="AG79" s="3331"/>
      <c r="AH79" s="3331"/>
      <c r="AI79" s="3331"/>
      <c r="AJ79" s="3331"/>
      <c r="AK79" s="3331"/>
      <c r="AL79" s="3331"/>
      <c r="AM79" s="3331"/>
      <c r="AN79" s="3331"/>
      <c r="AO79" s="3331"/>
      <c r="AP79" s="3331"/>
      <c r="AQ79" s="3331"/>
      <c r="AR79" s="3331"/>
    </row>
    <row r="80" spans="1:44" ht="15" customHeight="1" x14ac:dyDescent="0.25">
      <c r="A80" s="3331"/>
      <c r="B80" s="3331"/>
      <c r="C80" s="3331"/>
      <c r="D80" s="3331"/>
      <c r="E80" s="3331"/>
      <c r="F80" s="3331"/>
      <c r="G80" s="3331"/>
      <c r="H80" s="3331"/>
      <c r="I80" s="3331"/>
      <c r="J80" s="3331"/>
      <c r="K80" s="3331"/>
      <c r="L80" s="3331"/>
      <c r="M80" s="3331"/>
      <c r="N80" s="3331"/>
      <c r="O80" s="3331"/>
      <c r="P80" s="3331"/>
      <c r="Q80" s="3331"/>
      <c r="R80" s="3331"/>
      <c r="S80" s="3331"/>
      <c r="T80" s="3331"/>
      <c r="U80" s="3331"/>
      <c r="V80" s="3331"/>
      <c r="W80" s="3331"/>
      <c r="X80" s="3331"/>
      <c r="Y80" s="3331"/>
      <c r="Z80" s="3331"/>
      <c r="AA80" s="3331"/>
      <c r="AB80" s="3331"/>
      <c r="AC80" s="3331"/>
      <c r="AD80" s="3331"/>
      <c r="AE80" s="3331"/>
      <c r="AF80" s="3331"/>
      <c r="AG80" s="3331"/>
      <c r="AH80" s="3331"/>
      <c r="AI80" s="3331"/>
      <c r="AJ80" s="3331"/>
      <c r="AK80" s="3331"/>
      <c r="AL80" s="3331"/>
      <c r="AM80" s="3331"/>
      <c r="AN80" s="3331"/>
      <c r="AO80" s="3331"/>
      <c r="AP80" s="3331"/>
      <c r="AQ80" s="3331"/>
      <c r="AR80" s="3331"/>
    </row>
    <row r="81" spans="1:44" ht="15" customHeight="1" x14ac:dyDescent="0.25">
      <c r="A81" s="3331"/>
      <c r="B81" s="3331"/>
      <c r="C81" s="3331"/>
      <c r="D81" s="3331"/>
      <c r="E81" s="3331"/>
      <c r="F81" s="3331"/>
      <c r="G81" s="3331"/>
      <c r="H81" s="3331"/>
      <c r="I81" s="3331"/>
      <c r="J81" s="3331"/>
      <c r="K81" s="3331"/>
      <c r="L81" s="3331"/>
      <c r="M81" s="3331"/>
      <c r="N81" s="3331"/>
      <c r="O81" s="3331"/>
      <c r="P81" s="3331"/>
      <c r="Q81" s="3331"/>
      <c r="R81" s="3331"/>
      <c r="S81" s="3331"/>
      <c r="T81" s="3331"/>
      <c r="U81" s="3331"/>
      <c r="V81" s="3331"/>
      <c r="W81" s="3331"/>
      <c r="X81" s="3331"/>
      <c r="Y81" s="3331"/>
      <c r="Z81" s="3331"/>
      <c r="AA81" s="3331"/>
      <c r="AB81" s="3331"/>
      <c r="AC81" s="3331"/>
      <c r="AD81" s="3331"/>
      <c r="AE81" s="3331"/>
      <c r="AF81" s="3331"/>
      <c r="AG81" s="3331"/>
      <c r="AH81" s="3331"/>
      <c r="AI81" s="3331"/>
      <c r="AJ81" s="3331"/>
      <c r="AK81" s="3331"/>
      <c r="AL81" s="3331"/>
      <c r="AM81" s="3331"/>
      <c r="AN81" s="3331"/>
      <c r="AO81" s="3331"/>
      <c r="AP81" s="3331"/>
      <c r="AQ81" s="3331"/>
      <c r="AR81" s="3331"/>
    </row>
    <row r="82" spans="1:44" ht="15" customHeight="1" x14ac:dyDescent="0.25">
      <c r="A82" s="3331"/>
      <c r="B82" s="3331"/>
      <c r="C82" s="3331"/>
      <c r="D82" s="3331"/>
      <c r="E82" s="3331"/>
      <c r="F82" s="3331"/>
      <c r="G82" s="3331"/>
      <c r="H82" s="3331"/>
      <c r="I82" s="3331"/>
      <c r="J82" s="3331"/>
      <c r="K82" s="3331"/>
      <c r="L82" s="3331"/>
      <c r="M82" s="3331"/>
      <c r="N82" s="3331"/>
      <c r="O82" s="3331"/>
      <c r="P82" s="3331"/>
      <c r="Q82" s="3331"/>
      <c r="R82" s="3331"/>
      <c r="S82" s="3331"/>
      <c r="T82" s="3331"/>
      <c r="U82" s="3331"/>
      <c r="V82" s="3331"/>
      <c r="W82" s="3331"/>
      <c r="X82" s="3331"/>
      <c r="Y82" s="3331"/>
      <c r="Z82" s="3331"/>
      <c r="AA82" s="3331"/>
      <c r="AB82" s="3331"/>
      <c r="AC82" s="3331"/>
      <c r="AD82" s="3331"/>
      <c r="AE82" s="3331"/>
      <c r="AF82" s="3331"/>
      <c r="AG82" s="3331"/>
      <c r="AH82" s="3331"/>
      <c r="AI82" s="3331"/>
      <c r="AJ82" s="3331"/>
      <c r="AK82" s="3331"/>
      <c r="AL82" s="3331"/>
      <c r="AM82" s="3331"/>
      <c r="AN82" s="3331"/>
      <c r="AO82" s="3331"/>
      <c r="AP82" s="3331"/>
      <c r="AQ82" s="3331"/>
      <c r="AR82" s="3331"/>
    </row>
    <row r="83" spans="1:44" ht="15" customHeight="1" x14ac:dyDescent="0.25">
      <c r="A83" s="3331"/>
      <c r="B83" s="3331"/>
      <c r="C83" s="3331"/>
      <c r="D83" s="3331"/>
      <c r="E83" s="3331"/>
      <c r="F83" s="3331"/>
      <c r="G83" s="3331"/>
      <c r="H83" s="3331"/>
      <c r="I83" s="3331"/>
      <c r="J83" s="3331"/>
      <c r="K83" s="3331"/>
      <c r="L83" s="3331"/>
      <c r="M83" s="3331"/>
      <c r="N83" s="3331"/>
      <c r="O83" s="3331"/>
      <c r="P83" s="3331"/>
      <c r="Q83" s="3331"/>
      <c r="R83" s="3331"/>
      <c r="S83" s="3331"/>
      <c r="T83" s="3331"/>
      <c r="U83" s="3331"/>
      <c r="V83" s="3331"/>
      <c r="W83" s="3331"/>
      <c r="X83" s="3331"/>
      <c r="Y83" s="3331"/>
      <c r="Z83" s="3331"/>
      <c r="AA83" s="3331"/>
      <c r="AB83" s="3331"/>
      <c r="AC83" s="3331"/>
      <c r="AD83" s="3331"/>
      <c r="AE83" s="3331"/>
      <c r="AF83" s="3331"/>
      <c r="AG83" s="3331"/>
      <c r="AH83" s="3331"/>
      <c r="AI83" s="3331"/>
      <c r="AJ83" s="3331"/>
      <c r="AK83" s="3331"/>
      <c r="AL83" s="3331"/>
      <c r="AM83" s="3331"/>
      <c r="AN83" s="3331"/>
      <c r="AO83" s="3331"/>
      <c r="AP83" s="3331"/>
      <c r="AQ83" s="3331"/>
      <c r="AR83" s="3331"/>
    </row>
    <row r="84" spans="1:44" ht="15" customHeight="1" x14ac:dyDescent="0.25">
      <c r="A84" s="3331"/>
      <c r="B84" s="3331"/>
      <c r="C84" s="3331"/>
      <c r="D84" s="3331"/>
      <c r="E84" s="3331"/>
      <c r="F84" s="3331"/>
      <c r="G84" s="3331"/>
      <c r="H84" s="3331"/>
      <c r="I84" s="3331"/>
      <c r="J84" s="3331"/>
      <c r="K84" s="3331"/>
      <c r="L84" s="3331"/>
      <c r="M84" s="3331"/>
      <c r="N84" s="3331"/>
      <c r="O84" s="3331"/>
      <c r="P84" s="3331"/>
      <c r="Q84" s="3331"/>
      <c r="R84" s="3331"/>
      <c r="S84" s="3331"/>
      <c r="T84" s="3331"/>
      <c r="U84" s="3331"/>
      <c r="V84" s="3331"/>
      <c r="W84" s="3331"/>
      <c r="X84" s="3331"/>
      <c r="Y84" s="3331"/>
      <c r="Z84" s="3331"/>
      <c r="AA84" s="3331"/>
      <c r="AB84" s="3331"/>
      <c r="AC84" s="3331"/>
      <c r="AD84" s="3331"/>
      <c r="AE84" s="3331"/>
      <c r="AF84" s="3331"/>
      <c r="AG84" s="3331"/>
      <c r="AH84" s="3331"/>
      <c r="AI84" s="3331"/>
      <c r="AJ84" s="3331"/>
      <c r="AK84" s="3331"/>
      <c r="AL84" s="3331"/>
      <c r="AM84" s="3331"/>
      <c r="AN84" s="3331"/>
      <c r="AO84" s="3331"/>
      <c r="AP84" s="3331"/>
      <c r="AQ84" s="3331"/>
      <c r="AR84" s="3331"/>
    </row>
    <row r="85" spans="1:44" ht="15" customHeight="1" thickBot="1" x14ac:dyDescent="0.3">
      <c r="A85" s="3331"/>
      <c r="B85" s="3331"/>
      <c r="C85" s="3331"/>
      <c r="D85" s="3331"/>
      <c r="E85" s="3331"/>
      <c r="F85" s="3331"/>
      <c r="G85" s="3331"/>
      <c r="H85" s="3331"/>
      <c r="I85" s="3331"/>
      <c r="J85" s="3331"/>
      <c r="K85" s="3331"/>
      <c r="L85" s="3331"/>
      <c r="M85" s="3331"/>
      <c r="N85" s="3331"/>
      <c r="O85" s="3331"/>
      <c r="P85" s="3331"/>
      <c r="Q85" s="3331"/>
      <c r="R85" s="3331"/>
      <c r="S85" s="3331"/>
      <c r="T85" s="3331"/>
      <c r="U85" s="3331"/>
      <c r="V85" s="3331"/>
      <c r="W85" s="3331"/>
      <c r="X85" s="3331"/>
      <c r="Y85" s="3331"/>
      <c r="Z85" s="3331"/>
      <c r="AA85" s="3331"/>
      <c r="AB85" s="3331"/>
      <c r="AC85" s="3331"/>
      <c r="AD85" s="3331"/>
      <c r="AE85" s="3331"/>
      <c r="AF85" s="3331"/>
      <c r="AG85" s="3331"/>
      <c r="AH85" s="3331"/>
      <c r="AI85" s="3331"/>
      <c r="AJ85" s="3331"/>
      <c r="AK85" s="3331"/>
      <c r="AL85" s="3331"/>
      <c r="AM85" s="3331"/>
      <c r="AN85" s="3331"/>
      <c r="AO85" s="3331"/>
      <c r="AP85" s="3331"/>
      <c r="AQ85" s="3331"/>
      <c r="AR85" s="3331"/>
    </row>
    <row r="86" spans="1:44" ht="15" customHeight="1" thickTop="1" thickBot="1" x14ac:dyDescent="0.3">
      <c r="B86" s="97"/>
      <c r="C86" s="98"/>
      <c r="D86" s="98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100"/>
    </row>
    <row r="87" spans="1:44" s="40" customFormat="1" ht="15" customHeight="1" x14ac:dyDescent="0.25">
      <c r="B87" s="101"/>
      <c r="C87" s="3326"/>
      <c r="D87" s="3302"/>
      <c r="E87" s="2598" t="str">
        <f>E4</f>
        <v>Secretaria de Estado de Educação – MG</v>
      </c>
      <c r="F87" s="2598"/>
      <c r="G87" s="2598"/>
      <c r="H87" s="2598"/>
      <c r="I87" s="2598"/>
      <c r="J87" s="2598"/>
      <c r="K87" s="2598"/>
      <c r="L87" s="2598"/>
      <c r="M87" s="2598"/>
      <c r="N87" s="2598"/>
      <c r="O87" s="2598"/>
      <c r="P87" s="2598"/>
      <c r="Q87" s="3321" t="str">
        <f>Q4</f>
        <v>GUIA DE OCORRÊNCIA N.º 02</v>
      </c>
      <c r="R87" s="3321"/>
      <c r="S87" s="3321"/>
      <c r="T87" s="3321"/>
      <c r="U87" s="3321"/>
      <c r="V87" s="3321"/>
      <c r="W87" s="3321"/>
      <c r="X87" s="3321"/>
      <c r="Y87" s="3321"/>
      <c r="Z87" s="3321"/>
      <c r="AA87" s="3321"/>
      <c r="AB87" s="3321"/>
      <c r="AC87" s="3321"/>
      <c r="AD87" s="3321"/>
      <c r="AE87" s="3321"/>
      <c r="AF87" s="3302"/>
      <c r="AG87" s="3302"/>
      <c r="AH87" s="3302"/>
      <c r="AI87" s="3302"/>
      <c r="AJ87" s="3302"/>
      <c r="AK87" s="3302"/>
      <c r="AL87" s="3302"/>
      <c r="AM87" s="3327" t="str">
        <f>AM4</f>
        <v>PÁG.</v>
      </c>
      <c r="AN87" s="3327"/>
      <c r="AO87" s="110">
        <f>AO4</f>
        <v>1</v>
      </c>
      <c r="AP87" s="109" t="str">
        <f>AP4</f>
        <v>/</v>
      </c>
      <c r="AQ87" s="111">
        <f>AQ4</f>
        <v>1</v>
      </c>
      <c r="AR87" s="102"/>
    </row>
    <row r="88" spans="1:44" ht="15" customHeight="1" x14ac:dyDescent="0.25">
      <c r="B88" s="103"/>
      <c r="C88" s="2293"/>
      <c r="D88" s="1434"/>
      <c r="E88" s="1433" t="str">
        <f>E5</f>
        <v>Diretoria de Pessoal</v>
      </c>
      <c r="F88" s="1433"/>
      <c r="G88" s="1433"/>
      <c r="H88" s="1433"/>
      <c r="I88" s="1433"/>
      <c r="J88" s="1433"/>
      <c r="K88" s="1433"/>
      <c r="L88" s="1433"/>
      <c r="M88" s="1433"/>
      <c r="N88" s="1433"/>
      <c r="O88" s="1433"/>
      <c r="P88" s="1433"/>
      <c r="Q88" s="3337" t="str">
        <f>Q5</f>
        <v>(Da S.R.E. para Escola)</v>
      </c>
      <c r="R88" s="3337"/>
      <c r="S88" s="3337"/>
      <c r="T88" s="3337"/>
      <c r="U88" s="3337"/>
      <c r="V88" s="3337"/>
      <c r="W88" s="3337"/>
      <c r="X88" s="3337"/>
      <c r="Y88" s="3337"/>
      <c r="Z88" s="3337"/>
      <c r="AA88" s="3337"/>
      <c r="AB88" s="3337"/>
      <c r="AC88" s="3337"/>
      <c r="AD88" s="3337"/>
      <c r="AE88" s="3337"/>
      <c r="AF88" s="3337"/>
      <c r="AG88" s="3337"/>
      <c r="AH88" s="3337"/>
      <c r="AI88" s="3337"/>
      <c r="AJ88" s="3337"/>
      <c r="AK88" s="3337"/>
      <c r="AL88" s="3337"/>
      <c r="AM88" s="3337"/>
      <c r="AN88" s="3337"/>
      <c r="AO88" s="3337"/>
      <c r="AP88" s="3337"/>
      <c r="AQ88" s="3345"/>
      <c r="AR88" s="104"/>
    </row>
    <row r="89" spans="1:44" ht="15" customHeight="1" x14ac:dyDescent="0.25">
      <c r="B89" s="103"/>
      <c r="C89" s="3380" t="str">
        <f>C6</f>
        <v>SOLICITAÇÃO DE CORREÇÕES (URGENTE)</v>
      </c>
      <c r="D89" s="3381"/>
      <c r="E89" s="3381"/>
      <c r="F89" s="3381"/>
      <c r="G89" s="3381"/>
      <c r="H89" s="3381"/>
      <c r="I89" s="3381"/>
      <c r="J89" s="3381"/>
      <c r="K89" s="3381"/>
      <c r="L89" s="3381"/>
      <c r="M89" s="3381"/>
      <c r="N89" s="3381"/>
      <c r="O89" s="3381"/>
      <c r="P89" s="3381"/>
      <c r="Q89" s="3381"/>
      <c r="R89" s="3381"/>
      <c r="S89" s="3381"/>
      <c r="T89" s="3381"/>
      <c r="U89" s="3381"/>
      <c r="V89" s="3381"/>
      <c r="W89" s="3381"/>
      <c r="X89" s="3381"/>
      <c r="Y89" s="3381"/>
      <c r="Z89" s="3381"/>
      <c r="AA89" s="3381"/>
      <c r="AB89" s="3381"/>
      <c r="AC89" s="3381"/>
      <c r="AD89" s="3381"/>
      <c r="AE89" s="3381"/>
      <c r="AF89" s="3381"/>
      <c r="AG89" s="3381"/>
      <c r="AH89" s="3381"/>
      <c r="AI89" s="3381"/>
      <c r="AJ89" s="3381"/>
      <c r="AK89" s="3381"/>
      <c r="AL89" s="3381"/>
      <c r="AM89" s="3381"/>
      <c r="AN89" s="3381"/>
      <c r="AO89" s="3381"/>
      <c r="AP89" s="3381"/>
      <c r="AQ89" s="3382"/>
      <c r="AR89" s="104"/>
    </row>
    <row r="90" spans="1:44" ht="15" customHeight="1" x14ac:dyDescent="0.25">
      <c r="B90" s="103"/>
      <c r="C90" s="3303" t="str">
        <f>C7</f>
        <v>SISAP – S.R.E.:</v>
      </c>
      <c r="D90" s="3304"/>
      <c r="E90" s="3304"/>
      <c r="F90" s="3304"/>
      <c r="G90" s="3304"/>
      <c r="H90" s="3305" t="str">
        <f>H7</f>
        <v>Uberaba</v>
      </c>
      <c r="I90" s="3305"/>
      <c r="J90" s="3305"/>
      <c r="K90" s="3305"/>
      <c r="L90" s="3305"/>
      <c r="M90" s="3305"/>
      <c r="N90" s="3305"/>
      <c r="O90" s="3305"/>
      <c r="P90" s="3305"/>
      <c r="Q90" s="3305"/>
      <c r="R90" s="3305"/>
      <c r="S90" s="3305"/>
      <c r="T90" s="3305"/>
      <c r="U90" s="3305"/>
      <c r="V90" s="3305"/>
      <c r="W90" s="3305"/>
      <c r="X90" s="3306"/>
      <c r="Y90" s="3306"/>
      <c r="Z90" s="3306"/>
      <c r="AA90" s="3306"/>
      <c r="AB90" s="3306"/>
      <c r="AC90" s="3306"/>
      <c r="AD90" s="3306"/>
      <c r="AE90" s="3306"/>
      <c r="AF90" s="3306"/>
      <c r="AG90" s="3306"/>
      <c r="AH90" s="3306"/>
      <c r="AI90" s="3306"/>
      <c r="AJ90" s="3306"/>
      <c r="AK90" s="3306"/>
      <c r="AL90" s="3306"/>
      <c r="AM90" s="3306"/>
      <c r="AN90" s="121">
        <f>AN7</f>
        <v>7</v>
      </c>
      <c r="AO90" s="122" t="str">
        <f>AO7</f>
        <v>/</v>
      </c>
      <c r="AP90" s="3307">
        <f>AP7</f>
        <v>2017</v>
      </c>
      <c r="AQ90" s="3308"/>
      <c r="AR90" s="104"/>
    </row>
    <row r="91" spans="1:44" ht="3.95" customHeight="1" x14ac:dyDescent="0.25">
      <c r="B91" s="103"/>
      <c r="C91" s="3346"/>
      <c r="D91" s="3337"/>
      <c r="E91" s="3337"/>
      <c r="F91" s="3337"/>
      <c r="G91" s="3337"/>
      <c r="H91" s="3337"/>
      <c r="I91" s="3337"/>
      <c r="J91" s="3337"/>
      <c r="K91" s="3337"/>
      <c r="L91" s="3337"/>
      <c r="M91" s="3337"/>
      <c r="N91" s="3337"/>
      <c r="O91" s="3337"/>
      <c r="P91" s="3337"/>
      <c r="Q91" s="3337"/>
      <c r="R91" s="3337"/>
      <c r="S91" s="3337"/>
      <c r="T91" s="3337"/>
      <c r="U91" s="3337"/>
      <c r="V91" s="3337"/>
      <c r="W91" s="3337"/>
      <c r="X91" s="3337"/>
      <c r="Y91" s="3337"/>
      <c r="Z91" s="3337"/>
      <c r="AA91" s="3337"/>
      <c r="AB91" s="3337"/>
      <c r="AC91" s="3337"/>
      <c r="AD91" s="3337"/>
      <c r="AE91" s="3337"/>
      <c r="AF91" s="3337"/>
      <c r="AG91" s="3337"/>
      <c r="AH91" s="3337"/>
      <c r="AI91" s="3337"/>
      <c r="AJ91" s="3337"/>
      <c r="AK91" s="3337"/>
      <c r="AL91" s="3337"/>
      <c r="AM91" s="3337"/>
      <c r="AN91" s="3337"/>
      <c r="AO91" s="3337"/>
      <c r="AP91" s="3337"/>
      <c r="AQ91" s="3345"/>
      <c r="AR91" s="104"/>
    </row>
    <row r="92" spans="1:44" ht="15" customHeight="1" x14ac:dyDescent="0.25">
      <c r="B92" s="103"/>
      <c r="C92" s="3335" t="str">
        <f>C9</f>
        <v>E.E. Alysson Roberto Bruno</v>
      </c>
      <c r="D92" s="3336"/>
      <c r="E92" s="3336"/>
      <c r="F92" s="3336"/>
      <c r="G92" s="3336"/>
      <c r="H92" s="3336"/>
      <c r="I92" s="3336"/>
      <c r="J92" s="3336"/>
      <c r="K92" s="3336"/>
      <c r="L92" s="3336"/>
      <c r="M92" s="3336"/>
      <c r="N92" s="3336"/>
      <c r="O92" s="3336"/>
      <c r="P92" s="3336"/>
      <c r="Q92" s="3336"/>
      <c r="R92" s="3336"/>
      <c r="S92" s="3336"/>
      <c r="T92" s="3337" t="str">
        <f>T9</f>
        <v>CÓDIGO:</v>
      </c>
      <c r="U92" s="3337"/>
      <c r="V92" s="3337"/>
      <c r="W92" s="3337"/>
      <c r="X92" s="120">
        <f>X9</f>
        <v>5</v>
      </c>
      <c r="Y92" s="3338">
        <f>Y9</f>
        <v>159417</v>
      </c>
      <c r="Z92" s="3338"/>
      <c r="AA92" s="3338"/>
      <c r="AB92" s="3337"/>
      <c r="AC92" s="3337"/>
      <c r="AD92" s="3337"/>
      <c r="AE92" s="3306" t="str">
        <f>AE9</f>
        <v>MUNICÍPIO:</v>
      </c>
      <c r="AF92" s="3306"/>
      <c r="AG92" s="3306"/>
      <c r="AH92" s="3306"/>
      <c r="AI92" s="3306"/>
      <c r="AJ92" s="3304" t="str">
        <f>AJ9</f>
        <v>Planura</v>
      </c>
      <c r="AK92" s="3304"/>
      <c r="AL92" s="3304"/>
      <c r="AM92" s="3304"/>
      <c r="AN92" s="3304"/>
      <c r="AO92" s="3304"/>
      <c r="AP92" s="3304"/>
      <c r="AQ92" s="3339"/>
      <c r="AR92" s="104"/>
    </row>
    <row r="93" spans="1:44" ht="2.1" customHeight="1" x14ac:dyDescent="0.25">
      <c r="B93" s="103"/>
      <c r="C93" s="3346"/>
      <c r="D93" s="3337"/>
      <c r="E93" s="3337"/>
      <c r="F93" s="3337"/>
      <c r="G93" s="3337"/>
      <c r="H93" s="3337"/>
      <c r="I93" s="3337"/>
      <c r="J93" s="3337"/>
      <c r="K93" s="3337"/>
      <c r="L93" s="3337"/>
      <c r="M93" s="3337"/>
      <c r="N93" s="3337"/>
      <c r="O93" s="3337"/>
      <c r="P93" s="3337"/>
      <c r="Q93" s="3337"/>
      <c r="R93" s="3337"/>
      <c r="S93" s="3337"/>
      <c r="T93" s="3337"/>
      <c r="U93" s="3337"/>
      <c r="V93" s="3337"/>
      <c r="W93" s="3337"/>
      <c r="X93" s="3337"/>
      <c r="Y93" s="3337"/>
      <c r="Z93" s="3337"/>
      <c r="AA93" s="3337"/>
      <c r="AB93" s="3337"/>
      <c r="AC93" s="3337"/>
      <c r="AD93" s="3337"/>
      <c r="AE93" s="3337"/>
      <c r="AF93" s="3337"/>
      <c r="AG93" s="3337"/>
      <c r="AH93" s="3337"/>
      <c r="AI93" s="3337"/>
      <c r="AJ93" s="3337"/>
      <c r="AK93" s="3337"/>
      <c r="AL93" s="3337"/>
      <c r="AM93" s="3337"/>
      <c r="AN93" s="3337"/>
      <c r="AO93" s="3337"/>
      <c r="AP93" s="3337"/>
      <c r="AQ93" s="3345"/>
      <c r="AR93" s="104"/>
    </row>
    <row r="94" spans="1:44" ht="15" customHeight="1" x14ac:dyDescent="0.25">
      <c r="B94" s="103"/>
      <c r="C94" s="3340" t="str">
        <f>C11</f>
        <v>Analisando os Quadros Informativos e Relatórios de Servidores dessa Unidade de Ensino, verificamos as incorreções abaixo relacionadas, para as quais solicitamos a fineza de retificar e, se for o caso, remeter a documentação faltante.</v>
      </c>
      <c r="D94" s="3304"/>
      <c r="E94" s="3304"/>
      <c r="F94" s="3304"/>
      <c r="G94" s="3304"/>
      <c r="H94" s="3304"/>
      <c r="I94" s="3304"/>
      <c r="J94" s="3304"/>
      <c r="K94" s="3304"/>
      <c r="L94" s="3304"/>
      <c r="M94" s="3304"/>
      <c r="N94" s="3304"/>
      <c r="O94" s="3304"/>
      <c r="P94" s="3304"/>
      <c r="Q94" s="3304"/>
      <c r="R94" s="3304"/>
      <c r="S94" s="3304"/>
      <c r="T94" s="3304"/>
      <c r="U94" s="3304"/>
      <c r="V94" s="3304"/>
      <c r="W94" s="3304"/>
      <c r="X94" s="3304"/>
      <c r="Y94" s="3304"/>
      <c r="Z94" s="3304"/>
      <c r="AA94" s="3304"/>
      <c r="AB94" s="3304"/>
      <c r="AC94" s="3304"/>
      <c r="AD94" s="3304"/>
      <c r="AE94" s="3304"/>
      <c r="AF94" s="3304"/>
      <c r="AG94" s="3304"/>
      <c r="AH94" s="3304"/>
      <c r="AI94" s="3304"/>
      <c r="AJ94" s="3304"/>
      <c r="AK94" s="3304"/>
      <c r="AL94" s="3304"/>
      <c r="AM94" s="3304"/>
      <c r="AN94" s="3304"/>
      <c r="AO94" s="3304"/>
      <c r="AP94" s="3304"/>
      <c r="AQ94" s="3339"/>
      <c r="AR94" s="104"/>
    </row>
    <row r="95" spans="1:44" ht="15" customHeight="1" x14ac:dyDescent="0.25">
      <c r="B95" s="103"/>
      <c r="C95" s="3303"/>
      <c r="D95" s="3304"/>
      <c r="E95" s="3304"/>
      <c r="F95" s="3304"/>
      <c r="G95" s="3304"/>
      <c r="H95" s="3304"/>
      <c r="I95" s="3304"/>
      <c r="J95" s="3304"/>
      <c r="K95" s="3304"/>
      <c r="L95" s="3304"/>
      <c r="M95" s="3304"/>
      <c r="N95" s="3304"/>
      <c r="O95" s="3304"/>
      <c r="P95" s="3304"/>
      <c r="Q95" s="3304"/>
      <c r="R95" s="3304"/>
      <c r="S95" s="3304"/>
      <c r="T95" s="3304"/>
      <c r="U95" s="3304"/>
      <c r="V95" s="3304"/>
      <c r="W95" s="3304"/>
      <c r="X95" s="3304"/>
      <c r="Y95" s="3304"/>
      <c r="Z95" s="3304"/>
      <c r="AA95" s="3304"/>
      <c r="AB95" s="3304"/>
      <c r="AC95" s="3304"/>
      <c r="AD95" s="3304"/>
      <c r="AE95" s="3304"/>
      <c r="AF95" s="3304"/>
      <c r="AG95" s="3304"/>
      <c r="AH95" s="3304"/>
      <c r="AI95" s="3304"/>
      <c r="AJ95" s="3304"/>
      <c r="AK95" s="3304"/>
      <c r="AL95" s="3304"/>
      <c r="AM95" s="3304"/>
      <c r="AN95" s="3304"/>
      <c r="AO95" s="3304"/>
      <c r="AP95" s="3304"/>
      <c r="AQ95" s="3339"/>
      <c r="AR95" s="104"/>
    </row>
    <row r="96" spans="1:44" ht="2.1" customHeight="1" x14ac:dyDescent="0.25">
      <c r="B96" s="103"/>
      <c r="C96" s="3346"/>
      <c r="D96" s="3337"/>
      <c r="E96" s="3337"/>
      <c r="F96" s="3337"/>
      <c r="G96" s="3337"/>
      <c r="H96" s="3337"/>
      <c r="I96" s="3337"/>
      <c r="J96" s="3337"/>
      <c r="K96" s="3337"/>
      <c r="L96" s="3337"/>
      <c r="M96" s="3337"/>
      <c r="N96" s="3337"/>
      <c r="O96" s="3337"/>
      <c r="P96" s="3337"/>
      <c r="Q96" s="3337"/>
      <c r="R96" s="3337"/>
      <c r="S96" s="3337"/>
      <c r="T96" s="3337"/>
      <c r="U96" s="3337"/>
      <c r="V96" s="3337"/>
      <c r="W96" s="3337"/>
      <c r="X96" s="3337"/>
      <c r="Y96" s="3337"/>
      <c r="Z96" s="3337"/>
      <c r="AA96" s="3337"/>
      <c r="AB96" s="3337"/>
      <c r="AC96" s="3337"/>
      <c r="AD96" s="3337"/>
      <c r="AE96" s="3337"/>
      <c r="AF96" s="3337"/>
      <c r="AG96" s="3337"/>
      <c r="AH96" s="3337"/>
      <c r="AI96" s="3337"/>
      <c r="AJ96" s="3337"/>
      <c r="AK96" s="3337"/>
      <c r="AL96" s="3337"/>
      <c r="AM96" s="3337"/>
      <c r="AN96" s="3337"/>
      <c r="AO96" s="3337"/>
      <c r="AP96" s="3337"/>
      <c r="AQ96" s="3345"/>
      <c r="AR96" s="104"/>
    </row>
    <row r="97" spans="2:44" ht="15" customHeight="1" x14ac:dyDescent="0.25">
      <c r="B97" s="103"/>
      <c r="C97" s="3346"/>
      <c r="D97" s="3337"/>
      <c r="E97" s="3337"/>
      <c r="F97" s="3337"/>
      <c r="G97" s="3337"/>
      <c r="H97" s="3337"/>
      <c r="I97" s="3337"/>
      <c r="J97" s="3337"/>
      <c r="K97" s="3337"/>
      <c r="L97" s="3337"/>
      <c r="M97" s="3337"/>
      <c r="N97" s="3337"/>
      <c r="O97" s="3337"/>
      <c r="P97" s="3337"/>
      <c r="Q97" s="3341" t="str">
        <f>Q14</f>
        <v>Devolver até</v>
      </c>
      <c r="R97" s="3342"/>
      <c r="S97" s="3342"/>
      <c r="T97" s="3342"/>
      <c r="U97" s="3342"/>
      <c r="V97" s="129" t="str">
        <f>IF(V14="","",V14)</f>
        <v/>
      </c>
      <c r="W97" s="128" t="str">
        <f>W14</f>
        <v>/</v>
      </c>
      <c r="X97" s="129" t="str">
        <f>IF(X14="","",X14)</f>
        <v/>
      </c>
      <c r="Y97" s="128" t="str">
        <f>Y14</f>
        <v>/</v>
      </c>
      <c r="Z97" s="3343" t="str">
        <f>IF(Z14="","",Z14)</f>
        <v/>
      </c>
      <c r="AA97" s="3344"/>
      <c r="AB97" s="3337"/>
      <c r="AC97" s="3337"/>
      <c r="AD97" s="3337"/>
      <c r="AE97" s="3337"/>
      <c r="AF97" s="3337"/>
      <c r="AG97" s="3337"/>
      <c r="AH97" s="3337"/>
      <c r="AI97" s="3337"/>
      <c r="AJ97" s="3337"/>
      <c r="AK97" s="3337"/>
      <c r="AL97" s="3337"/>
      <c r="AM97" s="3337"/>
      <c r="AN97" s="3337"/>
      <c r="AO97" s="3337"/>
      <c r="AP97" s="3337"/>
      <c r="AQ97" s="3345"/>
      <c r="AR97" s="104"/>
    </row>
    <row r="98" spans="2:44" ht="2.1" customHeight="1" thickBot="1" x14ac:dyDescent="0.3">
      <c r="B98" s="103"/>
      <c r="C98" s="3413"/>
      <c r="D98" s="3414"/>
      <c r="E98" s="3414"/>
      <c r="F98" s="3414"/>
      <c r="G98" s="3414"/>
      <c r="H98" s="3414"/>
      <c r="I98" s="3414"/>
      <c r="J98" s="3414"/>
      <c r="K98" s="3414"/>
      <c r="L98" s="3414"/>
      <c r="M98" s="3414"/>
      <c r="N98" s="3414"/>
      <c r="O98" s="3414"/>
      <c r="P98" s="3414"/>
      <c r="Q98" s="3414"/>
      <c r="R98" s="3414"/>
      <c r="S98" s="3414"/>
      <c r="T98" s="3414"/>
      <c r="U98" s="3414"/>
      <c r="V98" s="3414"/>
      <c r="W98" s="3414"/>
      <c r="X98" s="3414"/>
      <c r="Y98" s="3414"/>
      <c r="Z98" s="3414"/>
      <c r="AA98" s="3414"/>
      <c r="AB98" s="3414"/>
      <c r="AC98" s="3414"/>
      <c r="AD98" s="3414"/>
      <c r="AE98" s="3414"/>
      <c r="AF98" s="3414"/>
      <c r="AG98" s="3414"/>
      <c r="AH98" s="3414"/>
      <c r="AI98" s="3414"/>
      <c r="AJ98" s="3414"/>
      <c r="AK98" s="3414"/>
      <c r="AL98" s="3414"/>
      <c r="AM98" s="3414"/>
      <c r="AN98" s="3414"/>
      <c r="AO98" s="3414"/>
      <c r="AP98" s="3414"/>
      <c r="AQ98" s="3415"/>
      <c r="AR98" s="104"/>
    </row>
    <row r="99" spans="2:44" s="96" customFormat="1" ht="15" customHeight="1" thickBot="1" x14ac:dyDescent="0.3">
      <c r="B99" s="124"/>
      <c r="C99" s="3347" t="str">
        <f>C16</f>
        <v>MaSP</v>
      </c>
      <c r="D99" s="3348"/>
      <c r="E99" s="3348"/>
      <c r="F99" s="3348"/>
      <c r="G99" s="3348" t="str">
        <f>G16</f>
        <v>N.º ADM.</v>
      </c>
      <c r="H99" s="3348"/>
      <c r="I99" s="3348"/>
      <c r="J99" s="3349" t="str">
        <f>J16</f>
        <v>NOME DO SERVIDOR</v>
      </c>
      <c r="K99" s="3348"/>
      <c r="L99" s="3348"/>
      <c r="M99" s="3348"/>
      <c r="N99" s="3348"/>
      <c r="O99" s="3348"/>
      <c r="P99" s="3348"/>
      <c r="Q99" s="3348"/>
      <c r="R99" s="3348"/>
      <c r="S99" s="3348"/>
      <c r="T99" s="3348"/>
      <c r="U99" s="3348"/>
      <c r="V99" s="3348"/>
      <c r="W99" s="3348"/>
      <c r="X99" s="3349" t="str">
        <f>X16</f>
        <v>CARGO</v>
      </c>
      <c r="Y99" s="3348"/>
      <c r="Z99" s="3348"/>
      <c r="AA99" s="3349" t="str">
        <f>AA16</f>
        <v>INFORMAÇÕES</v>
      </c>
      <c r="AB99" s="3348"/>
      <c r="AC99" s="3348"/>
      <c r="AD99" s="3348"/>
      <c r="AE99" s="3348"/>
      <c r="AF99" s="3348"/>
      <c r="AG99" s="3348"/>
      <c r="AH99" s="3348"/>
      <c r="AI99" s="3348"/>
      <c r="AJ99" s="3348"/>
      <c r="AK99" s="3348"/>
      <c r="AL99" s="3348"/>
      <c r="AM99" s="3348"/>
      <c r="AN99" s="3348"/>
      <c r="AO99" s="3348"/>
      <c r="AP99" s="3348"/>
      <c r="AQ99" s="3379"/>
      <c r="AR99" s="125"/>
    </row>
    <row r="100" spans="2:44" ht="15.95" customHeight="1" x14ac:dyDescent="0.25">
      <c r="B100" s="103"/>
      <c r="C100" s="3368">
        <f>C17</f>
        <v>14398317</v>
      </c>
      <c r="D100" s="3369"/>
      <c r="E100" s="3369"/>
      <c r="F100" s="3369"/>
      <c r="G100" s="3370">
        <f>G17</f>
        <v>1</v>
      </c>
      <c r="H100" s="3371"/>
      <c r="I100" s="3371"/>
      <c r="J100" s="3372" t="str">
        <f>J17</f>
        <v>Adriano Frutuoso da Silva</v>
      </c>
      <c r="K100" s="3373"/>
      <c r="L100" s="3373"/>
      <c r="M100" s="3373"/>
      <c r="N100" s="3373"/>
      <c r="O100" s="3373"/>
      <c r="P100" s="3373"/>
      <c r="Q100" s="3373"/>
      <c r="R100" s="3373"/>
      <c r="S100" s="3373"/>
      <c r="T100" s="3373"/>
      <c r="U100" s="3373"/>
      <c r="V100" s="3373"/>
      <c r="W100" s="3373"/>
      <c r="X100" s="3374" t="str">
        <f>X17</f>
        <v>PEBD1A</v>
      </c>
      <c r="Y100" s="3371"/>
      <c r="Z100" s="3371"/>
      <c r="AA100" s="3375" t="str">
        <f>AA17</f>
        <v>Estamos devolvendo o Q.I. de dispensa a pedido do servidor em 17/07/2017, tendo em vista que foi enviado outro Q.I. alterando a dispensa por exceder 10% de faltas (conforme informação da Escola, o mesmo teve 6 h/a de faltas em Julho de 2017).</v>
      </c>
      <c r="AB100" s="3376"/>
      <c r="AC100" s="3376"/>
      <c r="AD100" s="3376"/>
      <c r="AE100" s="3376"/>
      <c r="AF100" s="3376"/>
      <c r="AG100" s="3376"/>
      <c r="AH100" s="3376"/>
      <c r="AI100" s="3376"/>
      <c r="AJ100" s="3376"/>
      <c r="AK100" s="3376"/>
      <c r="AL100" s="3376"/>
      <c r="AM100" s="3376"/>
      <c r="AN100" s="3376"/>
      <c r="AO100" s="3376"/>
      <c r="AP100" s="3376"/>
      <c r="AQ100" s="3377"/>
      <c r="AR100" s="104"/>
    </row>
    <row r="101" spans="2:44" ht="15.95" customHeight="1" x14ac:dyDescent="0.25">
      <c r="B101" s="103"/>
      <c r="C101" s="3352"/>
      <c r="D101" s="3353"/>
      <c r="E101" s="3353"/>
      <c r="F101" s="3353"/>
      <c r="G101" s="3357"/>
      <c r="H101" s="3357"/>
      <c r="I101" s="3357"/>
      <c r="J101" s="3360"/>
      <c r="K101" s="3360"/>
      <c r="L101" s="3360"/>
      <c r="M101" s="3360"/>
      <c r="N101" s="3360"/>
      <c r="O101" s="3360"/>
      <c r="P101" s="3360"/>
      <c r="Q101" s="3360"/>
      <c r="R101" s="3360"/>
      <c r="S101" s="3360"/>
      <c r="T101" s="3360"/>
      <c r="U101" s="3360"/>
      <c r="V101" s="3360"/>
      <c r="W101" s="3360"/>
      <c r="X101" s="3357"/>
      <c r="Y101" s="3357"/>
      <c r="Z101" s="3357"/>
      <c r="AA101" s="3364"/>
      <c r="AB101" s="3364"/>
      <c r="AC101" s="3364"/>
      <c r="AD101" s="3364"/>
      <c r="AE101" s="3364"/>
      <c r="AF101" s="3364"/>
      <c r="AG101" s="3364"/>
      <c r="AH101" s="3364"/>
      <c r="AI101" s="3364"/>
      <c r="AJ101" s="3364"/>
      <c r="AK101" s="3364"/>
      <c r="AL101" s="3364"/>
      <c r="AM101" s="3364"/>
      <c r="AN101" s="3364"/>
      <c r="AO101" s="3364"/>
      <c r="AP101" s="3364"/>
      <c r="AQ101" s="3365"/>
      <c r="AR101" s="104"/>
    </row>
    <row r="102" spans="2:44" ht="15.95" customHeight="1" x14ac:dyDescent="0.25">
      <c r="B102" s="103"/>
      <c r="C102" s="3352"/>
      <c r="D102" s="3353"/>
      <c r="E102" s="3353"/>
      <c r="F102" s="3353"/>
      <c r="G102" s="3357"/>
      <c r="H102" s="3357"/>
      <c r="I102" s="3357"/>
      <c r="J102" s="3360"/>
      <c r="K102" s="3360"/>
      <c r="L102" s="3360"/>
      <c r="M102" s="3360"/>
      <c r="N102" s="3360"/>
      <c r="O102" s="3360"/>
      <c r="P102" s="3360"/>
      <c r="Q102" s="3360"/>
      <c r="R102" s="3360"/>
      <c r="S102" s="3360"/>
      <c r="T102" s="3360"/>
      <c r="U102" s="3360"/>
      <c r="V102" s="3360"/>
      <c r="W102" s="3360"/>
      <c r="X102" s="3357"/>
      <c r="Y102" s="3357"/>
      <c r="Z102" s="3357"/>
      <c r="AA102" s="3364"/>
      <c r="AB102" s="3364"/>
      <c r="AC102" s="3364"/>
      <c r="AD102" s="3364"/>
      <c r="AE102" s="3364"/>
      <c r="AF102" s="3364"/>
      <c r="AG102" s="3364"/>
      <c r="AH102" s="3364"/>
      <c r="AI102" s="3364"/>
      <c r="AJ102" s="3364"/>
      <c r="AK102" s="3364"/>
      <c r="AL102" s="3364"/>
      <c r="AM102" s="3364"/>
      <c r="AN102" s="3364"/>
      <c r="AO102" s="3364"/>
      <c r="AP102" s="3364"/>
      <c r="AQ102" s="3365"/>
      <c r="AR102" s="104"/>
    </row>
    <row r="103" spans="2:44" ht="15.95" customHeight="1" x14ac:dyDescent="0.25">
      <c r="B103" s="103"/>
      <c r="C103" s="3352"/>
      <c r="D103" s="3353"/>
      <c r="E103" s="3353"/>
      <c r="F103" s="3353"/>
      <c r="G103" s="3357"/>
      <c r="H103" s="3357"/>
      <c r="I103" s="3357"/>
      <c r="J103" s="3360"/>
      <c r="K103" s="3360"/>
      <c r="L103" s="3360"/>
      <c r="M103" s="3360"/>
      <c r="N103" s="3360"/>
      <c r="O103" s="3360"/>
      <c r="P103" s="3360"/>
      <c r="Q103" s="3360"/>
      <c r="R103" s="3360"/>
      <c r="S103" s="3360"/>
      <c r="T103" s="3360"/>
      <c r="U103" s="3360"/>
      <c r="V103" s="3360"/>
      <c r="W103" s="3360"/>
      <c r="X103" s="3357"/>
      <c r="Y103" s="3357"/>
      <c r="Z103" s="3357"/>
      <c r="AA103" s="3364"/>
      <c r="AB103" s="3364"/>
      <c r="AC103" s="3364"/>
      <c r="AD103" s="3364"/>
      <c r="AE103" s="3364"/>
      <c r="AF103" s="3364"/>
      <c r="AG103" s="3364"/>
      <c r="AH103" s="3364"/>
      <c r="AI103" s="3364"/>
      <c r="AJ103" s="3364"/>
      <c r="AK103" s="3364"/>
      <c r="AL103" s="3364"/>
      <c r="AM103" s="3364"/>
      <c r="AN103" s="3364"/>
      <c r="AO103" s="3364"/>
      <c r="AP103" s="3364"/>
      <c r="AQ103" s="3365"/>
      <c r="AR103" s="104"/>
    </row>
    <row r="104" spans="2:44" ht="15.95" customHeight="1" x14ac:dyDescent="0.25">
      <c r="B104" s="103"/>
      <c r="C104" s="3352"/>
      <c r="D104" s="3353"/>
      <c r="E104" s="3353"/>
      <c r="F104" s="3353"/>
      <c r="G104" s="3357"/>
      <c r="H104" s="3357"/>
      <c r="I104" s="3357"/>
      <c r="J104" s="3360"/>
      <c r="K104" s="3360"/>
      <c r="L104" s="3360"/>
      <c r="M104" s="3360"/>
      <c r="N104" s="3360"/>
      <c r="O104" s="3360"/>
      <c r="P104" s="3360"/>
      <c r="Q104" s="3360"/>
      <c r="R104" s="3360"/>
      <c r="S104" s="3360"/>
      <c r="T104" s="3360"/>
      <c r="U104" s="3360"/>
      <c r="V104" s="3360"/>
      <c r="W104" s="3360"/>
      <c r="X104" s="3357"/>
      <c r="Y104" s="3357"/>
      <c r="Z104" s="3357"/>
      <c r="AA104" s="3364"/>
      <c r="AB104" s="3364"/>
      <c r="AC104" s="3364"/>
      <c r="AD104" s="3364"/>
      <c r="AE104" s="3364"/>
      <c r="AF104" s="3364"/>
      <c r="AG104" s="3364"/>
      <c r="AH104" s="3364"/>
      <c r="AI104" s="3364"/>
      <c r="AJ104" s="3364"/>
      <c r="AK104" s="3364"/>
      <c r="AL104" s="3364"/>
      <c r="AM104" s="3364"/>
      <c r="AN104" s="3364"/>
      <c r="AO104" s="3364"/>
      <c r="AP104" s="3364"/>
      <c r="AQ104" s="3365"/>
      <c r="AR104" s="104"/>
    </row>
    <row r="105" spans="2:44" ht="15.95" customHeight="1" x14ac:dyDescent="0.25">
      <c r="B105" s="103"/>
      <c r="C105" s="3368" t="str">
        <f>IF(C22&lt;&gt;"",C22,"-")</f>
        <v>-</v>
      </c>
      <c r="D105" s="3369"/>
      <c r="E105" s="3369"/>
      <c r="F105" s="3369"/>
      <c r="G105" s="3370" t="str">
        <f>IF(G22&lt;&gt;"",G22,"-")</f>
        <v>-</v>
      </c>
      <c r="H105" s="3371"/>
      <c r="I105" s="3371"/>
      <c r="J105" s="3372" t="str">
        <f>IF(J22&lt;&gt;"",J22,"-")</f>
        <v>-</v>
      </c>
      <c r="K105" s="3373"/>
      <c r="L105" s="3373"/>
      <c r="M105" s="3373"/>
      <c r="N105" s="3373"/>
      <c r="O105" s="3373"/>
      <c r="P105" s="3373"/>
      <c r="Q105" s="3373"/>
      <c r="R105" s="3373"/>
      <c r="S105" s="3373"/>
      <c r="T105" s="3373"/>
      <c r="U105" s="3373"/>
      <c r="V105" s="3373"/>
      <c r="W105" s="3373"/>
      <c r="X105" s="3374" t="str">
        <f>IF(X22&lt;&gt;"",X22,"-")</f>
        <v>-</v>
      </c>
      <c r="Y105" s="3371"/>
      <c r="Z105" s="3371"/>
      <c r="AA105" s="3375" t="str">
        <f>IF(AA22&lt;&gt;"",AA22,"-")</f>
        <v>-</v>
      </c>
      <c r="AB105" s="3376"/>
      <c r="AC105" s="3376"/>
      <c r="AD105" s="3376"/>
      <c r="AE105" s="3376"/>
      <c r="AF105" s="3376"/>
      <c r="AG105" s="3376"/>
      <c r="AH105" s="3376"/>
      <c r="AI105" s="3376"/>
      <c r="AJ105" s="3376"/>
      <c r="AK105" s="3376"/>
      <c r="AL105" s="3376"/>
      <c r="AM105" s="3376"/>
      <c r="AN105" s="3376"/>
      <c r="AO105" s="3376"/>
      <c r="AP105" s="3376"/>
      <c r="AQ105" s="3377"/>
      <c r="AR105" s="104"/>
    </row>
    <row r="106" spans="2:44" ht="15.95" customHeight="1" x14ac:dyDescent="0.25">
      <c r="B106" s="103"/>
      <c r="C106" s="3352"/>
      <c r="D106" s="3353"/>
      <c r="E106" s="3353"/>
      <c r="F106" s="3353"/>
      <c r="G106" s="3357"/>
      <c r="H106" s="3357"/>
      <c r="I106" s="3357"/>
      <c r="J106" s="3360"/>
      <c r="K106" s="3360"/>
      <c r="L106" s="3360"/>
      <c r="M106" s="3360"/>
      <c r="N106" s="3360"/>
      <c r="O106" s="3360"/>
      <c r="P106" s="3360"/>
      <c r="Q106" s="3360"/>
      <c r="R106" s="3360"/>
      <c r="S106" s="3360"/>
      <c r="T106" s="3360"/>
      <c r="U106" s="3360"/>
      <c r="V106" s="3360"/>
      <c r="W106" s="3360"/>
      <c r="X106" s="3357"/>
      <c r="Y106" s="3357"/>
      <c r="Z106" s="3357"/>
      <c r="AA106" s="3364"/>
      <c r="AB106" s="3364"/>
      <c r="AC106" s="3364"/>
      <c r="AD106" s="3364"/>
      <c r="AE106" s="3364"/>
      <c r="AF106" s="3364"/>
      <c r="AG106" s="3364"/>
      <c r="AH106" s="3364"/>
      <c r="AI106" s="3364"/>
      <c r="AJ106" s="3364"/>
      <c r="AK106" s="3364"/>
      <c r="AL106" s="3364"/>
      <c r="AM106" s="3364"/>
      <c r="AN106" s="3364"/>
      <c r="AO106" s="3364"/>
      <c r="AP106" s="3364"/>
      <c r="AQ106" s="3365"/>
      <c r="AR106" s="104"/>
    </row>
    <row r="107" spans="2:44" ht="15.95" customHeight="1" x14ac:dyDescent="0.25">
      <c r="B107" s="103"/>
      <c r="C107" s="3352"/>
      <c r="D107" s="3353"/>
      <c r="E107" s="3353"/>
      <c r="F107" s="3353"/>
      <c r="G107" s="3357"/>
      <c r="H107" s="3357"/>
      <c r="I107" s="3357"/>
      <c r="J107" s="3360"/>
      <c r="K107" s="3360"/>
      <c r="L107" s="3360"/>
      <c r="M107" s="3360"/>
      <c r="N107" s="3360"/>
      <c r="O107" s="3360"/>
      <c r="P107" s="3360"/>
      <c r="Q107" s="3360"/>
      <c r="R107" s="3360"/>
      <c r="S107" s="3360"/>
      <c r="T107" s="3360"/>
      <c r="U107" s="3360"/>
      <c r="V107" s="3360"/>
      <c r="W107" s="3360"/>
      <c r="X107" s="3357"/>
      <c r="Y107" s="3357"/>
      <c r="Z107" s="3357"/>
      <c r="AA107" s="3364"/>
      <c r="AB107" s="3364"/>
      <c r="AC107" s="3364"/>
      <c r="AD107" s="3364"/>
      <c r="AE107" s="3364"/>
      <c r="AF107" s="3364"/>
      <c r="AG107" s="3364"/>
      <c r="AH107" s="3364"/>
      <c r="AI107" s="3364"/>
      <c r="AJ107" s="3364"/>
      <c r="AK107" s="3364"/>
      <c r="AL107" s="3364"/>
      <c r="AM107" s="3364"/>
      <c r="AN107" s="3364"/>
      <c r="AO107" s="3364"/>
      <c r="AP107" s="3364"/>
      <c r="AQ107" s="3365"/>
      <c r="AR107" s="104"/>
    </row>
    <row r="108" spans="2:44" ht="15.95" customHeight="1" x14ac:dyDescent="0.25">
      <c r="B108" s="103"/>
      <c r="C108" s="3352"/>
      <c r="D108" s="3353"/>
      <c r="E108" s="3353"/>
      <c r="F108" s="3353"/>
      <c r="G108" s="3357"/>
      <c r="H108" s="3357"/>
      <c r="I108" s="3357"/>
      <c r="J108" s="3360"/>
      <c r="K108" s="3360"/>
      <c r="L108" s="3360"/>
      <c r="M108" s="3360"/>
      <c r="N108" s="3360"/>
      <c r="O108" s="3360"/>
      <c r="P108" s="3360"/>
      <c r="Q108" s="3360"/>
      <c r="R108" s="3360"/>
      <c r="S108" s="3360"/>
      <c r="T108" s="3360"/>
      <c r="U108" s="3360"/>
      <c r="V108" s="3360"/>
      <c r="W108" s="3360"/>
      <c r="X108" s="3357"/>
      <c r="Y108" s="3357"/>
      <c r="Z108" s="3357"/>
      <c r="AA108" s="3364"/>
      <c r="AB108" s="3364"/>
      <c r="AC108" s="3364"/>
      <c r="AD108" s="3364"/>
      <c r="AE108" s="3364"/>
      <c r="AF108" s="3364"/>
      <c r="AG108" s="3364"/>
      <c r="AH108" s="3364"/>
      <c r="AI108" s="3364"/>
      <c r="AJ108" s="3364"/>
      <c r="AK108" s="3364"/>
      <c r="AL108" s="3364"/>
      <c r="AM108" s="3364"/>
      <c r="AN108" s="3364"/>
      <c r="AO108" s="3364"/>
      <c r="AP108" s="3364"/>
      <c r="AQ108" s="3365"/>
      <c r="AR108" s="104"/>
    </row>
    <row r="109" spans="2:44" ht="15.95" customHeight="1" x14ac:dyDescent="0.25">
      <c r="B109" s="103"/>
      <c r="C109" s="3352"/>
      <c r="D109" s="3353"/>
      <c r="E109" s="3353"/>
      <c r="F109" s="3353"/>
      <c r="G109" s="3357"/>
      <c r="H109" s="3357"/>
      <c r="I109" s="3357"/>
      <c r="J109" s="3360"/>
      <c r="K109" s="3360"/>
      <c r="L109" s="3360"/>
      <c r="M109" s="3360"/>
      <c r="N109" s="3360"/>
      <c r="O109" s="3360"/>
      <c r="P109" s="3360"/>
      <c r="Q109" s="3360"/>
      <c r="R109" s="3360"/>
      <c r="S109" s="3360"/>
      <c r="T109" s="3360"/>
      <c r="U109" s="3360"/>
      <c r="V109" s="3360"/>
      <c r="W109" s="3360"/>
      <c r="X109" s="3357"/>
      <c r="Y109" s="3357"/>
      <c r="Z109" s="3357"/>
      <c r="AA109" s="3364"/>
      <c r="AB109" s="3364"/>
      <c r="AC109" s="3364"/>
      <c r="AD109" s="3364"/>
      <c r="AE109" s="3364"/>
      <c r="AF109" s="3364"/>
      <c r="AG109" s="3364"/>
      <c r="AH109" s="3364"/>
      <c r="AI109" s="3364"/>
      <c r="AJ109" s="3364"/>
      <c r="AK109" s="3364"/>
      <c r="AL109" s="3364"/>
      <c r="AM109" s="3364"/>
      <c r="AN109" s="3364"/>
      <c r="AO109" s="3364"/>
      <c r="AP109" s="3364"/>
      <c r="AQ109" s="3365"/>
      <c r="AR109" s="104"/>
    </row>
    <row r="110" spans="2:44" ht="15.95" customHeight="1" x14ac:dyDescent="0.25">
      <c r="B110" s="103"/>
      <c r="C110" s="3368" t="str">
        <f>IF(C27&lt;&gt;"",C27,"-")</f>
        <v>-</v>
      </c>
      <c r="D110" s="3369"/>
      <c r="E110" s="3369"/>
      <c r="F110" s="3369"/>
      <c r="G110" s="3370" t="str">
        <f>IF(G27&lt;&gt;"",G27,"-")</f>
        <v>-</v>
      </c>
      <c r="H110" s="3371"/>
      <c r="I110" s="3371"/>
      <c r="J110" s="3372" t="str">
        <f>IF(J27&lt;&gt;"",J27,"-")</f>
        <v>-</v>
      </c>
      <c r="K110" s="3373"/>
      <c r="L110" s="3373"/>
      <c r="M110" s="3373"/>
      <c r="N110" s="3373"/>
      <c r="O110" s="3373"/>
      <c r="P110" s="3373"/>
      <c r="Q110" s="3373"/>
      <c r="R110" s="3373"/>
      <c r="S110" s="3373"/>
      <c r="T110" s="3373"/>
      <c r="U110" s="3373"/>
      <c r="V110" s="3373"/>
      <c r="W110" s="3373"/>
      <c r="X110" s="3374" t="str">
        <f>IF(X27&lt;&gt;"",X27,"-")</f>
        <v>-</v>
      </c>
      <c r="Y110" s="3371"/>
      <c r="Z110" s="3371"/>
      <c r="AA110" s="3375" t="str">
        <f>IF(AA27&lt;&gt;"",AA27,"-")</f>
        <v>-</v>
      </c>
      <c r="AB110" s="3376"/>
      <c r="AC110" s="3376"/>
      <c r="AD110" s="3376"/>
      <c r="AE110" s="3376"/>
      <c r="AF110" s="3376"/>
      <c r="AG110" s="3376"/>
      <c r="AH110" s="3376"/>
      <c r="AI110" s="3376"/>
      <c r="AJ110" s="3376"/>
      <c r="AK110" s="3376"/>
      <c r="AL110" s="3376"/>
      <c r="AM110" s="3376"/>
      <c r="AN110" s="3376"/>
      <c r="AO110" s="3376"/>
      <c r="AP110" s="3376"/>
      <c r="AQ110" s="3377"/>
      <c r="AR110" s="104"/>
    </row>
    <row r="111" spans="2:44" ht="15.95" customHeight="1" x14ac:dyDescent="0.25">
      <c r="B111" s="103"/>
      <c r="C111" s="3352"/>
      <c r="D111" s="3353"/>
      <c r="E111" s="3353"/>
      <c r="F111" s="3353"/>
      <c r="G111" s="3357"/>
      <c r="H111" s="3357"/>
      <c r="I111" s="3357"/>
      <c r="J111" s="3360"/>
      <c r="K111" s="3360"/>
      <c r="L111" s="3360"/>
      <c r="M111" s="3360"/>
      <c r="N111" s="3360"/>
      <c r="O111" s="3360"/>
      <c r="P111" s="3360"/>
      <c r="Q111" s="3360"/>
      <c r="R111" s="3360"/>
      <c r="S111" s="3360"/>
      <c r="T111" s="3360"/>
      <c r="U111" s="3360"/>
      <c r="V111" s="3360"/>
      <c r="W111" s="3360"/>
      <c r="X111" s="3357"/>
      <c r="Y111" s="3357"/>
      <c r="Z111" s="3357"/>
      <c r="AA111" s="3364"/>
      <c r="AB111" s="3364"/>
      <c r="AC111" s="3364"/>
      <c r="AD111" s="3364"/>
      <c r="AE111" s="3364"/>
      <c r="AF111" s="3364"/>
      <c r="AG111" s="3364"/>
      <c r="AH111" s="3364"/>
      <c r="AI111" s="3364"/>
      <c r="AJ111" s="3364"/>
      <c r="AK111" s="3364"/>
      <c r="AL111" s="3364"/>
      <c r="AM111" s="3364"/>
      <c r="AN111" s="3364"/>
      <c r="AO111" s="3364"/>
      <c r="AP111" s="3364"/>
      <c r="AQ111" s="3365"/>
      <c r="AR111" s="104"/>
    </row>
    <row r="112" spans="2:44" ht="15.95" customHeight="1" x14ac:dyDescent="0.25">
      <c r="B112" s="103"/>
      <c r="C112" s="3352"/>
      <c r="D112" s="3353"/>
      <c r="E112" s="3353"/>
      <c r="F112" s="3353"/>
      <c r="G112" s="3357"/>
      <c r="H112" s="3357"/>
      <c r="I112" s="3357"/>
      <c r="J112" s="3360"/>
      <c r="K112" s="3360"/>
      <c r="L112" s="3360"/>
      <c r="M112" s="3360"/>
      <c r="N112" s="3360"/>
      <c r="O112" s="3360"/>
      <c r="P112" s="3360"/>
      <c r="Q112" s="3360"/>
      <c r="R112" s="3360"/>
      <c r="S112" s="3360"/>
      <c r="T112" s="3360"/>
      <c r="U112" s="3360"/>
      <c r="V112" s="3360"/>
      <c r="W112" s="3360"/>
      <c r="X112" s="3357"/>
      <c r="Y112" s="3357"/>
      <c r="Z112" s="3357"/>
      <c r="AA112" s="3364"/>
      <c r="AB112" s="3364"/>
      <c r="AC112" s="3364"/>
      <c r="AD112" s="3364"/>
      <c r="AE112" s="3364"/>
      <c r="AF112" s="3364"/>
      <c r="AG112" s="3364"/>
      <c r="AH112" s="3364"/>
      <c r="AI112" s="3364"/>
      <c r="AJ112" s="3364"/>
      <c r="AK112" s="3364"/>
      <c r="AL112" s="3364"/>
      <c r="AM112" s="3364"/>
      <c r="AN112" s="3364"/>
      <c r="AO112" s="3364"/>
      <c r="AP112" s="3364"/>
      <c r="AQ112" s="3365"/>
      <c r="AR112" s="104"/>
    </row>
    <row r="113" spans="2:44" ht="15.95" customHeight="1" x14ac:dyDescent="0.25">
      <c r="B113" s="103"/>
      <c r="C113" s="3352"/>
      <c r="D113" s="3353"/>
      <c r="E113" s="3353"/>
      <c r="F113" s="3353"/>
      <c r="G113" s="3357"/>
      <c r="H113" s="3357"/>
      <c r="I113" s="3357"/>
      <c r="J113" s="3360"/>
      <c r="K113" s="3360"/>
      <c r="L113" s="3360"/>
      <c r="M113" s="3360"/>
      <c r="N113" s="3360"/>
      <c r="O113" s="3360"/>
      <c r="P113" s="3360"/>
      <c r="Q113" s="3360"/>
      <c r="R113" s="3360"/>
      <c r="S113" s="3360"/>
      <c r="T113" s="3360"/>
      <c r="U113" s="3360"/>
      <c r="V113" s="3360"/>
      <c r="W113" s="3360"/>
      <c r="X113" s="3357"/>
      <c r="Y113" s="3357"/>
      <c r="Z113" s="3357"/>
      <c r="AA113" s="3364"/>
      <c r="AB113" s="3364"/>
      <c r="AC113" s="3364"/>
      <c r="AD113" s="3364"/>
      <c r="AE113" s="3364"/>
      <c r="AF113" s="3364"/>
      <c r="AG113" s="3364"/>
      <c r="AH113" s="3364"/>
      <c r="AI113" s="3364"/>
      <c r="AJ113" s="3364"/>
      <c r="AK113" s="3364"/>
      <c r="AL113" s="3364"/>
      <c r="AM113" s="3364"/>
      <c r="AN113" s="3364"/>
      <c r="AO113" s="3364"/>
      <c r="AP113" s="3364"/>
      <c r="AQ113" s="3365"/>
      <c r="AR113" s="104"/>
    </row>
    <row r="114" spans="2:44" ht="15.95" customHeight="1" x14ac:dyDescent="0.25">
      <c r="B114" s="103"/>
      <c r="C114" s="3352"/>
      <c r="D114" s="3353"/>
      <c r="E114" s="3353"/>
      <c r="F114" s="3353"/>
      <c r="G114" s="3357"/>
      <c r="H114" s="3357"/>
      <c r="I114" s="3357"/>
      <c r="J114" s="3360"/>
      <c r="K114" s="3360"/>
      <c r="L114" s="3360"/>
      <c r="M114" s="3360"/>
      <c r="N114" s="3360"/>
      <c r="O114" s="3360"/>
      <c r="P114" s="3360"/>
      <c r="Q114" s="3360"/>
      <c r="R114" s="3360"/>
      <c r="S114" s="3360"/>
      <c r="T114" s="3360"/>
      <c r="U114" s="3360"/>
      <c r="V114" s="3360"/>
      <c r="W114" s="3360"/>
      <c r="X114" s="3357"/>
      <c r="Y114" s="3357"/>
      <c r="Z114" s="3357"/>
      <c r="AA114" s="3364"/>
      <c r="AB114" s="3364"/>
      <c r="AC114" s="3364"/>
      <c r="AD114" s="3364"/>
      <c r="AE114" s="3364"/>
      <c r="AF114" s="3364"/>
      <c r="AG114" s="3364"/>
      <c r="AH114" s="3364"/>
      <c r="AI114" s="3364"/>
      <c r="AJ114" s="3364"/>
      <c r="AK114" s="3364"/>
      <c r="AL114" s="3364"/>
      <c r="AM114" s="3364"/>
      <c r="AN114" s="3364"/>
      <c r="AO114" s="3364"/>
      <c r="AP114" s="3364"/>
      <c r="AQ114" s="3365"/>
      <c r="AR114" s="104"/>
    </row>
    <row r="115" spans="2:44" ht="15.95" customHeight="1" x14ac:dyDescent="0.25">
      <c r="B115" s="103"/>
      <c r="C115" s="3352" t="str">
        <f>IF(C32&lt;&gt;"",C32,"-")</f>
        <v>-</v>
      </c>
      <c r="D115" s="3353"/>
      <c r="E115" s="3353"/>
      <c r="F115" s="3353"/>
      <c r="G115" s="3356" t="str">
        <f>IF(G32&lt;&gt;"",G32,"-")</f>
        <v>-</v>
      </c>
      <c r="H115" s="3357"/>
      <c r="I115" s="3357"/>
      <c r="J115" s="3359" t="str">
        <f>IF(J32&lt;&gt;"",J32,"-")</f>
        <v>-</v>
      </c>
      <c r="K115" s="3360"/>
      <c r="L115" s="3360"/>
      <c r="M115" s="3360"/>
      <c r="N115" s="3360"/>
      <c r="O115" s="3360"/>
      <c r="P115" s="3360"/>
      <c r="Q115" s="3360"/>
      <c r="R115" s="3360"/>
      <c r="S115" s="3360"/>
      <c r="T115" s="3360"/>
      <c r="U115" s="3360"/>
      <c r="V115" s="3360"/>
      <c r="W115" s="3360"/>
      <c r="X115" s="3362" t="str">
        <f>IF(X32&lt;&gt;"",X32,"-")</f>
        <v>-</v>
      </c>
      <c r="Y115" s="3357"/>
      <c r="Z115" s="3357"/>
      <c r="AA115" s="3363" t="str">
        <f>IF(AA32&lt;&gt;"",AA32,"-")</f>
        <v>-</v>
      </c>
      <c r="AB115" s="3364"/>
      <c r="AC115" s="3364"/>
      <c r="AD115" s="3364"/>
      <c r="AE115" s="3364"/>
      <c r="AF115" s="3364"/>
      <c r="AG115" s="3364"/>
      <c r="AH115" s="3364"/>
      <c r="AI115" s="3364"/>
      <c r="AJ115" s="3364"/>
      <c r="AK115" s="3364"/>
      <c r="AL115" s="3364"/>
      <c r="AM115" s="3364"/>
      <c r="AN115" s="3364"/>
      <c r="AO115" s="3364"/>
      <c r="AP115" s="3364"/>
      <c r="AQ115" s="3365"/>
      <c r="AR115" s="104"/>
    </row>
    <row r="116" spans="2:44" ht="15.95" customHeight="1" x14ac:dyDescent="0.25">
      <c r="B116" s="103"/>
      <c r="C116" s="3352"/>
      <c r="D116" s="3353"/>
      <c r="E116" s="3353"/>
      <c r="F116" s="3353"/>
      <c r="G116" s="3357"/>
      <c r="H116" s="3357"/>
      <c r="I116" s="3357"/>
      <c r="J116" s="3360"/>
      <c r="K116" s="3360"/>
      <c r="L116" s="3360"/>
      <c r="M116" s="3360"/>
      <c r="N116" s="3360"/>
      <c r="O116" s="3360"/>
      <c r="P116" s="3360"/>
      <c r="Q116" s="3360"/>
      <c r="R116" s="3360"/>
      <c r="S116" s="3360"/>
      <c r="T116" s="3360"/>
      <c r="U116" s="3360"/>
      <c r="V116" s="3360"/>
      <c r="W116" s="3360"/>
      <c r="X116" s="3357"/>
      <c r="Y116" s="3357"/>
      <c r="Z116" s="3357"/>
      <c r="AA116" s="3364"/>
      <c r="AB116" s="3364"/>
      <c r="AC116" s="3364"/>
      <c r="AD116" s="3364"/>
      <c r="AE116" s="3364"/>
      <c r="AF116" s="3364"/>
      <c r="AG116" s="3364"/>
      <c r="AH116" s="3364"/>
      <c r="AI116" s="3364"/>
      <c r="AJ116" s="3364"/>
      <c r="AK116" s="3364"/>
      <c r="AL116" s="3364"/>
      <c r="AM116" s="3364"/>
      <c r="AN116" s="3364"/>
      <c r="AO116" s="3364"/>
      <c r="AP116" s="3364"/>
      <c r="AQ116" s="3365"/>
      <c r="AR116" s="104"/>
    </row>
    <row r="117" spans="2:44" ht="15.95" customHeight="1" x14ac:dyDescent="0.25">
      <c r="B117" s="103"/>
      <c r="C117" s="3352"/>
      <c r="D117" s="3353"/>
      <c r="E117" s="3353"/>
      <c r="F117" s="3353"/>
      <c r="G117" s="3357"/>
      <c r="H117" s="3357"/>
      <c r="I117" s="3357"/>
      <c r="J117" s="3360"/>
      <c r="K117" s="3360"/>
      <c r="L117" s="3360"/>
      <c r="M117" s="3360"/>
      <c r="N117" s="3360"/>
      <c r="O117" s="3360"/>
      <c r="P117" s="3360"/>
      <c r="Q117" s="3360"/>
      <c r="R117" s="3360"/>
      <c r="S117" s="3360"/>
      <c r="T117" s="3360"/>
      <c r="U117" s="3360"/>
      <c r="V117" s="3360"/>
      <c r="W117" s="3360"/>
      <c r="X117" s="3357"/>
      <c r="Y117" s="3357"/>
      <c r="Z117" s="3357"/>
      <c r="AA117" s="3364"/>
      <c r="AB117" s="3364"/>
      <c r="AC117" s="3364"/>
      <c r="AD117" s="3364"/>
      <c r="AE117" s="3364"/>
      <c r="AF117" s="3364"/>
      <c r="AG117" s="3364"/>
      <c r="AH117" s="3364"/>
      <c r="AI117" s="3364"/>
      <c r="AJ117" s="3364"/>
      <c r="AK117" s="3364"/>
      <c r="AL117" s="3364"/>
      <c r="AM117" s="3364"/>
      <c r="AN117" s="3364"/>
      <c r="AO117" s="3364"/>
      <c r="AP117" s="3364"/>
      <c r="AQ117" s="3365"/>
      <c r="AR117" s="104"/>
    </row>
    <row r="118" spans="2:44" ht="15.95" customHeight="1" x14ac:dyDescent="0.25">
      <c r="B118" s="103"/>
      <c r="C118" s="3352"/>
      <c r="D118" s="3353"/>
      <c r="E118" s="3353"/>
      <c r="F118" s="3353"/>
      <c r="G118" s="3357"/>
      <c r="H118" s="3357"/>
      <c r="I118" s="3357"/>
      <c r="J118" s="3360"/>
      <c r="K118" s="3360"/>
      <c r="L118" s="3360"/>
      <c r="M118" s="3360"/>
      <c r="N118" s="3360"/>
      <c r="O118" s="3360"/>
      <c r="P118" s="3360"/>
      <c r="Q118" s="3360"/>
      <c r="R118" s="3360"/>
      <c r="S118" s="3360"/>
      <c r="T118" s="3360"/>
      <c r="U118" s="3360"/>
      <c r="V118" s="3360"/>
      <c r="W118" s="3360"/>
      <c r="X118" s="3357"/>
      <c r="Y118" s="3357"/>
      <c r="Z118" s="3357"/>
      <c r="AA118" s="3364"/>
      <c r="AB118" s="3364"/>
      <c r="AC118" s="3364"/>
      <c r="AD118" s="3364"/>
      <c r="AE118" s="3364"/>
      <c r="AF118" s="3364"/>
      <c r="AG118" s="3364"/>
      <c r="AH118" s="3364"/>
      <c r="AI118" s="3364"/>
      <c r="AJ118" s="3364"/>
      <c r="AK118" s="3364"/>
      <c r="AL118" s="3364"/>
      <c r="AM118" s="3364"/>
      <c r="AN118" s="3364"/>
      <c r="AO118" s="3364"/>
      <c r="AP118" s="3364"/>
      <c r="AQ118" s="3365"/>
      <c r="AR118" s="104"/>
    </row>
    <row r="119" spans="2:44" ht="15.95" customHeight="1" thickBot="1" x14ac:dyDescent="0.3">
      <c r="B119" s="103"/>
      <c r="C119" s="3354"/>
      <c r="D119" s="3355"/>
      <c r="E119" s="3355"/>
      <c r="F119" s="3355"/>
      <c r="G119" s="3358"/>
      <c r="H119" s="3358"/>
      <c r="I119" s="3358"/>
      <c r="J119" s="3361"/>
      <c r="K119" s="3361"/>
      <c r="L119" s="3361"/>
      <c r="M119" s="3361"/>
      <c r="N119" s="3361"/>
      <c r="O119" s="3361"/>
      <c r="P119" s="3361"/>
      <c r="Q119" s="3361"/>
      <c r="R119" s="3361"/>
      <c r="S119" s="3361"/>
      <c r="T119" s="3361"/>
      <c r="U119" s="3361"/>
      <c r="V119" s="3361"/>
      <c r="W119" s="3361"/>
      <c r="X119" s="3358"/>
      <c r="Y119" s="3358"/>
      <c r="Z119" s="3358"/>
      <c r="AA119" s="3366"/>
      <c r="AB119" s="3366"/>
      <c r="AC119" s="3366"/>
      <c r="AD119" s="3366"/>
      <c r="AE119" s="3366"/>
      <c r="AF119" s="3366"/>
      <c r="AG119" s="3366"/>
      <c r="AH119" s="3366"/>
      <c r="AI119" s="3366"/>
      <c r="AJ119" s="3366"/>
      <c r="AK119" s="3366"/>
      <c r="AL119" s="3366"/>
      <c r="AM119" s="3366"/>
      <c r="AN119" s="3366"/>
      <c r="AO119" s="3366"/>
      <c r="AP119" s="3366"/>
      <c r="AQ119" s="3367"/>
      <c r="AR119" s="104"/>
    </row>
    <row r="120" spans="2:44" ht="15" customHeight="1" x14ac:dyDescent="0.25">
      <c r="B120" s="103"/>
      <c r="C120" s="3303" t="str">
        <f>C37</f>
        <v>Nome e MaSP Legível do Coordenador de Taxação:</v>
      </c>
      <c r="D120" s="3304"/>
      <c r="E120" s="3304"/>
      <c r="F120" s="3304"/>
      <c r="G120" s="3304"/>
      <c r="H120" s="3304"/>
      <c r="I120" s="3304"/>
      <c r="J120" s="3304"/>
      <c r="K120" s="3304"/>
      <c r="L120" s="3304"/>
      <c r="M120" s="3304"/>
      <c r="N120" s="3304"/>
      <c r="O120" s="3304"/>
      <c r="P120" s="3304"/>
      <c r="Q120" s="3304"/>
      <c r="R120" s="3337"/>
      <c r="S120" s="3337"/>
      <c r="T120" s="3337"/>
      <c r="U120" s="3337"/>
      <c r="V120" s="3337"/>
      <c r="W120" s="3337"/>
      <c r="X120" s="3337"/>
      <c r="Y120" s="3337"/>
      <c r="Z120" s="3337"/>
      <c r="AA120" s="3337"/>
      <c r="AB120" s="3337"/>
      <c r="AC120" s="3337"/>
      <c r="AD120" s="3337"/>
      <c r="AE120" s="3337"/>
      <c r="AF120" s="3337"/>
      <c r="AG120" s="3337"/>
      <c r="AH120" s="3337"/>
      <c r="AI120" s="3350" t="str">
        <f>AI37</f>
        <v>1ª Via: Escola - 2ª Via: S.R.E.</v>
      </c>
      <c r="AJ120" s="3306"/>
      <c r="AK120" s="3306"/>
      <c r="AL120" s="3306"/>
      <c r="AM120" s="3306"/>
      <c r="AN120" s="3306"/>
      <c r="AO120" s="3306"/>
      <c r="AP120" s="3306"/>
      <c r="AQ120" s="3351"/>
      <c r="AR120" s="104"/>
    </row>
    <row r="121" spans="2:44" ht="15" customHeight="1" x14ac:dyDescent="0.25">
      <c r="B121" s="103"/>
      <c r="C121" s="3383" t="str">
        <f>C38</f>
        <v>Elizabet das Graças Limido Santos</v>
      </c>
      <c r="D121" s="3305"/>
      <c r="E121" s="3305"/>
      <c r="F121" s="3305"/>
      <c r="G121" s="3305"/>
      <c r="H121" s="3305"/>
      <c r="I121" s="3305"/>
      <c r="J121" s="3305"/>
      <c r="K121" s="3305"/>
      <c r="L121" s="3305"/>
      <c r="M121" s="3305"/>
      <c r="N121" s="123" t="str">
        <f>N38</f>
        <v>/</v>
      </c>
      <c r="O121" s="3384">
        <f>O38</f>
        <v>4440780</v>
      </c>
      <c r="P121" s="3384"/>
      <c r="Q121" s="3384"/>
      <c r="R121" s="3384"/>
      <c r="S121" s="3385"/>
      <c r="T121" s="3385"/>
      <c r="U121" s="3385"/>
      <c r="V121" s="3385"/>
      <c r="W121" s="3385"/>
      <c r="X121" s="3385"/>
      <c r="Y121" s="3385"/>
      <c r="Z121" s="3385"/>
      <c r="AA121" s="3337"/>
      <c r="AB121" s="3337"/>
      <c r="AC121" s="3337"/>
      <c r="AD121" s="3337"/>
      <c r="AE121" s="3337"/>
      <c r="AF121" s="3337"/>
      <c r="AG121" s="3337"/>
      <c r="AH121" s="3337"/>
      <c r="AI121" s="3337"/>
      <c r="AJ121" s="3337"/>
      <c r="AK121" s="3337"/>
      <c r="AL121" s="3337"/>
      <c r="AM121" s="3337"/>
      <c r="AN121" s="3337"/>
      <c r="AO121" s="3337"/>
      <c r="AP121" s="3337"/>
      <c r="AQ121" s="3345"/>
      <c r="AR121" s="104"/>
    </row>
    <row r="122" spans="2:44" ht="15" customHeight="1" x14ac:dyDescent="0.25">
      <c r="B122" s="103"/>
      <c r="C122" s="3346"/>
      <c r="D122" s="3337"/>
      <c r="E122" s="3337"/>
      <c r="F122" s="3337"/>
      <c r="G122" s="3337"/>
      <c r="H122" s="3337"/>
      <c r="I122" s="3337"/>
      <c r="J122" s="3337"/>
      <c r="K122" s="3337"/>
      <c r="L122" s="3337"/>
      <c r="M122" s="3337"/>
      <c r="N122" s="3337"/>
      <c r="O122" s="3337"/>
      <c r="P122" s="3337"/>
      <c r="Q122" s="3337"/>
      <c r="R122" s="3337"/>
      <c r="S122" s="3337"/>
      <c r="T122" s="3337"/>
      <c r="U122" s="3337"/>
      <c r="V122" s="3337"/>
      <c r="W122" s="3337"/>
      <c r="X122" s="3337"/>
      <c r="Y122" s="3337"/>
      <c r="Z122" s="3337"/>
      <c r="AA122" s="3398" t="str">
        <f>AA39</f>
        <v>carimbo</v>
      </c>
      <c r="AB122" s="3337"/>
      <c r="AC122" s="3337"/>
      <c r="AD122" s="3337"/>
      <c r="AE122" s="3337"/>
      <c r="AF122" s="3337"/>
      <c r="AG122" s="3399" t="str">
        <f>AG39</f>
        <v>Recibo de Entrega: Data ___/___/_____</v>
      </c>
      <c r="AH122" s="3400"/>
      <c r="AI122" s="3400"/>
      <c r="AJ122" s="3400"/>
      <c r="AK122" s="3400"/>
      <c r="AL122" s="3400"/>
      <c r="AM122" s="3400"/>
      <c r="AN122" s="3400"/>
      <c r="AO122" s="3400"/>
      <c r="AP122" s="3400"/>
      <c r="AQ122" s="3401"/>
      <c r="AR122" s="104"/>
    </row>
    <row r="123" spans="2:44" ht="15" customHeight="1" x14ac:dyDescent="0.25">
      <c r="B123" s="103"/>
      <c r="C123" s="3303" t="str">
        <f>C40</f>
        <v>Nome e MaSP Legível do Supervisor de Taxação:</v>
      </c>
      <c r="D123" s="3304"/>
      <c r="E123" s="3304"/>
      <c r="F123" s="3304"/>
      <c r="G123" s="3304"/>
      <c r="H123" s="3304"/>
      <c r="I123" s="3304"/>
      <c r="J123" s="3304"/>
      <c r="K123" s="3304"/>
      <c r="L123" s="3304"/>
      <c r="M123" s="3304"/>
      <c r="N123" s="3304"/>
      <c r="O123" s="3304"/>
      <c r="P123" s="3304"/>
      <c r="Q123" s="3304"/>
      <c r="R123" s="3306"/>
      <c r="S123" s="3306"/>
      <c r="T123" s="3306"/>
      <c r="U123" s="3306"/>
      <c r="V123" s="3306"/>
      <c r="W123" s="3306"/>
      <c r="X123" s="3306"/>
      <c r="Y123" s="3306"/>
      <c r="Z123" s="3306"/>
      <c r="AA123" s="3306"/>
      <c r="AB123" s="3306"/>
      <c r="AC123" s="3306"/>
      <c r="AD123" s="3306"/>
      <c r="AE123" s="3306"/>
      <c r="AF123" s="3306"/>
      <c r="AG123" s="3306"/>
      <c r="AH123" s="3306"/>
      <c r="AI123" s="3306"/>
      <c r="AJ123" s="3306"/>
      <c r="AK123" s="3306"/>
      <c r="AL123" s="3306"/>
      <c r="AM123" s="3306"/>
      <c r="AN123" s="3306"/>
      <c r="AO123" s="3306"/>
      <c r="AP123" s="3306"/>
      <c r="AQ123" s="3351"/>
      <c r="AR123" s="104"/>
    </row>
    <row r="124" spans="2:44" ht="15" customHeight="1" x14ac:dyDescent="0.25">
      <c r="B124" s="103"/>
      <c r="C124" s="3383" t="str">
        <f>C41</f>
        <v>Alterar</v>
      </c>
      <c r="D124" s="3305"/>
      <c r="E124" s="3305"/>
      <c r="F124" s="3305"/>
      <c r="G124" s="3305"/>
      <c r="H124" s="3305"/>
      <c r="I124" s="3305"/>
      <c r="J124" s="3305"/>
      <c r="K124" s="3305"/>
      <c r="L124" s="3305"/>
      <c r="M124" s="3305"/>
      <c r="N124" s="123" t="str">
        <f>N41</f>
        <v>/</v>
      </c>
      <c r="O124" s="3384">
        <f>O41</f>
        <v>0</v>
      </c>
      <c r="P124" s="3384"/>
      <c r="Q124" s="3384"/>
      <c r="R124" s="3384"/>
      <c r="S124" s="3385"/>
      <c r="T124" s="3385"/>
      <c r="U124" s="3385"/>
      <c r="V124" s="3385"/>
      <c r="W124" s="3385"/>
      <c r="X124" s="3385"/>
      <c r="Y124" s="3385"/>
      <c r="Z124" s="3385"/>
      <c r="AA124" s="3337"/>
      <c r="AB124" s="3337"/>
      <c r="AC124" s="3337"/>
      <c r="AD124" s="3337"/>
      <c r="AE124" s="3337"/>
      <c r="AF124" s="3337"/>
      <c r="AG124" s="3407"/>
      <c r="AH124" s="3407"/>
      <c r="AI124" s="3407"/>
      <c r="AJ124" s="3407"/>
      <c r="AK124" s="3407"/>
      <c r="AL124" s="3407"/>
      <c r="AM124" s="3407"/>
      <c r="AN124" s="3407"/>
      <c r="AO124" s="3407"/>
      <c r="AP124" s="3407"/>
      <c r="AQ124" s="3408"/>
      <c r="AR124" s="104"/>
    </row>
    <row r="125" spans="2:44" ht="15" customHeight="1" x14ac:dyDescent="0.25">
      <c r="B125" s="103"/>
      <c r="C125" s="3335" t="str">
        <f>C42</f>
        <v>DATA:</v>
      </c>
      <c r="D125" s="3336"/>
      <c r="E125" s="3336"/>
      <c r="F125" s="3409">
        <f ca="1">F42</f>
        <v>43238</v>
      </c>
      <c r="G125" s="3409"/>
      <c r="H125" s="3409"/>
      <c r="I125" s="3409"/>
      <c r="J125" s="3337"/>
      <c r="K125" s="3337"/>
      <c r="L125" s="3337"/>
      <c r="M125" s="3337"/>
      <c r="N125" s="3337"/>
      <c r="O125" s="3337"/>
      <c r="P125" s="3337"/>
      <c r="Q125" s="3337"/>
      <c r="R125" s="3337"/>
      <c r="S125" s="3337"/>
      <c r="T125" s="3337"/>
      <c r="U125" s="3337"/>
      <c r="V125" s="3337"/>
      <c r="W125" s="3337"/>
      <c r="X125" s="3337"/>
      <c r="Y125" s="3337"/>
      <c r="Z125" s="3337"/>
      <c r="AA125" s="3398" t="str">
        <f>AA42</f>
        <v>carimbo</v>
      </c>
      <c r="AB125" s="3337"/>
      <c r="AC125" s="3337"/>
      <c r="AD125" s="3337"/>
      <c r="AE125" s="3337"/>
      <c r="AF125" s="3337"/>
      <c r="AG125" s="3402" t="str">
        <f>AG42</f>
        <v>ASSINATURA / NOME LEGÍVEL</v>
      </c>
      <c r="AH125" s="3403"/>
      <c r="AI125" s="3403"/>
      <c r="AJ125" s="3403"/>
      <c r="AK125" s="3403"/>
      <c r="AL125" s="3403"/>
      <c r="AM125" s="3403"/>
      <c r="AN125" s="3403"/>
      <c r="AO125" s="3403"/>
      <c r="AP125" s="3403"/>
      <c r="AQ125" s="3404"/>
      <c r="AR125" s="104"/>
    </row>
    <row r="126" spans="2:44" ht="15" customHeight="1" thickBot="1" x14ac:dyDescent="0.3">
      <c r="B126" s="103"/>
      <c r="C126" s="3332" t="str">
        <f>C43</f>
        <v>Obs.: Esta Guia de Ocorrência n.º 2 deverá ser anexada à Guia de Ocorrência n.º 1, sendo relacionados os acertos para serem processados no SISAP.</v>
      </c>
      <c r="D126" s="3333"/>
      <c r="E126" s="3333"/>
      <c r="F126" s="3333"/>
      <c r="G126" s="3333"/>
      <c r="H126" s="3333"/>
      <c r="I126" s="3333"/>
      <c r="J126" s="3333"/>
      <c r="K126" s="3333"/>
      <c r="L126" s="3333"/>
      <c r="M126" s="3333"/>
      <c r="N126" s="3333"/>
      <c r="O126" s="3333"/>
      <c r="P126" s="3333"/>
      <c r="Q126" s="3333"/>
      <c r="R126" s="3333"/>
      <c r="S126" s="3333"/>
      <c r="T126" s="3333"/>
      <c r="U126" s="3333"/>
      <c r="V126" s="3333"/>
      <c r="W126" s="3333"/>
      <c r="X126" s="3333"/>
      <c r="Y126" s="3333"/>
      <c r="Z126" s="3333"/>
      <c r="AA126" s="3333"/>
      <c r="AB126" s="3333"/>
      <c r="AC126" s="3333"/>
      <c r="AD126" s="3333"/>
      <c r="AE126" s="3333"/>
      <c r="AF126" s="3333"/>
      <c r="AG126" s="3333"/>
      <c r="AH126" s="3333"/>
      <c r="AI126" s="3333"/>
      <c r="AJ126" s="3333"/>
      <c r="AK126" s="3333"/>
      <c r="AL126" s="3333"/>
      <c r="AM126" s="3333"/>
      <c r="AN126" s="3333"/>
      <c r="AO126" s="3333"/>
      <c r="AP126" s="3333"/>
      <c r="AQ126" s="3334"/>
      <c r="AR126" s="104"/>
    </row>
    <row r="127" spans="2:44" ht="15" customHeight="1" thickBot="1" x14ac:dyDescent="0.3">
      <c r="B127" s="105"/>
      <c r="C127" s="106"/>
      <c r="D127" s="106"/>
      <c r="E127" s="107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8"/>
    </row>
    <row r="128" spans="2:44" ht="15" customHeight="1" thickTop="1" x14ac:dyDescent="0.25"/>
  </sheetData>
  <sheetProtection password="CB18" sheet="1" objects="1" scenarios="1" selectLockedCells="1"/>
  <mergeCells count="197">
    <mergeCell ref="C122:Z122"/>
    <mergeCell ref="AA122:AF122"/>
    <mergeCell ref="AG122:AQ122"/>
    <mergeCell ref="AA125:AF125"/>
    <mergeCell ref="AG125:AQ125"/>
    <mergeCell ref="AG41:AQ41"/>
    <mergeCell ref="AG124:AQ124"/>
    <mergeCell ref="C125:E125"/>
    <mergeCell ref="F125:I125"/>
    <mergeCell ref="J125:Z125"/>
    <mergeCell ref="J42:Z42"/>
    <mergeCell ref="AF88:AQ88"/>
    <mergeCell ref="C91:AQ91"/>
    <mergeCell ref="AB92:AD92"/>
    <mergeCell ref="C93:AQ93"/>
    <mergeCell ref="C96:AQ96"/>
    <mergeCell ref="C98:AQ98"/>
    <mergeCell ref="A45:AR45"/>
    <mergeCell ref="A46:AR46"/>
    <mergeCell ref="C124:M124"/>
    <mergeCell ref="O124:R124"/>
    <mergeCell ref="S124:Z124"/>
    <mergeCell ref="AA124:AF124"/>
    <mergeCell ref="AA41:AF41"/>
    <mergeCell ref="A84:AR84"/>
    <mergeCell ref="A85:AR85"/>
    <mergeCell ref="C42:E42"/>
    <mergeCell ref="F42:I42"/>
    <mergeCell ref="C43:AQ43"/>
    <mergeCell ref="B44:AR44"/>
    <mergeCell ref="A50:AR50"/>
    <mergeCell ref="A51:AR51"/>
    <mergeCell ref="A52:AR52"/>
    <mergeCell ref="A53:AR53"/>
    <mergeCell ref="A54:AR54"/>
    <mergeCell ref="A55:AR55"/>
    <mergeCell ref="A56:AR56"/>
    <mergeCell ref="A57:AR57"/>
    <mergeCell ref="A47:AR47"/>
    <mergeCell ref="A48:AR48"/>
    <mergeCell ref="A49:AR49"/>
    <mergeCell ref="AA42:AF42"/>
    <mergeCell ref="G100:I104"/>
    <mergeCell ref="J100:W104"/>
    <mergeCell ref="X100:Z104"/>
    <mergeCell ref="AA100:AQ104"/>
    <mergeCell ref="C89:AQ89"/>
    <mergeCell ref="Q88:AE88"/>
    <mergeCell ref="A82:AR82"/>
    <mergeCell ref="C123:Q123"/>
    <mergeCell ref="R40:AQ40"/>
    <mergeCell ref="R123:AQ123"/>
    <mergeCell ref="A58:AR58"/>
    <mergeCell ref="A59:AR59"/>
    <mergeCell ref="A60:AR60"/>
    <mergeCell ref="A61:AR61"/>
    <mergeCell ref="A62:AR62"/>
    <mergeCell ref="A63:AR63"/>
    <mergeCell ref="A64:AR64"/>
    <mergeCell ref="A65:AR65"/>
    <mergeCell ref="A66:AR66"/>
    <mergeCell ref="A67:AR67"/>
    <mergeCell ref="C121:M121"/>
    <mergeCell ref="O121:R121"/>
    <mergeCell ref="S121:Z121"/>
    <mergeCell ref="A83:AR83"/>
    <mergeCell ref="J110:W114"/>
    <mergeCell ref="X110:Z114"/>
    <mergeCell ref="AA110:AQ114"/>
    <mergeCell ref="C105:F109"/>
    <mergeCell ref="G105:I109"/>
    <mergeCell ref="J105:W109"/>
    <mergeCell ref="X105:Z109"/>
    <mergeCell ref="AA38:AQ38"/>
    <mergeCell ref="AA121:AQ121"/>
    <mergeCell ref="A68:AR68"/>
    <mergeCell ref="A69:AR69"/>
    <mergeCell ref="A70:AR70"/>
    <mergeCell ref="A71:AR71"/>
    <mergeCell ref="A72:AR72"/>
    <mergeCell ref="A73:AR73"/>
    <mergeCell ref="A74:AR74"/>
    <mergeCell ref="A75:AR75"/>
    <mergeCell ref="A76:AR76"/>
    <mergeCell ref="A77:AR77"/>
    <mergeCell ref="A78:AR78"/>
    <mergeCell ref="C120:Q120"/>
    <mergeCell ref="AA105:AQ109"/>
    <mergeCell ref="AA99:AQ99"/>
    <mergeCell ref="C100:F104"/>
    <mergeCell ref="C126:AQ126"/>
    <mergeCell ref="C92:S92"/>
    <mergeCell ref="T92:W92"/>
    <mergeCell ref="Y92:AA92"/>
    <mergeCell ref="AE92:AI92"/>
    <mergeCell ref="AJ92:AQ92"/>
    <mergeCell ref="C94:AQ95"/>
    <mergeCell ref="Q97:U97"/>
    <mergeCell ref="Z97:AA97"/>
    <mergeCell ref="AB97:AQ97"/>
    <mergeCell ref="C97:P97"/>
    <mergeCell ref="C99:F99"/>
    <mergeCell ref="G99:I99"/>
    <mergeCell ref="J99:W99"/>
    <mergeCell ref="X99:Z99"/>
    <mergeCell ref="R120:AH120"/>
    <mergeCell ref="AI120:AQ120"/>
    <mergeCell ref="C115:F119"/>
    <mergeCell ref="G115:I119"/>
    <mergeCell ref="J115:W119"/>
    <mergeCell ref="X115:Z119"/>
    <mergeCell ref="AA115:AQ119"/>
    <mergeCell ref="C110:F114"/>
    <mergeCell ref="G110:I114"/>
    <mergeCell ref="AF4:AL4"/>
    <mergeCell ref="AF87:AL87"/>
    <mergeCell ref="C90:G90"/>
    <mergeCell ref="X7:AM7"/>
    <mergeCell ref="H90:W90"/>
    <mergeCell ref="X90:AM90"/>
    <mergeCell ref="AP90:AQ90"/>
    <mergeCell ref="C14:P14"/>
    <mergeCell ref="AB14:AQ14"/>
    <mergeCell ref="C8:AQ8"/>
    <mergeCell ref="AB9:AD9"/>
    <mergeCell ref="C10:AQ10"/>
    <mergeCell ref="C15:AQ15"/>
    <mergeCell ref="AG42:AQ42"/>
    <mergeCell ref="E87:P87"/>
    <mergeCell ref="Q87:AE87"/>
    <mergeCell ref="E88:P88"/>
    <mergeCell ref="C4:D5"/>
    <mergeCell ref="C87:D88"/>
    <mergeCell ref="AM87:AN87"/>
    <mergeCell ref="C6:AQ6"/>
    <mergeCell ref="A79:AR79"/>
    <mergeCell ref="A80:AR80"/>
    <mergeCell ref="A81:AR81"/>
    <mergeCell ref="X22:Z26"/>
    <mergeCell ref="C40:Q40"/>
    <mergeCell ref="C37:Q37"/>
    <mergeCell ref="AI37:AQ37"/>
    <mergeCell ref="C32:F36"/>
    <mergeCell ref="G32:I36"/>
    <mergeCell ref="J32:W36"/>
    <mergeCell ref="X32:Z36"/>
    <mergeCell ref="AA32:AQ36"/>
    <mergeCell ref="R37:AH37"/>
    <mergeCell ref="S38:Z38"/>
    <mergeCell ref="Y9:AA9"/>
    <mergeCell ref="S41:Z41"/>
    <mergeCell ref="O41:R41"/>
    <mergeCell ref="C41:M41"/>
    <mergeCell ref="C38:M38"/>
    <mergeCell ref="O38:R38"/>
    <mergeCell ref="C39:Z39"/>
    <mergeCell ref="G17:I21"/>
    <mergeCell ref="J17:W21"/>
    <mergeCell ref="AA16:AQ16"/>
    <mergeCell ref="AA17:AQ21"/>
    <mergeCell ref="J16:W16"/>
    <mergeCell ref="X16:Z16"/>
    <mergeCell ref="X17:Z21"/>
    <mergeCell ref="AG39:AQ39"/>
    <mergeCell ref="AA39:AF39"/>
    <mergeCell ref="C27:F31"/>
    <mergeCell ref="G27:I31"/>
    <mergeCell ref="J27:W31"/>
    <mergeCell ref="X27:Z31"/>
    <mergeCell ref="AA27:AQ31"/>
    <mergeCell ref="C22:F26"/>
    <mergeCell ref="G22:I26"/>
    <mergeCell ref="J22:W26"/>
    <mergeCell ref="C17:F21"/>
    <mergeCell ref="AA22:AQ26"/>
    <mergeCell ref="AM4:AN4"/>
    <mergeCell ref="B3:AR3"/>
    <mergeCell ref="B4:B43"/>
    <mergeCell ref="AR4:AR43"/>
    <mergeCell ref="AP7:AQ7"/>
    <mergeCell ref="AF5:AQ5"/>
    <mergeCell ref="C7:G7"/>
    <mergeCell ref="H7:W7"/>
    <mergeCell ref="E4:P4"/>
    <mergeCell ref="E5:P5"/>
    <mergeCell ref="Q5:AE5"/>
    <mergeCell ref="Q4:AE4"/>
    <mergeCell ref="C16:F16"/>
    <mergeCell ref="G16:I16"/>
    <mergeCell ref="AJ9:AQ9"/>
    <mergeCell ref="AE9:AI9"/>
    <mergeCell ref="C11:AQ12"/>
    <mergeCell ref="Q14:U14"/>
    <mergeCell ref="Z14:AA14"/>
    <mergeCell ref="C13:AQ13"/>
    <mergeCell ref="T9:W9"/>
    <mergeCell ref="C9:S9"/>
  </mergeCells>
  <printOptions horizontalCentered="1" verticalCentered="1"/>
  <pageMargins left="0.39370078740157483" right="0.39370078740157483" top="0.19685039370078741" bottom="0.19685039370078741" header="0.31496062992125984" footer="0.31496062992125984"/>
  <pageSetup paperSize="9" scale="96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F113"/>
  <sheetViews>
    <sheetView showRowColHeaders="0" zoomScale="140" zoomScaleNormal="140" workbookViewId="0">
      <selection activeCell="G6" sqref="G6:Q6"/>
    </sheetView>
  </sheetViews>
  <sheetFormatPr defaultColWidth="2.7109375" defaultRowHeight="15" customHeight="1" x14ac:dyDescent="0.2"/>
  <cols>
    <col min="1" max="2" width="2.7109375" style="420" customWidth="1"/>
    <col min="3" max="3" width="33.28515625" style="420" customWidth="1"/>
    <col min="4" max="4" width="3.28515625" style="420" customWidth="1"/>
    <col min="5" max="5" width="42.7109375" style="420" customWidth="1"/>
    <col min="6" max="16384" width="2.7109375" style="420"/>
  </cols>
  <sheetData>
    <row r="2" spans="2:6" ht="15" customHeight="1" thickBot="1" x14ac:dyDescent="0.25"/>
    <row r="3" spans="2:6" ht="15" customHeight="1" thickTop="1" thickBot="1" x14ac:dyDescent="0.25">
      <c r="B3" s="3428"/>
      <c r="C3" s="3429"/>
      <c r="D3" s="3429"/>
      <c r="E3" s="3429"/>
      <c r="F3" s="3430"/>
    </row>
    <row r="4" spans="2:6" s="421" customFormat="1" ht="21.95" customHeight="1" x14ac:dyDescent="0.25">
      <c r="B4" s="3431"/>
      <c r="C4" s="425" t="s">
        <v>8046</v>
      </c>
      <c r="D4" s="3447" t="str">
        <f>Geral!I8</f>
        <v>Uberaba</v>
      </c>
      <c r="E4" s="3448"/>
      <c r="F4" s="3436"/>
    </row>
    <row r="5" spans="2:6" s="421" customFormat="1" ht="21.75" customHeight="1" x14ac:dyDescent="0.25">
      <c r="B5" s="3432"/>
      <c r="C5" s="426" t="s">
        <v>8047</v>
      </c>
      <c r="D5" s="424">
        <f>IF(E5&lt;100,4,5)</f>
        <v>4</v>
      </c>
      <c r="E5" s="433">
        <v>25</v>
      </c>
      <c r="F5" s="3437"/>
    </row>
    <row r="6" spans="2:6" s="421" customFormat="1" ht="21.75" customHeight="1" x14ac:dyDescent="0.25">
      <c r="B6" s="3432"/>
      <c r="C6" s="426" t="s">
        <v>8048</v>
      </c>
      <c r="D6" s="3449" t="str">
        <f>IF(ISERROR(VLOOKUP(E5,Escolas!C5:K269,3,FALSE)),"",VLOOKUP(E5,Escolas!C5:K269,3,FALSE))</f>
        <v>Superintendência Regional de Ensino de Uberaba</v>
      </c>
      <c r="E6" s="3450"/>
      <c r="F6" s="3437"/>
    </row>
    <row r="7" spans="2:6" s="421" customFormat="1" ht="21.75" customHeight="1" x14ac:dyDescent="0.25">
      <c r="B7" s="3432"/>
      <c r="C7" s="426" t="s">
        <v>8049</v>
      </c>
      <c r="D7" s="3449" t="str">
        <f>IF(ISERROR(VLOOKUP(E5,Escolas!C5:K269,7,FALSE)),"",VLOOKUP(E5,Escolas!C5:K269,7,FALSE))</f>
        <v>Uberaba</v>
      </c>
      <c r="E7" s="3450"/>
      <c r="F7" s="3437"/>
    </row>
    <row r="8" spans="2:6" ht="21" customHeight="1" x14ac:dyDescent="0.2">
      <c r="B8" s="3432"/>
      <c r="C8" s="427" t="s">
        <v>381</v>
      </c>
      <c r="D8" s="3424" t="s">
        <v>8155</v>
      </c>
      <c r="E8" s="3425"/>
      <c r="F8" s="3437"/>
    </row>
    <row r="9" spans="2:6" ht="21" customHeight="1" x14ac:dyDescent="0.2">
      <c r="B9" s="3432"/>
      <c r="C9" s="427" t="s">
        <v>8050</v>
      </c>
      <c r="D9" s="3451">
        <v>3651981</v>
      </c>
      <c r="E9" s="3452"/>
      <c r="F9" s="3437"/>
    </row>
    <row r="10" spans="2:6" ht="21" customHeight="1" x14ac:dyDescent="0.2">
      <c r="B10" s="3432"/>
      <c r="C10" s="427" t="s">
        <v>8051</v>
      </c>
      <c r="D10" s="3422">
        <v>1</v>
      </c>
      <c r="E10" s="3423"/>
      <c r="F10" s="3437"/>
    </row>
    <row r="11" spans="2:6" ht="21" customHeight="1" x14ac:dyDescent="0.2">
      <c r="B11" s="3432"/>
      <c r="C11" s="427" t="s">
        <v>8052</v>
      </c>
      <c r="D11" s="3424" t="s">
        <v>8156</v>
      </c>
      <c r="E11" s="3425"/>
      <c r="F11" s="3437"/>
    </row>
    <row r="12" spans="2:6" ht="21" customHeight="1" thickBot="1" x14ac:dyDescent="0.25">
      <c r="B12" s="3433"/>
      <c r="C12" s="428" t="s">
        <v>8053</v>
      </c>
      <c r="D12" s="3426">
        <v>26776012612014</v>
      </c>
      <c r="E12" s="3427"/>
      <c r="F12" s="3438"/>
    </row>
    <row r="13" spans="2:6" ht="15" customHeight="1" thickBot="1" x14ac:dyDescent="0.25">
      <c r="B13" s="422"/>
      <c r="C13" s="3417"/>
      <c r="D13" s="3418"/>
      <c r="E13" s="3419"/>
      <c r="F13" s="423"/>
    </row>
    <row r="14" spans="2:6" ht="15" customHeight="1" thickTop="1" x14ac:dyDescent="0.2"/>
    <row r="101" spans="2:6" ht="15" customHeight="1" thickBot="1" x14ac:dyDescent="0.25"/>
    <row r="102" spans="2:6" ht="15" customHeight="1" thickTop="1" thickBot="1" x14ac:dyDescent="0.25">
      <c r="B102" s="3428"/>
      <c r="C102" s="3429"/>
      <c r="D102" s="3429"/>
      <c r="E102" s="3429"/>
      <c r="F102" s="3430"/>
    </row>
    <row r="103" spans="2:6" s="421" customFormat="1" ht="21.95" customHeight="1" x14ac:dyDescent="0.25">
      <c r="B103" s="3431"/>
      <c r="C103" s="429" t="str">
        <f>C4</f>
        <v>NOME DA S.R.E.:</v>
      </c>
      <c r="D103" s="3434" t="str">
        <f>D4</f>
        <v>Uberaba</v>
      </c>
      <c r="E103" s="3435"/>
      <c r="F103" s="3436"/>
    </row>
    <row r="104" spans="2:6" s="421" customFormat="1" ht="21.75" customHeight="1" x14ac:dyDescent="0.25">
      <c r="B104" s="3432"/>
      <c r="C104" s="430" t="str">
        <f t="shared" ref="C104:C111" si="0">C5</f>
        <v>CÓDIGO UNIDADE EXERCÍCIO</v>
      </c>
      <c r="D104" s="3420">
        <f>E5</f>
        <v>25</v>
      </c>
      <c r="E104" s="3421"/>
      <c r="F104" s="3437"/>
    </row>
    <row r="105" spans="2:6" s="421" customFormat="1" ht="21.75" customHeight="1" x14ac:dyDescent="0.25">
      <c r="B105" s="3432"/>
      <c r="C105" s="430" t="str">
        <f t="shared" si="0"/>
        <v>NOME DA UNIDADE EXERCÍCIO</v>
      </c>
      <c r="D105" s="3439" t="str">
        <f t="shared" ref="D105:D111" si="1">D6</f>
        <v>Superintendência Regional de Ensino de Uberaba</v>
      </c>
      <c r="E105" s="3440"/>
      <c r="F105" s="3437"/>
    </row>
    <row r="106" spans="2:6" s="421" customFormat="1" ht="21.75" customHeight="1" x14ac:dyDescent="0.25">
      <c r="B106" s="3432"/>
      <c r="C106" s="430" t="str">
        <f t="shared" si="0"/>
        <v>MUNICÍPIO UNIDADE EXERCÍCIO</v>
      </c>
      <c r="D106" s="3439" t="str">
        <f t="shared" si="1"/>
        <v>Uberaba</v>
      </c>
      <c r="E106" s="3440"/>
      <c r="F106" s="3437"/>
    </row>
    <row r="107" spans="2:6" ht="21" customHeight="1" x14ac:dyDescent="0.2">
      <c r="B107" s="3432"/>
      <c r="C107" s="431" t="str">
        <f t="shared" si="0"/>
        <v>NOME DO SERVIDOR</v>
      </c>
      <c r="D107" s="3439" t="str">
        <f t="shared" si="1"/>
        <v>Nilza Soares Faria de Carvalho</v>
      </c>
      <c r="E107" s="3440"/>
      <c r="F107" s="3437"/>
    </row>
    <row r="108" spans="2:6" ht="21" customHeight="1" x14ac:dyDescent="0.2">
      <c r="B108" s="3432"/>
      <c r="C108" s="431" t="str">
        <f t="shared" si="0"/>
        <v>MASP</v>
      </c>
      <c r="D108" s="3441">
        <f t="shared" si="1"/>
        <v>3651981</v>
      </c>
      <c r="E108" s="3442"/>
      <c r="F108" s="3437"/>
    </row>
    <row r="109" spans="2:6" ht="21" customHeight="1" x14ac:dyDescent="0.2">
      <c r="B109" s="3432"/>
      <c r="C109" s="431" t="str">
        <f t="shared" si="0"/>
        <v>ADMISSÃO</v>
      </c>
      <c r="D109" s="3443">
        <f t="shared" si="1"/>
        <v>1</v>
      </c>
      <c r="E109" s="3444"/>
      <c r="F109" s="3437"/>
    </row>
    <row r="110" spans="2:6" ht="21" customHeight="1" x14ac:dyDescent="0.2">
      <c r="B110" s="3432"/>
      <c r="C110" s="431" t="str">
        <f t="shared" si="0"/>
        <v>TIPO (NOME) DE BENEFÍCIO</v>
      </c>
      <c r="D110" s="3439" t="str">
        <f t="shared" si="1"/>
        <v>Processo de Férias Prêmio Conversão em Espécie</v>
      </c>
      <c r="E110" s="3440"/>
      <c r="F110" s="3437"/>
    </row>
    <row r="111" spans="2:6" ht="21" customHeight="1" thickBot="1" x14ac:dyDescent="0.25">
      <c r="B111" s="3433"/>
      <c r="C111" s="432" t="str">
        <f t="shared" si="0"/>
        <v>ETIQUETA DE REGISTRO DO SIGED</v>
      </c>
      <c r="D111" s="3445">
        <f t="shared" si="1"/>
        <v>26776012612014</v>
      </c>
      <c r="E111" s="3446"/>
      <c r="F111" s="3438"/>
    </row>
    <row r="112" spans="2:6" ht="15" customHeight="1" thickBot="1" x14ac:dyDescent="0.25">
      <c r="B112" s="422"/>
      <c r="C112" s="3417"/>
      <c r="D112" s="3418"/>
      <c r="E112" s="3419"/>
      <c r="F112" s="423"/>
    </row>
    <row r="113" ht="15" customHeight="1" thickTop="1" x14ac:dyDescent="0.2"/>
  </sheetData>
  <sheetProtection password="CB18" sheet="1" objects="1" scenarios="1" selectLockedCells="1"/>
  <mergeCells count="25">
    <mergeCell ref="B3:F3"/>
    <mergeCell ref="B4:B12"/>
    <mergeCell ref="F4:F12"/>
    <mergeCell ref="C13:E13"/>
    <mergeCell ref="D4:E4"/>
    <mergeCell ref="D6:E6"/>
    <mergeCell ref="D7:E7"/>
    <mergeCell ref="D8:E8"/>
    <mergeCell ref="D9:E9"/>
    <mergeCell ref="C112:E112"/>
    <mergeCell ref="D104:E104"/>
    <mergeCell ref="D10:E10"/>
    <mergeCell ref="D11:E11"/>
    <mergeCell ref="D12:E12"/>
    <mergeCell ref="B102:F102"/>
    <mergeCell ref="B103:B111"/>
    <mergeCell ref="D103:E103"/>
    <mergeCell ref="F103:F111"/>
    <mergeCell ref="D105:E105"/>
    <mergeCell ref="D106:E106"/>
    <mergeCell ref="D107:E107"/>
    <mergeCell ref="D108:E108"/>
    <mergeCell ref="D109:E109"/>
    <mergeCell ref="D110:E110"/>
    <mergeCell ref="D111:E111"/>
  </mergeCells>
  <pageMargins left="0.39370078740157483" right="0.39370078740157483" top="0.39370078740157483" bottom="0.39370078740157483" header="0.31496062992125984" footer="0.31496062992125984"/>
  <pageSetup paperSize="9" scale="120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2:AP113"/>
  <sheetViews>
    <sheetView showGridLines="0" showRowColHeaders="0" topLeftCell="C13" zoomScale="139" zoomScaleNormal="139" workbookViewId="0">
      <selection activeCell="G6" sqref="G6:Q6"/>
    </sheetView>
  </sheetViews>
  <sheetFormatPr defaultColWidth="2.7109375" defaultRowHeight="15" customHeight="1" x14ac:dyDescent="0.25"/>
  <cols>
    <col min="1" max="2" width="2.7109375" style="277"/>
    <col min="3" max="5" width="2.7109375" style="39"/>
    <col min="6" max="9" width="2.7109375" style="277"/>
    <col min="10" max="10" width="3.42578125" style="277" customWidth="1"/>
    <col min="11" max="24" width="2.7109375" style="277"/>
    <col min="25" max="25" width="3" style="277" customWidth="1"/>
    <col min="26" max="26" width="2.42578125" style="277" customWidth="1"/>
    <col min="27" max="30" width="2.7109375" style="277"/>
    <col min="31" max="31" width="2.7109375" style="277" customWidth="1"/>
    <col min="32" max="33" width="2.7109375" style="277"/>
    <col min="34" max="35" width="2.42578125" style="277" customWidth="1"/>
    <col min="36" max="41" width="2.7109375" style="277"/>
    <col min="42" max="42" width="0" style="277" hidden="1" customWidth="1"/>
    <col min="43" max="16384" width="2.7109375" style="277"/>
  </cols>
  <sheetData>
    <row r="2" spans="2:42" ht="15" customHeight="1" thickBot="1" x14ac:dyDescent="0.3"/>
    <row r="3" spans="2:42" ht="15.95" customHeight="1" thickTop="1" x14ac:dyDescent="0.25">
      <c r="B3" s="3212"/>
      <c r="C3" s="3213"/>
      <c r="D3" s="3213"/>
      <c r="E3" s="3213"/>
      <c r="F3" s="3213"/>
      <c r="G3" s="3213"/>
      <c r="H3" s="3213"/>
      <c r="I3" s="3213"/>
      <c r="J3" s="3213"/>
      <c r="K3" s="3213"/>
      <c r="L3" s="3213"/>
      <c r="M3" s="3213"/>
      <c r="N3" s="3213"/>
      <c r="O3" s="3213"/>
      <c r="P3" s="3213"/>
      <c r="Q3" s="3213"/>
      <c r="R3" s="3213"/>
      <c r="S3" s="3213"/>
      <c r="T3" s="3213"/>
      <c r="U3" s="3213"/>
      <c r="V3" s="3213"/>
      <c r="W3" s="3213"/>
      <c r="X3" s="3213"/>
      <c r="Y3" s="3213"/>
      <c r="Z3" s="3213"/>
      <c r="AA3" s="3213"/>
      <c r="AB3" s="3213"/>
      <c r="AC3" s="3213"/>
      <c r="AD3" s="3213"/>
      <c r="AE3" s="3213"/>
      <c r="AF3" s="3213"/>
      <c r="AG3" s="3213"/>
      <c r="AH3" s="3213"/>
      <c r="AI3" s="3213"/>
      <c r="AJ3" s="3214"/>
    </row>
    <row r="4" spans="2:42" ht="15.95" customHeight="1" x14ac:dyDescent="0.25">
      <c r="B4" s="3518"/>
      <c r="C4" s="3520"/>
      <c r="D4" s="3520"/>
      <c r="E4" s="282"/>
      <c r="F4" s="3527" t="s">
        <v>7925</v>
      </c>
      <c r="G4" s="3527"/>
      <c r="H4" s="3527"/>
      <c r="I4" s="3527"/>
      <c r="J4" s="3527"/>
      <c r="K4" s="3527"/>
      <c r="L4" s="3527"/>
      <c r="M4" s="3527"/>
      <c r="N4" s="3527"/>
      <c r="O4" s="3527"/>
      <c r="P4" s="3527"/>
      <c r="Q4" s="3527"/>
      <c r="R4" s="3527"/>
      <c r="S4" s="3527"/>
      <c r="T4" s="3527"/>
      <c r="U4" s="3527"/>
      <c r="V4" s="3527"/>
      <c r="W4" s="3527"/>
      <c r="X4" s="3527"/>
      <c r="Y4" s="3527"/>
      <c r="Z4" s="3527"/>
      <c r="AA4" s="3527"/>
      <c r="AB4" s="3527"/>
      <c r="AC4" s="3527"/>
      <c r="AD4" s="3527"/>
      <c r="AE4" s="282"/>
      <c r="AF4" s="282"/>
      <c r="AG4" s="282"/>
      <c r="AH4" s="282"/>
      <c r="AI4" s="224"/>
      <c r="AJ4" s="3521"/>
    </row>
    <row r="5" spans="2:42" ht="15.95" customHeight="1" x14ac:dyDescent="0.25">
      <c r="B5" s="3519"/>
      <c r="C5" s="3520"/>
      <c r="D5" s="3520"/>
      <c r="E5" s="282"/>
      <c r="F5" s="3476" t="s">
        <v>7926</v>
      </c>
      <c r="G5" s="3476"/>
      <c r="H5" s="3476"/>
      <c r="I5" s="3476"/>
      <c r="J5" s="3476"/>
      <c r="K5" s="3476"/>
      <c r="L5" s="3476"/>
      <c r="M5" s="3476"/>
      <c r="N5" s="3476"/>
      <c r="O5" s="3476"/>
      <c r="P5" s="3476"/>
      <c r="Q5" s="3476"/>
      <c r="R5" s="3476"/>
      <c r="S5" s="3476"/>
      <c r="T5" s="3476"/>
      <c r="U5" s="3476"/>
      <c r="V5" s="3476"/>
      <c r="W5" s="3476"/>
      <c r="X5" s="3476"/>
      <c r="Y5" s="3476"/>
      <c r="Z5" s="3476"/>
      <c r="AA5" s="3476"/>
      <c r="AB5" s="3476"/>
      <c r="AC5" s="3476"/>
      <c r="AD5" s="3476"/>
      <c r="AE5" s="282"/>
      <c r="AF5" s="282"/>
      <c r="AG5" s="282"/>
      <c r="AH5" s="282"/>
      <c r="AI5" s="282"/>
      <c r="AJ5" s="3522"/>
    </row>
    <row r="6" spans="2:42" ht="15.95" customHeight="1" x14ac:dyDescent="0.25">
      <c r="B6" s="3519"/>
      <c r="C6" s="282"/>
      <c r="D6" s="282"/>
      <c r="E6" s="282"/>
      <c r="F6" s="3476" t="s">
        <v>7927</v>
      </c>
      <c r="G6" s="3476"/>
      <c r="H6" s="3476"/>
      <c r="I6" s="3476"/>
      <c r="J6" s="3476"/>
      <c r="K6" s="3476"/>
      <c r="L6" s="3476"/>
      <c r="M6" s="3476"/>
      <c r="N6" s="3476"/>
      <c r="O6" s="3476"/>
      <c r="P6" s="3476"/>
      <c r="Q6" s="3476"/>
      <c r="R6" s="3476"/>
      <c r="S6" s="3476"/>
      <c r="T6" s="3476"/>
      <c r="U6" s="3476"/>
      <c r="V6" s="3476"/>
      <c r="W6" s="3476"/>
      <c r="X6" s="3476"/>
      <c r="Y6" s="3476"/>
      <c r="Z6" s="3476"/>
      <c r="AA6" s="3476"/>
      <c r="AB6" s="3476"/>
      <c r="AC6" s="3476"/>
      <c r="AD6" s="3476"/>
      <c r="AE6" s="282"/>
      <c r="AF6" s="282"/>
      <c r="AG6" s="282"/>
      <c r="AH6" s="282"/>
      <c r="AI6" s="282"/>
      <c r="AJ6" s="3522"/>
    </row>
    <row r="7" spans="2:42" ht="15.95" customHeight="1" x14ac:dyDescent="0.25">
      <c r="B7" s="3519"/>
      <c r="C7" s="282"/>
      <c r="D7" s="282"/>
      <c r="E7" s="282"/>
      <c r="F7" s="283"/>
      <c r="G7" s="283"/>
      <c r="H7" s="283"/>
      <c r="I7" s="283"/>
      <c r="J7" s="283"/>
      <c r="K7" s="282"/>
      <c r="L7" s="282"/>
      <c r="M7" s="282"/>
      <c r="N7" s="282"/>
      <c r="O7" s="282"/>
      <c r="P7" s="282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3522"/>
    </row>
    <row r="8" spans="2:42" ht="15.95" customHeight="1" x14ac:dyDescent="0.25">
      <c r="B8" s="3519"/>
      <c r="C8" s="3517" t="s">
        <v>7928</v>
      </c>
      <c r="D8" s="3517"/>
      <c r="E8" s="3517"/>
      <c r="F8" s="3517"/>
      <c r="G8" s="3517"/>
      <c r="H8" s="3517"/>
      <c r="I8" s="3517"/>
      <c r="J8" s="3517"/>
      <c r="K8" s="3517"/>
      <c r="L8" s="3517"/>
      <c r="M8" s="3517"/>
      <c r="N8" s="3517"/>
      <c r="O8" s="3517"/>
      <c r="P8" s="3517"/>
      <c r="Q8" s="3517"/>
      <c r="R8" s="3517"/>
      <c r="S8" s="3517"/>
      <c r="T8" s="3517"/>
      <c r="U8" s="3517"/>
      <c r="V8" s="3517"/>
      <c r="W8" s="3517"/>
      <c r="X8" s="3517"/>
      <c r="Y8" s="3517"/>
      <c r="Z8" s="3517"/>
      <c r="AA8" s="3517"/>
      <c r="AB8" s="3517"/>
      <c r="AC8" s="3517"/>
      <c r="AD8" s="3517"/>
      <c r="AE8" s="3517"/>
      <c r="AF8" s="3517"/>
      <c r="AG8" s="3517"/>
      <c r="AH8" s="3517"/>
      <c r="AI8" s="3517"/>
      <c r="AJ8" s="3522"/>
    </row>
    <row r="9" spans="2:42" ht="15.95" customHeight="1" x14ac:dyDescent="0.25">
      <c r="B9" s="3519"/>
      <c r="C9" s="3517"/>
      <c r="D9" s="3517"/>
      <c r="E9" s="3517"/>
      <c r="F9" s="3517"/>
      <c r="G9" s="3517"/>
      <c r="H9" s="3517"/>
      <c r="I9" s="3517"/>
      <c r="J9" s="3517"/>
      <c r="K9" s="3517"/>
      <c r="L9" s="3517"/>
      <c r="M9" s="3517"/>
      <c r="N9" s="3517"/>
      <c r="O9" s="3517"/>
      <c r="P9" s="3517"/>
      <c r="Q9" s="3517"/>
      <c r="R9" s="3517"/>
      <c r="S9" s="3517"/>
      <c r="T9" s="3517"/>
      <c r="U9" s="3517"/>
      <c r="V9" s="3517"/>
      <c r="W9" s="3517"/>
      <c r="X9" s="3517"/>
      <c r="Y9" s="3517"/>
      <c r="Z9" s="3517"/>
      <c r="AA9" s="3517"/>
      <c r="AB9" s="3517"/>
      <c r="AC9" s="3517"/>
      <c r="AD9" s="3517"/>
      <c r="AE9" s="3517"/>
      <c r="AF9" s="3517"/>
      <c r="AG9" s="3517"/>
      <c r="AH9" s="3517"/>
      <c r="AI9" s="3517"/>
      <c r="AJ9" s="3522"/>
    </row>
    <row r="10" spans="2:42" ht="15.95" customHeight="1" x14ac:dyDescent="0.3">
      <c r="B10" s="3519"/>
      <c r="C10" s="3525" t="s">
        <v>7929</v>
      </c>
      <c r="D10" s="3525"/>
      <c r="E10" s="3525"/>
      <c r="F10" s="3525"/>
      <c r="G10" s="3525"/>
      <c r="H10" s="3525"/>
      <c r="I10" s="3525"/>
      <c r="J10" s="3525"/>
      <c r="K10" s="3525"/>
      <c r="L10" s="3525"/>
      <c r="M10" s="3525"/>
      <c r="N10" s="3525"/>
      <c r="O10" s="3525"/>
      <c r="P10" s="3525"/>
      <c r="Q10" s="3525"/>
      <c r="R10" s="3525"/>
      <c r="S10" s="3525"/>
      <c r="T10" s="3525"/>
      <c r="U10" s="3525"/>
      <c r="V10" s="3525"/>
      <c r="W10" s="3525"/>
      <c r="X10" s="3525"/>
      <c r="Y10" s="3525"/>
      <c r="Z10" s="3525"/>
      <c r="AA10" s="3525"/>
      <c r="AB10" s="3525"/>
      <c r="AC10" s="3525"/>
      <c r="AD10" s="3525"/>
      <c r="AE10" s="3525"/>
      <c r="AF10" s="3525"/>
      <c r="AG10" s="3525"/>
      <c r="AH10" s="3525"/>
      <c r="AI10" s="3525"/>
      <c r="AJ10" s="3522"/>
    </row>
    <row r="11" spans="2:42" ht="15.95" customHeight="1" x14ac:dyDescent="0.25">
      <c r="B11" s="3519"/>
      <c r="C11" s="3526"/>
      <c r="D11" s="3526"/>
      <c r="E11" s="3526"/>
      <c r="F11" s="3526"/>
      <c r="G11" s="3526"/>
      <c r="H11" s="3526"/>
      <c r="I11" s="3526"/>
      <c r="J11" s="3526"/>
      <c r="K11" s="3526"/>
      <c r="L11" s="3526"/>
      <c r="M11" s="3526"/>
      <c r="N11" s="3526"/>
      <c r="O11" s="3526"/>
      <c r="P11" s="3526"/>
      <c r="Q11" s="3526"/>
      <c r="R11" s="3526"/>
      <c r="S11" s="3526"/>
      <c r="T11" s="3526"/>
      <c r="U11" s="3526"/>
      <c r="V11" s="3526"/>
      <c r="W11" s="3526"/>
      <c r="X11" s="3526"/>
      <c r="Y11" s="3526"/>
      <c r="Z11" s="3526"/>
      <c r="AA11" s="3526"/>
      <c r="AB11" s="3526"/>
      <c r="AC11" s="3526"/>
      <c r="AD11" s="3526"/>
      <c r="AE11" s="3526"/>
      <c r="AF11" s="3526"/>
      <c r="AG11" s="3526"/>
      <c r="AH11" s="3526"/>
      <c r="AI11" s="3526"/>
      <c r="AJ11" s="3522"/>
    </row>
    <row r="12" spans="2:42" ht="15.95" customHeight="1" x14ac:dyDescent="0.3">
      <c r="B12" s="3519"/>
      <c r="C12" s="3524" t="s">
        <v>367</v>
      </c>
      <c r="D12" s="3524"/>
      <c r="E12" s="3524"/>
      <c r="F12" s="3489" t="s">
        <v>8146</v>
      </c>
      <c r="G12" s="3489"/>
      <c r="H12" s="3489"/>
      <c r="I12" s="3489"/>
      <c r="J12" s="3489"/>
      <c r="K12" s="3489"/>
      <c r="L12" s="3489"/>
      <c r="M12" s="3489"/>
      <c r="N12" s="3489"/>
      <c r="O12" s="3489"/>
      <c r="P12" s="3489"/>
      <c r="Q12" s="3489"/>
      <c r="R12" s="3489"/>
      <c r="S12" s="3489"/>
      <c r="T12" s="3489"/>
      <c r="U12" s="3489"/>
      <c r="V12" s="3474" t="s">
        <v>1</v>
      </c>
      <c r="W12" s="3474"/>
      <c r="X12" s="3474"/>
      <c r="Y12" s="3462">
        <v>1349315</v>
      </c>
      <c r="Z12" s="3462"/>
      <c r="AA12" s="3462"/>
      <c r="AB12" s="3462"/>
      <c r="AC12" s="3462"/>
      <c r="AD12" s="3462"/>
      <c r="AE12" s="3474" t="s">
        <v>7930</v>
      </c>
      <c r="AF12" s="3474"/>
      <c r="AG12" s="3474"/>
      <c r="AH12" s="3475">
        <v>1</v>
      </c>
      <c r="AI12" s="3475"/>
      <c r="AJ12" s="3522"/>
    </row>
    <row r="13" spans="2:42" ht="18" customHeight="1" x14ac:dyDescent="0.35">
      <c r="B13" s="3519"/>
      <c r="C13" s="3524" t="s">
        <v>7931</v>
      </c>
      <c r="D13" s="3524"/>
      <c r="E13" s="3524"/>
      <c r="F13" s="3473" t="s">
        <v>8147</v>
      </c>
      <c r="G13" s="3473"/>
      <c r="H13" s="3473"/>
      <c r="I13" s="3473"/>
      <c r="J13" s="3473"/>
      <c r="K13" s="304"/>
      <c r="L13" s="304"/>
      <c r="M13" s="304"/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5"/>
      <c r="AA13" s="304"/>
      <c r="AB13" s="304"/>
      <c r="AC13" s="304"/>
      <c r="AD13" s="304"/>
      <c r="AE13" s="306"/>
      <c r="AF13" s="304"/>
      <c r="AG13" s="304"/>
      <c r="AH13" s="304"/>
      <c r="AI13" s="304"/>
      <c r="AJ13" s="3522"/>
      <c r="AN13" s="322"/>
      <c r="AP13" s="323">
        <v>1</v>
      </c>
    </row>
    <row r="14" spans="2:42" ht="15.95" customHeight="1" x14ac:dyDescent="0.3">
      <c r="B14" s="3519"/>
      <c r="C14" s="3529" t="s">
        <v>4</v>
      </c>
      <c r="D14" s="3529"/>
      <c r="E14" s="3529"/>
      <c r="F14" s="3529"/>
      <c r="G14" s="3529"/>
      <c r="H14" s="3529"/>
      <c r="I14" s="3529"/>
      <c r="J14" s="307">
        <f>IF(K14&lt;100,4,5)</f>
        <v>4</v>
      </c>
      <c r="K14" s="3530">
        <v>25</v>
      </c>
      <c r="L14" s="3530"/>
      <c r="M14" s="3530"/>
      <c r="N14" s="3530"/>
      <c r="O14" s="3485" t="str">
        <f>IF(ISERROR(VLOOKUP(K14,Escolas!C5:K269,3,FALSE)),"",VLOOKUP(K14,Escolas!C5:K269,3,FALSE))</f>
        <v>Superintendência Regional de Ensino de Uberaba</v>
      </c>
      <c r="P14" s="3485"/>
      <c r="Q14" s="3485"/>
      <c r="R14" s="3485"/>
      <c r="S14" s="3485"/>
      <c r="T14" s="3485"/>
      <c r="U14" s="3485"/>
      <c r="V14" s="3485"/>
      <c r="W14" s="3485"/>
      <c r="X14" s="3485"/>
      <c r="Y14" s="3485"/>
      <c r="Z14" s="3485"/>
      <c r="AA14" s="3485"/>
      <c r="AB14" s="3485"/>
      <c r="AC14" s="3485"/>
      <c r="AD14" s="3485"/>
      <c r="AE14" s="3485"/>
      <c r="AF14" s="3485"/>
      <c r="AG14" s="3485"/>
      <c r="AH14" s="3485"/>
      <c r="AI14" s="3485"/>
      <c r="AJ14" s="3522"/>
    </row>
    <row r="15" spans="2:42" ht="15.95" customHeight="1" x14ac:dyDescent="0.3">
      <c r="B15" s="3519"/>
      <c r="C15" s="3484" t="s">
        <v>7932</v>
      </c>
      <c r="D15" s="3484"/>
      <c r="E15" s="3484"/>
      <c r="F15" s="3484"/>
      <c r="G15" s="3484"/>
      <c r="H15" s="3484"/>
      <c r="I15" s="3484"/>
      <c r="J15" s="308"/>
      <c r="K15" s="309"/>
      <c r="L15" s="309"/>
      <c r="M15" s="309"/>
      <c r="N15" s="309"/>
      <c r="O15" s="3485" t="str">
        <f>IF(ISERROR(VLOOKUP(K14,Escolas!C5:K269,7,FALSE)),"",VLOOKUP(K14,Escolas!C5:K269,7,FALSE))</f>
        <v>Uberaba</v>
      </c>
      <c r="P15" s="3485"/>
      <c r="Q15" s="3485"/>
      <c r="R15" s="3485"/>
      <c r="S15" s="3485"/>
      <c r="T15" s="3485"/>
      <c r="U15" s="3485"/>
      <c r="V15" s="3485"/>
      <c r="W15" s="3485"/>
      <c r="X15" s="3485"/>
      <c r="Y15" s="3485"/>
      <c r="Z15" s="3485"/>
      <c r="AA15" s="3485"/>
      <c r="AB15" s="3485"/>
      <c r="AC15" s="3485"/>
      <c r="AD15" s="3485"/>
      <c r="AE15" s="3485"/>
      <c r="AF15" s="3485"/>
      <c r="AG15" s="3485"/>
      <c r="AH15" s="3485"/>
      <c r="AI15" s="3485"/>
      <c r="AJ15" s="3522"/>
    </row>
    <row r="16" spans="2:42" ht="15.95" customHeight="1" x14ac:dyDescent="0.25">
      <c r="B16" s="3519"/>
      <c r="C16" s="3486"/>
      <c r="D16" s="3486"/>
      <c r="E16" s="3486"/>
      <c r="F16" s="3486"/>
      <c r="G16" s="3486"/>
      <c r="H16" s="3486"/>
      <c r="I16" s="3486"/>
      <c r="J16" s="3486"/>
      <c r="K16" s="3486"/>
      <c r="L16" s="3486"/>
      <c r="M16" s="3486"/>
      <c r="N16" s="3486"/>
      <c r="O16" s="3486"/>
      <c r="P16" s="3486"/>
      <c r="Q16" s="3486"/>
      <c r="R16" s="3486"/>
      <c r="S16" s="3486"/>
      <c r="T16" s="3486"/>
      <c r="U16" s="3486"/>
      <c r="V16" s="3486"/>
      <c r="W16" s="3486"/>
      <c r="X16" s="3486"/>
      <c r="Y16" s="3486"/>
      <c r="Z16" s="3486"/>
      <c r="AA16" s="3486"/>
      <c r="AB16" s="3486"/>
      <c r="AC16" s="3486"/>
      <c r="AD16" s="3486"/>
      <c r="AE16" s="3486"/>
      <c r="AF16" s="3486"/>
      <c r="AG16" s="3486"/>
      <c r="AH16" s="3486"/>
      <c r="AI16" s="3486"/>
      <c r="AJ16" s="3522"/>
    </row>
    <row r="17" spans="2:36" ht="15.95" customHeight="1" x14ac:dyDescent="0.3">
      <c r="B17" s="3519"/>
      <c r="C17" s="3487" t="s">
        <v>7933</v>
      </c>
      <c r="D17" s="3487"/>
      <c r="E17" s="3487"/>
      <c r="F17" s="3488">
        <f>Z48</f>
        <v>969.57</v>
      </c>
      <c r="G17" s="3488"/>
      <c r="H17" s="3488"/>
      <c r="I17" s="3488"/>
      <c r="J17" s="3488"/>
      <c r="K17" s="3481" t="str">
        <f>IF(Extenso!N7="","","(" &amp; Extenso!N7 &amp; ")")</f>
        <v>(novecentos e sessenta e nove reais e cinquenta e sete centavos)</v>
      </c>
      <c r="L17" s="3481"/>
      <c r="M17" s="3481"/>
      <c r="N17" s="3481"/>
      <c r="O17" s="3481"/>
      <c r="P17" s="3481"/>
      <c r="Q17" s="3481"/>
      <c r="R17" s="3481"/>
      <c r="S17" s="3481"/>
      <c r="T17" s="3481"/>
      <c r="U17" s="3481"/>
      <c r="V17" s="3481"/>
      <c r="W17" s="3481"/>
      <c r="X17" s="3481"/>
      <c r="Y17" s="3481"/>
      <c r="Z17" s="3481"/>
      <c r="AA17" s="3481"/>
      <c r="AB17" s="3481"/>
      <c r="AC17" s="3481"/>
      <c r="AD17" s="3481"/>
      <c r="AE17" s="3481"/>
      <c r="AF17" s="3481"/>
      <c r="AG17" s="3481"/>
      <c r="AH17" s="3481"/>
      <c r="AI17" s="3481"/>
      <c r="AJ17" s="3522"/>
    </row>
    <row r="18" spans="2:36" ht="15.95" customHeight="1" x14ac:dyDescent="0.25">
      <c r="B18" s="3519"/>
      <c r="C18" s="310"/>
      <c r="D18" s="310"/>
      <c r="E18" s="310"/>
      <c r="F18" s="310"/>
      <c r="G18" s="310"/>
      <c r="H18" s="308"/>
      <c r="I18" s="308"/>
      <c r="J18" s="308"/>
      <c r="K18" s="3481"/>
      <c r="L18" s="3481"/>
      <c r="M18" s="3481"/>
      <c r="N18" s="3481"/>
      <c r="O18" s="3481"/>
      <c r="P18" s="3481"/>
      <c r="Q18" s="3481"/>
      <c r="R18" s="3481"/>
      <c r="S18" s="3481"/>
      <c r="T18" s="3481"/>
      <c r="U18" s="3481"/>
      <c r="V18" s="3481"/>
      <c r="W18" s="3481"/>
      <c r="X18" s="3481"/>
      <c r="Y18" s="3481"/>
      <c r="Z18" s="3481"/>
      <c r="AA18" s="3481"/>
      <c r="AB18" s="3481"/>
      <c r="AC18" s="3481"/>
      <c r="AD18" s="3481"/>
      <c r="AE18" s="3481"/>
      <c r="AF18" s="3481"/>
      <c r="AG18" s="3481"/>
      <c r="AH18" s="3481"/>
      <c r="AI18" s="3481"/>
      <c r="AJ18" s="3522"/>
    </row>
    <row r="19" spans="2:36" ht="15.95" customHeight="1" x14ac:dyDescent="0.25">
      <c r="B19" s="3519"/>
      <c r="C19" s="3480"/>
      <c r="D19" s="3480"/>
      <c r="E19" s="3480"/>
      <c r="F19" s="3480"/>
      <c r="G19" s="3480"/>
      <c r="H19" s="3480"/>
      <c r="I19" s="3480"/>
      <c r="J19" s="3480"/>
      <c r="K19" s="3480"/>
      <c r="L19" s="3480"/>
      <c r="M19" s="3480"/>
      <c r="N19" s="3480"/>
      <c r="O19" s="3480"/>
      <c r="P19" s="3480"/>
      <c r="Q19" s="3480"/>
      <c r="R19" s="3480"/>
      <c r="S19" s="3480"/>
      <c r="T19" s="3480"/>
      <c r="U19" s="3480"/>
      <c r="V19" s="3480"/>
      <c r="W19" s="3480"/>
      <c r="X19" s="3480"/>
      <c r="Y19" s="3480"/>
      <c r="Z19" s="3480"/>
      <c r="AA19" s="3480"/>
      <c r="AB19" s="3480"/>
      <c r="AC19" s="3480"/>
      <c r="AD19" s="3480"/>
      <c r="AE19" s="3480"/>
      <c r="AF19" s="3480"/>
      <c r="AG19" s="3480"/>
      <c r="AH19" s="3480"/>
      <c r="AI19" s="3480"/>
      <c r="AJ19" s="3522"/>
    </row>
    <row r="20" spans="2:36" ht="15.95" customHeight="1" x14ac:dyDescent="0.25">
      <c r="B20" s="3519"/>
      <c r="C20" s="3482" t="s">
        <v>7934</v>
      </c>
      <c r="D20" s="3482"/>
      <c r="E20" s="3482"/>
      <c r="F20" s="3482"/>
      <c r="G20" s="3482"/>
      <c r="H20" s="3482"/>
      <c r="I20" s="3482"/>
      <c r="J20" s="3482"/>
      <c r="K20" s="3482"/>
      <c r="L20" s="3482"/>
      <c r="M20" s="3482"/>
      <c r="N20" s="3482"/>
      <c r="O20" s="3482"/>
      <c r="P20" s="3482"/>
      <c r="Q20" s="3482"/>
      <c r="R20" s="3482"/>
      <c r="S20" s="3482"/>
      <c r="T20" s="3482"/>
      <c r="U20" s="3482"/>
      <c r="V20" s="3482"/>
      <c r="W20" s="3482"/>
      <c r="X20" s="3482"/>
      <c r="Y20" s="3482"/>
      <c r="Z20" s="3482"/>
      <c r="AA20" s="3482"/>
      <c r="AB20" s="3482"/>
      <c r="AC20" s="3482"/>
      <c r="AD20" s="3482"/>
      <c r="AE20" s="3482"/>
      <c r="AF20" s="3482"/>
      <c r="AG20" s="3482"/>
      <c r="AH20" s="3482"/>
      <c r="AI20" s="3482"/>
      <c r="AJ20" s="3522"/>
    </row>
    <row r="21" spans="2:36" ht="15.95" customHeight="1" x14ac:dyDescent="0.3">
      <c r="B21" s="3519"/>
      <c r="C21" s="3483" t="s">
        <v>8145</v>
      </c>
      <c r="D21" s="3483"/>
      <c r="E21" s="3483"/>
      <c r="F21" s="3483"/>
      <c r="G21" s="3483"/>
      <c r="H21" s="3483"/>
      <c r="I21" s="3483"/>
      <c r="J21" s="3483"/>
      <c r="K21" s="3483"/>
      <c r="L21" s="3483"/>
      <c r="M21" s="3483"/>
      <c r="N21" s="3483"/>
      <c r="O21" s="3483"/>
      <c r="P21" s="3483"/>
      <c r="Q21" s="3483"/>
      <c r="R21" s="3483"/>
      <c r="S21" s="3483"/>
      <c r="T21" s="3483"/>
      <c r="U21" s="3483"/>
      <c r="V21" s="3483"/>
      <c r="W21" s="3483"/>
      <c r="X21" s="3483"/>
      <c r="Y21" s="3483"/>
      <c r="Z21" s="3483"/>
      <c r="AA21" s="3483"/>
      <c r="AB21" s="3483"/>
      <c r="AC21" s="3483"/>
      <c r="AD21" s="3483"/>
      <c r="AE21" s="3483"/>
      <c r="AF21" s="3483"/>
      <c r="AG21" s="3483"/>
      <c r="AH21" s="3483"/>
      <c r="AI21" s="3483"/>
      <c r="AJ21" s="3522"/>
    </row>
    <row r="22" spans="2:36" ht="15.95" customHeight="1" x14ac:dyDescent="0.3">
      <c r="B22" s="3519"/>
      <c r="C22" s="3477" t="s">
        <v>7935</v>
      </c>
      <c r="D22" s="3477"/>
      <c r="E22" s="3477"/>
      <c r="F22" s="3477"/>
      <c r="G22" s="3477"/>
      <c r="H22" s="3477"/>
      <c r="I22" s="3478">
        <v>41000</v>
      </c>
      <c r="J22" s="3478"/>
      <c r="K22" s="3478"/>
      <c r="L22" s="3478"/>
      <c r="M22" s="3478"/>
      <c r="N22" s="311" t="s">
        <v>7936</v>
      </c>
      <c r="O22" s="3479">
        <v>41639</v>
      </c>
      <c r="P22" s="3479"/>
      <c r="Q22" s="3479"/>
      <c r="R22" s="3479"/>
      <c r="S22" s="3479"/>
      <c r="T22" s="3477" t="s">
        <v>7937</v>
      </c>
      <c r="U22" s="3477"/>
      <c r="V22" s="3477"/>
      <c r="W22" s="3477"/>
      <c r="X22" s="3477"/>
      <c r="Y22" s="3477"/>
      <c r="Z22" s="3477"/>
      <c r="AA22" s="3477"/>
      <c r="AB22" s="3477"/>
      <c r="AC22" s="3477"/>
      <c r="AD22" s="3477"/>
      <c r="AE22" s="3477"/>
      <c r="AF22" s="3477"/>
      <c r="AG22" s="3477"/>
      <c r="AH22" s="3477"/>
      <c r="AI22" s="3477"/>
      <c r="AJ22" s="3522"/>
    </row>
    <row r="23" spans="2:36" ht="15.95" customHeight="1" x14ac:dyDescent="0.3">
      <c r="B23" s="3519"/>
      <c r="C23" s="3528" t="s">
        <v>7938</v>
      </c>
      <c r="D23" s="3528"/>
      <c r="E23" s="3528"/>
      <c r="F23" s="3528"/>
      <c r="G23" s="3528"/>
      <c r="H23" s="3528"/>
      <c r="I23" s="3528"/>
      <c r="J23" s="3528"/>
      <c r="K23" s="3528"/>
      <c r="L23" s="3528"/>
      <c r="M23" s="3528"/>
      <c r="N23" s="3528"/>
      <c r="O23" s="3528"/>
      <c r="P23" s="3528"/>
      <c r="Q23" s="3528"/>
      <c r="R23" s="3528"/>
      <c r="S23" s="3528"/>
      <c r="T23" s="3528"/>
      <c r="U23" s="3528"/>
      <c r="V23" s="3528"/>
      <c r="W23" s="3528"/>
      <c r="X23" s="3528"/>
      <c r="Y23" s="3528"/>
      <c r="Z23" s="3528"/>
      <c r="AA23" s="3528"/>
      <c r="AB23" s="3528"/>
      <c r="AC23" s="3528"/>
      <c r="AD23" s="3528"/>
      <c r="AE23" s="3528"/>
      <c r="AF23" s="3528"/>
      <c r="AG23" s="3528"/>
      <c r="AH23" s="3528"/>
      <c r="AI23" s="3528"/>
      <c r="AJ23" s="3522"/>
    </row>
    <row r="24" spans="2:36" ht="15.95" customHeight="1" x14ac:dyDescent="0.25">
      <c r="B24" s="3519"/>
      <c r="C24" s="310"/>
      <c r="D24" s="310"/>
      <c r="E24" s="310"/>
      <c r="F24" s="310"/>
      <c r="G24" s="310"/>
      <c r="H24" s="308"/>
      <c r="I24" s="308"/>
      <c r="J24" s="308"/>
      <c r="K24" s="309"/>
      <c r="L24" s="309"/>
      <c r="M24" s="309"/>
      <c r="N24" s="309"/>
      <c r="O24" s="309"/>
      <c r="P24" s="309"/>
      <c r="Q24" s="309"/>
      <c r="R24" s="309"/>
      <c r="S24" s="309"/>
      <c r="T24" s="309"/>
      <c r="U24" s="309"/>
      <c r="V24" s="309"/>
      <c r="W24" s="309"/>
      <c r="X24" s="309"/>
      <c r="Y24" s="309"/>
      <c r="Z24" s="309"/>
      <c r="AA24" s="309"/>
      <c r="AB24" s="312"/>
      <c r="AC24" s="312"/>
      <c r="AD24" s="312"/>
      <c r="AE24" s="312"/>
      <c r="AF24" s="312"/>
      <c r="AG24" s="312"/>
      <c r="AH24" s="312"/>
      <c r="AI24" s="312"/>
      <c r="AJ24" s="3522"/>
    </row>
    <row r="25" spans="2:36" ht="15.95" customHeight="1" x14ac:dyDescent="0.25">
      <c r="B25" s="3519"/>
      <c r="C25" s="3467" t="s">
        <v>391</v>
      </c>
      <c r="D25" s="3468"/>
      <c r="E25" s="3469"/>
      <c r="F25" s="3470" t="s">
        <v>7964</v>
      </c>
      <c r="G25" s="3470"/>
      <c r="H25" s="3470"/>
      <c r="I25" s="3470"/>
      <c r="J25" s="3470"/>
      <c r="K25" s="3470"/>
      <c r="L25" s="3470"/>
      <c r="M25" s="3472" t="s">
        <v>7967</v>
      </c>
      <c r="N25" s="3472"/>
      <c r="O25" s="3472"/>
      <c r="P25" s="3472"/>
      <c r="Q25" s="3472"/>
      <c r="R25" s="3472"/>
      <c r="S25" s="3472"/>
      <c r="T25" s="3472"/>
      <c r="U25" s="3472"/>
      <c r="V25" s="3472"/>
      <c r="W25" s="3472"/>
      <c r="X25" s="3472"/>
      <c r="Y25" s="3472"/>
      <c r="Z25" s="3471" t="s">
        <v>7966</v>
      </c>
      <c r="AA25" s="3471"/>
      <c r="AB25" s="3471"/>
      <c r="AC25" s="3471"/>
      <c r="AD25" s="3471"/>
      <c r="AE25" s="3471" t="s">
        <v>7965</v>
      </c>
      <c r="AF25" s="3471"/>
      <c r="AG25" s="3471"/>
      <c r="AH25" s="3471"/>
      <c r="AI25" s="3471"/>
      <c r="AJ25" s="3522"/>
    </row>
    <row r="26" spans="2:36" ht="15.95" customHeight="1" x14ac:dyDescent="0.25">
      <c r="B26" s="3519"/>
      <c r="C26" s="3453">
        <v>7379</v>
      </c>
      <c r="D26" s="3454"/>
      <c r="E26" s="3455"/>
      <c r="F26" s="3456">
        <v>969.57</v>
      </c>
      <c r="G26" s="3456"/>
      <c r="H26" s="3456"/>
      <c r="I26" s="3456"/>
      <c r="J26" s="3456"/>
      <c r="K26" s="3456"/>
      <c r="L26" s="3456"/>
      <c r="M26" s="3457"/>
      <c r="N26" s="3457"/>
      <c r="O26" s="3457"/>
      <c r="P26" s="3457"/>
      <c r="Q26" s="3457"/>
      <c r="R26" s="3457"/>
      <c r="S26" s="3457"/>
      <c r="T26" s="3457"/>
      <c r="U26" s="3457"/>
      <c r="V26" s="3457"/>
      <c r="W26" s="3457"/>
      <c r="X26" s="3457"/>
      <c r="Y26" s="3457"/>
      <c r="Z26" s="3458">
        <v>969.57</v>
      </c>
      <c r="AA26" s="3458"/>
      <c r="AB26" s="3458"/>
      <c r="AC26" s="3458"/>
      <c r="AD26" s="3458"/>
      <c r="AE26" s="3458"/>
      <c r="AF26" s="3458"/>
      <c r="AG26" s="3458"/>
      <c r="AH26" s="3458"/>
      <c r="AI26" s="3458"/>
      <c r="AJ26" s="3522"/>
    </row>
    <row r="27" spans="2:36" ht="15.95" customHeight="1" x14ac:dyDescent="0.25">
      <c r="B27" s="3519"/>
      <c r="C27" s="3453">
        <v>532</v>
      </c>
      <c r="D27" s="3454"/>
      <c r="E27" s="3455"/>
      <c r="F27" s="3456"/>
      <c r="G27" s="3456"/>
      <c r="H27" s="3456"/>
      <c r="I27" s="3456"/>
      <c r="J27" s="3456"/>
      <c r="K27" s="3456"/>
      <c r="L27" s="3456"/>
      <c r="M27" s="3457"/>
      <c r="N27" s="3457"/>
      <c r="O27" s="3457"/>
      <c r="P27" s="3457"/>
      <c r="Q27" s="3457"/>
      <c r="R27" s="3457"/>
      <c r="S27" s="3457"/>
      <c r="T27" s="3457"/>
      <c r="U27" s="3457"/>
      <c r="V27" s="3457"/>
      <c r="W27" s="3457"/>
      <c r="X27" s="3457"/>
      <c r="Y27" s="3457"/>
      <c r="Z27" s="3458"/>
      <c r="AA27" s="3458"/>
      <c r="AB27" s="3458"/>
      <c r="AC27" s="3458"/>
      <c r="AD27" s="3458"/>
      <c r="AE27" s="3458">
        <v>31.02</v>
      </c>
      <c r="AF27" s="3458"/>
      <c r="AG27" s="3458"/>
      <c r="AH27" s="3458"/>
      <c r="AI27" s="3458"/>
      <c r="AJ27" s="3522"/>
    </row>
    <row r="28" spans="2:36" ht="15.95" customHeight="1" x14ac:dyDescent="0.25">
      <c r="B28" s="3519"/>
      <c r="C28" s="3453"/>
      <c r="D28" s="3454"/>
      <c r="E28" s="3455"/>
      <c r="F28" s="3456"/>
      <c r="G28" s="3456"/>
      <c r="H28" s="3456"/>
      <c r="I28" s="3456"/>
      <c r="J28" s="3456"/>
      <c r="K28" s="3456"/>
      <c r="L28" s="3456"/>
      <c r="M28" s="3457"/>
      <c r="N28" s="3457"/>
      <c r="O28" s="3457"/>
      <c r="P28" s="3457"/>
      <c r="Q28" s="3457"/>
      <c r="R28" s="3457"/>
      <c r="S28" s="3457"/>
      <c r="T28" s="3457"/>
      <c r="U28" s="3457"/>
      <c r="V28" s="3457"/>
      <c r="W28" s="3457"/>
      <c r="X28" s="3457"/>
      <c r="Y28" s="3457"/>
      <c r="Z28" s="3458"/>
      <c r="AA28" s="3458"/>
      <c r="AB28" s="3458"/>
      <c r="AC28" s="3458"/>
      <c r="AD28" s="3458"/>
      <c r="AE28" s="3458"/>
      <c r="AF28" s="3458"/>
      <c r="AG28" s="3458"/>
      <c r="AH28" s="3458"/>
      <c r="AI28" s="3458"/>
      <c r="AJ28" s="3522"/>
    </row>
    <row r="29" spans="2:36" ht="15.95" customHeight="1" x14ac:dyDescent="0.25">
      <c r="B29" s="3519"/>
      <c r="C29" s="3453"/>
      <c r="D29" s="3454"/>
      <c r="E29" s="3455"/>
      <c r="F29" s="3456"/>
      <c r="G29" s="3456"/>
      <c r="H29" s="3456"/>
      <c r="I29" s="3456"/>
      <c r="J29" s="3456"/>
      <c r="K29" s="3456"/>
      <c r="L29" s="3456"/>
      <c r="M29" s="3457"/>
      <c r="N29" s="3457"/>
      <c r="O29" s="3457"/>
      <c r="P29" s="3457"/>
      <c r="Q29" s="3457"/>
      <c r="R29" s="3457"/>
      <c r="S29" s="3457"/>
      <c r="T29" s="3457"/>
      <c r="U29" s="3457"/>
      <c r="V29" s="3457"/>
      <c r="W29" s="3457"/>
      <c r="X29" s="3457"/>
      <c r="Y29" s="3457"/>
      <c r="Z29" s="3458"/>
      <c r="AA29" s="3458"/>
      <c r="AB29" s="3458"/>
      <c r="AC29" s="3458"/>
      <c r="AD29" s="3458"/>
      <c r="AE29" s="3458"/>
      <c r="AF29" s="3458"/>
      <c r="AG29" s="3458"/>
      <c r="AH29" s="3458"/>
      <c r="AI29" s="3458"/>
      <c r="AJ29" s="3522"/>
    </row>
    <row r="30" spans="2:36" ht="15.95" customHeight="1" x14ac:dyDescent="0.25">
      <c r="B30" s="3519"/>
      <c r="C30" s="3453"/>
      <c r="D30" s="3454"/>
      <c r="E30" s="3455"/>
      <c r="F30" s="3456"/>
      <c r="G30" s="3456"/>
      <c r="H30" s="3456"/>
      <c r="I30" s="3456"/>
      <c r="J30" s="3456"/>
      <c r="K30" s="3456"/>
      <c r="L30" s="3456"/>
      <c r="M30" s="3457"/>
      <c r="N30" s="3457"/>
      <c r="O30" s="3457"/>
      <c r="P30" s="3457"/>
      <c r="Q30" s="3457"/>
      <c r="R30" s="3457"/>
      <c r="S30" s="3457"/>
      <c r="T30" s="3457"/>
      <c r="U30" s="3457"/>
      <c r="V30" s="3457"/>
      <c r="W30" s="3457"/>
      <c r="X30" s="3457"/>
      <c r="Y30" s="3457"/>
      <c r="Z30" s="3458"/>
      <c r="AA30" s="3458"/>
      <c r="AB30" s="3458"/>
      <c r="AC30" s="3458"/>
      <c r="AD30" s="3458"/>
      <c r="AE30" s="3458"/>
      <c r="AF30" s="3458"/>
      <c r="AG30" s="3458"/>
      <c r="AH30" s="3458"/>
      <c r="AI30" s="3458"/>
      <c r="AJ30" s="3522"/>
    </row>
    <row r="31" spans="2:36" ht="15.95" customHeight="1" x14ac:dyDescent="0.25">
      <c r="B31" s="3519"/>
      <c r="C31" s="3453"/>
      <c r="D31" s="3454"/>
      <c r="E31" s="3455"/>
      <c r="F31" s="3456"/>
      <c r="G31" s="3456"/>
      <c r="H31" s="3456"/>
      <c r="I31" s="3456"/>
      <c r="J31" s="3456"/>
      <c r="K31" s="3456"/>
      <c r="L31" s="3456"/>
      <c r="M31" s="3457"/>
      <c r="N31" s="3457"/>
      <c r="O31" s="3457"/>
      <c r="P31" s="3457"/>
      <c r="Q31" s="3457"/>
      <c r="R31" s="3457"/>
      <c r="S31" s="3457"/>
      <c r="T31" s="3457"/>
      <c r="U31" s="3457"/>
      <c r="V31" s="3457"/>
      <c r="W31" s="3457"/>
      <c r="X31" s="3457"/>
      <c r="Y31" s="3457"/>
      <c r="Z31" s="3458"/>
      <c r="AA31" s="3458"/>
      <c r="AB31" s="3458"/>
      <c r="AC31" s="3458"/>
      <c r="AD31" s="3458"/>
      <c r="AE31" s="3458"/>
      <c r="AF31" s="3458"/>
      <c r="AG31" s="3458"/>
      <c r="AH31" s="3458"/>
      <c r="AI31" s="3458"/>
      <c r="AJ31" s="3522"/>
    </row>
    <row r="32" spans="2:36" ht="15.95" customHeight="1" x14ac:dyDescent="0.25">
      <c r="B32" s="3519"/>
      <c r="C32" s="3453"/>
      <c r="D32" s="3454"/>
      <c r="E32" s="3455"/>
      <c r="F32" s="3456"/>
      <c r="G32" s="3456"/>
      <c r="H32" s="3456"/>
      <c r="I32" s="3456"/>
      <c r="J32" s="3456"/>
      <c r="K32" s="3456"/>
      <c r="L32" s="3456"/>
      <c r="M32" s="3457"/>
      <c r="N32" s="3457"/>
      <c r="O32" s="3457"/>
      <c r="P32" s="3457"/>
      <c r="Q32" s="3457"/>
      <c r="R32" s="3457"/>
      <c r="S32" s="3457"/>
      <c r="T32" s="3457"/>
      <c r="U32" s="3457"/>
      <c r="V32" s="3457"/>
      <c r="W32" s="3457"/>
      <c r="X32" s="3457"/>
      <c r="Y32" s="3457"/>
      <c r="Z32" s="3458"/>
      <c r="AA32" s="3458"/>
      <c r="AB32" s="3458"/>
      <c r="AC32" s="3458"/>
      <c r="AD32" s="3458"/>
      <c r="AE32" s="3458"/>
      <c r="AF32" s="3458"/>
      <c r="AG32" s="3458"/>
      <c r="AH32" s="3458"/>
      <c r="AI32" s="3458"/>
      <c r="AJ32" s="3522"/>
    </row>
    <row r="33" spans="2:36" ht="15.95" customHeight="1" x14ac:dyDescent="0.25">
      <c r="B33" s="3519"/>
      <c r="C33" s="3453"/>
      <c r="D33" s="3454"/>
      <c r="E33" s="3455"/>
      <c r="F33" s="3456"/>
      <c r="G33" s="3456"/>
      <c r="H33" s="3456"/>
      <c r="I33" s="3456"/>
      <c r="J33" s="3456"/>
      <c r="K33" s="3456"/>
      <c r="L33" s="3456"/>
      <c r="M33" s="3457"/>
      <c r="N33" s="3457"/>
      <c r="O33" s="3457"/>
      <c r="P33" s="3457"/>
      <c r="Q33" s="3457"/>
      <c r="R33" s="3457"/>
      <c r="S33" s="3457"/>
      <c r="T33" s="3457"/>
      <c r="U33" s="3457"/>
      <c r="V33" s="3457"/>
      <c r="W33" s="3457"/>
      <c r="X33" s="3457"/>
      <c r="Y33" s="3457"/>
      <c r="Z33" s="3458"/>
      <c r="AA33" s="3458"/>
      <c r="AB33" s="3458"/>
      <c r="AC33" s="3458"/>
      <c r="AD33" s="3458"/>
      <c r="AE33" s="3458"/>
      <c r="AF33" s="3458"/>
      <c r="AG33" s="3458"/>
      <c r="AH33" s="3458"/>
      <c r="AI33" s="3458"/>
      <c r="AJ33" s="3522"/>
    </row>
    <row r="34" spans="2:36" ht="15.95" customHeight="1" x14ac:dyDescent="0.25">
      <c r="B34" s="3519"/>
      <c r="C34" s="3453"/>
      <c r="D34" s="3454"/>
      <c r="E34" s="3455"/>
      <c r="F34" s="3456"/>
      <c r="G34" s="3456"/>
      <c r="H34" s="3456"/>
      <c r="I34" s="3456"/>
      <c r="J34" s="3456"/>
      <c r="K34" s="3456"/>
      <c r="L34" s="3456"/>
      <c r="M34" s="3457"/>
      <c r="N34" s="3457"/>
      <c r="O34" s="3457"/>
      <c r="P34" s="3457"/>
      <c r="Q34" s="3457"/>
      <c r="R34" s="3457"/>
      <c r="S34" s="3457"/>
      <c r="T34" s="3457"/>
      <c r="U34" s="3457"/>
      <c r="V34" s="3457"/>
      <c r="W34" s="3457"/>
      <c r="X34" s="3457"/>
      <c r="Y34" s="3457"/>
      <c r="Z34" s="3458"/>
      <c r="AA34" s="3458"/>
      <c r="AB34" s="3458"/>
      <c r="AC34" s="3458"/>
      <c r="AD34" s="3458"/>
      <c r="AE34" s="3458"/>
      <c r="AF34" s="3458"/>
      <c r="AG34" s="3458"/>
      <c r="AH34" s="3458"/>
      <c r="AI34" s="3458"/>
      <c r="AJ34" s="3522"/>
    </row>
    <row r="35" spans="2:36" ht="15.95" customHeight="1" x14ac:dyDescent="0.25">
      <c r="B35" s="3519"/>
      <c r="C35" s="3453"/>
      <c r="D35" s="3454"/>
      <c r="E35" s="3455"/>
      <c r="F35" s="3456"/>
      <c r="G35" s="3456"/>
      <c r="H35" s="3456"/>
      <c r="I35" s="3456"/>
      <c r="J35" s="3456"/>
      <c r="K35" s="3456"/>
      <c r="L35" s="3456"/>
      <c r="M35" s="3457"/>
      <c r="N35" s="3457"/>
      <c r="O35" s="3457"/>
      <c r="P35" s="3457"/>
      <c r="Q35" s="3457"/>
      <c r="R35" s="3457"/>
      <c r="S35" s="3457"/>
      <c r="T35" s="3457"/>
      <c r="U35" s="3457"/>
      <c r="V35" s="3457"/>
      <c r="W35" s="3457"/>
      <c r="X35" s="3457"/>
      <c r="Y35" s="3457"/>
      <c r="Z35" s="3458"/>
      <c r="AA35" s="3458"/>
      <c r="AB35" s="3458"/>
      <c r="AC35" s="3458"/>
      <c r="AD35" s="3458"/>
      <c r="AE35" s="3458"/>
      <c r="AF35" s="3458"/>
      <c r="AG35" s="3458"/>
      <c r="AH35" s="3458"/>
      <c r="AI35" s="3458"/>
      <c r="AJ35" s="3522"/>
    </row>
    <row r="36" spans="2:36" ht="15.95" customHeight="1" x14ac:dyDescent="0.25">
      <c r="B36" s="3519"/>
      <c r="C36" s="3453"/>
      <c r="D36" s="3454"/>
      <c r="E36" s="3455"/>
      <c r="F36" s="3456"/>
      <c r="G36" s="3456"/>
      <c r="H36" s="3456"/>
      <c r="I36" s="3456"/>
      <c r="J36" s="3456"/>
      <c r="K36" s="3456"/>
      <c r="L36" s="3456"/>
      <c r="M36" s="3457"/>
      <c r="N36" s="3457"/>
      <c r="O36" s="3457"/>
      <c r="P36" s="3457"/>
      <c r="Q36" s="3457"/>
      <c r="R36" s="3457"/>
      <c r="S36" s="3457"/>
      <c r="T36" s="3457"/>
      <c r="U36" s="3457"/>
      <c r="V36" s="3457"/>
      <c r="W36" s="3457"/>
      <c r="X36" s="3457"/>
      <c r="Y36" s="3457"/>
      <c r="Z36" s="3458"/>
      <c r="AA36" s="3458"/>
      <c r="AB36" s="3458"/>
      <c r="AC36" s="3458"/>
      <c r="AD36" s="3458"/>
      <c r="AE36" s="3458"/>
      <c r="AF36" s="3458"/>
      <c r="AG36" s="3458"/>
      <c r="AH36" s="3458"/>
      <c r="AI36" s="3458"/>
      <c r="AJ36" s="3522"/>
    </row>
    <row r="37" spans="2:36" ht="15.95" customHeight="1" x14ac:dyDescent="0.25">
      <c r="B37" s="3519"/>
      <c r="C37" s="3453"/>
      <c r="D37" s="3454"/>
      <c r="E37" s="3455"/>
      <c r="F37" s="3456"/>
      <c r="G37" s="3456"/>
      <c r="H37" s="3456"/>
      <c r="I37" s="3456"/>
      <c r="J37" s="3456"/>
      <c r="K37" s="3456"/>
      <c r="L37" s="3456"/>
      <c r="M37" s="3457"/>
      <c r="N37" s="3457"/>
      <c r="O37" s="3457"/>
      <c r="P37" s="3457"/>
      <c r="Q37" s="3457"/>
      <c r="R37" s="3457"/>
      <c r="S37" s="3457"/>
      <c r="T37" s="3457"/>
      <c r="U37" s="3457"/>
      <c r="V37" s="3457"/>
      <c r="W37" s="3457"/>
      <c r="X37" s="3457"/>
      <c r="Y37" s="3457"/>
      <c r="Z37" s="3458"/>
      <c r="AA37" s="3458"/>
      <c r="AB37" s="3458"/>
      <c r="AC37" s="3458"/>
      <c r="AD37" s="3458"/>
      <c r="AE37" s="3458"/>
      <c r="AF37" s="3458"/>
      <c r="AG37" s="3458"/>
      <c r="AH37" s="3458"/>
      <c r="AI37" s="3458"/>
      <c r="AJ37" s="3522"/>
    </row>
    <row r="38" spans="2:36" ht="15.95" customHeight="1" x14ac:dyDescent="0.25">
      <c r="B38" s="3519"/>
      <c r="C38" s="3453"/>
      <c r="D38" s="3454"/>
      <c r="E38" s="3455"/>
      <c r="F38" s="3456"/>
      <c r="G38" s="3456"/>
      <c r="H38" s="3456"/>
      <c r="I38" s="3456"/>
      <c r="J38" s="3456"/>
      <c r="K38" s="3456"/>
      <c r="L38" s="3456"/>
      <c r="M38" s="3457"/>
      <c r="N38" s="3457"/>
      <c r="O38" s="3457"/>
      <c r="P38" s="3457"/>
      <c r="Q38" s="3457"/>
      <c r="R38" s="3457"/>
      <c r="S38" s="3457"/>
      <c r="T38" s="3457"/>
      <c r="U38" s="3457"/>
      <c r="V38" s="3457"/>
      <c r="W38" s="3457"/>
      <c r="X38" s="3457"/>
      <c r="Y38" s="3457"/>
      <c r="Z38" s="3458"/>
      <c r="AA38" s="3458"/>
      <c r="AB38" s="3458"/>
      <c r="AC38" s="3458"/>
      <c r="AD38" s="3458"/>
      <c r="AE38" s="3458"/>
      <c r="AF38" s="3458"/>
      <c r="AG38" s="3458"/>
      <c r="AH38" s="3458"/>
      <c r="AI38" s="3458"/>
      <c r="AJ38" s="3522"/>
    </row>
    <row r="39" spans="2:36" ht="15.95" customHeight="1" x14ac:dyDescent="0.25">
      <c r="B39" s="3519"/>
      <c r="C39" s="3453"/>
      <c r="D39" s="3454"/>
      <c r="E39" s="3455"/>
      <c r="F39" s="3456"/>
      <c r="G39" s="3456"/>
      <c r="H39" s="3456"/>
      <c r="I39" s="3456"/>
      <c r="J39" s="3456"/>
      <c r="K39" s="3456"/>
      <c r="L39" s="3456"/>
      <c r="M39" s="3457"/>
      <c r="N39" s="3457"/>
      <c r="O39" s="3457"/>
      <c r="P39" s="3457"/>
      <c r="Q39" s="3457"/>
      <c r="R39" s="3457"/>
      <c r="S39" s="3457"/>
      <c r="T39" s="3457"/>
      <c r="U39" s="3457"/>
      <c r="V39" s="3457"/>
      <c r="W39" s="3457"/>
      <c r="X39" s="3457"/>
      <c r="Y39" s="3457"/>
      <c r="Z39" s="3458"/>
      <c r="AA39" s="3458"/>
      <c r="AB39" s="3458"/>
      <c r="AC39" s="3458"/>
      <c r="AD39" s="3458"/>
      <c r="AE39" s="3458"/>
      <c r="AF39" s="3458"/>
      <c r="AG39" s="3458"/>
      <c r="AH39" s="3458"/>
      <c r="AI39" s="3458"/>
      <c r="AJ39" s="3522"/>
    </row>
    <row r="40" spans="2:36" ht="15.95" customHeight="1" x14ac:dyDescent="0.25">
      <c r="B40" s="3519"/>
      <c r="C40" s="3453"/>
      <c r="D40" s="3454"/>
      <c r="E40" s="3455"/>
      <c r="F40" s="3456"/>
      <c r="G40" s="3456"/>
      <c r="H40" s="3456"/>
      <c r="I40" s="3456"/>
      <c r="J40" s="3456"/>
      <c r="K40" s="3456"/>
      <c r="L40" s="3456"/>
      <c r="M40" s="3457"/>
      <c r="N40" s="3457"/>
      <c r="O40" s="3457"/>
      <c r="P40" s="3457"/>
      <c r="Q40" s="3457"/>
      <c r="R40" s="3457"/>
      <c r="S40" s="3457"/>
      <c r="T40" s="3457"/>
      <c r="U40" s="3457"/>
      <c r="V40" s="3457"/>
      <c r="W40" s="3457"/>
      <c r="X40" s="3457"/>
      <c r="Y40" s="3457"/>
      <c r="Z40" s="3458"/>
      <c r="AA40" s="3458"/>
      <c r="AB40" s="3458"/>
      <c r="AC40" s="3458"/>
      <c r="AD40" s="3458"/>
      <c r="AE40" s="3458"/>
      <c r="AF40" s="3458"/>
      <c r="AG40" s="3458"/>
      <c r="AH40" s="3458"/>
      <c r="AI40" s="3458"/>
      <c r="AJ40" s="3522"/>
    </row>
    <row r="41" spans="2:36" ht="15.95" customHeight="1" x14ac:dyDescent="0.25">
      <c r="B41" s="3519"/>
      <c r="C41" s="3453"/>
      <c r="D41" s="3454"/>
      <c r="E41" s="3455"/>
      <c r="F41" s="3456"/>
      <c r="G41" s="3456"/>
      <c r="H41" s="3456"/>
      <c r="I41" s="3456"/>
      <c r="J41" s="3456"/>
      <c r="K41" s="3456"/>
      <c r="L41" s="3456"/>
      <c r="M41" s="3457"/>
      <c r="N41" s="3457"/>
      <c r="O41" s="3457"/>
      <c r="P41" s="3457"/>
      <c r="Q41" s="3457"/>
      <c r="R41" s="3457"/>
      <c r="S41" s="3457"/>
      <c r="T41" s="3457"/>
      <c r="U41" s="3457"/>
      <c r="V41" s="3457"/>
      <c r="W41" s="3457"/>
      <c r="X41" s="3457"/>
      <c r="Y41" s="3457"/>
      <c r="Z41" s="3458"/>
      <c r="AA41" s="3458"/>
      <c r="AB41" s="3458"/>
      <c r="AC41" s="3458"/>
      <c r="AD41" s="3458"/>
      <c r="AE41" s="3458"/>
      <c r="AF41" s="3458"/>
      <c r="AG41" s="3458"/>
      <c r="AH41" s="3458"/>
      <c r="AI41" s="3458"/>
      <c r="AJ41" s="3522"/>
    </row>
    <row r="42" spans="2:36" ht="15.95" customHeight="1" x14ac:dyDescent="0.25">
      <c r="B42" s="3519"/>
      <c r="C42" s="3453"/>
      <c r="D42" s="3454"/>
      <c r="E42" s="3455"/>
      <c r="F42" s="3456"/>
      <c r="G42" s="3456"/>
      <c r="H42" s="3456"/>
      <c r="I42" s="3456"/>
      <c r="J42" s="3456"/>
      <c r="K42" s="3456"/>
      <c r="L42" s="3456"/>
      <c r="M42" s="3457"/>
      <c r="N42" s="3457"/>
      <c r="O42" s="3457"/>
      <c r="P42" s="3457"/>
      <c r="Q42" s="3457"/>
      <c r="R42" s="3457"/>
      <c r="S42" s="3457"/>
      <c r="T42" s="3457"/>
      <c r="U42" s="3457"/>
      <c r="V42" s="3457"/>
      <c r="W42" s="3457"/>
      <c r="X42" s="3457"/>
      <c r="Y42" s="3457"/>
      <c r="Z42" s="3458"/>
      <c r="AA42" s="3458"/>
      <c r="AB42" s="3458"/>
      <c r="AC42" s="3458"/>
      <c r="AD42" s="3458"/>
      <c r="AE42" s="3458"/>
      <c r="AF42" s="3458"/>
      <c r="AG42" s="3458"/>
      <c r="AH42" s="3458"/>
      <c r="AI42" s="3458"/>
      <c r="AJ42" s="3522"/>
    </row>
    <row r="43" spans="2:36" ht="15.95" customHeight="1" x14ac:dyDescent="0.25">
      <c r="B43" s="3519"/>
      <c r="C43" s="3453"/>
      <c r="D43" s="3454"/>
      <c r="E43" s="3455"/>
      <c r="F43" s="3456"/>
      <c r="G43" s="3456"/>
      <c r="H43" s="3456"/>
      <c r="I43" s="3456"/>
      <c r="J43" s="3456"/>
      <c r="K43" s="3456"/>
      <c r="L43" s="3456"/>
      <c r="M43" s="3457"/>
      <c r="N43" s="3457"/>
      <c r="O43" s="3457"/>
      <c r="P43" s="3457"/>
      <c r="Q43" s="3457"/>
      <c r="R43" s="3457"/>
      <c r="S43" s="3457"/>
      <c r="T43" s="3457"/>
      <c r="U43" s="3457"/>
      <c r="V43" s="3457"/>
      <c r="W43" s="3457"/>
      <c r="X43" s="3457"/>
      <c r="Y43" s="3457"/>
      <c r="Z43" s="3458"/>
      <c r="AA43" s="3458"/>
      <c r="AB43" s="3458"/>
      <c r="AC43" s="3458"/>
      <c r="AD43" s="3458"/>
      <c r="AE43" s="3458"/>
      <c r="AF43" s="3458"/>
      <c r="AG43" s="3458"/>
      <c r="AH43" s="3458"/>
      <c r="AI43" s="3458"/>
      <c r="AJ43" s="3522"/>
    </row>
    <row r="44" spans="2:36" ht="15.95" customHeight="1" x14ac:dyDescent="0.25">
      <c r="B44" s="3519"/>
      <c r="C44" s="3453"/>
      <c r="D44" s="3454"/>
      <c r="E44" s="3455"/>
      <c r="F44" s="3456"/>
      <c r="G44" s="3456"/>
      <c r="H44" s="3456"/>
      <c r="I44" s="3456"/>
      <c r="J44" s="3456"/>
      <c r="K44" s="3456"/>
      <c r="L44" s="3456"/>
      <c r="M44" s="3457"/>
      <c r="N44" s="3457"/>
      <c r="O44" s="3457"/>
      <c r="P44" s="3457"/>
      <c r="Q44" s="3457"/>
      <c r="R44" s="3457"/>
      <c r="S44" s="3457"/>
      <c r="T44" s="3457"/>
      <c r="U44" s="3457"/>
      <c r="V44" s="3457"/>
      <c r="W44" s="3457"/>
      <c r="X44" s="3457"/>
      <c r="Y44" s="3457"/>
      <c r="Z44" s="3458"/>
      <c r="AA44" s="3458"/>
      <c r="AB44" s="3458"/>
      <c r="AC44" s="3458"/>
      <c r="AD44" s="3458"/>
      <c r="AE44" s="3458"/>
      <c r="AF44" s="3458"/>
      <c r="AG44" s="3458"/>
      <c r="AH44" s="3458"/>
      <c r="AI44" s="3458"/>
      <c r="AJ44" s="3522"/>
    </row>
    <row r="45" spans="2:36" ht="15.95" customHeight="1" x14ac:dyDescent="0.25">
      <c r="B45" s="3519"/>
      <c r="C45" s="3453"/>
      <c r="D45" s="3454"/>
      <c r="E45" s="3455"/>
      <c r="F45" s="3456"/>
      <c r="G45" s="3456"/>
      <c r="H45" s="3456"/>
      <c r="I45" s="3456"/>
      <c r="J45" s="3456"/>
      <c r="K45" s="3456"/>
      <c r="L45" s="3456"/>
      <c r="M45" s="3457"/>
      <c r="N45" s="3457"/>
      <c r="O45" s="3457"/>
      <c r="P45" s="3457"/>
      <c r="Q45" s="3457"/>
      <c r="R45" s="3457"/>
      <c r="S45" s="3457"/>
      <c r="T45" s="3457"/>
      <c r="U45" s="3457"/>
      <c r="V45" s="3457"/>
      <c r="W45" s="3457"/>
      <c r="X45" s="3457"/>
      <c r="Y45" s="3457"/>
      <c r="Z45" s="3458"/>
      <c r="AA45" s="3458"/>
      <c r="AB45" s="3458"/>
      <c r="AC45" s="3458"/>
      <c r="AD45" s="3458"/>
      <c r="AE45" s="3458"/>
      <c r="AF45" s="3458"/>
      <c r="AG45" s="3458"/>
      <c r="AH45" s="3458"/>
      <c r="AI45" s="3458"/>
      <c r="AJ45" s="3522"/>
    </row>
    <row r="46" spans="2:36" ht="15.95" customHeight="1" x14ac:dyDescent="0.25">
      <c r="B46" s="3519"/>
      <c r="C46" s="3453"/>
      <c r="D46" s="3454"/>
      <c r="E46" s="3455"/>
      <c r="F46" s="3456"/>
      <c r="G46" s="3456"/>
      <c r="H46" s="3456"/>
      <c r="I46" s="3456"/>
      <c r="J46" s="3456"/>
      <c r="K46" s="3456"/>
      <c r="L46" s="3456"/>
      <c r="M46" s="3457"/>
      <c r="N46" s="3457"/>
      <c r="O46" s="3457"/>
      <c r="P46" s="3457"/>
      <c r="Q46" s="3457"/>
      <c r="R46" s="3457"/>
      <c r="S46" s="3457"/>
      <c r="T46" s="3457"/>
      <c r="U46" s="3457"/>
      <c r="V46" s="3457"/>
      <c r="W46" s="3457"/>
      <c r="X46" s="3457"/>
      <c r="Y46" s="3457"/>
      <c r="Z46" s="3458"/>
      <c r="AA46" s="3458"/>
      <c r="AB46" s="3458"/>
      <c r="AC46" s="3458"/>
      <c r="AD46" s="3458"/>
      <c r="AE46" s="3458"/>
      <c r="AF46" s="3458"/>
      <c r="AG46" s="3458"/>
      <c r="AH46" s="3458"/>
      <c r="AI46" s="3458"/>
      <c r="AJ46" s="3522"/>
    </row>
    <row r="47" spans="2:36" ht="15.95" customHeight="1" x14ac:dyDescent="0.25">
      <c r="B47" s="3519"/>
      <c r="C47" s="3453"/>
      <c r="D47" s="3454"/>
      <c r="E47" s="3455"/>
      <c r="F47" s="3456"/>
      <c r="G47" s="3456"/>
      <c r="H47" s="3456"/>
      <c r="I47" s="3456"/>
      <c r="J47" s="3456"/>
      <c r="K47" s="3456"/>
      <c r="L47" s="3456"/>
      <c r="M47" s="3457"/>
      <c r="N47" s="3457"/>
      <c r="O47" s="3457"/>
      <c r="P47" s="3457"/>
      <c r="Q47" s="3457"/>
      <c r="R47" s="3457"/>
      <c r="S47" s="3457"/>
      <c r="T47" s="3457"/>
      <c r="U47" s="3457"/>
      <c r="V47" s="3457"/>
      <c r="W47" s="3457"/>
      <c r="X47" s="3457"/>
      <c r="Y47" s="3457"/>
      <c r="Z47" s="3458"/>
      <c r="AA47" s="3458"/>
      <c r="AB47" s="3458"/>
      <c r="AC47" s="3458"/>
      <c r="AD47" s="3458"/>
      <c r="AE47" s="3458"/>
      <c r="AF47" s="3458"/>
      <c r="AG47" s="3458"/>
      <c r="AH47" s="3458"/>
      <c r="AI47" s="3458"/>
      <c r="AJ47" s="3522"/>
    </row>
    <row r="48" spans="2:36" ht="15.95" customHeight="1" x14ac:dyDescent="0.25">
      <c r="B48" s="3519"/>
      <c r="C48" s="3459" t="s">
        <v>7968</v>
      </c>
      <c r="D48" s="3460"/>
      <c r="E48" s="3460"/>
      <c r="F48" s="3460"/>
      <c r="G48" s="3460"/>
      <c r="H48" s="3460"/>
      <c r="I48" s="3460"/>
      <c r="J48" s="3460"/>
      <c r="K48" s="3460"/>
      <c r="L48" s="3460"/>
      <c r="M48" s="3460"/>
      <c r="N48" s="3460"/>
      <c r="O48" s="3460"/>
      <c r="P48" s="3460"/>
      <c r="Q48" s="3460"/>
      <c r="R48" s="3460"/>
      <c r="S48" s="3460"/>
      <c r="T48" s="3460"/>
      <c r="U48" s="3460"/>
      <c r="V48" s="3460"/>
      <c r="W48" s="3460"/>
      <c r="X48" s="3460"/>
      <c r="Y48" s="3461"/>
      <c r="Z48" s="3466">
        <f>SUM(Z26:AD47)</f>
        <v>969.57</v>
      </c>
      <c r="AA48" s="3466"/>
      <c r="AB48" s="3466"/>
      <c r="AC48" s="3466"/>
      <c r="AD48" s="3466"/>
      <c r="AE48" s="3466">
        <f>SUM(AE26:AI47)</f>
        <v>31.02</v>
      </c>
      <c r="AF48" s="3466"/>
      <c r="AG48" s="3466"/>
      <c r="AH48" s="3466"/>
      <c r="AI48" s="3466"/>
      <c r="AJ48" s="3522"/>
    </row>
    <row r="49" spans="1:36" ht="15.95" customHeight="1" x14ac:dyDescent="0.25">
      <c r="B49" s="3519"/>
      <c r="C49" s="310"/>
      <c r="D49" s="310"/>
      <c r="E49" s="310"/>
      <c r="F49" s="310"/>
      <c r="G49" s="310"/>
      <c r="H49" s="308"/>
      <c r="I49" s="308"/>
      <c r="J49" s="308"/>
      <c r="K49" s="309"/>
      <c r="L49" s="309"/>
      <c r="M49" s="309"/>
      <c r="N49" s="309"/>
      <c r="O49" s="309"/>
      <c r="P49" s="309"/>
      <c r="Q49" s="309"/>
      <c r="R49" s="309"/>
      <c r="S49" s="309"/>
      <c r="T49" s="309"/>
      <c r="U49" s="309"/>
      <c r="V49" s="309"/>
      <c r="W49" s="309"/>
      <c r="X49" s="309"/>
      <c r="Y49" s="309"/>
      <c r="Z49" s="309"/>
      <c r="AA49" s="309"/>
      <c r="AB49" s="312"/>
      <c r="AC49" s="312"/>
      <c r="AD49" s="312"/>
      <c r="AE49" s="312"/>
      <c r="AF49" s="312"/>
      <c r="AG49" s="312"/>
      <c r="AH49" s="312"/>
      <c r="AI49" s="312"/>
      <c r="AJ49" s="3522"/>
    </row>
    <row r="50" spans="1:36" ht="15.95" customHeight="1" x14ac:dyDescent="0.25">
      <c r="B50" s="3519"/>
      <c r="C50" s="3463" t="s">
        <v>7959</v>
      </c>
      <c r="D50" s="3463"/>
      <c r="E50" s="3463"/>
      <c r="F50" s="3464"/>
      <c r="G50" s="3464"/>
      <c r="H50" s="3464"/>
      <c r="I50" s="3464"/>
      <c r="J50" s="283"/>
      <c r="K50" s="3465" t="s">
        <v>7969</v>
      </c>
      <c r="L50" s="3465"/>
      <c r="M50" s="3465"/>
      <c r="N50" s="3465"/>
      <c r="O50" s="3465"/>
      <c r="P50" s="3465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4"/>
      <c r="AF50" s="3523"/>
      <c r="AG50" s="3523"/>
      <c r="AH50" s="3523"/>
      <c r="AI50" s="3523"/>
      <c r="AJ50" s="3522"/>
    </row>
    <row r="51" spans="1:36" ht="15.95" customHeight="1" x14ac:dyDescent="0.25">
      <c r="B51" s="3519"/>
      <c r="C51" s="3516"/>
      <c r="D51" s="3516"/>
      <c r="E51" s="3516"/>
      <c r="F51" s="3516"/>
      <c r="G51" s="3516"/>
      <c r="H51" s="3516"/>
      <c r="I51" s="3516"/>
      <c r="J51" s="3516"/>
      <c r="K51" s="3516"/>
      <c r="L51" s="3516"/>
      <c r="M51" s="3516"/>
      <c r="N51" s="3516"/>
      <c r="O51" s="3516"/>
      <c r="P51" s="3516"/>
      <c r="Q51" s="3516"/>
      <c r="R51" s="3516"/>
      <c r="S51" s="3516"/>
      <c r="T51" s="3516"/>
      <c r="U51" s="3516"/>
      <c r="V51" s="3516"/>
      <c r="W51" s="3516"/>
      <c r="X51" s="3516"/>
      <c r="Y51" s="3516"/>
      <c r="Z51" s="3516"/>
      <c r="AA51" s="3516"/>
      <c r="AB51" s="3516"/>
      <c r="AC51" s="3516"/>
      <c r="AD51" s="3516"/>
      <c r="AE51" s="3516"/>
      <c r="AF51" s="3516"/>
      <c r="AG51" s="3516"/>
      <c r="AH51" s="3516"/>
      <c r="AI51" s="3516"/>
      <c r="AJ51" s="3522"/>
    </row>
    <row r="52" spans="1:36" ht="15.95" customHeight="1" thickBot="1" x14ac:dyDescent="0.3">
      <c r="B52" s="3395"/>
      <c r="C52" s="3396"/>
      <c r="D52" s="3396"/>
      <c r="E52" s="3396"/>
      <c r="F52" s="3396"/>
      <c r="G52" s="3396"/>
      <c r="H52" s="3396"/>
      <c r="I52" s="3396"/>
      <c r="J52" s="3396"/>
      <c r="K52" s="3396"/>
      <c r="L52" s="3396"/>
      <c r="M52" s="3396"/>
      <c r="N52" s="3396"/>
      <c r="O52" s="3396"/>
      <c r="P52" s="3396"/>
      <c r="Q52" s="3396"/>
      <c r="R52" s="3396"/>
      <c r="S52" s="3396"/>
      <c r="T52" s="3396"/>
      <c r="U52" s="3396"/>
      <c r="V52" s="3396"/>
      <c r="W52" s="3396"/>
      <c r="X52" s="3396"/>
      <c r="Y52" s="3396"/>
      <c r="Z52" s="3396"/>
      <c r="AA52" s="3396"/>
      <c r="AB52" s="3396"/>
      <c r="AC52" s="3396"/>
      <c r="AD52" s="3396"/>
      <c r="AE52" s="3396"/>
      <c r="AF52" s="3396"/>
      <c r="AG52" s="3396"/>
      <c r="AH52" s="3396"/>
      <c r="AI52" s="3396"/>
      <c r="AJ52" s="3397"/>
    </row>
    <row r="53" spans="1:36" ht="15" customHeight="1" thickTop="1" thickBot="1" x14ac:dyDescent="0.3">
      <c r="A53" s="3416"/>
      <c r="B53" s="3416"/>
      <c r="C53" s="3416"/>
      <c r="D53" s="3416"/>
      <c r="E53" s="3416"/>
      <c r="F53" s="3416"/>
      <c r="G53" s="3416"/>
      <c r="H53" s="3416"/>
      <c r="I53" s="3416"/>
      <c r="J53" s="3416"/>
      <c r="K53" s="3416"/>
      <c r="L53" s="3416"/>
      <c r="M53" s="3416"/>
      <c r="N53" s="3416"/>
      <c r="O53" s="3416"/>
      <c r="P53" s="3416"/>
      <c r="Q53" s="3416"/>
      <c r="R53" s="3416"/>
      <c r="S53" s="3416"/>
      <c r="T53" s="3416"/>
      <c r="U53" s="3416"/>
      <c r="V53" s="3416"/>
      <c r="W53" s="3416"/>
      <c r="X53" s="3416"/>
      <c r="Y53" s="3416"/>
      <c r="Z53" s="3416"/>
      <c r="AA53" s="3416"/>
      <c r="AB53" s="3416"/>
      <c r="AC53" s="3416"/>
      <c r="AD53" s="3416"/>
      <c r="AE53" s="3416"/>
      <c r="AF53" s="3416"/>
      <c r="AG53" s="3416"/>
      <c r="AH53" s="3416"/>
      <c r="AI53" s="3416"/>
      <c r="AJ53" s="3416"/>
    </row>
    <row r="54" spans="1:36" ht="15.95" customHeight="1" thickTop="1" x14ac:dyDescent="0.25">
      <c r="B54" s="97"/>
      <c r="C54" s="98"/>
      <c r="D54" s="98"/>
      <c r="E54" s="98"/>
      <c r="F54" s="290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290"/>
      <c r="AF54" s="99"/>
      <c r="AG54" s="99"/>
      <c r="AH54" s="99"/>
      <c r="AI54" s="99"/>
      <c r="AJ54" s="100"/>
    </row>
    <row r="55" spans="1:36" s="40" customFormat="1" ht="15.95" customHeight="1" x14ac:dyDescent="0.25">
      <c r="B55" s="101"/>
      <c r="C55" s="271"/>
      <c r="D55" s="271"/>
      <c r="E55" s="271"/>
      <c r="F55" s="3512" t="s">
        <v>7925</v>
      </c>
      <c r="G55" s="3512"/>
      <c r="H55" s="3512"/>
      <c r="I55" s="3512"/>
      <c r="J55" s="3512"/>
      <c r="K55" s="3512"/>
      <c r="L55" s="3512"/>
      <c r="M55" s="3512"/>
      <c r="N55" s="3512"/>
      <c r="O55" s="3512"/>
      <c r="P55" s="3512"/>
      <c r="Q55" s="3512"/>
      <c r="R55" s="3512"/>
      <c r="S55" s="3512"/>
      <c r="T55" s="3512"/>
      <c r="U55" s="3512"/>
      <c r="V55" s="3512"/>
      <c r="W55" s="3512"/>
      <c r="X55" s="3512"/>
      <c r="Y55" s="3512"/>
      <c r="Z55" s="3512"/>
      <c r="AA55" s="3512"/>
      <c r="AB55" s="3512"/>
      <c r="AC55" s="3512"/>
      <c r="AD55" s="3512"/>
      <c r="AE55" s="291"/>
      <c r="AF55" s="271"/>
      <c r="AG55" s="271"/>
      <c r="AH55" s="271"/>
      <c r="AI55" s="225"/>
      <c r="AJ55" s="102"/>
    </row>
    <row r="56" spans="1:36" ht="15.95" customHeight="1" x14ac:dyDescent="0.25">
      <c r="B56" s="103"/>
      <c r="C56" s="271"/>
      <c r="D56" s="271"/>
      <c r="E56" s="271"/>
      <c r="F56" s="3513" t="s">
        <v>7926</v>
      </c>
      <c r="G56" s="3513"/>
      <c r="H56" s="3513"/>
      <c r="I56" s="3513"/>
      <c r="J56" s="3513"/>
      <c r="K56" s="3513"/>
      <c r="L56" s="3513"/>
      <c r="M56" s="3513"/>
      <c r="N56" s="3513"/>
      <c r="O56" s="3513"/>
      <c r="P56" s="3513"/>
      <c r="Q56" s="3513"/>
      <c r="R56" s="3513"/>
      <c r="S56" s="3513"/>
      <c r="T56" s="3513"/>
      <c r="U56" s="3513"/>
      <c r="V56" s="3513"/>
      <c r="W56" s="3513"/>
      <c r="X56" s="3513"/>
      <c r="Y56" s="3513"/>
      <c r="Z56" s="3513"/>
      <c r="AA56" s="3513"/>
      <c r="AB56" s="3513"/>
      <c r="AC56" s="3513"/>
      <c r="AD56" s="3513"/>
      <c r="AE56" s="292"/>
      <c r="AF56" s="273"/>
      <c r="AG56" s="273"/>
      <c r="AH56" s="273"/>
      <c r="AI56" s="273"/>
      <c r="AJ56" s="104"/>
    </row>
    <row r="57" spans="1:36" ht="15.95" customHeight="1" x14ac:dyDescent="0.25">
      <c r="B57" s="103"/>
      <c r="C57" s="279"/>
      <c r="D57" s="279"/>
      <c r="E57" s="279"/>
      <c r="F57" s="3514" t="s">
        <v>7927</v>
      </c>
      <c r="G57" s="3514"/>
      <c r="H57" s="3514"/>
      <c r="I57" s="3514"/>
      <c r="J57" s="3514"/>
      <c r="K57" s="3514"/>
      <c r="L57" s="3514"/>
      <c r="M57" s="3514"/>
      <c r="N57" s="3514"/>
      <c r="O57" s="3514"/>
      <c r="P57" s="3514"/>
      <c r="Q57" s="3514"/>
      <c r="R57" s="3514"/>
      <c r="S57" s="3514"/>
      <c r="T57" s="3514"/>
      <c r="U57" s="3514"/>
      <c r="V57" s="3514"/>
      <c r="W57" s="3514"/>
      <c r="X57" s="3514"/>
      <c r="Y57" s="3514"/>
      <c r="Z57" s="3514"/>
      <c r="AA57" s="3514"/>
      <c r="AB57" s="3514"/>
      <c r="AC57" s="3514"/>
      <c r="AD57" s="3514"/>
      <c r="AE57" s="293"/>
      <c r="AF57" s="279"/>
      <c r="AG57" s="279"/>
      <c r="AH57" s="279"/>
      <c r="AI57" s="279"/>
      <c r="AJ57" s="104"/>
    </row>
    <row r="58" spans="1:36" ht="9.9499999999999993" customHeight="1" x14ac:dyDescent="0.25">
      <c r="B58" s="103"/>
      <c r="C58" s="280"/>
      <c r="D58" s="280"/>
      <c r="E58" s="280"/>
      <c r="F58" s="294"/>
      <c r="G58" s="280"/>
      <c r="H58" s="280"/>
      <c r="I58" s="278"/>
      <c r="J58" s="278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95"/>
      <c r="AF58" s="281"/>
      <c r="AG58" s="281"/>
      <c r="AH58" s="281"/>
      <c r="AI58" s="281"/>
      <c r="AJ58" s="104"/>
    </row>
    <row r="59" spans="1:36" ht="15.95" customHeight="1" x14ac:dyDescent="0.25">
      <c r="B59" s="103"/>
      <c r="C59" s="3515" t="s">
        <v>7928</v>
      </c>
      <c r="D59" s="3515"/>
      <c r="E59" s="3515"/>
      <c r="F59" s="3515"/>
      <c r="G59" s="3515"/>
      <c r="H59" s="3515"/>
      <c r="I59" s="3515"/>
      <c r="J59" s="3515"/>
      <c r="K59" s="3515"/>
      <c r="L59" s="3515"/>
      <c r="M59" s="3515"/>
      <c r="N59" s="3515"/>
      <c r="O59" s="3515"/>
      <c r="P59" s="3515"/>
      <c r="Q59" s="3515"/>
      <c r="R59" s="3515"/>
      <c r="S59" s="3515"/>
      <c r="T59" s="3515"/>
      <c r="U59" s="3515"/>
      <c r="V59" s="3515"/>
      <c r="W59" s="3515"/>
      <c r="X59" s="3515"/>
      <c r="Y59" s="3515"/>
      <c r="Z59" s="3515"/>
      <c r="AA59" s="3515"/>
      <c r="AB59" s="3515"/>
      <c r="AC59" s="3515"/>
      <c r="AD59" s="3515"/>
      <c r="AE59" s="3515"/>
      <c r="AF59" s="3515"/>
      <c r="AG59" s="3515"/>
      <c r="AH59" s="3515"/>
      <c r="AI59" s="3515"/>
      <c r="AJ59" s="104"/>
    </row>
    <row r="60" spans="1:36" ht="15.95" customHeight="1" x14ac:dyDescent="0.25">
      <c r="B60" s="103"/>
      <c r="C60" s="3515"/>
      <c r="D60" s="3515"/>
      <c r="E60" s="3515"/>
      <c r="F60" s="3515"/>
      <c r="G60" s="3515"/>
      <c r="H60" s="3515"/>
      <c r="I60" s="3515"/>
      <c r="J60" s="3515"/>
      <c r="K60" s="3515"/>
      <c r="L60" s="3515"/>
      <c r="M60" s="3515"/>
      <c r="N60" s="3515"/>
      <c r="O60" s="3515"/>
      <c r="P60" s="3515"/>
      <c r="Q60" s="3515"/>
      <c r="R60" s="3515"/>
      <c r="S60" s="3515"/>
      <c r="T60" s="3515"/>
      <c r="U60" s="3515"/>
      <c r="V60" s="3515"/>
      <c r="W60" s="3515"/>
      <c r="X60" s="3515"/>
      <c r="Y60" s="3515"/>
      <c r="Z60" s="3515"/>
      <c r="AA60" s="3515"/>
      <c r="AB60" s="3515"/>
      <c r="AC60" s="3515"/>
      <c r="AD60" s="3515"/>
      <c r="AE60" s="3515"/>
      <c r="AF60" s="3515"/>
      <c r="AG60" s="3515"/>
      <c r="AH60" s="3515"/>
      <c r="AI60" s="3515"/>
      <c r="AJ60" s="104"/>
    </row>
    <row r="61" spans="1:36" ht="15.95" customHeight="1" x14ac:dyDescent="0.3">
      <c r="B61" s="103"/>
      <c r="C61" s="3493" t="s">
        <v>7929</v>
      </c>
      <c r="D61" s="3493"/>
      <c r="E61" s="3493"/>
      <c r="F61" s="3493"/>
      <c r="G61" s="3493"/>
      <c r="H61" s="3493"/>
      <c r="I61" s="3493"/>
      <c r="J61" s="3493"/>
      <c r="K61" s="3493"/>
      <c r="L61" s="3493"/>
      <c r="M61" s="3493"/>
      <c r="N61" s="3493"/>
      <c r="O61" s="3493"/>
      <c r="P61" s="3493"/>
      <c r="Q61" s="3493"/>
      <c r="R61" s="3493"/>
      <c r="S61" s="3493"/>
      <c r="T61" s="3493"/>
      <c r="U61" s="3493"/>
      <c r="V61" s="3493"/>
      <c r="W61" s="3493"/>
      <c r="X61" s="3493"/>
      <c r="Y61" s="3493"/>
      <c r="Z61" s="3493"/>
      <c r="AA61" s="3493"/>
      <c r="AB61" s="3493"/>
      <c r="AC61" s="3493"/>
      <c r="AD61" s="3493"/>
      <c r="AE61" s="3493"/>
      <c r="AF61" s="3493"/>
      <c r="AG61" s="3493"/>
      <c r="AH61" s="3493"/>
      <c r="AI61" s="3493"/>
      <c r="AJ61" s="104"/>
    </row>
    <row r="62" spans="1:36" ht="15.95" customHeight="1" x14ac:dyDescent="0.25">
      <c r="B62" s="103"/>
      <c r="C62" s="286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280"/>
      <c r="T62" s="280"/>
      <c r="U62" s="280"/>
      <c r="V62" s="280"/>
      <c r="W62" s="280"/>
      <c r="X62" s="280"/>
      <c r="Y62" s="280"/>
      <c r="Z62" s="280"/>
      <c r="AA62" s="280"/>
      <c r="AB62" s="280"/>
      <c r="AC62" s="280"/>
      <c r="AD62" s="280"/>
      <c r="AE62" s="280"/>
      <c r="AF62" s="280"/>
      <c r="AG62" s="280"/>
      <c r="AH62" s="280"/>
      <c r="AI62" s="280"/>
      <c r="AJ62" s="104"/>
    </row>
    <row r="63" spans="1:36" ht="15.95" customHeight="1" x14ac:dyDescent="0.3">
      <c r="B63" s="103"/>
      <c r="C63" s="3493" t="s">
        <v>367</v>
      </c>
      <c r="D63" s="3493"/>
      <c r="E63" s="3493"/>
      <c r="F63" s="3506" t="str">
        <f>F12</f>
        <v>ILKA ASCHINELLI F. DA SILVA</v>
      </c>
      <c r="G63" s="3507"/>
      <c r="H63" s="3507"/>
      <c r="I63" s="3507"/>
      <c r="J63" s="3507"/>
      <c r="K63" s="3507"/>
      <c r="L63" s="3507"/>
      <c r="M63" s="3507"/>
      <c r="N63" s="3507"/>
      <c r="O63" s="3507"/>
      <c r="P63" s="3507"/>
      <c r="Q63" s="3507"/>
      <c r="R63" s="3507"/>
      <c r="S63" s="3507"/>
      <c r="T63" s="3507"/>
      <c r="U63" s="3507"/>
      <c r="V63" s="3493"/>
      <c r="W63" s="3493"/>
      <c r="X63" s="3493"/>
      <c r="Y63" s="3494"/>
      <c r="Z63" s="3494"/>
      <c r="AA63" s="3494"/>
      <c r="AB63" s="3494"/>
      <c r="AC63" s="3494"/>
      <c r="AD63" s="3494"/>
      <c r="AE63" s="3493"/>
      <c r="AF63" s="3493"/>
      <c r="AG63" s="3493"/>
      <c r="AH63" s="3494"/>
      <c r="AI63" s="3494"/>
      <c r="AJ63" s="104"/>
    </row>
    <row r="64" spans="1:36" ht="15.95" customHeight="1" x14ac:dyDescent="0.3">
      <c r="B64" s="103"/>
      <c r="C64" s="3493" t="s">
        <v>1</v>
      </c>
      <c r="D64" s="3493"/>
      <c r="E64" s="3493"/>
      <c r="F64" s="3509">
        <f>Y12</f>
        <v>1349315</v>
      </c>
      <c r="G64" s="3509"/>
      <c r="H64" s="3509"/>
      <c r="I64" s="3509"/>
      <c r="J64" s="3509"/>
      <c r="K64" s="3509"/>
      <c r="L64" s="297" t="s">
        <v>339</v>
      </c>
      <c r="M64" s="3510" t="s">
        <v>7930</v>
      </c>
      <c r="N64" s="3510"/>
      <c r="O64" s="3510"/>
      <c r="P64" s="3511">
        <f>AH12</f>
        <v>1</v>
      </c>
      <c r="Q64" s="3511"/>
      <c r="R64" s="297"/>
      <c r="S64" s="297"/>
      <c r="T64" s="297"/>
      <c r="U64" s="297"/>
      <c r="V64" s="296"/>
      <c r="W64" s="296"/>
      <c r="X64" s="296"/>
      <c r="Y64" s="298"/>
      <c r="Z64" s="298"/>
      <c r="AA64" s="298"/>
      <c r="AB64" s="298"/>
      <c r="AC64" s="298"/>
      <c r="AD64" s="298"/>
      <c r="AE64" s="296"/>
      <c r="AF64" s="296"/>
      <c r="AG64" s="296"/>
      <c r="AH64" s="298"/>
      <c r="AI64" s="298"/>
      <c r="AJ64" s="104"/>
    </row>
    <row r="65" spans="2:36" ht="15.95" customHeight="1" x14ac:dyDescent="0.3">
      <c r="B65" s="103"/>
      <c r="C65" s="3493" t="s">
        <v>7931</v>
      </c>
      <c r="D65" s="3493"/>
      <c r="E65" s="3493"/>
      <c r="F65" s="3508" t="str">
        <f>F13</f>
        <v>PEB2J</v>
      </c>
      <c r="G65" s="3493"/>
      <c r="H65" s="3493"/>
      <c r="I65" s="3493"/>
      <c r="J65" s="3493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80"/>
      <c r="W65" s="280"/>
      <c r="X65" s="280"/>
      <c r="Y65" s="280"/>
      <c r="Z65" s="280"/>
      <c r="AA65" s="280"/>
      <c r="AB65" s="280"/>
      <c r="AC65" s="280"/>
      <c r="AD65" s="280"/>
      <c r="AE65" s="280"/>
      <c r="AF65" s="280"/>
      <c r="AG65" s="280"/>
      <c r="AH65" s="280"/>
      <c r="AI65" s="280"/>
      <c r="AJ65" s="104"/>
    </row>
    <row r="66" spans="2:36" ht="15.95" customHeight="1" x14ac:dyDescent="0.3">
      <c r="B66" s="103"/>
      <c r="C66" s="3493" t="str">
        <f>IF(AP13=1,"Exercício:","Designação:")</f>
        <v>Exercício:</v>
      </c>
      <c r="D66" s="3493"/>
      <c r="E66" s="3493"/>
      <c r="F66" s="3493"/>
      <c r="G66" s="3493"/>
      <c r="H66" s="3494" t="str">
        <f>IF(K14="","",O14&amp;" - "&amp;O15)</f>
        <v>Superintendência Regional de Ensino de Uberaba - Uberaba</v>
      </c>
      <c r="I66" s="3494"/>
      <c r="J66" s="3494"/>
      <c r="K66" s="3494"/>
      <c r="L66" s="3494"/>
      <c r="M66" s="3494"/>
      <c r="N66" s="3494"/>
      <c r="O66" s="3494"/>
      <c r="P66" s="3494"/>
      <c r="Q66" s="3494"/>
      <c r="R66" s="3494"/>
      <c r="S66" s="3494"/>
      <c r="T66" s="3494"/>
      <c r="U66" s="3494"/>
      <c r="V66" s="3494"/>
      <c r="W66" s="3494"/>
      <c r="X66" s="3494"/>
      <c r="Y66" s="3494"/>
      <c r="Z66" s="3494"/>
      <c r="AA66" s="3494"/>
      <c r="AB66" s="3494"/>
      <c r="AC66" s="3494"/>
      <c r="AD66" s="3494"/>
      <c r="AE66" s="3494"/>
      <c r="AF66" s="3494"/>
      <c r="AG66" s="3494"/>
      <c r="AH66" s="3494"/>
      <c r="AI66" s="3494"/>
      <c r="AJ66" s="104"/>
    </row>
    <row r="67" spans="2:36" s="96" customFormat="1" ht="8.1" customHeight="1" x14ac:dyDescent="0.25">
      <c r="B67" s="124"/>
      <c r="C67" s="272"/>
      <c r="D67" s="272"/>
      <c r="E67" s="272"/>
      <c r="F67" s="272"/>
      <c r="G67" s="272"/>
      <c r="H67" s="272"/>
      <c r="I67" s="272"/>
      <c r="J67" s="272"/>
      <c r="K67" s="285"/>
      <c r="L67" s="285"/>
      <c r="M67" s="285"/>
      <c r="N67" s="285"/>
      <c r="O67" s="285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72"/>
      <c r="AC67" s="272"/>
      <c r="AD67" s="272"/>
      <c r="AE67" s="272"/>
      <c r="AF67" s="272"/>
      <c r="AG67" s="272"/>
      <c r="AH67" s="272"/>
      <c r="AI67" s="272"/>
      <c r="AJ67" s="125"/>
    </row>
    <row r="68" spans="2:36" ht="15.95" customHeight="1" x14ac:dyDescent="0.25">
      <c r="B68" s="103"/>
      <c r="C68" s="3495" t="s">
        <v>7933</v>
      </c>
      <c r="D68" s="3495"/>
      <c r="E68" s="3495"/>
      <c r="F68" s="3496">
        <f>F17</f>
        <v>969.57</v>
      </c>
      <c r="G68" s="3496"/>
      <c r="H68" s="3496"/>
      <c r="I68" s="3496"/>
      <c r="J68" s="3496"/>
      <c r="K68" s="3500" t="str">
        <f>K17</f>
        <v>(novecentos e sessenta e nove reais e cinquenta e sete centavos)</v>
      </c>
      <c r="L68" s="3500"/>
      <c r="M68" s="3500"/>
      <c r="N68" s="3500"/>
      <c r="O68" s="3500"/>
      <c r="P68" s="3500"/>
      <c r="Q68" s="3500"/>
      <c r="R68" s="3500"/>
      <c r="S68" s="3500"/>
      <c r="T68" s="3500"/>
      <c r="U68" s="3500"/>
      <c r="V68" s="3500"/>
      <c r="W68" s="3500"/>
      <c r="X68" s="3500"/>
      <c r="Y68" s="3500"/>
      <c r="Z68" s="3500"/>
      <c r="AA68" s="3500"/>
      <c r="AB68" s="3500"/>
      <c r="AC68" s="3500"/>
      <c r="AD68" s="3500"/>
      <c r="AE68" s="3500"/>
      <c r="AF68" s="3500"/>
      <c r="AG68" s="3500"/>
      <c r="AH68" s="3500"/>
      <c r="AI68" s="3500"/>
      <c r="AJ68" s="104"/>
    </row>
    <row r="69" spans="2:36" ht="15.95" customHeight="1" x14ac:dyDescent="0.25">
      <c r="B69" s="103"/>
      <c r="C69" s="289"/>
      <c r="D69" s="289"/>
      <c r="E69" s="289"/>
      <c r="F69" s="289"/>
      <c r="G69" s="289"/>
      <c r="H69" s="287"/>
      <c r="I69" s="287"/>
      <c r="J69" s="287"/>
      <c r="K69" s="3500"/>
      <c r="L69" s="3500"/>
      <c r="M69" s="3500"/>
      <c r="N69" s="3500"/>
      <c r="O69" s="3500"/>
      <c r="P69" s="3500"/>
      <c r="Q69" s="3500"/>
      <c r="R69" s="3500"/>
      <c r="S69" s="3500"/>
      <c r="T69" s="3500"/>
      <c r="U69" s="3500"/>
      <c r="V69" s="3500"/>
      <c r="W69" s="3500"/>
      <c r="X69" s="3500"/>
      <c r="Y69" s="3500"/>
      <c r="Z69" s="3500"/>
      <c r="AA69" s="3500"/>
      <c r="AB69" s="3500"/>
      <c r="AC69" s="3500"/>
      <c r="AD69" s="3500"/>
      <c r="AE69" s="3500"/>
      <c r="AF69" s="3500"/>
      <c r="AG69" s="3500"/>
      <c r="AH69" s="3500"/>
      <c r="AI69" s="3500"/>
      <c r="AJ69" s="104"/>
    </row>
    <row r="70" spans="2:36" ht="8.1" customHeight="1" x14ac:dyDescent="0.25">
      <c r="B70" s="103"/>
      <c r="C70" s="289"/>
      <c r="D70" s="289"/>
      <c r="E70" s="289"/>
      <c r="F70" s="289"/>
      <c r="G70" s="289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8"/>
      <c r="AC70" s="288"/>
      <c r="AD70" s="288"/>
      <c r="AE70" s="288"/>
      <c r="AF70" s="288"/>
      <c r="AG70" s="288"/>
      <c r="AH70" s="288"/>
      <c r="AI70" s="288"/>
      <c r="AJ70" s="104"/>
    </row>
    <row r="71" spans="2:36" ht="15.95" customHeight="1" x14ac:dyDescent="0.25">
      <c r="B71" s="103"/>
      <c r="C71" s="3501" t="str">
        <f>C20</f>
        <v>Os valores registrados neste documento correspondem ao recebimento indevido de</v>
      </c>
      <c r="D71" s="3501"/>
      <c r="E71" s="3501"/>
      <c r="F71" s="3501"/>
      <c r="G71" s="3501"/>
      <c r="H71" s="3501"/>
      <c r="I71" s="3501"/>
      <c r="J71" s="3501"/>
      <c r="K71" s="3501"/>
      <c r="L71" s="3501"/>
      <c r="M71" s="3501"/>
      <c r="N71" s="3501"/>
      <c r="O71" s="3501"/>
      <c r="P71" s="3501"/>
      <c r="Q71" s="3501"/>
      <c r="R71" s="3501"/>
      <c r="S71" s="3501"/>
      <c r="T71" s="3501"/>
      <c r="U71" s="3501"/>
      <c r="V71" s="3501"/>
      <c r="W71" s="3501"/>
      <c r="X71" s="3501"/>
      <c r="Y71" s="3501"/>
      <c r="Z71" s="3501"/>
      <c r="AA71" s="3501"/>
      <c r="AB71" s="3501"/>
      <c r="AC71" s="3501"/>
      <c r="AD71" s="3501"/>
      <c r="AE71" s="3501"/>
      <c r="AF71" s="3501"/>
      <c r="AG71" s="3501"/>
      <c r="AH71" s="3501"/>
      <c r="AI71" s="3501"/>
      <c r="AJ71" s="104"/>
    </row>
    <row r="72" spans="2:36" ht="15.95" customHeight="1" x14ac:dyDescent="0.25">
      <c r="B72" s="103"/>
      <c r="C72" s="3502" t="str">
        <f>C21</f>
        <v>ACERTO DAS VERBAS 379 P/ 382, CONF. RELATÓRIO SEPLAG/BH</v>
      </c>
      <c r="D72" s="3502"/>
      <c r="E72" s="3502"/>
      <c r="F72" s="3502"/>
      <c r="G72" s="3502"/>
      <c r="H72" s="3502"/>
      <c r="I72" s="3502"/>
      <c r="J72" s="3502"/>
      <c r="K72" s="3502"/>
      <c r="L72" s="3502"/>
      <c r="M72" s="3502"/>
      <c r="N72" s="3502"/>
      <c r="O72" s="3502"/>
      <c r="P72" s="3502"/>
      <c r="Q72" s="3502"/>
      <c r="R72" s="3502"/>
      <c r="S72" s="3502"/>
      <c r="T72" s="3502"/>
      <c r="U72" s="3502"/>
      <c r="V72" s="3502"/>
      <c r="W72" s="3502"/>
      <c r="X72" s="3502"/>
      <c r="Y72" s="3502"/>
      <c r="Z72" s="3502"/>
      <c r="AA72" s="3502"/>
      <c r="AB72" s="3502"/>
      <c r="AC72" s="3502"/>
      <c r="AD72" s="3502"/>
      <c r="AE72" s="3502"/>
      <c r="AF72" s="3502"/>
      <c r="AG72" s="3502"/>
      <c r="AH72" s="3502"/>
      <c r="AI72" s="3502"/>
      <c r="AJ72" s="104"/>
    </row>
    <row r="73" spans="2:36" ht="15.95" customHeight="1" x14ac:dyDescent="0.25">
      <c r="B73" s="103"/>
      <c r="C73" s="3503" t="str">
        <f>C22</f>
        <v xml:space="preserve">no período de </v>
      </c>
      <c r="D73" s="3503"/>
      <c r="E73" s="3503"/>
      <c r="F73" s="3503"/>
      <c r="G73" s="3503"/>
      <c r="H73" s="3503"/>
      <c r="I73" s="3505">
        <f>I22</f>
        <v>41000</v>
      </c>
      <c r="J73" s="3505"/>
      <c r="K73" s="3505"/>
      <c r="L73" s="3505"/>
      <c r="M73" s="3505"/>
      <c r="N73" s="299" t="str">
        <f>N22</f>
        <v>a</v>
      </c>
      <c r="O73" s="3505">
        <f>O22</f>
        <v>41639</v>
      </c>
      <c r="P73" s="3505"/>
      <c r="Q73" s="3505"/>
      <c r="R73" s="3505"/>
      <c r="S73" s="3505"/>
      <c r="T73" s="3503" t="str">
        <f>T22</f>
        <v>, podendo sofrer acréscimo caso a</v>
      </c>
      <c r="U73" s="3503"/>
      <c r="V73" s="3503"/>
      <c r="W73" s="3503"/>
      <c r="X73" s="3503"/>
      <c r="Y73" s="3503"/>
      <c r="Z73" s="3503"/>
      <c r="AA73" s="3503"/>
      <c r="AB73" s="3503"/>
      <c r="AC73" s="3503"/>
      <c r="AD73" s="3503"/>
      <c r="AE73" s="3503"/>
      <c r="AF73" s="3503"/>
      <c r="AG73" s="3503"/>
      <c r="AH73" s="3503"/>
      <c r="AI73" s="3503"/>
      <c r="AJ73" s="104"/>
    </row>
    <row r="74" spans="2:36" ht="15.95" customHeight="1" x14ac:dyDescent="0.25">
      <c r="B74" s="103"/>
      <c r="C74" s="3503" t="str">
        <f>C23</f>
        <v>servidora continue a receber a parcela indevida no curso do processo administrativo.</v>
      </c>
      <c r="D74" s="3503"/>
      <c r="E74" s="3503"/>
      <c r="F74" s="3503"/>
      <c r="G74" s="3503"/>
      <c r="H74" s="3503"/>
      <c r="I74" s="3503"/>
      <c r="J74" s="3503"/>
      <c r="K74" s="3503"/>
      <c r="L74" s="3503"/>
      <c r="M74" s="3503"/>
      <c r="N74" s="3503"/>
      <c r="O74" s="3503"/>
      <c r="P74" s="3503"/>
      <c r="Q74" s="3503"/>
      <c r="R74" s="3503"/>
      <c r="S74" s="3503"/>
      <c r="T74" s="3503"/>
      <c r="U74" s="3503"/>
      <c r="V74" s="3503"/>
      <c r="W74" s="3503"/>
      <c r="X74" s="3503"/>
      <c r="Y74" s="3503"/>
      <c r="Z74" s="3503"/>
      <c r="AA74" s="3503"/>
      <c r="AB74" s="3503"/>
      <c r="AC74" s="3503"/>
      <c r="AD74" s="3503"/>
      <c r="AE74" s="3503"/>
      <c r="AF74" s="3503"/>
      <c r="AG74" s="3503"/>
      <c r="AH74" s="3503"/>
      <c r="AI74" s="3503"/>
      <c r="AJ74" s="104"/>
    </row>
    <row r="75" spans="2:36" ht="15.95" customHeight="1" x14ac:dyDescent="0.25">
      <c r="B75" s="103"/>
      <c r="C75" s="3504"/>
      <c r="D75" s="3504"/>
      <c r="E75" s="3504"/>
      <c r="F75" s="3504"/>
      <c r="G75" s="3504"/>
      <c r="H75" s="3504"/>
      <c r="I75" s="3504"/>
      <c r="J75" s="3504"/>
      <c r="K75" s="3504"/>
      <c r="L75" s="3504"/>
      <c r="M75" s="3504"/>
      <c r="N75" s="3504"/>
      <c r="O75" s="3504"/>
      <c r="P75" s="3504"/>
      <c r="Q75" s="3504"/>
      <c r="R75" s="3504"/>
      <c r="S75" s="3504"/>
      <c r="T75" s="3504"/>
      <c r="U75" s="3504"/>
      <c r="V75" s="3504"/>
      <c r="W75" s="3504"/>
      <c r="X75" s="3504"/>
      <c r="Y75" s="3504"/>
      <c r="Z75" s="3504"/>
      <c r="AA75" s="3504"/>
      <c r="AB75" s="3504"/>
      <c r="AC75" s="3504"/>
      <c r="AD75" s="3504"/>
      <c r="AE75" s="3504"/>
      <c r="AF75" s="3504"/>
      <c r="AG75" s="3504"/>
      <c r="AH75" s="3504"/>
      <c r="AI75" s="3504"/>
      <c r="AJ75" s="104"/>
    </row>
    <row r="76" spans="2:36" ht="15.95" customHeight="1" x14ac:dyDescent="0.25">
      <c r="B76" s="103"/>
      <c r="C76" s="3497" t="s">
        <v>391</v>
      </c>
      <c r="D76" s="3497"/>
      <c r="E76" s="3497"/>
      <c r="F76" s="3497" t="s">
        <v>7964</v>
      </c>
      <c r="G76" s="3497"/>
      <c r="H76" s="3497"/>
      <c r="I76" s="3497"/>
      <c r="J76" s="3497"/>
      <c r="K76" s="3497"/>
      <c r="L76" s="3497"/>
      <c r="M76" s="3498" t="s">
        <v>7967</v>
      </c>
      <c r="N76" s="3498"/>
      <c r="O76" s="3498"/>
      <c r="P76" s="3498"/>
      <c r="Q76" s="3498"/>
      <c r="R76" s="3498"/>
      <c r="S76" s="3498"/>
      <c r="T76" s="3498"/>
      <c r="U76" s="3498"/>
      <c r="V76" s="3498"/>
      <c r="W76" s="3498"/>
      <c r="X76" s="3498"/>
      <c r="Y76" s="3498"/>
      <c r="Z76" s="3498" t="s">
        <v>7966</v>
      </c>
      <c r="AA76" s="3498"/>
      <c r="AB76" s="3498"/>
      <c r="AC76" s="3498"/>
      <c r="AD76" s="3498"/>
      <c r="AE76" s="3499" t="s">
        <v>7965</v>
      </c>
      <c r="AF76" s="3499"/>
      <c r="AG76" s="3499"/>
      <c r="AH76" s="3499"/>
      <c r="AI76" s="3499"/>
      <c r="AJ76" s="104"/>
    </row>
    <row r="77" spans="2:36" ht="15.95" customHeight="1" x14ac:dyDescent="0.25">
      <c r="B77" s="103"/>
      <c r="C77" s="3490">
        <f>IF(C26&lt;&gt;0,C26,"")</f>
        <v>7379</v>
      </c>
      <c r="D77" s="3490"/>
      <c r="E77" s="3490"/>
      <c r="F77" s="3491">
        <f>IF(F26&lt;&gt;0,F26,"")</f>
        <v>969.57</v>
      </c>
      <c r="G77" s="3491"/>
      <c r="H77" s="3491"/>
      <c r="I77" s="3491"/>
      <c r="J77" s="3491"/>
      <c r="K77" s="3491"/>
      <c r="L77" s="3491"/>
      <c r="M77" s="3492" t="str">
        <f>IF(M26&lt;&gt;0,M26,"")</f>
        <v/>
      </c>
      <c r="N77" s="3492"/>
      <c r="O77" s="3492"/>
      <c r="P77" s="3492"/>
      <c r="Q77" s="3492"/>
      <c r="R77" s="3492"/>
      <c r="S77" s="3492"/>
      <c r="T77" s="3492"/>
      <c r="U77" s="3492"/>
      <c r="V77" s="3492"/>
      <c r="W77" s="3492"/>
      <c r="X77" s="3492"/>
      <c r="Y77" s="3492"/>
      <c r="Z77" s="3491">
        <f>IF(Z26&lt;&gt;0,Z26,"")</f>
        <v>969.57</v>
      </c>
      <c r="AA77" s="3491"/>
      <c r="AB77" s="3491"/>
      <c r="AC77" s="3491"/>
      <c r="AD77" s="3491"/>
      <c r="AE77" s="3491" t="str">
        <f>IF(AE26&lt;&gt;0,AE26,"")</f>
        <v/>
      </c>
      <c r="AF77" s="3491"/>
      <c r="AG77" s="3491"/>
      <c r="AH77" s="3491"/>
      <c r="AI77" s="3491"/>
      <c r="AJ77" s="104"/>
    </row>
    <row r="78" spans="2:36" ht="15.95" customHeight="1" x14ac:dyDescent="0.25">
      <c r="B78" s="103"/>
      <c r="C78" s="3490">
        <f t="shared" ref="C78:C98" si="0">IF(C27&lt;&gt;0,C27,"")</f>
        <v>532</v>
      </c>
      <c r="D78" s="3490"/>
      <c r="E78" s="3490"/>
      <c r="F78" s="3491" t="str">
        <f t="shared" ref="F78:F98" si="1">IF(F27&lt;&gt;0,F27,"")</f>
        <v/>
      </c>
      <c r="G78" s="3491"/>
      <c r="H78" s="3491"/>
      <c r="I78" s="3491"/>
      <c r="J78" s="3491"/>
      <c r="K78" s="3491"/>
      <c r="L78" s="3491"/>
      <c r="M78" s="3492" t="str">
        <f t="shared" ref="M78:M98" si="2">IF(M27&lt;&gt;0,M27,"")</f>
        <v/>
      </c>
      <c r="N78" s="3492"/>
      <c r="O78" s="3492"/>
      <c r="P78" s="3492"/>
      <c r="Q78" s="3492"/>
      <c r="R78" s="3492"/>
      <c r="S78" s="3492"/>
      <c r="T78" s="3492"/>
      <c r="U78" s="3492"/>
      <c r="V78" s="3492"/>
      <c r="W78" s="3492"/>
      <c r="X78" s="3492"/>
      <c r="Y78" s="3492"/>
      <c r="Z78" s="3491" t="str">
        <f t="shared" ref="Z78:Z98" si="3">IF(Z27&lt;&gt;0,Z27,"")</f>
        <v/>
      </c>
      <c r="AA78" s="3491"/>
      <c r="AB78" s="3491"/>
      <c r="AC78" s="3491"/>
      <c r="AD78" s="3491"/>
      <c r="AE78" s="3491">
        <f t="shared" ref="AE78:AE98" si="4">IF(AE27&lt;&gt;0,AE27,"")</f>
        <v>31.02</v>
      </c>
      <c r="AF78" s="3491"/>
      <c r="AG78" s="3491"/>
      <c r="AH78" s="3491"/>
      <c r="AI78" s="3491"/>
      <c r="AJ78" s="104"/>
    </row>
    <row r="79" spans="2:36" ht="15.95" customHeight="1" x14ac:dyDescent="0.25">
      <c r="B79" s="103"/>
      <c r="C79" s="3490" t="str">
        <f t="shared" si="0"/>
        <v/>
      </c>
      <c r="D79" s="3490"/>
      <c r="E79" s="3490"/>
      <c r="F79" s="3491" t="str">
        <f t="shared" si="1"/>
        <v/>
      </c>
      <c r="G79" s="3491"/>
      <c r="H79" s="3491"/>
      <c r="I79" s="3491"/>
      <c r="J79" s="3491"/>
      <c r="K79" s="3491"/>
      <c r="L79" s="3491"/>
      <c r="M79" s="3492" t="str">
        <f t="shared" si="2"/>
        <v/>
      </c>
      <c r="N79" s="3492"/>
      <c r="O79" s="3492"/>
      <c r="P79" s="3492"/>
      <c r="Q79" s="3492"/>
      <c r="R79" s="3492"/>
      <c r="S79" s="3492"/>
      <c r="T79" s="3492"/>
      <c r="U79" s="3492"/>
      <c r="V79" s="3492"/>
      <c r="W79" s="3492"/>
      <c r="X79" s="3492"/>
      <c r="Y79" s="3492"/>
      <c r="Z79" s="3491" t="str">
        <f t="shared" si="3"/>
        <v/>
      </c>
      <c r="AA79" s="3491"/>
      <c r="AB79" s="3491"/>
      <c r="AC79" s="3491"/>
      <c r="AD79" s="3491"/>
      <c r="AE79" s="3491" t="str">
        <f t="shared" si="4"/>
        <v/>
      </c>
      <c r="AF79" s="3491"/>
      <c r="AG79" s="3491"/>
      <c r="AH79" s="3491"/>
      <c r="AI79" s="3491"/>
      <c r="AJ79" s="104"/>
    </row>
    <row r="80" spans="2:36" ht="15.95" customHeight="1" x14ac:dyDescent="0.25">
      <c r="B80" s="103"/>
      <c r="C80" s="3490" t="str">
        <f t="shared" si="0"/>
        <v/>
      </c>
      <c r="D80" s="3490"/>
      <c r="E80" s="3490"/>
      <c r="F80" s="3491" t="str">
        <f t="shared" si="1"/>
        <v/>
      </c>
      <c r="G80" s="3491"/>
      <c r="H80" s="3491"/>
      <c r="I80" s="3491"/>
      <c r="J80" s="3491"/>
      <c r="K80" s="3491"/>
      <c r="L80" s="3491"/>
      <c r="M80" s="3492" t="str">
        <f t="shared" si="2"/>
        <v/>
      </c>
      <c r="N80" s="3492"/>
      <c r="O80" s="3492"/>
      <c r="P80" s="3492"/>
      <c r="Q80" s="3492"/>
      <c r="R80" s="3492"/>
      <c r="S80" s="3492"/>
      <c r="T80" s="3492"/>
      <c r="U80" s="3492"/>
      <c r="V80" s="3492"/>
      <c r="W80" s="3492"/>
      <c r="X80" s="3492"/>
      <c r="Y80" s="3492"/>
      <c r="Z80" s="3491" t="str">
        <f t="shared" si="3"/>
        <v/>
      </c>
      <c r="AA80" s="3491"/>
      <c r="AB80" s="3491"/>
      <c r="AC80" s="3491"/>
      <c r="AD80" s="3491"/>
      <c r="AE80" s="3491" t="str">
        <f t="shared" si="4"/>
        <v/>
      </c>
      <c r="AF80" s="3491"/>
      <c r="AG80" s="3491"/>
      <c r="AH80" s="3491"/>
      <c r="AI80" s="3491"/>
      <c r="AJ80" s="104"/>
    </row>
    <row r="81" spans="2:36" ht="15.95" customHeight="1" x14ac:dyDescent="0.25">
      <c r="B81" s="103"/>
      <c r="C81" s="3490" t="str">
        <f t="shared" si="0"/>
        <v/>
      </c>
      <c r="D81" s="3490"/>
      <c r="E81" s="3490"/>
      <c r="F81" s="3491" t="str">
        <f t="shared" si="1"/>
        <v/>
      </c>
      <c r="G81" s="3491"/>
      <c r="H81" s="3491"/>
      <c r="I81" s="3491"/>
      <c r="J81" s="3491"/>
      <c r="K81" s="3491"/>
      <c r="L81" s="3491"/>
      <c r="M81" s="3492" t="str">
        <f t="shared" si="2"/>
        <v/>
      </c>
      <c r="N81" s="3492"/>
      <c r="O81" s="3492"/>
      <c r="P81" s="3492"/>
      <c r="Q81" s="3492"/>
      <c r="R81" s="3492"/>
      <c r="S81" s="3492"/>
      <c r="T81" s="3492"/>
      <c r="U81" s="3492"/>
      <c r="V81" s="3492"/>
      <c r="W81" s="3492"/>
      <c r="X81" s="3492"/>
      <c r="Y81" s="3492"/>
      <c r="Z81" s="3491" t="str">
        <f t="shared" si="3"/>
        <v/>
      </c>
      <c r="AA81" s="3491"/>
      <c r="AB81" s="3491"/>
      <c r="AC81" s="3491"/>
      <c r="AD81" s="3491"/>
      <c r="AE81" s="3491" t="str">
        <f t="shared" si="4"/>
        <v/>
      </c>
      <c r="AF81" s="3491"/>
      <c r="AG81" s="3491"/>
      <c r="AH81" s="3491"/>
      <c r="AI81" s="3491"/>
      <c r="AJ81" s="104"/>
    </row>
    <row r="82" spans="2:36" ht="15.95" customHeight="1" x14ac:dyDescent="0.25">
      <c r="B82" s="103"/>
      <c r="C82" s="3490" t="str">
        <f t="shared" si="0"/>
        <v/>
      </c>
      <c r="D82" s="3490"/>
      <c r="E82" s="3490"/>
      <c r="F82" s="3491" t="str">
        <f t="shared" si="1"/>
        <v/>
      </c>
      <c r="G82" s="3491"/>
      <c r="H82" s="3491"/>
      <c r="I82" s="3491"/>
      <c r="J82" s="3491"/>
      <c r="K82" s="3491"/>
      <c r="L82" s="3491"/>
      <c r="M82" s="3492" t="str">
        <f t="shared" si="2"/>
        <v/>
      </c>
      <c r="N82" s="3492"/>
      <c r="O82" s="3492"/>
      <c r="P82" s="3492"/>
      <c r="Q82" s="3492"/>
      <c r="R82" s="3492"/>
      <c r="S82" s="3492"/>
      <c r="T82" s="3492"/>
      <c r="U82" s="3492"/>
      <c r="V82" s="3492"/>
      <c r="W82" s="3492"/>
      <c r="X82" s="3492"/>
      <c r="Y82" s="3492"/>
      <c r="Z82" s="3491" t="str">
        <f t="shared" si="3"/>
        <v/>
      </c>
      <c r="AA82" s="3491"/>
      <c r="AB82" s="3491"/>
      <c r="AC82" s="3491"/>
      <c r="AD82" s="3491"/>
      <c r="AE82" s="3491" t="str">
        <f t="shared" si="4"/>
        <v/>
      </c>
      <c r="AF82" s="3491"/>
      <c r="AG82" s="3491"/>
      <c r="AH82" s="3491"/>
      <c r="AI82" s="3491"/>
      <c r="AJ82" s="104"/>
    </row>
    <row r="83" spans="2:36" ht="15.95" customHeight="1" x14ac:dyDescent="0.25">
      <c r="B83" s="103"/>
      <c r="C83" s="3490" t="str">
        <f t="shared" si="0"/>
        <v/>
      </c>
      <c r="D83" s="3490"/>
      <c r="E83" s="3490"/>
      <c r="F83" s="3491" t="str">
        <f t="shared" si="1"/>
        <v/>
      </c>
      <c r="G83" s="3491"/>
      <c r="H83" s="3491"/>
      <c r="I83" s="3491"/>
      <c r="J83" s="3491"/>
      <c r="K83" s="3491"/>
      <c r="L83" s="3491"/>
      <c r="M83" s="3492" t="str">
        <f t="shared" si="2"/>
        <v/>
      </c>
      <c r="N83" s="3492"/>
      <c r="O83" s="3492"/>
      <c r="P83" s="3492"/>
      <c r="Q83" s="3492"/>
      <c r="R83" s="3492"/>
      <c r="S83" s="3492"/>
      <c r="T83" s="3492"/>
      <c r="U83" s="3492"/>
      <c r="V83" s="3492"/>
      <c r="W83" s="3492"/>
      <c r="X83" s="3492"/>
      <c r="Y83" s="3492"/>
      <c r="Z83" s="3491" t="str">
        <f t="shared" si="3"/>
        <v/>
      </c>
      <c r="AA83" s="3491"/>
      <c r="AB83" s="3491"/>
      <c r="AC83" s="3491"/>
      <c r="AD83" s="3491"/>
      <c r="AE83" s="3491" t="str">
        <f t="shared" si="4"/>
        <v/>
      </c>
      <c r="AF83" s="3491"/>
      <c r="AG83" s="3491"/>
      <c r="AH83" s="3491"/>
      <c r="AI83" s="3491"/>
      <c r="AJ83" s="104"/>
    </row>
    <row r="84" spans="2:36" ht="15.95" customHeight="1" x14ac:dyDescent="0.25">
      <c r="B84" s="103"/>
      <c r="C84" s="3490" t="str">
        <f t="shared" si="0"/>
        <v/>
      </c>
      <c r="D84" s="3490"/>
      <c r="E84" s="3490"/>
      <c r="F84" s="3491" t="str">
        <f t="shared" si="1"/>
        <v/>
      </c>
      <c r="G84" s="3491"/>
      <c r="H84" s="3491"/>
      <c r="I84" s="3491"/>
      <c r="J84" s="3491"/>
      <c r="K84" s="3491"/>
      <c r="L84" s="3491"/>
      <c r="M84" s="3492" t="str">
        <f t="shared" si="2"/>
        <v/>
      </c>
      <c r="N84" s="3492"/>
      <c r="O84" s="3492"/>
      <c r="P84" s="3492"/>
      <c r="Q84" s="3492"/>
      <c r="R84" s="3492"/>
      <c r="S84" s="3492"/>
      <c r="T84" s="3492"/>
      <c r="U84" s="3492"/>
      <c r="V84" s="3492"/>
      <c r="W84" s="3492"/>
      <c r="X84" s="3492"/>
      <c r="Y84" s="3492"/>
      <c r="Z84" s="3491" t="str">
        <f t="shared" si="3"/>
        <v/>
      </c>
      <c r="AA84" s="3491"/>
      <c r="AB84" s="3491"/>
      <c r="AC84" s="3491"/>
      <c r="AD84" s="3491"/>
      <c r="AE84" s="3491" t="str">
        <f t="shared" si="4"/>
        <v/>
      </c>
      <c r="AF84" s="3491"/>
      <c r="AG84" s="3491"/>
      <c r="AH84" s="3491"/>
      <c r="AI84" s="3491"/>
      <c r="AJ84" s="104"/>
    </row>
    <row r="85" spans="2:36" ht="15.95" customHeight="1" x14ac:dyDescent="0.25">
      <c r="B85" s="103"/>
      <c r="C85" s="3490" t="str">
        <f t="shared" si="0"/>
        <v/>
      </c>
      <c r="D85" s="3490"/>
      <c r="E85" s="3490"/>
      <c r="F85" s="3491" t="str">
        <f t="shared" si="1"/>
        <v/>
      </c>
      <c r="G85" s="3491"/>
      <c r="H85" s="3491"/>
      <c r="I85" s="3491"/>
      <c r="J85" s="3491"/>
      <c r="K85" s="3491"/>
      <c r="L85" s="3491"/>
      <c r="M85" s="3492" t="str">
        <f t="shared" si="2"/>
        <v/>
      </c>
      <c r="N85" s="3492"/>
      <c r="O85" s="3492"/>
      <c r="P85" s="3492"/>
      <c r="Q85" s="3492"/>
      <c r="R85" s="3492"/>
      <c r="S85" s="3492"/>
      <c r="T85" s="3492"/>
      <c r="U85" s="3492"/>
      <c r="V85" s="3492"/>
      <c r="W85" s="3492"/>
      <c r="X85" s="3492"/>
      <c r="Y85" s="3492"/>
      <c r="Z85" s="3491" t="str">
        <f t="shared" si="3"/>
        <v/>
      </c>
      <c r="AA85" s="3491"/>
      <c r="AB85" s="3491"/>
      <c r="AC85" s="3491"/>
      <c r="AD85" s="3491"/>
      <c r="AE85" s="3491" t="str">
        <f t="shared" si="4"/>
        <v/>
      </c>
      <c r="AF85" s="3491"/>
      <c r="AG85" s="3491"/>
      <c r="AH85" s="3491"/>
      <c r="AI85" s="3491"/>
      <c r="AJ85" s="104"/>
    </row>
    <row r="86" spans="2:36" ht="15.95" customHeight="1" x14ac:dyDescent="0.25">
      <c r="B86" s="103"/>
      <c r="C86" s="3490" t="str">
        <f t="shared" si="0"/>
        <v/>
      </c>
      <c r="D86" s="3490"/>
      <c r="E86" s="3490"/>
      <c r="F86" s="3491" t="str">
        <f t="shared" si="1"/>
        <v/>
      </c>
      <c r="G86" s="3491"/>
      <c r="H86" s="3491"/>
      <c r="I86" s="3491"/>
      <c r="J86" s="3491"/>
      <c r="K86" s="3491"/>
      <c r="L86" s="3491"/>
      <c r="M86" s="3492" t="str">
        <f t="shared" si="2"/>
        <v/>
      </c>
      <c r="N86" s="3492"/>
      <c r="O86" s="3492"/>
      <c r="P86" s="3492"/>
      <c r="Q86" s="3492"/>
      <c r="R86" s="3492"/>
      <c r="S86" s="3492"/>
      <c r="T86" s="3492"/>
      <c r="U86" s="3492"/>
      <c r="V86" s="3492"/>
      <c r="W86" s="3492"/>
      <c r="X86" s="3492"/>
      <c r="Y86" s="3492"/>
      <c r="Z86" s="3491" t="str">
        <f t="shared" si="3"/>
        <v/>
      </c>
      <c r="AA86" s="3491"/>
      <c r="AB86" s="3491"/>
      <c r="AC86" s="3491"/>
      <c r="AD86" s="3491"/>
      <c r="AE86" s="3491" t="str">
        <f t="shared" si="4"/>
        <v/>
      </c>
      <c r="AF86" s="3491"/>
      <c r="AG86" s="3491"/>
      <c r="AH86" s="3491"/>
      <c r="AI86" s="3491"/>
      <c r="AJ86" s="104"/>
    </row>
    <row r="87" spans="2:36" ht="15.95" customHeight="1" x14ac:dyDescent="0.25">
      <c r="B87" s="103"/>
      <c r="C87" s="3490" t="str">
        <f t="shared" si="0"/>
        <v/>
      </c>
      <c r="D87" s="3490"/>
      <c r="E87" s="3490"/>
      <c r="F87" s="3491" t="str">
        <f t="shared" si="1"/>
        <v/>
      </c>
      <c r="G87" s="3491"/>
      <c r="H87" s="3491"/>
      <c r="I87" s="3491"/>
      <c r="J87" s="3491"/>
      <c r="K87" s="3491"/>
      <c r="L87" s="3491"/>
      <c r="M87" s="3492" t="str">
        <f t="shared" si="2"/>
        <v/>
      </c>
      <c r="N87" s="3492"/>
      <c r="O87" s="3492"/>
      <c r="P87" s="3492"/>
      <c r="Q87" s="3492"/>
      <c r="R87" s="3492"/>
      <c r="S87" s="3492"/>
      <c r="T87" s="3492"/>
      <c r="U87" s="3492"/>
      <c r="V87" s="3492"/>
      <c r="W87" s="3492"/>
      <c r="X87" s="3492"/>
      <c r="Y87" s="3492"/>
      <c r="Z87" s="3491" t="str">
        <f t="shared" si="3"/>
        <v/>
      </c>
      <c r="AA87" s="3491"/>
      <c r="AB87" s="3491"/>
      <c r="AC87" s="3491"/>
      <c r="AD87" s="3491"/>
      <c r="AE87" s="3491" t="str">
        <f t="shared" si="4"/>
        <v/>
      </c>
      <c r="AF87" s="3491"/>
      <c r="AG87" s="3491"/>
      <c r="AH87" s="3491"/>
      <c r="AI87" s="3491"/>
      <c r="AJ87" s="104"/>
    </row>
    <row r="88" spans="2:36" ht="15.95" customHeight="1" x14ac:dyDescent="0.25">
      <c r="B88" s="103"/>
      <c r="C88" s="3490" t="str">
        <f t="shared" si="0"/>
        <v/>
      </c>
      <c r="D88" s="3490"/>
      <c r="E88" s="3490"/>
      <c r="F88" s="3491" t="str">
        <f t="shared" si="1"/>
        <v/>
      </c>
      <c r="G88" s="3491"/>
      <c r="H88" s="3491"/>
      <c r="I88" s="3491"/>
      <c r="J88" s="3491"/>
      <c r="K88" s="3491"/>
      <c r="L88" s="3491"/>
      <c r="M88" s="3492" t="str">
        <f t="shared" si="2"/>
        <v/>
      </c>
      <c r="N88" s="3492"/>
      <c r="O88" s="3492"/>
      <c r="P88" s="3492"/>
      <c r="Q88" s="3492"/>
      <c r="R88" s="3492"/>
      <c r="S88" s="3492"/>
      <c r="T88" s="3492"/>
      <c r="U88" s="3492"/>
      <c r="V88" s="3492"/>
      <c r="W88" s="3492"/>
      <c r="X88" s="3492"/>
      <c r="Y88" s="3492"/>
      <c r="Z88" s="3491" t="str">
        <f t="shared" si="3"/>
        <v/>
      </c>
      <c r="AA88" s="3491"/>
      <c r="AB88" s="3491"/>
      <c r="AC88" s="3491"/>
      <c r="AD88" s="3491"/>
      <c r="AE88" s="3491" t="str">
        <f t="shared" si="4"/>
        <v/>
      </c>
      <c r="AF88" s="3491"/>
      <c r="AG88" s="3491"/>
      <c r="AH88" s="3491"/>
      <c r="AI88" s="3491"/>
      <c r="AJ88" s="104"/>
    </row>
    <row r="89" spans="2:36" ht="15.95" customHeight="1" x14ac:dyDescent="0.25">
      <c r="B89" s="103"/>
      <c r="C89" s="3490" t="str">
        <f t="shared" si="0"/>
        <v/>
      </c>
      <c r="D89" s="3490"/>
      <c r="E89" s="3490"/>
      <c r="F89" s="3491" t="str">
        <f t="shared" si="1"/>
        <v/>
      </c>
      <c r="G89" s="3491"/>
      <c r="H89" s="3491"/>
      <c r="I89" s="3491"/>
      <c r="J89" s="3491"/>
      <c r="K89" s="3491"/>
      <c r="L89" s="3491"/>
      <c r="M89" s="3492" t="str">
        <f t="shared" si="2"/>
        <v/>
      </c>
      <c r="N89" s="3492"/>
      <c r="O89" s="3492"/>
      <c r="P89" s="3492"/>
      <c r="Q89" s="3492"/>
      <c r="R89" s="3492"/>
      <c r="S89" s="3492"/>
      <c r="T89" s="3492"/>
      <c r="U89" s="3492"/>
      <c r="V89" s="3492"/>
      <c r="W89" s="3492"/>
      <c r="X89" s="3492"/>
      <c r="Y89" s="3492"/>
      <c r="Z89" s="3491" t="str">
        <f t="shared" si="3"/>
        <v/>
      </c>
      <c r="AA89" s="3491"/>
      <c r="AB89" s="3491"/>
      <c r="AC89" s="3491"/>
      <c r="AD89" s="3491"/>
      <c r="AE89" s="3491" t="str">
        <f t="shared" si="4"/>
        <v/>
      </c>
      <c r="AF89" s="3491"/>
      <c r="AG89" s="3491"/>
      <c r="AH89" s="3491"/>
      <c r="AI89" s="3491"/>
      <c r="AJ89" s="104"/>
    </row>
    <row r="90" spans="2:36" ht="15.95" customHeight="1" x14ac:dyDescent="0.25">
      <c r="B90" s="103"/>
      <c r="C90" s="3490" t="str">
        <f t="shared" si="0"/>
        <v/>
      </c>
      <c r="D90" s="3490"/>
      <c r="E90" s="3490"/>
      <c r="F90" s="3491" t="str">
        <f t="shared" si="1"/>
        <v/>
      </c>
      <c r="G90" s="3491"/>
      <c r="H90" s="3491"/>
      <c r="I90" s="3491"/>
      <c r="J90" s="3491"/>
      <c r="K90" s="3491"/>
      <c r="L90" s="3491"/>
      <c r="M90" s="3492" t="str">
        <f t="shared" si="2"/>
        <v/>
      </c>
      <c r="N90" s="3492"/>
      <c r="O90" s="3492"/>
      <c r="P90" s="3492"/>
      <c r="Q90" s="3492"/>
      <c r="R90" s="3492"/>
      <c r="S90" s="3492"/>
      <c r="T90" s="3492"/>
      <c r="U90" s="3492"/>
      <c r="V90" s="3492"/>
      <c r="W90" s="3492"/>
      <c r="X90" s="3492"/>
      <c r="Y90" s="3492"/>
      <c r="Z90" s="3491" t="str">
        <f t="shared" si="3"/>
        <v/>
      </c>
      <c r="AA90" s="3491"/>
      <c r="AB90" s="3491"/>
      <c r="AC90" s="3491"/>
      <c r="AD90" s="3491"/>
      <c r="AE90" s="3491" t="str">
        <f t="shared" si="4"/>
        <v/>
      </c>
      <c r="AF90" s="3491"/>
      <c r="AG90" s="3491"/>
      <c r="AH90" s="3491"/>
      <c r="AI90" s="3491"/>
      <c r="AJ90" s="104"/>
    </row>
    <row r="91" spans="2:36" ht="15.95" customHeight="1" x14ac:dyDescent="0.25">
      <c r="B91" s="103"/>
      <c r="C91" s="3490" t="str">
        <f t="shared" si="0"/>
        <v/>
      </c>
      <c r="D91" s="3490"/>
      <c r="E91" s="3490"/>
      <c r="F91" s="3491" t="str">
        <f t="shared" si="1"/>
        <v/>
      </c>
      <c r="G91" s="3491"/>
      <c r="H91" s="3491"/>
      <c r="I91" s="3491"/>
      <c r="J91" s="3491"/>
      <c r="K91" s="3491"/>
      <c r="L91" s="3491"/>
      <c r="M91" s="3492" t="str">
        <f t="shared" si="2"/>
        <v/>
      </c>
      <c r="N91" s="3492"/>
      <c r="O91" s="3492"/>
      <c r="P91" s="3492"/>
      <c r="Q91" s="3492"/>
      <c r="R91" s="3492"/>
      <c r="S91" s="3492"/>
      <c r="T91" s="3492"/>
      <c r="U91" s="3492"/>
      <c r="V91" s="3492"/>
      <c r="W91" s="3492"/>
      <c r="X91" s="3492"/>
      <c r="Y91" s="3492"/>
      <c r="Z91" s="3491" t="str">
        <f t="shared" si="3"/>
        <v/>
      </c>
      <c r="AA91" s="3491"/>
      <c r="AB91" s="3491"/>
      <c r="AC91" s="3491"/>
      <c r="AD91" s="3491"/>
      <c r="AE91" s="3491" t="str">
        <f t="shared" si="4"/>
        <v/>
      </c>
      <c r="AF91" s="3491"/>
      <c r="AG91" s="3491"/>
      <c r="AH91" s="3491"/>
      <c r="AI91" s="3491"/>
      <c r="AJ91" s="104"/>
    </row>
    <row r="92" spans="2:36" ht="15.95" customHeight="1" x14ac:dyDescent="0.25">
      <c r="B92" s="103"/>
      <c r="C92" s="3490" t="str">
        <f t="shared" si="0"/>
        <v/>
      </c>
      <c r="D92" s="3490"/>
      <c r="E92" s="3490"/>
      <c r="F92" s="3491" t="str">
        <f t="shared" si="1"/>
        <v/>
      </c>
      <c r="G92" s="3491"/>
      <c r="H92" s="3491"/>
      <c r="I92" s="3491"/>
      <c r="J92" s="3491"/>
      <c r="K92" s="3491"/>
      <c r="L92" s="3491"/>
      <c r="M92" s="3492" t="str">
        <f t="shared" si="2"/>
        <v/>
      </c>
      <c r="N92" s="3492"/>
      <c r="O92" s="3492"/>
      <c r="P92" s="3492"/>
      <c r="Q92" s="3492"/>
      <c r="R92" s="3492"/>
      <c r="S92" s="3492"/>
      <c r="T92" s="3492"/>
      <c r="U92" s="3492"/>
      <c r="V92" s="3492"/>
      <c r="W92" s="3492"/>
      <c r="X92" s="3492"/>
      <c r="Y92" s="3492"/>
      <c r="Z92" s="3491" t="str">
        <f t="shared" si="3"/>
        <v/>
      </c>
      <c r="AA92" s="3491"/>
      <c r="AB92" s="3491"/>
      <c r="AC92" s="3491"/>
      <c r="AD92" s="3491"/>
      <c r="AE92" s="3491" t="str">
        <f t="shared" si="4"/>
        <v/>
      </c>
      <c r="AF92" s="3491"/>
      <c r="AG92" s="3491"/>
      <c r="AH92" s="3491"/>
      <c r="AI92" s="3491"/>
      <c r="AJ92" s="104"/>
    </row>
    <row r="93" spans="2:36" ht="15.95" customHeight="1" x14ac:dyDescent="0.25">
      <c r="B93" s="103"/>
      <c r="C93" s="3490" t="str">
        <f t="shared" si="0"/>
        <v/>
      </c>
      <c r="D93" s="3490"/>
      <c r="E93" s="3490"/>
      <c r="F93" s="3491" t="str">
        <f t="shared" si="1"/>
        <v/>
      </c>
      <c r="G93" s="3491"/>
      <c r="H93" s="3491"/>
      <c r="I93" s="3491"/>
      <c r="J93" s="3491"/>
      <c r="K93" s="3491"/>
      <c r="L93" s="3491"/>
      <c r="M93" s="3492" t="str">
        <f t="shared" si="2"/>
        <v/>
      </c>
      <c r="N93" s="3492"/>
      <c r="O93" s="3492"/>
      <c r="P93" s="3492"/>
      <c r="Q93" s="3492"/>
      <c r="R93" s="3492"/>
      <c r="S93" s="3492"/>
      <c r="T93" s="3492"/>
      <c r="U93" s="3492"/>
      <c r="V93" s="3492"/>
      <c r="W93" s="3492"/>
      <c r="X93" s="3492"/>
      <c r="Y93" s="3492"/>
      <c r="Z93" s="3491" t="str">
        <f t="shared" si="3"/>
        <v/>
      </c>
      <c r="AA93" s="3491"/>
      <c r="AB93" s="3491"/>
      <c r="AC93" s="3491"/>
      <c r="AD93" s="3491"/>
      <c r="AE93" s="3491" t="str">
        <f t="shared" si="4"/>
        <v/>
      </c>
      <c r="AF93" s="3491"/>
      <c r="AG93" s="3491"/>
      <c r="AH93" s="3491"/>
      <c r="AI93" s="3491"/>
      <c r="AJ93" s="104"/>
    </row>
    <row r="94" spans="2:36" ht="15.95" customHeight="1" x14ac:dyDescent="0.25">
      <c r="B94" s="103"/>
      <c r="C94" s="3490" t="str">
        <f t="shared" si="0"/>
        <v/>
      </c>
      <c r="D94" s="3490"/>
      <c r="E94" s="3490"/>
      <c r="F94" s="3491" t="str">
        <f t="shared" si="1"/>
        <v/>
      </c>
      <c r="G94" s="3491"/>
      <c r="H94" s="3491"/>
      <c r="I94" s="3491"/>
      <c r="J94" s="3491"/>
      <c r="K94" s="3491"/>
      <c r="L94" s="3491"/>
      <c r="M94" s="3492" t="str">
        <f t="shared" si="2"/>
        <v/>
      </c>
      <c r="N94" s="3492"/>
      <c r="O94" s="3492"/>
      <c r="P94" s="3492"/>
      <c r="Q94" s="3492"/>
      <c r="R94" s="3492"/>
      <c r="S94" s="3492"/>
      <c r="T94" s="3492"/>
      <c r="U94" s="3492"/>
      <c r="V94" s="3492"/>
      <c r="W94" s="3492"/>
      <c r="X94" s="3492"/>
      <c r="Y94" s="3492"/>
      <c r="Z94" s="3491" t="str">
        <f t="shared" si="3"/>
        <v/>
      </c>
      <c r="AA94" s="3491"/>
      <c r="AB94" s="3491"/>
      <c r="AC94" s="3491"/>
      <c r="AD94" s="3491"/>
      <c r="AE94" s="3491" t="str">
        <f t="shared" si="4"/>
        <v/>
      </c>
      <c r="AF94" s="3491"/>
      <c r="AG94" s="3491"/>
      <c r="AH94" s="3491"/>
      <c r="AI94" s="3491"/>
      <c r="AJ94" s="104"/>
    </row>
    <row r="95" spans="2:36" ht="15.95" customHeight="1" x14ac:dyDescent="0.25">
      <c r="B95" s="103"/>
      <c r="C95" s="3490" t="str">
        <f t="shared" si="0"/>
        <v/>
      </c>
      <c r="D95" s="3490"/>
      <c r="E95" s="3490"/>
      <c r="F95" s="3491" t="str">
        <f t="shared" si="1"/>
        <v/>
      </c>
      <c r="G95" s="3491"/>
      <c r="H95" s="3491"/>
      <c r="I95" s="3491"/>
      <c r="J95" s="3491"/>
      <c r="K95" s="3491"/>
      <c r="L95" s="3491"/>
      <c r="M95" s="3492" t="str">
        <f t="shared" si="2"/>
        <v/>
      </c>
      <c r="N95" s="3492"/>
      <c r="O95" s="3492"/>
      <c r="P95" s="3492"/>
      <c r="Q95" s="3492"/>
      <c r="R95" s="3492"/>
      <c r="S95" s="3492"/>
      <c r="T95" s="3492"/>
      <c r="U95" s="3492"/>
      <c r="V95" s="3492"/>
      <c r="W95" s="3492"/>
      <c r="X95" s="3492"/>
      <c r="Y95" s="3492"/>
      <c r="Z95" s="3491" t="str">
        <f t="shared" si="3"/>
        <v/>
      </c>
      <c r="AA95" s="3491"/>
      <c r="AB95" s="3491"/>
      <c r="AC95" s="3491"/>
      <c r="AD95" s="3491"/>
      <c r="AE95" s="3491" t="str">
        <f t="shared" si="4"/>
        <v/>
      </c>
      <c r="AF95" s="3491"/>
      <c r="AG95" s="3491"/>
      <c r="AH95" s="3491"/>
      <c r="AI95" s="3491"/>
      <c r="AJ95" s="104"/>
    </row>
    <row r="96" spans="2:36" ht="15.95" customHeight="1" x14ac:dyDescent="0.25">
      <c r="B96" s="103"/>
      <c r="C96" s="3490" t="str">
        <f t="shared" si="0"/>
        <v/>
      </c>
      <c r="D96" s="3490"/>
      <c r="E96" s="3490"/>
      <c r="F96" s="3491" t="str">
        <f t="shared" si="1"/>
        <v/>
      </c>
      <c r="G96" s="3491"/>
      <c r="H96" s="3491"/>
      <c r="I96" s="3491"/>
      <c r="J96" s="3491"/>
      <c r="K96" s="3491"/>
      <c r="L96" s="3491"/>
      <c r="M96" s="3492" t="str">
        <f t="shared" si="2"/>
        <v/>
      </c>
      <c r="N96" s="3492"/>
      <c r="O96" s="3492"/>
      <c r="P96" s="3492"/>
      <c r="Q96" s="3492"/>
      <c r="R96" s="3492"/>
      <c r="S96" s="3492"/>
      <c r="T96" s="3492"/>
      <c r="U96" s="3492"/>
      <c r="V96" s="3492"/>
      <c r="W96" s="3492"/>
      <c r="X96" s="3492"/>
      <c r="Y96" s="3492"/>
      <c r="Z96" s="3491" t="str">
        <f t="shared" si="3"/>
        <v/>
      </c>
      <c r="AA96" s="3491"/>
      <c r="AB96" s="3491"/>
      <c r="AC96" s="3491"/>
      <c r="AD96" s="3491"/>
      <c r="AE96" s="3491" t="str">
        <f t="shared" si="4"/>
        <v/>
      </c>
      <c r="AF96" s="3491"/>
      <c r="AG96" s="3491"/>
      <c r="AH96" s="3491"/>
      <c r="AI96" s="3491"/>
      <c r="AJ96" s="104"/>
    </row>
    <row r="97" spans="2:36" ht="15.95" customHeight="1" x14ac:dyDescent="0.25">
      <c r="B97" s="103"/>
      <c r="C97" s="3490" t="str">
        <f t="shared" si="0"/>
        <v/>
      </c>
      <c r="D97" s="3490"/>
      <c r="E97" s="3490"/>
      <c r="F97" s="3491" t="str">
        <f t="shared" si="1"/>
        <v/>
      </c>
      <c r="G97" s="3491"/>
      <c r="H97" s="3491"/>
      <c r="I97" s="3491"/>
      <c r="J97" s="3491"/>
      <c r="K97" s="3491"/>
      <c r="L97" s="3491"/>
      <c r="M97" s="3492" t="str">
        <f t="shared" si="2"/>
        <v/>
      </c>
      <c r="N97" s="3492"/>
      <c r="O97" s="3492"/>
      <c r="P97" s="3492"/>
      <c r="Q97" s="3492"/>
      <c r="R97" s="3492"/>
      <c r="S97" s="3492"/>
      <c r="T97" s="3492"/>
      <c r="U97" s="3492"/>
      <c r="V97" s="3492"/>
      <c r="W97" s="3492"/>
      <c r="X97" s="3492"/>
      <c r="Y97" s="3492"/>
      <c r="Z97" s="3491" t="str">
        <f t="shared" si="3"/>
        <v/>
      </c>
      <c r="AA97" s="3491"/>
      <c r="AB97" s="3491"/>
      <c r="AC97" s="3491"/>
      <c r="AD97" s="3491"/>
      <c r="AE97" s="3491" t="str">
        <f t="shared" si="4"/>
        <v/>
      </c>
      <c r="AF97" s="3491"/>
      <c r="AG97" s="3491"/>
      <c r="AH97" s="3491"/>
      <c r="AI97" s="3491"/>
      <c r="AJ97" s="104"/>
    </row>
    <row r="98" spans="2:36" ht="15.95" customHeight="1" x14ac:dyDescent="0.25">
      <c r="B98" s="103"/>
      <c r="C98" s="3490" t="str">
        <f t="shared" si="0"/>
        <v/>
      </c>
      <c r="D98" s="3490"/>
      <c r="E98" s="3490"/>
      <c r="F98" s="3491" t="str">
        <f t="shared" si="1"/>
        <v/>
      </c>
      <c r="G98" s="3491"/>
      <c r="H98" s="3491"/>
      <c r="I98" s="3491"/>
      <c r="J98" s="3491"/>
      <c r="K98" s="3491"/>
      <c r="L98" s="3491"/>
      <c r="M98" s="3492" t="str">
        <f t="shared" si="2"/>
        <v/>
      </c>
      <c r="N98" s="3492"/>
      <c r="O98" s="3492"/>
      <c r="P98" s="3492"/>
      <c r="Q98" s="3492"/>
      <c r="R98" s="3492"/>
      <c r="S98" s="3492"/>
      <c r="T98" s="3492"/>
      <c r="U98" s="3492"/>
      <c r="V98" s="3492"/>
      <c r="W98" s="3492"/>
      <c r="X98" s="3492"/>
      <c r="Y98" s="3492"/>
      <c r="Z98" s="3491" t="str">
        <f t="shared" si="3"/>
        <v/>
      </c>
      <c r="AA98" s="3491"/>
      <c r="AB98" s="3491"/>
      <c r="AC98" s="3491"/>
      <c r="AD98" s="3491"/>
      <c r="AE98" s="3491" t="str">
        <f t="shared" si="4"/>
        <v/>
      </c>
      <c r="AF98" s="3491"/>
      <c r="AG98" s="3491"/>
      <c r="AH98" s="3491"/>
      <c r="AI98" s="3491"/>
      <c r="AJ98" s="104"/>
    </row>
    <row r="99" spans="2:36" ht="15.95" customHeight="1" x14ac:dyDescent="0.25">
      <c r="B99" s="103"/>
      <c r="C99" s="3534" t="s">
        <v>7968</v>
      </c>
      <c r="D99" s="3535"/>
      <c r="E99" s="3535"/>
      <c r="F99" s="3535"/>
      <c r="G99" s="3535"/>
      <c r="H99" s="3535"/>
      <c r="I99" s="3535"/>
      <c r="J99" s="3535"/>
      <c r="K99" s="3535"/>
      <c r="L99" s="3535"/>
      <c r="M99" s="3535"/>
      <c r="N99" s="3535"/>
      <c r="O99" s="3535"/>
      <c r="P99" s="3535"/>
      <c r="Q99" s="3535"/>
      <c r="R99" s="3535"/>
      <c r="S99" s="3535"/>
      <c r="T99" s="3535"/>
      <c r="U99" s="3535"/>
      <c r="V99" s="3535"/>
      <c r="W99" s="3535"/>
      <c r="X99" s="3535"/>
      <c r="Y99" s="3536"/>
      <c r="Z99" s="3533">
        <f>SUM(Z77:AD98)</f>
        <v>969.57</v>
      </c>
      <c r="AA99" s="3533"/>
      <c r="AB99" s="3533"/>
      <c r="AC99" s="3533"/>
      <c r="AD99" s="3533"/>
      <c r="AE99" s="3533">
        <f>SUM(AE77:AI98)</f>
        <v>31.02</v>
      </c>
      <c r="AF99" s="3533"/>
      <c r="AG99" s="3533"/>
      <c r="AH99" s="3533"/>
      <c r="AI99" s="3533"/>
      <c r="AJ99" s="104"/>
    </row>
    <row r="100" spans="2:36" ht="6" customHeight="1" x14ac:dyDescent="0.25">
      <c r="B100" s="103"/>
      <c r="C100" s="3532" t="str">
        <f>IF(F50&lt;&gt;0,DATEVALUE( TEXT( F50, "##""/""##""/""##" ) &amp; "" ),"")</f>
        <v/>
      </c>
      <c r="D100" s="3532"/>
      <c r="E100" s="3532"/>
      <c r="F100" s="3532"/>
      <c r="G100" s="3532"/>
      <c r="H100" s="3532"/>
      <c r="I100" s="3532"/>
      <c r="J100" s="3532"/>
      <c r="K100" s="3532"/>
      <c r="L100" s="3532"/>
      <c r="M100" s="3532"/>
      <c r="N100" s="3532"/>
      <c r="O100" s="3532"/>
      <c r="P100" s="3532"/>
      <c r="Q100" s="3532"/>
      <c r="R100" s="3532"/>
      <c r="S100" s="3532"/>
      <c r="T100" s="3532"/>
      <c r="U100" s="3532"/>
      <c r="V100" s="3532"/>
      <c r="W100" s="3532"/>
      <c r="X100" s="3532"/>
      <c r="Y100" s="3532"/>
      <c r="Z100" s="3532"/>
      <c r="AA100" s="3532"/>
      <c r="AB100" s="3532"/>
      <c r="AC100" s="3532"/>
      <c r="AD100" s="3532"/>
      <c r="AE100" s="3532"/>
      <c r="AF100" s="3532"/>
      <c r="AG100" s="3532"/>
      <c r="AH100" s="3532"/>
      <c r="AI100" s="3532"/>
      <c r="AJ100" s="104"/>
    </row>
    <row r="101" spans="2:36" ht="15.95" customHeight="1" x14ac:dyDescent="0.25">
      <c r="B101" s="103"/>
      <c r="C101" s="3306" t="str">
        <f>Geral!I8</f>
        <v>Uberaba</v>
      </c>
      <c r="D101" s="3306"/>
      <c r="E101" s="3306"/>
      <c r="F101" s="3306"/>
      <c r="G101" s="3306"/>
      <c r="H101" s="3306"/>
      <c r="I101" s="3306"/>
      <c r="J101" s="3306"/>
      <c r="K101" s="3306"/>
      <c r="L101" s="3306"/>
      <c r="M101" s="3306"/>
      <c r="N101" s="3306"/>
      <c r="O101" s="3306"/>
      <c r="P101" s="3306"/>
      <c r="Q101" s="280" t="s">
        <v>365</v>
      </c>
      <c r="R101" s="3531">
        <f ca="1">IF(F50&lt;&gt;0,C100,TODAY())</f>
        <v>43238</v>
      </c>
      <c r="S101" s="3531"/>
      <c r="T101" s="3531"/>
      <c r="U101" s="3531"/>
      <c r="V101" s="3531"/>
      <c r="W101" s="3531"/>
      <c r="X101" s="3531"/>
      <c r="Y101" s="3531"/>
      <c r="Z101" s="3531"/>
      <c r="AA101" s="3531"/>
      <c r="AB101" s="3531"/>
      <c r="AC101" s="3531"/>
      <c r="AD101" s="3531"/>
      <c r="AE101" s="3531"/>
      <c r="AF101" s="3531"/>
      <c r="AG101" s="3531"/>
      <c r="AH101" s="3531"/>
      <c r="AI101" s="3531"/>
      <c r="AJ101" s="104"/>
    </row>
    <row r="102" spans="2:36" ht="15" customHeight="1" x14ac:dyDescent="0.25">
      <c r="B102" s="103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0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104"/>
    </row>
    <row r="103" spans="2:36" ht="14.1" customHeight="1" x14ac:dyDescent="0.25">
      <c r="B103" s="103"/>
      <c r="C103" s="275"/>
      <c r="D103" s="275"/>
      <c r="E103" s="275"/>
      <c r="F103" s="300"/>
      <c r="G103" s="276"/>
      <c r="H103" s="276"/>
      <c r="I103" s="276"/>
      <c r="J103" s="276"/>
      <c r="K103" s="273"/>
      <c r="L103" s="273"/>
      <c r="M103" s="273"/>
      <c r="N103" s="273"/>
      <c r="O103" s="273"/>
      <c r="P103" s="273"/>
      <c r="Q103" s="273"/>
      <c r="R103" s="273"/>
      <c r="S103" s="273"/>
      <c r="T103" s="273"/>
      <c r="U103" s="273"/>
      <c r="V103" s="273"/>
      <c r="W103" s="273"/>
      <c r="X103" s="273"/>
      <c r="Y103" s="273"/>
      <c r="Z103" s="273"/>
      <c r="AA103" s="273"/>
      <c r="AB103" s="273"/>
      <c r="AC103" s="273"/>
      <c r="AD103" s="274"/>
      <c r="AE103" s="292"/>
      <c r="AF103" s="273"/>
      <c r="AG103" s="273"/>
      <c r="AH103" s="273"/>
      <c r="AI103" s="273"/>
      <c r="AJ103" s="104"/>
    </row>
    <row r="104" spans="2:36" ht="15.95" customHeight="1" x14ac:dyDescent="0.25">
      <c r="B104" s="103"/>
      <c r="C104" s="3398" t="s">
        <v>7971</v>
      </c>
      <c r="D104" s="3398"/>
      <c r="E104" s="3398"/>
      <c r="F104" s="3398"/>
      <c r="G104" s="3398"/>
      <c r="H104" s="3398"/>
      <c r="I104" s="3398"/>
      <c r="J104" s="3398"/>
      <c r="K104" s="3398"/>
      <c r="L104" s="3398"/>
      <c r="M104" s="3398"/>
      <c r="N104" s="3398"/>
      <c r="O104" s="3398"/>
      <c r="P104" s="3398"/>
      <c r="Q104" s="3398"/>
      <c r="R104" s="3398"/>
      <c r="S104" s="3398"/>
      <c r="T104" s="3398"/>
      <c r="U104" s="3398"/>
      <c r="V104" s="3398"/>
      <c r="W104" s="3398"/>
      <c r="X104" s="3398"/>
      <c r="Y104" s="3398"/>
      <c r="Z104" s="3398"/>
      <c r="AA104" s="3398"/>
      <c r="AB104" s="3398"/>
      <c r="AC104" s="3398"/>
      <c r="AD104" s="3398"/>
      <c r="AE104" s="3398"/>
      <c r="AF104" s="3398"/>
      <c r="AG104" s="3398"/>
      <c r="AH104" s="3398"/>
      <c r="AI104" s="3398"/>
      <c r="AJ104" s="104"/>
    </row>
    <row r="105" spans="2:36" ht="14.1" customHeight="1" x14ac:dyDescent="0.25">
      <c r="B105" s="103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  <c r="AF105" s="274"/>
      <c r="AG105" s="274"/>
      <c r="AH105" s="274"/>
      <c r="AI105" s="274"/>
      <c r="AJ105" s="104"/>
    </row>
    <row r="106" spans="2:36" ht="14.1" customHeight="1" x14ac:dyDescent="0.25">
      <c r="B106" s="103"/>
      <c r="C106" s="3398"/>
      <c r="D106" s="3398"/>
      <c r="E106" s="3398"/>
      <c r="F106" s="3398"/>
      <c r="G106" s="3398"/>
      <c r="H106" s="3398"/>
      <c r="I106" s="3398"/>
      <c r="J106" s="3398"/>
      <c r="K106" s="3398"/>
      <c r="L106" s="3398"/>
      <c r="M106" s="3398"/>
      <c r="N106" s="3398"/>
      <c r="O106" s="3398"/>
      <c r="P106" s="3398"/>
      <c r="Q106" s="3398"/>
      <c r="R106" s="3398"/>
      <c r="S106" s="3398"/>
      <c r="T106" s="3398"/>
      <c r="U106" s="3398"/>
      <c r="V106" s="3398"/>
      <c r="W106" s="3398"/>
      <c r="X106" s="3398"/>
      <c r="Y106" s="3398"/>
      <c r="Z106" s="3398"/>
      <c r="AA106" s="3398"/>
      <c r="AB106" s="3398"/>
      <c r="AC106" s="3398"/>
      <c r="AD106" s="3398"/>
      <c r="AE106" s="3398"/>
      <c r="AF106" s="3398"/>
      <c r="AG106" s="3398"/>
      <c r="AH106" s="3398"/>
      <c r="AI106" s="3398"/>
      <c r="AJ106" s="104"/>
    </row>
    <row r="107" spans="2:36" ht="15.95" customHeight="1" x14ac:dyDescent="0.25">
      <c r="B107" s="103"/>
      <c r="C107" s="3398" t="s">
        <v>7970</v>
      </c>
      <c r="D107" s="3398"/>
      <c r="E107" s="3398"/>
      <c r="F107" s="3398"/>
      <c r="G107" s="3398"/>
      <c r="H107" s="3398"/>
      <c r="I107" s="3398"/>
      <c r="J107" s="3398"/>
      <c r="K107" s="3398"/>
      <c r="L107" s="3398"/>
      <c r="M107" s="3398"/>
      <c r="N107" s="3398"/>
      <c r="O107" s="3398"/>
      <c r="P107" s="3398"/>
      <c r="Q107" s="3398"/>
      <c r="R107" s="3398"/>
      <c r="S107" s="3398"/>
      <c r="T107" s="3398"/>
      <c r="U107" s="3398"/>
      <c r="V107" s="3398"/>
      <c r="W107" s="3398"/>
      <c r="X107" s="3398"/>
      <c r="Y107" s="3398"/>
      <c r="Z107" s="3398"/>
      <c r="AA107" s="3398"/>
      <c r="AB107" s="3398"/>
      <c r="AC107" s="3398"/>
      <c r="AD107" s="3398"/>
      <c r="AE107" s="3398"/>
      <c r="AF107" s="3398"/>
      <c r="AG107" s="3398"/>
      <c r="AH107" s="3398"/>
      <c r="AI107" s="3398"/>
      <c r="AJ107" s="104"/>
    </row>
    <row r="108" spans="2:36" ht="15.95" customHeight="1" thickBot="1" x14ac:dyDescent="0.3">
      <c r="B108" s="105"/>
      <c r="C108" s="106"/>
      <c r="D108" s="106"/>
      <c r="E108" s="106"/>
      <c r="F108" s="301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301"/>
      <c r="AF108" s="107"/>
      <c r="AG108" s="107"/>
      <c r="AH108" s="107"/>
      <c r="AI108" s="107"/>
      <c r="AJ108" s="108"/>
    </row>
    <row r="109" spans="2:36" ht="15" customHeight="1" thickTop="1" x14ac:dyDescent="0.25">
      <c r="F109" s="302"/>
      <c r="AE109" s="302"/>
    </row>
    <row r="110" spans="2:36" ht="15" customHeight="1" x14ac:dyDescent="0.25">
      <c r="F110" s="302"/>
      <c r="AE110" s="302"/>
    </row>
    <row r="111" spans="2:36" ht="15" customHeight="1" x14ac:dyDescent="0.25">
      <c r="F111" s="302"/>
      <c r="AE111" s="302"/>
    </row>
    <row r="112" spans="2:36" ht="15" customHeight="1" x14ac:dyDescent="0.25">
      <c r="F112" s="302"/>
      <c r="AE112" s="302"/>
    </row>
    <row r="113" spans="26:31" ht="15" customHeight="1" x14ac:dyDescent="0.25">
      <c r="Z113" s="302"/>
      <c r="AE113" s="302"/>
    </row>
  </sheetData>
  <sheetProtection password="CB18" sheet="1" objects="1" scenarios="1" selectLockedCells="1"/>
  <mergeCells count="314">
    <mergeCell ref="C101:P101"/>
    <mergeCell ref="R101:AI101"/>
    <mergeCell ref="C100:AI100"/>
    <mergeCell ref="C107:AI107"/>
    <mergeCell ref="C104:AI104"/>
    <mergeCell ref="C96:E96"/>
    <mergeCell ref="F96:L96"/>
    <mergeCell ref="M96:Y96"/>
    <mergeCell ref="Z96:AD96"/>
    <mergeCell ref="AE96:AI96"/>
    <mergeCell ref="C97:E97"/>
    <mergeCell ref="F97:L97"/>
    <mergeCell ref="M97:Y97"/>
    <mergeCell ref="Z97:AD97"/>
    <mergeCell ref="AE97:AI97"/>
    <mergeCell ref="C106:AI106"/>
    <mergeCell ref="C98:E98"/>
    <mergeCell ref="F98:L98"/>
    <mergeCell ref="M98:Y98"/>
    <mergeCell ref="Z98:AD98"/>
    <mergeCell ref="AE98:AI98"/>
    <mergeCell ref="Z99:AD99"/>
    <mergeCell ref="AE99:AI99"/>
    <mergeCell ref="C99:Y99"/>
    <mergeCell ref="C94:E94"/>
    <mergeCell ref="F94:L94"/>
    <mergeCell ref="M94:Y94"/>
    <mergeCell ref="Z94:AD94"/>
    <mergeCell ref="AE94:AI94"/>
    <mergeCell ref="C95:E95"/>
    <mergeCell ref="F95:L95"/>
    <mergeCell ref="M95:Y95"/>
    <mergeCell ref="Z95:AD95"/>
    <mergeCell ref="AE95:AI95"/>
    <mergeCell ref="C92:E92"/>
    <mergeCell ref="F92:L92"/>
    <mergeCell ref="M92:Y92"/>
    <mergeCell ref="Z92:AD92"/>
    <mergeCell ref="AE92:AI92"/>
    <mergeCell ref="C93:E93"/>
    <mergeCell ref="F93:L93"/>
    <mergeCell ref="M93:Y93"/>
    <mergeCell ref="Z93:AD93"/>
    <mergeCell ref="AE93:AI93"/>
    <mergeCell ref="F90:L90"/>
    <mergeCell ref="M90:Y90"/>
    <mergeCell ref="Z90:AD90"/>
    <mergeCell ref="AE90:AI90"/>
    <mergeCell ref="C91:E91"/>
    <mergeCell ref="F91:L91"/>
    <mergeCell ref="M91:Y91"/>
    <mergeCell ref="Z91:AD91"/>
    <mergeCell ref="AE91:AI91"/>
    <mergeCell ref="C90:E90"/>
    <mergeCell ref="C86:E86"/>
    <mergeCell ref="F86:L86"/>
    <mergeCell ref="M86:Y86"/>
    <mergeCell ref="Z86:AD86"/>
    <mergeCell ref="AE86:AI86"/>
    <mergeCell ref="C87:E87"/>
    <mergeCell ref="F87:L87"/>
    <mergeCell ref="M87:Y87"/>
    <mergeCell ref="Z87:AD87"/>
    <mergeCell ref="AE87:AI87"/>
    <mergeCell ref="C84:E84"/>
    <mergeCell ref="F84:L84"/>
    <mergeCell ref="M84:Y84"/>
    <mergeCell ref="Z84:AD84"/>
    <mergeCell ref="AE84:AI84"/>
    <mergeCell ref="C85:E85"/>
    <mergeCell ref="F85:L85"/>
    <mergeCell ref="M85:Y85"/>
    <mergeCell ref="Z85:AD85"/>
    <mergeCell ref="AE85:AI85"/>
    <mergeCell ref="C82:E82"/>
    <mergeCell ref="F82:L82"/>
    <mergeCell ref="M82:Y82"/>
    <mergeCell ref="Z82:AD82"/>
    <mergeCell ref="AE82:AI82"/>
    <mergeCell ref="C83:E83"/>
    <mergeCell ref="F83:L83"/>
    <mergeCell ref="M83:Y83"/>
    <mergeCell ref="Z83:AD83"/>
    <mergeCell ref="AE83:AI83"/>
    <mergeCell ref="C80:E80"/>
    <mergeCell ref="F80:L80"/>
    <mergeCell ref="M80:Y80"/>
    <mergeCell ref="Z80:AD80"/>
    <mergeCell ref="AE80:AI80"/>
    <mergeCell ref="C81:E81"/>
    <mergeCell ref="F81:L81"/>
    <mergeCell ref="M81:Y81"/>
    <mergeCell ref="Z81:AD81"/>
    <mergeCell ref="AE81:AI81"/>
    <mergeCell ref="AE77:AI77"/>
    <mergeCell ref="C78:E78"/>
    <mergeCell ref="F78:L78"/>
    <mergeCell ref="M78:Y78"/>
    <mergeCell ref="Z78:AD78"/>
    <mergeCell ref="AE78:AI78"/>
    <mergeCell ref="C79:E79"/>
    <mergeCell ref="F79:L79"/>
    <mergeCell ref="M79:Y79"/>
    <mergeCell ref="Z79:AD79"/>
    <mergeCell ref="AE79:AI79"/>
    <mergeCell ref="C77:E77"/>
    <mergeCell ref="F77:L77"/>
    <mergeCell ref="M77:Y77"/>
    <mergeCell ref="Z77:AD77"/>
    <mergeCell ref="F55:AD55"/>
    <mergeCell ref="F56:AD56"/>
    <mergeCell ref="F57:AD57"/>
    <mergeCell ref="C59:AI60"/>
    <mergeCell ref="C61:AI61"/>
    <mergeCell ref="C51:AI51"/>
    <mergeCell ref="C8:AI9"/>
    <mergeCell ref="B3:AJ3"/>
    <mergeCell ref="B4:B51"/>
    <mergeCell ref="C4:D5"/>
    <mergeCell ref="AJ4:AJ51"/>
    <mergeCell ref="AF50:AI50"/>
    <mergeCell ref="C12:E12"/>
    <mergeCell ref="C10:AI10"/>
    <mergeCell ref="C11:AI11"/>
    <mergeCell ref="B52:AJ52"/>
    <mergeCell ref="A53:AJ53"/>
    <mergeCell ref="F4:AD4"/>
    <mergeCell ref="F5:AD5"/>
    <mergeCell ref="C23:AI23"/>
    <mergeCell ref="C13:E13"/>
    <mergeCell ref="C14:I14"/>
    <mergeCell ref="K14:N14"/>
    <mergeCell ref="O14:AI14"/>
    <mergeCell ref="C63:E63"/>
    <mergeCell ref="F63:U63"/>
    <mergeCell ref="V63:X63"/>
    <mergeCell ref="Y63:AD63"/>
    <mergeCell ref="AE63:AG63"/>
    <mergeCell ref="AH63:AI63"/>
    <mergeCell ref="C65:E65"/>
    <mergeCell ref="F65:J65"/>
    <mergeCell ref="C64:E64"/>
    <mergeCell ref="F64:K64"/>
    <mergeCell ref="M64:O64"/>
    <mergeCell ref="P64:Q64"/>
    <mergeCell ref="C66:G66"/>
    <mergeCell ref="H66:AI66"/>
    <mergeCell ref="C68:E68"/>
    <mergeCell ref="F68:J68"/>
    <mergeCell ref="C76:E76"/>
    <mergeCell ref="F76:L76"/>
    <mergeCell ref="M76:Y76"/>
    <mergeCell ref="Z76:AD76"/>
    <mergeCell ref="AE76:AI76"/>
    <mergeCell ref="K68:AI69"/>
    <mergeCell ref="C71:AI71"/>
    <mergeCell ref="C72:AI72"/>
    <mergeCell ref="C74:AI74"/>
    <mergeCell ref="C75:AI75"/>
    <mergeCell ref="C73:H73"/>
    <mergeCell ref="I73:M73"/>
    <mergeCell ref="O73:S73"/>
    <mergeCell ref="T73:AI73"/>
    <mergeCell ref="C88:E88"/>
    <mergeCell ref="F88:L88"/>
    <mergeCell ref="M88:Y88"/>
    <mergeCell ref="Z88:AD88"/>
    <mergeCell ref="AE88:AI88"/>
    <mergeCell ref="C89:E89"/>
    <mergeCell ref="F89:L89"/>
    <mergeCell ref="M89:Y89"/>
    <mergeCell ref="Z89:AD89"/>
    <mergeCell ref="AE89:AI89"/>
    <mergeCell ref="F13:J13"/>
    <mergeCell ref="V12:X12"/>
    <mergeCell ref="AE12:AG12"/>
    <mergeCell ref="AH12:AI12"/>
    <mergeCell ref="F6:AD6"/>
    <mergeCell ref="C22:H22"/>
    <mergeCell ref="I22:M22"/>
    <mergeCell ref="O22:S22"/>
    <mergeCell ref="T22:AI22"/>
    <mergeCell ref="C19:AI19"/>
    <mergeCell ref="K17:AI18"/>
    <mergeCell ref="C20:AI20"/>
    <mergeCell ref="C21:AI21"/>
    <mergeCell ref="C15:I15"/>
    <mergeCell ref="O15:AI15"/>
    <mergeCell ref="C16:AI16"/>
    <mergeCell ref="C17:E17"/>
    <mergeCell ref="F17:J17"/>
    <mergeCell ref="F12:U12"/>
    <mergeCell ref="C25:E25"/>
    <mergeCell ref="F25:L25"/>
    <mergeCell ref="AE25:AI25"/>
    <mergeCell ref="Z25:AD25"/>
    <mergeCell ref="M25:Y25"/>
    <mergeCell ref="C26:E26"/>
    <mergeCell ref="F26:L26"/>
    <mergeCell ref="M26:Y26"/>
    <mergeCell ref="Z26:AD26"/>
    <mergeCell ref="AE26:AI26"/>
    <mergeCell ref="C27:E27"/>
    <mergeCell ref="F27:L27"/>
    <mergeCell ref="M27:Y27"/>
    <mergeCell ref="Z27:AD27"/>
    <mergeCell ref="AE27:AI27"/>
    <mergeCell ref="C28:E28"/>
    <mergeCell ref="F28:L28"/>
    <mergeCell ref="M28:Y28"/>
    <mergeCell ref="Z28:AD28"/>
    <mergeCell ref="AE28:AI28"/>
    <mergeCell ref="C29:E29"/>
    <mergeCell ref="F29:L29"/>
    <mergeCell ref="M29:Y29"/>
    <mergeCell ref="Z29:AD29"/>
    <mergeCell ref="AE29:AI29"/>
    <mergeCell ref="Z48:AD48"/>
    <mergeCell ref="AE48:AI48"/>
    <mergeCell ref="C30:E30"/>
    <mergeCell ref="F30:L30"/>
    <mergeCell ref="M30:Y30"/>
    <mergeCell ref="Z30:AD30"/>
    <mergeCell ref="AE30:AI30"/>
    <mergeCell ref="C31:E31"/>
    <mergeCell ref="F31:L31"/>
    <mergeCell ref="M31:Y31"/>
    <mergeCell ref="Z31:AD31"/>
    <mergeCell ref="AE31:AI31"/>
    <mergeCell ref="C32:E32"/>
    <mergeCell ref="F32:L32"/>
    <mergeCell ref="M32:Y32"/>
    <mergeCell ref="Z32:AD32"/>
    <mergeCell ref="AE32:AI32"/>
    <mergeCell ref="C33:E33"/>
    <mergeCell ref="F33:L33"/>
    <mergeCell ref="M33:Y33"/>
    <mergeCell ref="Z33:AD33"/>
    <mergeCell ref="AE33:AI33"/>
    <mergeCell ref="C34:E34"/>
    <mergeCell ref="F34:L34"/>
    <mergeCell ref="M34:Y34"/>
    <mergeCell ref="Z34:AD34"/>
    <mergeCell ref="AE34:AI34"/>
    <mergeCell ref="C35:E35"/>
    <mergeCell ref="F35:L35"/>
    <mergeCell ref="M35:Y35"/>
    <mergeCell ref="Z35:AD35"/>
    <mergeCell ref="AE35:AI35"/>
    <mergeCell ref="C36:E36"/>
    <mergeCell ref="F36:L36"/>
    <mergeCell ref="M36:Y36"/>
    <mergeCell ref="Z36:AD36"/>
    <mergeCell ref="AE36:AI36"/>
    <mergeCell ref="C37:E37"/>
    <mergeCell ref="F37:L37"/>
    <mergeCell ref="M37:Y37"/>
    <mergeCell ref="Z37:AD37"/>
    <mergeCell ref="AE37:AI37"/>
    <mergeCell ref="C38:E38"/>
    <mergeCell ref="F38:L38"/>
    <mergeCell ref="M38:Y38"/>
    <mergeCell ref="Z38:AD38"/>
    <mergeCell ref="AE38:AI38"/>
    <mergeCell ref="C39:E39"/>
    <mergeCell ref="F39:L39"/>
    <mergeCell ref="M39:Y39"/>
    <mergeCell ref="Z39:AD39"/>
    <mergeCell ref="AE39:AI39"/>
    <mergeCell ref="C40:E40"/>
    <mergeCell ref="F40:L40"/>
    <mergeCell ref="M40:Y40"/>
    <mergeCell ref="Z40:AD40"/>
    <mergeCell ref="AE40:AI40"/>
    <mergeCell ref="AE43:AI43"/>
    <mergeCell ref="C44:E44"/>
    <mergeCell ref="F44:L44"/>
    <mergeCell ref="M44:Y44"/>
    <mergeCell ref="Z44:AD44"/>
    <mergeCell ref="AE44:AI44"/>
    <mergeCell ref="C41:E41"/>
    <mergeCell ref="F41:L41"/>
    <mergeCell ref="M41:Y41"/>
    <mergeCell ref="Z41:AD41"/>
    <mergeCell ref="AE41:AI41"/>
    <mergeCell ref="C42:E42"/>
    <mergeCell ref="F42:L42"/>
    <mergeCell ref="M42:Y42"/>
    <mergeCell ref="Z42:AD42"/>
    <mergeCell ref="AE42:AI42"/>
    <mergeCell ref="C47:E47"/>
    <mergeCell ref="F47:L47"/>
    <mergeCell ref="M47:Y47"/>
    <mergeCell ref="Z47:AD47"/>
    <mergeCell ref="AE47:AI47"/>
    <mergeCell ref="C48:Y48"/>
    <mergeCell ref="Y12:AD12"/>
    <mergeCell ref="C50:E50"/>
    <mergeCell ref="F50:I50"/>
    <mergeCell ref="K50:P50"/>
    <mergeCell ref="C45:E45"/>
    <mergeCell ref="F45:L45"/>
    <mergeCell ref="M45:Y45"/>
    <mergeCell ref="Z45:AD45"/>
    <mergeCell ref="AE45:AI45"/>
    <mergeCell ref="C46:E46"/>
    <mergeCell ref="F46:L46"/>
    <mergeCell ref="M46:Y46"/>
    <mergeCell ref="Z46:AD46"/>
    <mergeCell ref="AE46:AI46"/>
    <mergeCell ref="C43:E43"/>
    <mergeCell ref="F43:L43"/>
    <mergeCell ref="M43:Y43"/>
    <mergeCell ref="Z43:AD43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>
                  <from>
                    <xdr:col>10</xdr:col>
                    <xdr:colOff>9525</xdr:colOff>
                    <xdr:row>11</xdr:row>
                    <xdr:rowOff>171450</xdr:rowOff>
                  </from>
                  <to>
                    <xdr:col>17</xdr:col>
                    <xdr:colOff>152400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Option Button 4">
              <controlPr defaultSize="0" autoFill="0" autoLine="0" autoPict="0">
                <anchor>
                  <from>
                    <xdr:col>18</xdr:col>
                    <xdr:colOff>76200</xdr:colOff>
                    <xdr:row>11</xdr:row>
                    <xdr:rowOff>171450</xdr:rowOff>
                  </from>
                  <to>
                    <xdr:col>24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2:AJ89"/>
  <sheetViews>
    <sheetView showGridLines="0" showRowColHeaders="0" topLeftCell="B1" zoomScale="130" zoomScaleNormal="130" workbookViewId="0">
      <selection activeCell="G6" sqref="G6:Q6"/>
    </sheetView>
  </sheetViews>
  <sheetFormatPr defaultColWidth="2.7109375" defaultRowHeight="15" customHeight="1" x14ac:dyDescent="0.25"/>
  <cols>
    <col min="1" max="2" width="2.7109375" style="367"/>
    <col min="3" max="5" width="2.7109375" style="39"/>
    <col min="6" max="9" width="2.7109375" style="367"/>
    <col min="10" max="10" width="3.42578125" style="367" customWidth="1"/>
    <col min="11" max="19" width="2.7109375" style="367"/>
    <col min="20" max="20" width="3.85546875" style="367" customWidth="1"/>
    <col min="21" max="21" width="2.7109375" style="367" customWidth="1"/>
    <col min="22" max="24" width="2.7109375" style="367"/>
    <col min="25" max="25" width="3" style="367" customWidth="1"/>
    <col min="26" max="26" width="2.42578125" style="367" customWidth="1"/>
    <col min="27" max="28" width="2.28515625" style="367" customWidth="1"/>
    <col min="29" max="30" width="2.7109375" style="367"/>
    <col min="31" max="31" width="2.7109375" style="367" customWidth="1"/>
    <col min="32" max="33" width="2.7109375" style="367"/>
    <col min="34" max="35" width="2.42578125" style="367" customWidth="1"/>
    <col min="36" max="16384" width="2.7109375" style="367"/>
  </cols>
  <sheetData>
    <row r="2" spans="2:36" ht="15" customHeight="1" thickBot="1" x14ac:dyDescent="0.3"/>
    <row r="3" spans="2:36" ht="15.75" customHeight="1" thickTop="1" x14ac:dyDescent="0.25">
      <c r="B3" s="3212"/>
      <c r="C3" s="3213"/>
      <c r="D3" s="3213"/>
      <c r="E3" s="3213"/>
      <c r="F3" s="3213"/>
      <c r="G3" s="3213"/>
      <c r="H3" s="3213"/>
      <c r="I3" s="3213"/>
      <c r="J3" s="3213"/>
      <c r="K3" s="3213"/>
      <c r="L3" s="3213"/>
      <c r="M3" s="3213"/>
      <c r="N3" s="3213"/>
      <c r="O3" s="3213"/>
      <c r="P3" s="3213"/>
      <c r="Q3" s="3213"/>
      <c r="R3" s="3213"/>
      <c r="S3" s="3213"/>
      <c r="T3" s="3213"/>
      <c r="U3" s="3213"/>
      <c r="V3" s="3213"/>
      <c r="W3" s="3213"/>
      <c r="X3" s="3213"/>
      <c r="Y3" s="3213"/>
      <c r="Z3" s="3213"/>
      <c r="AA3" s="3213"/>
      <c r="AB3" s="3213"/>
      <c r="AC3" s="3213"/>
      <c r="AD3" s="3213"/>
      <c r="AE3" s="3213"/>
      <c r="AF3" s="3213"/>
      <c r="AG3" s="3213"/>
      <c r="AH3" s="3213"/>
      <c r="AI3" s="3213"/>
      <c r="AJ3" s="3214"/>
    </row>
    <row r="4" spans="2:36" ht="9.9499999999999993" customHeight="1" x14ac:dyDescent="0.25">
      <c r="B4" s="3518"/>
      <c r="C4" s="3520"/>
      <c r="D4" s="3520"/>
      <c r="E4" s="373"/>
      <c r="F4" s="3591" t="s">
        <v>8025</v>
      </c>
      <c r="G4" s="3591"/>
      <c r="H4" s="3591"/>
      <c r="I4" s="3591"/>
      <c r="J4" s="3591"/>
      <c r="K4" s="3591"/>
      <c r="L4" s="3591"/>
      <c r="M4" s="3591"/>
      <c r="N4" s="3591"/>
      <c r="O4" s="3591"/>
      <c r="P4" s="3591"/>
      <c r="Q4" s="3591"/>
      <c r="R4" s="3591"/>
      <c r="S4" s="3591"/>
      <c r="T4" s="3591"/>
      <c r="U4" s="3591"/>
      <c r="V4" s="3591"/>
      <c r="W4" s="3591"/>
      <c r="X4" s="3591"/>
      <c r="Y4" s="3591"/>
      <c r="Z4" s="3591"/>
      <c r="AA4" s="3591"/>
      <c r="AB4" s="3591"/>
      <c r="AC4" s="3591"/>
      <c r="AD4" s="3591"/>
      <c r="AE4" s="373"/>
      <c r="AF4" s="373"/>
      <c r="AG4" s="373"/>
      <c r="AH4" s="373"/>
      <c r="AI4" s="224"/>
      <c r="AJ4" s="3521"/>
    </row>
    <row r="5" spans="2:36" ht="9.9499999999999993" customHeight="1" x14ac:dyDescent="0.25">
      <c r="B5" s="3519"/>
      <c r="C5" s="3520"/>
      <c r="D5" s="3520"/>
      <c r="E5" s="373"/>
      <c r="F5" s="3551" t="s">
        <v>8026</v>
      </c>
      <c r="G5" s="3551"/>
      <c r="H5" s="3551"/>
      <c r="I5" s="3551"/>
      <c r="J5" s="3551"/>
      <c r="K5" s="3551"/>
      <c r="L5" s="3551"/>
      <c r="M5" s="3551"/>
      <c r="N5" s="3551"/>
      <c r="O5" s="3551"/>
      <c r="P5" s="3551"/>
      <c r="Q5" s="3551"/>
      <c r="R5" s="3551"/>
      <c r="S5" s="3551"/>
      <c r="T5" s="3551"/>
      <c r="U5" s="3551"/>
      <c r="V5" s="3551"/>
      <c r="W5" s="3551"/>
      <c r="X5" s="3551"/>
      <c r="Y5" s="3551"/>
      <c r="Z5" s="3551"/>
      <c r="AA5" s="3551"/>
      <c r="AB5" s="3551"/>
      <c r="AC5" s="3551"/>
      <c r="AD5" s="3551"/>
      <c r="AE5" s="373"/>
      <c r="AF5" s="373"/>
      <c r="AG5" s="373"/>
      <c r="AH5" s="373"/>
      <c r="AI5" s="373"/>
      <c r="AJ5" s="3522"/>
    </row>
    <row r="6" spans="2:36" ht="9.9499999999999993" customHeight="1" x14ac:dyDescent="0.25">
      <c r="B6" s="3519"/>
      <c r="C6" s="373"/>
      <c r="D6" s="373"/>
      <c r="E6" s="373"/>
      <c r="F6" s="3551" t="s">
        <v>8027</v>
      </c>
      <c r="G6" s="3551"/>
      <c r="H6" s="3551"/>
      <c r="I6" s="3551"/>
      <c r="J6" s="3551"/>
      <c r="K6" s="3551"/>
      <c r="L6" s="3551"/>
      <c r="M6" s="3551"/>
      <c r="N6" s="3551"/>
      <c r="O6" s="3551"/>
      <c r="P6" s="3551"/>
      <c r="Q6" s="3551"/>
      <c r="R6" s="3551"/>
      <c r="S6" s="3551"/>
      <c r="T6" s="3551"/>
      <c r="U6" s="3551"/>
      <c r="V6" s="3551"/>
      <c r="W6" s="3551"/>
      <c r="X6" s="3551"/>
      <c r="Y6" s="3551"/>
      <c r="Z6" s="3551"/>
      <c r="AA6" s="3551"/>
      <c r="AB6" s="3551"/>
      <c r="AC6" s="3551"/>
      <c r="AD6" s="3551"/>
      <c r="AE6" s="373"/>
      <c r="AF6" s="373"/>
      <c r="AG6" s="373"/>
      <c r="AH6" s="373"/>
      <c r="AI6" s="373"/>
      <c r="AJ6" s="3522"/>
    </row>
    <row r="7" spans="2:36" ht="9.9499999999999993" customHeight="1" x14ac:dyDescent="0.25">
      <c r="B7" s="3519"/>
      <c r="C7" s="373"/>
      <c r="D7" s="373"/>
      <c r="E7" s="373"/>
      <c r="F7" s="3551" t="s">
        <v>8028</v>
      </c>
      <c r="G7" s="3551"/>
      <c r="H7" s="3551"/>
      <c r="I7" s="3551"/>
      <c r="J7" s="3551"/>
      <c r="K7" s="3551"/>
      <c r="L7" s="3551"/>
      <c r="M7" s="3551"/>
      <c r="N7" s="3551"/>
      <c r="O7" s="3551"/>
      <c r="P7" s="3551"/>
      <c r="Q7" s="3551"/>
      <c r="R7" s="3551"/>
      <c r="S7" s="3551"/>
      <c r="T7" s="3551"/>
      <c r="U7" s="3551"/>
      <c r="V7" s="3551"/>
      <c r="W7" s="3551"/>
      <c r="X7" s="3551"/>
      <c r="Y7" s="3551"/>
      <c r="Z7" s="3551"/>
      <c r="AA7" s="3551"/>
      <c r="AB7" s="3551"/>
      <c r="AC7" s="3551"/>
      <c r="AD7" s="3551"/>
      <c r="AE7" s="373"/>
      <c r="AF7" s="373"/>
      <c r="AG7" s="373"/>
      <c r="AH7" s="373"/>
      <c r="AI7" s="373"/>
      <c r="AJ7" s="3522"/>
    </row>
    <row r="8" spans="2:36" ht="5.0999999999999996" customHeight="1" x14ac:dyDescent="0.25">
      <c r="B8" s="3519"/>
      <c r="C8" s="373"/>
      <c r="D8" s="373"/>
      <c r="E8" s="373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3"/>
      <c r="AF8" s="373"/>
      <c r="AG8" s="373"/>
      <c r="AH8" s="373"/>
      <c r="AI8" s="373"/>
      <c r="AJ8" s="3522"/>
    </row>
    <row r="9" spans="2:36" ht="18" customHeight="1" x14ac:dyDescent="0.3">
      <c r="B9" s="3519"/>
      <c r="C9" s="3552" t="s">
        <v>7959</v>
      </c>
      <c r="D9" s="3552"/>
      <c r="E9" s="3552"/>
      <c r="F9" s="3553"/>
      <c r="G9" s="3553"/>
      <c r="H9" s="3553"/>
      <c r="I9" s="3553"/>
      <c r="J9" s="313"/>
      <c r="K9" s="3554" t="s">
        <v>7969</v>
      </c>
      <c r="L9" s="3554"/>
      <c r="M9" s="3554"/>
      <c r="N9" s="3554"/>
      <c r="O9" s="3554"/>
      <c r="P9" s="3554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522"/>
    </row>
    <row r="10" spans="2:36" ht="8.1" customHeight="1" x14ac:dyDescent="0.25">
      <c r="B10" s="3519"/>
      <c r="C10" s="373"/>
      <c r="D10" s="373"/>
      <c r="E10" s="373"/>
      <c r="F10" s="283"/>
      <c r="G10" s="283"/>
      <c r="H10" s="283"/>
      <c r="I10" s="283"/>
      <c r="J10" s="28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522"/>
    </row>
    <row r="11" spans="2:36" ht="18" customHeight="1" x14ac:dyDescent="0.25">
      <c r="B11" s="3519"/>
      <c r="C11" s="3552" t="s">
        <v>7982</v>
      </c>
      <c r="D11" s="3552"/>
      <c r="E11" s="3552"/>
      <c r="F11" s="3552"/>
      <c r="G11" s="3552"/>
      <c r="H11" s="3557" t="s">
        <v>9401</v>
      </c>
      <c r="I11" s="3557"/>
      <c r="J11" s="3557"/>
      <c r="K11" s="3557"/>
      <c r="L11" s="3557"/>
      <c r="M11" s="3557"/>
      <c r="N11" s="3557"/>
      <c r="O11" s="3557"/>
      <c r="P11" s="3557"/>
      <c r="Q11" s="3557"/>
      <c r="R11" s="3557"/>
      <c r="S11" s="3557"/>
      <c r="T11" s="3557"/>
      <c r="U11" s="3557"/>
      <c r="V11" s="3557"/>
      <c r="W11" s="3557"/>
      <c r="X11" s="3557"/>
      <c r="Y11" s="3557"/>
      <c r="Z11" s="3526" t="s">
        <v>1</v>
      </c>
      <c r="AA11" s="3526"/>
      <c r="AB11" s="3526"/>
      <c r="AC11" s="3526"/>
      <c r="AD11" s="3555">
        <v>14251409</v>
      </c>
      <c r="AE11" s="3555"/>
      <c r="AF11" s="3555"/>
      <c r="AG11" s="3555"/>
      <c r="AH11" s="3555"/>
      <c r="AI11" s="3555"/>
      <c r="AJ11" s="3522"/>
    </row>
    <row r="12" spans="2:36" ht="3.95" customHeight="1" x14ac:dyDescent="0.3">
      <c r="B12" s="3519"/>
      <c r="C12" s="383"/>
      <c r="D12" s="383"/>
      <c r="E12" s="383"/>
      <c r="F12" s="383"/>
      <c r="G12" s="383"/>
      <c r="H12" s="3592"/>
      <c r="I12" s="3592"/>
      <c r="J12" s="3592"/>
      <c r="K12" s="3592"/>
      <c r="L12" s="3592"/>
      <c r="M12" s="3592"/>
      <c r="N12" s="3592"/>
      <c r="O12" s="3592"/>
      <c r="P12" s="3592"/>
      <c r="Q12" s="3592"/>
      <c r="R12" s="3592"/>
      <c r="S12" s="3592"/>
      <c r="T12" s="3592"/>
      <c r="U12" s="3592"/>
      <c r="V12" s="3592"/>
      <c r="W12" s="3592"/>
      <c r="X12" s="3592"/>
      <c r="Y12" s="3592"/>
      <c r="Z12" s="3592"/>
      <c r="AA12" s="3592"/>
      <c r="AB12" s="3592"/>
      <c r="AC12" s="3592"/>
      <c r="AD12" s="3592"/>
      <c r="AE12" s="3592"/>
      <c r="AF12" s="3592"/>
      <c r="AG12" s="3592"/>
      <c r="AH12" s="3592"/>
      <c r="AI12" s="3592"/>
      <c r="AJ12" s="3522"/>
    </row>
    <row r="13" spans="2:36" ht="18" customHeight="1" x14ac:dyDescent="0.25">
      <c r="B13" s="3519"/>
      <c r="C13" s="3558" t="s">
        <v>8016</v>
      </c>
      <c r="D13" s="3558"/>
      <c r="E13" s="3558"/>
      <c r="F13" s="3558"/>
      <c r="G13" s="3558"/>
      <c r="H13" s="3593">
        <f>IF(J13&lt;100,4,5)</f>
        <v>5</v>
      </c>
      <c r="I13" s="3593"/>
      <c r="J13" s="3594">
        <v>158194</v>
      </c>
      <c r="K13" s="3594"/>
      <c r="L13" s="3594"/>
      <c r="M13" s="3594"/>
      <c r="N13" s="3595" t="str">
        <f>IF(ISERROR(VLOOKUP(J13,Escolas!C5:K269,3,FALSE)),"",VLOOKUP(J13,Escolas!C5:K269,3,FALSE))</f>
        <v>E.E. Professor Luiz Antônio Corrêa Oliveira</v>
      </c>
      <c r="O13" s="3595"/>
      <c r="P13" s="3595"/>
      <c r="Q13" s="3595"/>
      <c r="R13" s="3595"/>
      <c r="S13" s="3595"/>
      <c r="T13" s="3595"/>
      <c r="U13" s="3595"/>
      <c r="V13" s="3595"/>
      <c r="W13" s="3595"/>
      <c r="X13" s="3595"/>
      <c r="Y13" s="3595"/>
      <c r="Z13" s="3595"/>
      <c r="AA13" s="3595"/>
      <c r="AB13" s="3595"/>
      <c r="AC13" s="3595"/>
      <c r="AD13" s="3595"/>
      <c r="AE13" s="3595"/>
      <c r="AF13" s="3595"/>
      <c r="AG13" s="3595"/>
      <c r="AH13" s="3595"/>
      <c r="AI13" s="3595"/>
      <c r="AJ13" s="3522"/>
    </row>
    <row r="14" spans="2:36" ht="18" customHeight="1" x14ac:dyDescent="0.3">
      <c r="B14" s="3519"/>
      <c r="C14" s="384"/>
      <c r="D14" s="384"/>
      <c r="E14" s="384"/>
      <c r="F14" s="384"/>
      <c r="G14" s="384"/>
      <c r="H14" s="3596" t="s">
        <v>7932</v>
      </c>
      <c r="I14" s="3596"/>
      <c r="J14" s="3596"/>
      <c r="K14" s="3596"/>
      <c r="L14" s="3596"/>
      <c r="M14" s="3596"/>
      <c r="N14" s="3577" t="str">
        <f>IF(ISERROR(VLOOKUP(J13,Escolas!C5:K269,7,FALSE)),"",VLOOKUP(J13,Escolas!C5:K269,7,FALSE))</f>
        <v>Araxá</v>
      </c>
      <c r="O14" s="3577"/>
      <c r="P14" s="3577"/>
      <c r="Q14" s="3577"/>
      <c r="R14" s="3577"/>
      <c r="S14" s="3577"/>
      <c r="T14" s="3577"/>
      <c r="U14" s="3577"/>
      <c r="V14" s="3577"/>
      <c r="W14" s="3577"/>
      <c r="X14" s="3577"/>
      <c r="Y14" s="3577"/>
      <c r="Z14" s="3577"/>
      <c r="AA14" s="3577"/>
      <c r="AB14" s="3577"/>
      <c r="AC14" s="3577"/>
      <c r="AD14" s="3577"/>
      <c r="AE14" s="3577"/>
      <c r="AF14" s="3577"/>
      <c r="AG14" s="3577"/>
      <c r="AH14" s="3577"/>
      <c r="AI14" s="3577"/>
      <c r="AJ14" s="3522"/>
    </row>
    <row r="15" spans="2:36" ht="5.0999999999999996" customHeight="1" x14ac:dyDescent="0.25">
      <c r="B15" s="3519"/>
      <c r="C15" s="3598"/>
      <c r="D15" s="3598"/>
      <c r="E15" s="3598"/>
      <c r="F15" s="3598"/>
      <c r="G15" s="3598"/>
      <c r="H15" s="3598"/>
      <c r="I15" s="3598"/>
      <c r="J15" s="3598"/>
      <c r="K15" s="3598"/>
      <c r="L15" s="3598"/>
      <c r="M15" s="3598"/>
      <c r="N15" s="3598"/>
      <c r="O15" s="3598"/>
      <c r="P15" s="3598"/>
      <c r="Q15" s="3598"/>
      <c r="R15" s="3598"/>
      <c r="S15" s="3598"/>
      <c r="T15" s="3598"/>
      <c r="U15" s="3598"/>
      <c r="V15" s="3598"/>
      <c r="W15" s="3598"/>
      <c r="X15" s="3598"/>
      <c r="Y15" s="3598"/>
      <c r="Z15" s="3598"/>
      <c r="AA15" s="3598"/>
      <c r="AB15" s="3598"/>
      <c r="AC15" s="3598"/>
      <c r="AD15" s="3598"/>
      <c r="AE15" s="3598"/>
      <c r="AF15" s="3598"/>
      <c r="AG15" s="3598"/>
      <c r="AH15" s="3598"/>
      <c r="AI15" s="3598"/>
      <c r="AJ15" s="3522"/>
    </row>
    <row r="16" spans="2:36" ht="15.95" customHeight="1" x14ac:dyDescent="0.25">
      <c r="B16" s="3519"/>
      <c r="C16" s="3578" t="s">
        <v>8022</v>
      </c>
      <c r="D16" s="3578"/>
      <c r="E16" s="3578"/>
      <c r="F16" s="3578"/>
      <c r="G16" s="3578"/>
      <c r="H16" s="3578"/>
      <c r="I16" s="3578"/>
      <c r="J16" s="3578"/>
      <c r="K16" s="3578"/>
      <c r="L16" s="3578"/>
      <c r="M16" s="3578"/>
      <c r="N16" s="3578"/>
      <c r="O16" s="3578"/>
      <c r="P16" s="3578"/>
      <c r="Q16" s="3578"/>
      <c r="R16" s="3578"/>
      <c r="S16" s="3578"/>
      <c r="T16" s="3578"/>
      <c r="U16" s="3578"/>
      <c r="V16" s="3578"/>
      <c r="W16" s="3578"/>
      <c r="X16" s="3578"/>
      <c r="Y16" s="3578"/>
      <c r="Z16" s="3578"/>
      <c r="AA16" s="3578"/>
      <c r="AB16" s="3578"/>
      <c r="AC16" s="3578"/>
      <c r="AD16" s="3578"/>
      <c r="AE16" s="3578"/>
      <c r="AF16" s="3578"/>
      <c r="AG16" s="3578"/>
      <c r="AH16" s="3578"/>
      <c r="AI16" s="3578"/>
      <c r="AJ16" s="3522"/>
    </row>
    <row r="17" spans="1:36" ht="15.95" customHeight="1" x14ac:dyDescent="0.25">
      <c r="B17" s="3519"/>
      <c r="C17" s="3578"/>
      <c r="D17" s="3578"/>
      <c r="E17" s="3578"/>
      <c r="F17" s="3578"/>
      <c r="G17" s="3578"/>
      <c r="H17" s="3578"/>
      <c r="I17" s="3578"/>
      <c r="J17" s="3578"/>
      <c r="K17" s="3578"/>
      <c r="L17" s="3578"/>
      <c r="M17" s="3578"/>
      <c r="N17" s="3578"/>
      <c r="O17" s="3578"/>
      <c r="P17" s="3578"/>
      <c r="Q17" s="3578"/>
      <c r="R17" s="3578"/>
      <c r="S17" s="3578"/>
      <c r="T17" s="3578"/>
      <c r="U17" s="3578"/>
      <c r="V17" s="3578"/>
      <c r="W17" s="3578"/>
      <c r="X17" s="3578"/>
      <c r="Y17" s="3578"/>
      <c r="Z17" s="3578"/>
      <c r="AA17" s="3578"/>
      <c r="AB17" s="3578"/>
      <c r="AC17" s="3578"/>
      <c r="AD17" s="3578"/>
      <c r="AE17" s="3578"/>
      <c r="AF17" s="3578"/>
      <c r="AG17" s="3578"/>
      <c r="AH17" s="3578"/>
      <c r="AI17" s="3578"/>
      <c r="AJ17" s="3522"/>
    </row>
    <row r="18" spans="1:36" ht="15.95" customHeight="1" x14ac:dyDescent="0.25">
      <c r="B18" s="3519"/>
      <c r="C18" s="3578"/>
      <c r="D18" s="3578"/>
      <c r="E18" s="3578"/>
      <c r="F18" s="3578"/>
      <c r="G18" s="3578"/>
      <c r="H18" s="3578"/>
      <c r="I18" s="3578"/>
      <c r="J18" s="3578"/>
      <c r="K18" s="3578"/>
      <c r="L18" s="3578"/>
      <c r="M18" s="3578"/>
      <c r="N18" s="3578"/>
      <c r="O18" s="3578"/>
      <c r="P18" s="3578"/>
      <c r="Q18" s="3578"/>
      <c r="R18" s="3578"/>
      <c r="S18" s="3578"/>
      <c r="T18" s="3578"/>
      <c r="U18" s="3578"/>
      <c r="V18" s="3578"/>
      <c r="W18" s="3578"/>
      <c r="X18" s="3578"/>
      <c r="Y18" s="3578"/>
      <c r="Z18" s="3578"/>
      <c r="AA18" s="3578"/>
      <c r="AB18" s="3578"/>
      <c r="AC18" s="3578"/>
      <c r="AD18" s="3578"/>
      <c r="AE18" s="3578"/>
      <c r="AF18" s="3578"/>
      <c r="AG18" s="3578"/>
      <c r="AH18" s="3578"/>
      <c r="AI18" s="3578"/>
      <c r="AJ18" s="3522"/>
    </row>
    <row r="19" spans="1:36" ht="5.0999999999999996" customHeight="1" x14ac:dyDescent="0.25">
      <c r="B19" s="3519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71"/>
      <c r="V19" s="371"/>
      <c r="W19" s="371"/>
      <c r="X19" s="371"/>
      <c r="Y19" s="371"/>
      <c r="Z19" s="371"/>
      <c r="AA19" s="371"/>
      <c r="AB19" s="371"/>
      <c r="AC19" s="371"/>
      <c r="AD19" s="371"/>
      <c r="AE19" s="371"/>
      <c r="AF19" s="371"/>
      <c r="AG19" s="371"/>
      <c r="AH19" s="371"/>
      <c r="AI19" s="371"/>
      <c r="AJ19" s="3522"/>
    </row>
    <row r="20" spans="1:36" ht="15.95" customHeight="1" x14ac:dyDescent="0.25">
      <c r="B20" s="3519"/>
      <c r="C20" s="3579" t="s">
        <v>8019</v>
      </c>
      <c r="D20" s="3579"/>
      <c r="E20" s="3579"/>
      <c r="F20" s="3579"/>
      <c r="G20" s="3579"/>
      <c r="H20" s="3579"/>
      <c r="I20" s="3597" t="str">
        <f>IF(Extenso!N8="","","(" &amp; Extenso!N8 &amp; ")")</f>
        <v>(seiscentos e noventa reais e doze centavos)</v>
      </c>
      <c r="J20" s="3597"/>
      <c r="K20" s="3597"/>
      <c r="L20" s="3597"/>
      <c r="M20" s="3597"/>
      <c r="N20" s="3597"/>
      <c r="O20" s="3597"/>
      <c r="P20" s="3597"/>
      <c r="Q20" s="3597"/>
      <c r="R20" s="3597"/>
      <c r="S20" s="3597"/>
      <c r="T20" s="3597"/>
      <c r="U20" s="3597"/>
      <c r="V20" s="3597"/>
      <c r="W20" s="3597"/>
      <c r="X20" s="3597"/>
      <c r="Y20" s="3597"/>
      <c r="Z20" s="3597"/>
      <c r="AA20" s="3597"/>
      <c r="AB20" s="3597"/>
      <c r="AC20" s="3597"/>
      <c r="AD20" s="3597"/>
      <c r="AE20" s="3597"/>
      <c r="AF20" s="3597"/>
      <c r="AG20" s="3597"/>
      <c r="AH20" s="3597"/>
      <c r="AI20" s="3597"/>
      <c r="AJ20" s="3522"/>
    </row>
    <row r="21" spans="1:36" ht="15.95" customHeight="1" x14ac:dyDescent="0.25">
      <c r="B21" s="3519"/>
      <c r="C21" s="3580">
        <f>457.8+232.32</f>
        <v>690.12</v>
      </c>
      <c r="D21" s="3580"/>
      <c r="E21" s="3580"/>
      <c r="F21" s="3580"/>
      <c r="G21" s="3580"/>
      <c r="H21" s="3580"/>
      <c r="I21" s="3597"/>
      <c r="J21" s="3597"/>
      <c r="K21" s="3597"/>
      <c r="L21" s="3597"/>
      <c r="M21" s="3597"/>
      <c r="N21" s="3597"/>
      <c r="O21" s="3597"/>
      <c r="P21" s="3597"/>
      <c r="Q21" s="3597"/>
      <c r="R21" s="3597"/>
      <c r="S21" s="3597"/>
      <c r="T21" s="3597"/>
      <c r="U21" s="3597"/>
      <c r="V21" s="3597"/>
      <c r="W21" s="3597"/>
      <c r="X21" s="3597"/>
      <c r="Y21" s="3597"/>
      <c r="Z21" s="3597"/>
      <c r="AA21" s="3597"/>
      <c r="AB21" s="3597"/>
      <c r="AC21" s="3597"/>
      <c r="AD21" s="3597"/>
      <c r="AE21" s="3597"/>
      <c r="AF21" s="3597"/>
      <c r="AG21" s="3597"/>
      <c r="AH21" s="3597"/>
      <c r="AI21" s="3597"/>
      <c r="AJ21" s="3522"/>
    </row>
    <row r="22" spans="1:36" ht="3.95" customHeight="1" x14ac:dyDescent="0.25">
      <c r="B22" s="3519"/>
      <c r="C22" s="314"/>
      <c r="D22" s="314"/>
      <c r="E22" s="314"/>
      <c r="F22" s="377"/>
      <c r="G22" s="377"/>
      <c r="H22" s="308"/>
      <c r="I22" s="308"/>
      <c r="J22" s="308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522"/>
    </row>
    <row r="23" spans="1:36" ht="15.95" customHeight="1" x14ac:dyDescent="0.25">
      <c r="B23" s="3519"/>
      <c r="C23" s="3539" t="s">
        <v>8020</v>
      </c>
      <c r="D23" s="3539"/>
      <c r="E23" s="3539"/>
      <c r="F23" s="3539"/>
      <c r="G23" s="3539"/>
      <c r="H23" s="3539"/>
      <c r="I23" s="3540">
        <v>6</v>
      </c>
      <c r="J23" s="3540"/>
      <c r="K23" s="350"/>
      <c r="L23" s="3541" t="s">
        <v>8021</v>
      </c>
      <c r="M23" s="3541"/>
      <c r="N23" s="3541"/>
      <c r="O23" s="3541"/>
      <c r="P23" s="3541"/>
      <c r="Q23" s="3541"/>
      <c r="R23" s="3542">
        <f>IF(C21="","",C21/I23)</f>
        <v>115.02</v>
      </c>
      <c r="S23" s="3542"/>
      <c r="T23" s="3542"/>
      <c r="U23" s="3542"/>
      <c r="V23" s="3542"/>
      <c r="W23" s="3542"/>
      <c r="X23" s="3600"/>
      <c r="Y23" s="3600"/>
      <c r="Z23" s="3600"/>
      <c r="AA23" s="3600"/>
      <c r="AB23" s="3600"/>
      <c r="AC23" s="3600"/>
      <c r="AD23" s="3600"/>
      <c r="AE23" s="3600"/>
      <c r="AF23" s="3600"/>
      <c r="AG23" s="3600"/>
      <c r="AH23" s="3600"/>
      <c r="AI23" s="3600"/>
      <c r="AJ23" s="3522"/>
    </row>
    <row r="24" spans="1:36" ht="15.95" customHeight="1" x14ac:dyDescent="0.3">
      <c r="B24" s="3519"/>
      <c r="C24" s="3599" t="str">
        <f>IF(R23="","",IF(Extenso!N9="","","(" &amp; Extenso!N9 &amp; ")"))</f>
        <v>(cento e quinze reais e dois centavos)</v>
      </c>
      <c r="D24" s="3599"/>
      <c r="E24" s="3599"/>
      <c r="F24" s="3599"/>
      <c r="G24" s="3599"/>
      <c r="H24" s="3599"/>
      <c r="I24" s="3599"/>
      <c r="J24" s="3599"/>
      <c r="K24" s="3599"/>
      <c r="L24" s="3599"/>
      <c r="M24" s="3599"/>
      <c r="N24" s="3599"/>
      <c r="O24" s="3599"/>
      <c r="P24" s="3599"/>
      <c r="Q24" s="3599"/>
      <c r="R24" s="3599"/>
      <c r="S24" s="3599"/>
      <c r="T24" s="3599"/>
      <c r="U24" s="3599"/>
      <c r="V24" s="3599"/>
      <c r="W24" s="3599"/>
      <c r="X24" s="3599"/>
      <c r="Y24" s="3599"/>
      <c r="Z24" s="3599"/>
      <c r="AA24" s="3599"/>
      <c r="AB24" s="3599"/>
      <c r="AC24" s="3599"/>
      <c r="AD24" s="3599"/>
      <c r="AE24" s="3599"/>
      <c r="AF24" s="3599"/>
      <c r="AG24" s="3599"/>
      <c r="AH24" s="3599"/>
      <c r="AI24" s="3599"/>
      <c r="AJ24" s="3522"/>
    </row>
    <row r="25" spans="1:36" ht="3.95" customHeight="1" x14ac:dyDescent="0.3">
      <c r="B25" s="3519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  <c r="AI25" s="346"/>
      <c r="AJ25" s="3522"/>
    </row>
    <row r="26" spans="1:36" ht="15.95" customHeight="1" x14ac:dyDescent="0.25">
      <c r="B26" s="3519"/>
      <c r="C26" s="3537" t="s">
        <v>8024</v>
      </c>
      <c r="D26" s="3537"/>
      <c r="E26" s="3537"/>
      <c r="F26" s="3537"/>
      <c r="G26" s="3537"/>
      <c r="H26" s="3537"/>
      <c r="I26" s="3537"/>
      <c r="J26" s="3537"/>
      <c r="K26" s="3537"/>
      <c r="L26" s="3537"/>
      <c r="M26" s="3537"/>
      <c r="N26" s="3537"/>
      <c r="O26" s="3537"/>
      <c r="P26" s="3537"/>
      <c r="Q26" s="3537"/>
      <c r="R26" s="3537"/>
      <c r="S26" s="3537"/>
      <c r="T26" s="3537"/>
      <c r="U26" s="3537"/>
      <c r="V26" s="3537"/>
      <c r="W26" s="3537"/>
      <c r="X26" s="3537"/>
      <c r="Y26" s="3537"/>
      <c r="Z26" s="3537"/>
      <c r="AA26" s="3537"/>
      <c r="AB26" s="3537"/>
      <c r="AC26" s="3537"/>
      <c r="AD26" s="3537"/>
      <c r="AE26" s="3537"/>
      <c r="AF26" s="3537"/>
      <c r="AG26" s="3537"/>
      <c r="AH26" s="3537"/>
      <c r="AI26" s="3537"/>
      <c r="AJ26" s="3522"/>
    </row>
    <row r="27" spans="1:36" ht="2.1" customHeight="1" x14ac:dyDescent="0.25">
      <c r="B27" s="3519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6"/>
      <c r="S27" s="386"/>
      <c r="T27" s="386"/>
      <c r="U27" s="386"/>
      <c r="V27" s="386"/>
      <c r="W27" s="386"/>
      <c r="X27" s="386"/>
      <c r="Y27" s="386"/>
      <c r="Z27" s="386"/>
      <c r="AA27" s="386"/>
      <c r="AB27" s="386"/>
      <c r="AC27" s="386"/>
      <c r="AD27" s="386"/>
      <c r="AE27" s="386"/>
      <c r="AF27" s="386"/>
      <c r="AG27" s="386"/>
      <c r="AH27" s="386"/>
      <c r="AI27" s="386"/>
      <c r="AJ27" s="3522"/>
    </row>
    <row r="28" spans="1:36" ht="18" customHeight="1" x14ac:dyDescent="0.25">
      <c r="B28" s="3519"/>
      <c r="C28" s="3538" t="s">
        <v>9402</v>
      </c>
      <c r="D28" s="3538"/>
      <c r="E28" s="3538"/>
      <c r="F28" s="3538"/>
      <c r="G28" s="3538"/>
      <c r="H28" s="3538"/>
      <c r="I28" s="3538"/>
      <c r="J28" s="3538"/>
      <c r="K28" s="3538"/>
      <c r="L28" s="3538"/>
      <c r="M28" s="3538"/>
      <c r="N28" s="3538"/>
      <c r="O28" s="3538"/>
      <c r="P28" s="3538"/>
      <c r="Q28" s="3538"/>
      <c r="R28" s="3538"/>
      <c r="S28" s="3538"/>
      <c r="T28" s="3538"/>
      <c r="U28" s="3538"/>
      <c r="V28" s="3538"/>
      <c r="W28" s="3538"/>
      <c r="X28" s="3538"/>
      <c r="Y28" s="3538"/>
      <c r="Z28" s="3538"/>
      <c r="AA28" s="3538"/>
      <c r="AB28" s="3538"/>
      <c r="AC28" s="3538"/>
      <c r="AD28" s="3538"/>
      <c r="AE28" s="3538"/>
      <c r="AF28" s="3538"/>
      <c r="AG28" s="3538"/>
      <c r="AH28" s="3538"/>
      <c r="AI28" s="3538"/>
      <c r="AJ28" s="3522"/>
    </row>
    <row r="29" spans="1:36" ht="18" customHeight="1" x14ac:dyDescent="0.25">
      <c r="B29" s="372"/>
      <c r="C29" s="3538"/>
      <c r="D29" s="3538"/>
      <c r="E29" s="3538"/>
      <c r="F29" s="3538"/>
      <c r="G29" s="3538"/>
      <c r="H29" s="3538"/>
      <c r="I29" s="3538"/>
      <c r="J29" s="3538"/>
      <c r="K29" s="3538"/>
      <c r="L29" s="3538"/>
      <c r="M29" s="3538"/>
      <c r="N29" s="3538"/>
      <c r="O29" s="3538"/>
      <c r="P29" s="3538"/>
      <c r="Q29" s="3538"/>
      <c r="R29" s="3538"/>
      <c r="S29" s="3538"/>
      <c r="T29" s="3538"/>
      <c r="U29" s="3538"/>
      <c r="V29" s="3538"/>
      <c r="W29" s="3538"/>
      <c r="X29" s="3538"/>
      <c r="Y29" s="3538"/>
      <c r="Z29" s="3538"/>
      <c r="AA29" s="3538"/>
      <c r="AB29" s="3538"/>
      <c r="AC29" s="3538"/>
      <c r="AD29" s="3538"/>
      <c r="AE29" s="3538"/>
      <c r="AF29" s="3538"/>
      <c r="AG29" s="3538"/>
      <c r="AH29" s="3538"/>
      <c r="AI29" s="3538"/>
      <c r="AJ29" s="374"/>
    </row>
    <row r="30" spans="1:36" ht="18" customHeight="1" x14ac:dyDescent="0.25">
      <c r="B30" s="372"/>
      <c r="C30" s="3538"/>
      <c r="D30" s="3538"/>
      <c r="E30" s="3538"/>
      <c r="F30" s="3538"/>
      <c r="G30" s="3538"/>
      <c r="H30" s="3538"/>
      <c r="I30" s="3538"/>
      <c r="J30" s="3538"/>
      <c r="K30" s="3538"/>
      <c r="L30" s="3538"/>
      <c r="M30" s="3538"/>
      <c r="N30" s="3538"/>
      <c r="O30" s="3538"/>
      <c r="P30" s="3538"/>
      <c r="Q30" s="3538"/>
      <c r="R30" s="3538"/>
      <c r="S30" s="3538"/>
      <c r="T30" s="3538"/>
      <c r="U30" s="3538"/>
      <c r="V30" s="3538"/>
      <c r="W30" s="3538"/>
      <c r="X30" s="3538"/>
      <c r="Y30" s="3538"/>
      <c r="Z30" s="3538"/>
      <c r="AA30" s="3538"/>
      <c r="AB30" s="3538"/>
      <c r="AC30" s="3538"/>
      <c r="AD30" s="3538"/>
      <c r="AE30" s="3538"/>
      <c r="AF30" s="3538"/>
      <c r="AG30" s="3538"/>
      <c r="AH30" s="3538"/>
      <c r="AI30" s="3538"/>
      <c r="AJ30" s="374"/>
    </row>
    <row r="31" spans="1:36" ht="15.95" customHeight="1" thickBot="1" x14ac:dyDescent="0.3">
      <c r="B31" s="3395"/>
      <c r="C31" s="3396"/>
      <c r="D31" s="3396"/>
      <c r="E31" s="3396"/>
      <c r="F31" s="3396"/>
      <c r="G31" s="3396"/>
      <c r="H31" s="3396"/>
      <c r="I31" s="3396"/>
      <c r="J31" s="3396"/>
      <c r="K31" s="3396"/>
      <c r="L31" s="3396"/>
      <c r="M31" s="3396"/>
      <c r="N31" s="3396"/>
      <c r="O31" s="3396"/>
      <c r="P31" s="3396"/>
      <c r="Q31" s="3396"/>
      <c r="R31" s="3396"/>
      <c r="S31" s="3396"/>
      <c r="T31" s="3396"/>
      <c r="U31" s="3396"/>
      <c r="V31" s="3396"/>
      <c r="W31" s="3396"/>
      <c r="X31" s="3396"/>
      <c r="Y31" s="3396"/>
      <c r="Z31" s="3396"/>
      <c r="AA31" s="3396"/>
      <c r="AB31" s="3396"/>
      <c r="AC31" s="3396"/>
      <c r="AD31" s="3396"/>
      <c r="AE31" s="3396"/>
      <c r="AF31" s="3396"/>
      <c r="AG31" s="3396"/>
      <c r="AH31" s="3396"/>
      <c r="AI31" s="3396"/>
      <c r="AJ31" s="3397"/>
    </row>
    <row r="32" spans="1:36" ht="15" customHeight="1" thickTop="1" thickBot="1" x14ac:dyDescent="0.3">
      <c r="A32" s="3416"/>
      <c r="B32" s="3416"/>
      <c r="C32" s="3416"/>
      <c r="D32" s="3416"/>
      <c r="E32" s="3416"/>
      <c r="F32" s="3416"/>
      <c r="G32" s="3416"/>
      <c r="H32" s="3416"/>
      <c r="I32" s="3416"/>
      <c r="J32" s="3416"/>
      <c r="K32" s="3416"/>
      <c r="L32" s="3416"/>
      <c r="M32" s="3416"/>
      <c r="N32" s="3416"/>
      <c r="O32" s="3416"/>
      <c r="P32" s="3416"/>
      <c r="Q32" s="3416"/>
      <c r="R32" s="3416"/>
      <c r="S32" s="3416"/>
      <c r="T32" s="3416"/>
      <c r="U32" s="3416"/>
      <c r="V32" s="3416"/>
      <c r="W32" s="3416"/>
      <c r="X32" s="3416"/>
      <c r="Y32" s="3416"/>
      <c r="Z32" s="3416"/>
      <c r="AA32" s="3416"/>
      <c r="AB32" s="3416"/>
      <c r="AC32" s="3416"/>
      <c r="AD32" s="3416"/>
      <c r="AE32" s="3416"/>
      <c r="AF32" s="3416"/>
      <c r="AG32" s="3416"/>
      <c r="AH32" s="3416"/>
      <c r="AI32" s="3416"/>
      <c r="AJ32" s="3416"/>
    </row>
    <row r="33" spans="2:36" ht="15.95" customHeight="1" thickTop="1" x14ac:dyDescent="0.25">
      <c r="B33" s="97"/>
      <c r="C33" s="98"/>
      <c r="D33" s="98"/>
      <c r="E33" s="98"/>
      <c r="F33" s="290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290"/>
      <c r="AF33" s="99"/>
      <c r="AG33" s="99"/>
      <c r="AH33" s="99"/>
      <c r="AI33" s="99"/>
      <c r="AJ33" s="100"/>
    </row>
    <row r="34" spans="2:36" s="354" customFormat="1" ht="11.1" customHeight="1" x14ac:dyDescent="0.25">
      <c r="B34" s="351"/>
      <c r="C34" s="287"/>
      <c r="D34" s="287"/>
      <c r="E34" s="287"/>
      <c r="F34" s="3563" t="s">
        <v>8025</v>
      </c>
      <c r="G34" s="3563"/>
      <c r="H34" s="3563"/>
      <c r="I34" s="3563"/>
      <c r="J34" s="3563"/>
      <c r="K34" s="3563"/>
      <c r="L34" s="3563"/>
      <c r="M34" s="3563"/>
      <c r="N34" s="3563"/>
      <c r="O34" s="3563"/>
      <c r="P34" s="3563"/>
      <c r="Q34" s="3563"/>
      <c r="R34" s="3563"/>
      <c r="S34" s="3563"/>
      <c r="T34" s="3563"/>
      <c r="U34" s="3563"/>
      <c r="V34" s="3563"/>
      <c r="W34" s="3563"/>
      <c r="X34" s="3563"/>
      <c r="Y34" s="3563"/>
      <c r="Z34" s="3563"/>
      <c r="AA34" s="3563"/>
      <c r="AB34" s="3563"/>
      <c r="AC34" s="3563"/>
      <c r="AD34" s="3563"/>
      <c r="AE34" s="352"/>
      <c r="AF34" s="287"/>
      <c r="AG34" s="287"/>
      <c r="AH34" s="287"/>
      <c r="AI34" s="225"/>
      <c r="AJ34" s="353"/>
    </row>
    <row r="35" spans="2:36" s="357" customFormat="1" ht="11.1" customHeight="1" x14ac:dyDescent="0.25">
      <c r="B35" s="355"/>
      <c r="C35" s="287"/>
      <c r="D35" s="287"/>
      <c r="E35" s="287"/>
      <c r="F35" s="3543" t="s">
        <v>8026</v>
      </c>
      <c r="G35" s="3543"/>
      <c r="H35" s="3543"/>
      <c r="I35" s="3543"/>
      <c r="J35" s="3543"/>
      <c r="K35" s="3543"/>
      <c r="L35" s="3543"/>
      <c r="M35" s="3543"/>
      <c r="N35" s="3543"/>
      <c r="O35" s="3543"/>
      <c r="P35" s="3543"/>
      <c r="Q35" s="3543"/>
      <c r="R35" s="3543"/>
      <c r="S35" s="3543"/>
      <c r="T35" s="3543"/>
      <c r="U35" s="3543"/>
      <c r="V35" s="3543"/>
      <c r="W35" s="3543"/>
      <c r="X35" s="3543"/>
      <c r="Y35" s="3543"/>
      <c r="Z35" s="3543"/>
      <c r="AA35" s="3543"/>
      <c r="AB35" s="3543"/>
      <c r="AC35" s="3543"/>
      <c r="AD35" s="3543"/>
      <c r="AE35" s="352"/>
      <c r="AF35" s="287"/>
      <c r="AG35" s="287"/>
      <c r="AH35" s="287"/>
      <c r="AI35" s="287"/>
      <c r="AJ35" s="356"/>
    </row>
    <row r="36" spans="2:36" s="357" customFormat="1" ht="11.1" customHeight="1" x14ac:dyDescent="0.25">
      <c r="B36" s="355"/>
      <c r="C36" s="225"/>
      <c r="D36" s="225"/>
      <c r="E36" s="225"/>
      <c r="F36" s="3543" t="s">
        <v>8027</v>
      </c>
      <c r="G36" s="3543"/>
      <c r="H36" s="3543"/>
      <c r="I36" s="3543"/>
      <c r="J36" s="3543"/>
      <c r="K36" s="3543"/>
      <c r="L36" s="3543"/>
      <c r="M36" s="3543"/>
      <c r="N36" s="3543"/>
      <c r="O36" s="3543"/>
      <c r="P36" s="3543"/>
      <c r="Q36" s="3543"/>
      <c r="R36" s="3543"/>
      <c r="S36" s="3543"/>
      <c r="T36" s="3543"/>
      <c r="U36" s="3543"/>
      <c r="V36" s="3543"/>
      <c r="W36" s="3543"/>
      <c r="X36" s="3543"/>
      <c r="Y36" s="3543"/>
      <c r="Z36" s="3543"/>
      <c r="AA36" s="3543"/>
      <c r="AB36" s="3543"/>
      <c r="AC36" s="3543"/>
      <c r="AD36" s="3543"/>
      <c r="AE36" s="358"/>
      <c r="AF36" s="225"/>
      <c r="AG36" s="225"/>
      <c r="AH36" s="225"/>
      <c r="AI36" s="225"/>
      <c r="AJ36" s="356"/>
    </row>
    <row r="37" spans="2:36" s="357" customFormat="1" ht="11.1" customHeight="1" x14ac:dyDescent="0.25">
      <c r="B37" s="355"/>
      <c r="C37" s="225"/>
      <c r="D37" s="225"/>
      <c r="E37" s="225"/>
      <c r="F37" s="3543" t="s">
        <v>8028</v>
      </c>
      <c r="G37" s="3543"/>
      <c r="H37" s="3543"/>
      <c r="I37" s="3543"/>
      <c r="J37" s="3543"/>
      <c r="K37" s="3543"/>
      <c r="L37" s="3543"/>
      <c r="M37" s="3543"/>
      <c r="N37" s="3543"/>
      <c r="O37" s="3543"/>
      <c r="P37" s="3543"/>
      <c r="Q37" s="3543"/>
      <c r="R37" s="3543"/>
      <c r="S37" s="3543"/>
      <c r="T37" s="3543"/>
      <c r="U37" s="3543"/>
      <c r="V37" s="3543"/>
      <c r="W37" s="3543"/>
      <c r="X37" s="3543"/>
      <c r="Y37" s="3543"/>
      <c r="Z37" s="3543"/>
      <c r="AA37" s="3543"/>
      <c r="AB37" s="3543"/>
      <c r="AC37" s="3543"/>
      <c r="AD37" s="3543"/>
      <c r="AE37" s="358"/>
      <c r="AF37" s="225"/>
      <c r="AG37" s="225"/>
      <c r="AH37" s="225"/>
      <c r="AI37" s="225"/>
      <c r="AJ37" s="356"/>
    </row>
    <row r="38" spans="2:36" ht="9.9499999999999993" customHeight="1" x14ac:dyDescent="0.25">
      <c r="B38" s="103"/>
      <c r="C38" s="3544" t="str">
        <f>IF(F9&lt;&gt;0,DATEVALUE( TEXT(F9, "##""/""##""/""##" ) &amp; "" ),"")</f>
        <v/>
      </c>
      <c r="D38" s="3544"/>
      <c r="E38" s="3544"/>
      <c r="F38" s="3544"/>
      <c r="G38" s="3544"/>
      <c r="H38" s="3544"/>
      <c r="I38" s="3544"/>
      <c r="J38" s="3544"/>
      <c r="K38" s="3544"/>
      <c r="L38" s="3544"/>
      <c r="M38" s="3544"/>
      <c r="N38" s="3544"/>
      <c r="O38" s="3544"/>
      <c r="P38" s="3544"/>
      <c r="Q38" s="3544"/>
      <c r="R38" s="3544"/>
      <c r="S38" s="3544"/>
      <c r="T38" s="3544"/>
      <c r="U38" s="3544"/>
      <c r="V38" s="3544"/>
      <c r="W38" s="3544"/>
      <c r="X38" s="3544"/>
      <c r="Y38" s="3544"/>
      <c r="Z38" s="3544"/>
      <c r="AA38" s="3544"/>
      <c r="AB38" s="3544"/>
      <c r="AC38" s="3544"/>
      <c r="AD38" s="3544"/>
      <c r="AE38" s="3544"/>
      <c r="AF38" s="3544"/>
      <c r="AG38" s="3544"/>
      <c r="AH38" s="3544"/>
      <c r="AI38" s="3544"/>
      <c r="AJ38" s="104"/>
    </row>
    <row r="39" spans="2:36" ht="15.95" customHeight="1" x14ac:dyDescent="0.3">
      <c r="B39" s="103"/>
      <c r="C39" s="3545" t="str">
        <f>Geral!I8</f>
        <v>Uberaba</v>
      </c>
      <c r="D39" s="3545"/>
      <c r="E39" s="3545"/>
      <c r="F39" s="3545"/>
      <c r="G39" s="3545"/>
      <c r="H39" s="3545"/>
      <c r="I39" s="3545"/>
      <c r="J39" s="3545"/>
      <c r="K39" s="3545"/>
      <c r="L39" s="3545"/>
      <c r="M39" s="3545"/>
      <c r="N39" s="3545"/>
      <c r="O39" s="3545"/>
      <c r="P39" s="3545"/>
      <c r="Q39" s="370" t="s">
        <v>365</v>
      </c>
      <c r="R39" s="3546">
        <f ca="1">IF(F9&lt;&gt;0,C38,TODAY())</f>
        <v>43238</v>
      </c>
      <c r="S39" s="3546"/>
      <c r="T39" s="3546"/>
      <c r="U39" s="3546"/>
      <c r="V39" s="3546"/>
      <c r="W39" s="3546"/>
      <c r="X39" s="3546"/>
      <c r="Y39" s="3546"/>
      <c r="Z39" s="3546"/>
      <c r="AA39" s="3546"/>
      <c r="AB39" s="3546"/>
      <c r="AC39" s="3546"/>
      <c r="AD39" s="3546"/>
      <c r="AE39" s="3546"/>
      <c r="AF39" s="3546"/>
      <c r="AG39" s="3546"/>
      <c r="AH39" s="3546"/>
      <c r="AI39" s="3546"/>
      <c r="AJ39" s="104"/>
    </row>
    <row r="40" spans="2:36" ht="5.0999999999999996" customHeight="1" x14ac:dyDescent="0.25">
      <c r="B40" s="103"/>
      <c r="C40" s="286"/>
      <c r="D40" s="368"/>
      <c r="E40" s="368"/>
      <c r="F40" s="368"/>
      <c r="G40" s="368"/>
      <c r="H40" s="368"/>
      <c r="I40" s="368"/>
      <c r="J40" s="368"/>
      <c r="K40" s="368"/>
      <c r="L40" s="368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368"/>
      <c r="AI40" s="368"/>
      <c r="AJ40" s="104"/>
    </row>
    <row r="41" spans="2:36" ht="18" customHeight="1" x14ac:dyDescent="0.3">
      <c r="B41" s="103"/>
      <c r="C41" s="3547" t="s">
        <v>7972</v>
      </c>
      <c r="D41" s="3547"/>
      <c r="E41" s="3547"/>
      <c r="F41" s="3547"/>
      <c r="G41" s="3547"/>
      <c r="H41" s="3548" t="str">
        <f>H11</f>
        <v>Ana Carolina Domingues</v>
      </c>
      <c r="I41" s="3548"/>
      <c r="J41" s="3548"/>
      <c r="K41" s="3548"/>
      <c r="L41" s="3548"/>
      <c r="M41" s="3548"/>
      <c r="N41" s="3548"/>
      <c r="O41" s="3548"/>
      <c r="P41" s="3548"/>
      <c r="Q41" s="3548"/>
      <c r="R41" s="3548"/>
      <c r="S41" s="3548"/>
      <c r="T41" s="3548"/>
      <c r="U41" s="3548"/>
      <c r="V41" s="3548"/>
      <c r="W41" s="3548"/>
      <c r="X41" s="3548"/>
      <c r="Y41" s="3548"/>
      <c r="Z41" s="3510" t="s">
        <v>1</v>
      </c>
      <c r="AA41" s="3510"/>
      <c r="AB41" s="3510"/>
      <c r="AC41" s="3510"/>
      <c r="AD41" s="3549">
        <f>AD11</f>
        <v>14251409</v>
      </c>
      <c r="AE41" s="3549"/>
      <c r="AF41" s="3549"/>
      <c r="AG41" s="3549"/>
      <c r="AH41" s="3549"/>
      <c r="AI41" s="3549"/>
      <c r="AJ41" s="104"/>
    </row>
    <row r="42" spans="2:36" ht="3.95" customHeight="1" x14ac:dyDescent="0.25">
      <c r="B42" s="103"/>
      <c r="C42" s="3547"/>
      <c r="D42" s="3547"/>
      <c r="E42" s="3547"/>
      <c r="F42" s="3547"/>
      <c r="G42" s="3547"/>
      <c r="H42" s="3547"/>
      <c r="I42" s="3547"/>
      <c r="J42" s="3547"/>
      <c r="K42" s="3547"/>
      <c r="L42" s="3547"/>
      <c r="M42" s="3547"/>
      <c r="N42" s="3547"/>
      <c r="O42" s="3547"/>
      <c r="P42" s="3547"/>
      <c r="Q42" s="3547"/>
      <c r="R42" s="3547"/>
      <c r="S42" s="3547"/>
      <c r="T42" s="3547"/>
      <c r="U42" s="3547"/>
      <c r="V42" s="3547"/>
      <c r="W42" s="3547"/>
      <c r="X42" s="3547"/>
      <c r="Y42" s="3547"/>
      <c r="Z42" s="3547"/>
      <c r="AA42" s="3547"/>
      <c r="AB42" s="3547"/>
      <c r="AC42" s="3547"/>
      <c r="AD42" s="3547"/>
      <c r="AE42" s="3547"/>
      <c r="AF42" s="3547"/>
      <c r="AG42" s="3547"/>
      <c r="AH42" s="3547"/>
      <c r="AI42" s="3547"/>
      <c r="AJ42" s="104"/>
    </row>
    <row r="43" spans="2:36" ht="18" customHeight="1" x14ac:dyDescent="0.25">
      <c r="B43" s="103"/>
      <c r="C43" s="3547" t="s">
        <v>8018</v>
      </c>
      <c r="D43" s="3547"/>
      <c r="E43" s="3547"/>
      <c r="F43" s="3547"/>
      <c r="G43" s="3547"/>
      <c r="H43" s="3547"/>
      <c r="I43" s="3547"/>
      <c r="J43" s="3569" t="str">
        <f>IF(N13="","",N13)</f>
        <v>E.E. Professor Luiz Antônio Corrêa Oliveira</v>
      </c>
      <c r="K43" s="3569"/>
      <c r="L43" s="3569"/>
      <c r="M43" s="3569"/>
      <c r="N43" s="3569"/>
      <c r="O43" s="3569"/>
      <c r="P43" s="3569"/>
      <c r="Q43" s="3569"/>
      <c r="R43" s="3569"/>
      <c r="S43" s="3569"/>
      <c r="T43" s="3569"/>
      <c r="U43" s="3569"/>
      <c r="V43" s="3569"/>
      <c r="W43" s="3569"/>
      <c r="X43" s="3569"/>
      <c r="Y43" s="3569"/>
      <c r="Z43" s="3569"/>
      <c r="AA43" s="3569"/>
      <c r="AB43" s="3569"/>
      <c r="AC43" s="3569"/>
      <c r="AD43" s="3569"/>
      <c r="AE43" s="3569"/>
      <c r="AF43" s="3569"/>
      <c r="AG43" s="3569"/>
      <c r="AH43" s="3569"/>
      <c r="AI43" s="3569"/>
      <c r="AJ43" s="104"/>
    </row>
    <row r="44" spans="2:36" ht="18" customHeight="1" x14ac:dyDescent="0.25">
      <c r="B44" s="103"/>
      <c r="C44" s="3547" t="s">
        <v>7932</v>
      </c>
      <c r="D44" s="3547"/>
      <c r="E44" s="3547"/>
      <c r="F44" s="3547"/>
      <c r="G44" s="3547"/>
      <c r="H44" s="3547"/>
      <c r="I44" s="3547"/>
      <c r="J44" s="3569" t="str">
        <f>IF(N14="","",N14)</f>
        <v>Araxá</v>
      </c>
      <c r="K44" s="3569"/>
      <c r="L44" s="3569"/>
      <c r="M44" s="3569"/>
      <c r="N44" s="3569"/>
      <c r="O44" s="3569"/>
      <c r="P44" s="3569"/>
      <c r="Q44" s="3569"/>
      <c r="R44" s="3569"/>
      <c r="S44" s="3569"/>
      <c r="T44" s="3569"/>
      <c r="U44" s="3569"/>
      <c r="V44" s="3569"/>
      <c r="W44" s="3569"/>
      <c r="X44" s="3569"/>
      <c r="Y44" s="3569"/>
      <c r="Z44" s="3569"/>
      <c r="AA44" s="3569"/>
      <c r="AB44" s="3569"/>
      <c r="AC44" s="3569"/>
      <c r="AD44" s="3569"/>
      <c r="AE44" s="3569"/>
      <c r="AF44" s="3569"/>
      <c r="AG44" s="3569"/>
      <c r="AH44" s="3569"/>
      <c r="AI44" s="3569"/>
      <c r="AJ44" s="104"/>
    </row>
    <row r="45" spans="2:36" s="96" customFormat="1" ht="8.1" customHeight="1" x14ac:dyDescent="0.25">
      <c r="B45" s="124"/>
      <c r="C45" s="1438"/>
      <c r="D45" s="1438"/>
      <c r="E45" s="1438"/>
      <c r="F45" s="1438"/>
      <c r="G45" s="1438"/>
      <c r="H45" s="1438"/>
      <c r="I45" s="1438"/>
      <c r="J45" s="1438"/>
      <c r="K45" s="1438"/>
      <c r="L45" s="1438"/>
      <c r="M45" s="1438"/>
      <c r="N45" s="1438"/>
      <c r="O45" s="1438"/>
      <c r="P45" s="1438"/>
      <c r="Q45" s="1438"/>
      <c r="R45" s="1438"/>
      <c r="S45" s="1438"/>
      <c r="T45" s="1438"/>
      <c r="U45" s="1438"/>
      <c r="V45" s="1438"/>
      <c r="W45" s="1438"/>
      <c r="X45" s="1438"/>
      <c r="Y45" s="1438"/>
      <c r="Z45" s="1438"/>
      <c r="AA45" s="1438"/>
      <c r="AB45" s="1438"/>
      <c r="AC45" s="1438"/>
      <c r="AD45" s="1438"/>
      <c r="AE45" s="1438"/>
      <c r="AF45" s="1438"/>
      <c r="AG45" s="1438"/>
      <c r="AH45" s="1438"/>
      <c r="AI45" s="1438"/>
      <c r="AJ45" s="125"/>
    </row>
    <row r="46" spans="2:36" ht="15.95" customHeight="1" x14ac:dyDescent="0.25">
      <c r="B46" s="103"/>
      <c r="C46" s="1438"/>
      <c r="D46" s="1438"/>
      <c r="E46" s="1438"/>
      <c r="F46" s="1438"/>
      <c r="G46" s="1438"/>
      <c r="H46" s="1438"/>
      <c r="I46" s="1438"/>
      <c r="J46" s="1438"/>
      <c r="K46" s="1438"/>
      <c r="L46" s="1438"/>
      <c r="M46" s="1438"/>
      <c r="N46" s="1438"/>
      <c r="O46" s="1438"/>
      <c r="P46" s="1438"/>
      <c r="Q46" s="1438"/>
      <c r="R46" s="1438"/>
      <c r="S46" s="1438"/>
      <c r="T46" s="1438"/>
      <c r="U46" s="1438"/>
      <c r="V46" s="1438"/>
      <c r="W46" s="1438"/>
      <c r="X46" s="1438"/>
      <c r="Y46" s="1438"/>
      <c r="Z46" s="1438"/>
      <c r="AA46" s="1438"/>
      <c r="AB46" s="1438"/>
      <c r="AC46" s="1438"/>
      <c r="AD46" s="1438"/>
      <c r="AE46" s="1438"/>
      <c r="AF46" s="1438"/>
      <c r="AG46" s="1438"/>
      <c r="AH46" s="1438"/>
      <c r="AI46" s="1438"/>
      <c r="AJ46" s="104"/>
    </row>
    <row r="47" spans="2:36" ht="18" customHeight="1" x14ac:dyDescent="0.25">
      <c r="B47" s="103"/>
      <c r="C47" s="3565" t="s">
        <v>7973</v>
      </c>
      <c r="D47" s="3565"/>
      <c r="E47" s="3565"/>
      <c r="F47" s="3565"/>
      <c r="G47" s="3565"/>
      <c r="H47" s="3565"/>
      <c r="I47" s="3565"/>
      <c r="J47" s="3565"/>
      <c r="K47" s="3565"/>
      <c r="L47" s="3565"/>
      <c r="M47" s="3565"/>
      <c r="N47" s="3565"/>
      <c r="O47" s="3565"/>
      <c r="P47" s="3565"/>
      <c r="Q47" s="3565"/>
      <c r="R47" s="3565"/>
      <c r="S47" s="3565"/>
      <c r="T47" s="3565"/>
      <c r="U47" s="3565"/>
      <c r="V47" s="3565"/>
      <c r="W47" s="3565"/>
      <c r="X47" s="3565"/>
      <c r="Y47" s="3565"/>
      <c r="Z47" s="3565"/>
      <c r="AA47" s="3565"/>
      <c r="AB47" s="3565"/>
      <c r="AC47" s="3565"/>
      <c r="AD47" s="3565"/>
      <c r="AE47" s="3565"/>
      <c r="AF47" s="3565"/>
      <c r="AG47" s="3565"/>
      <c r="AH47" s="3565"/>
      <c r="AI47" s="3565"/>
      <c r="AJ47" s="104"/>
    </row>
    <row r="48" spans="2:36" ht="21.75" customHeight="1" x14ac:dyDescent="0.25">
      <c r="B48" s="103"/>
      <c r="C48" s="3566"/>
      <c r="D48" s="3566"/>
      <c r="E48" s="3566"/>
      <c r="F48" s="3566"/>
      <c r="G48" s="3566"/>
      <c r="H48" s="3566"/>
      <c r="I48" s="3583"/>
      <c r="J48" s="3583"/>
      <c r="K48" s="3583"/>
      <c r="L48" s="3583"/>
      <c r="M48" s="3583"/>
      <c r="N48" s="380"/>
      <c r="O48" s="3583"/>
      <c r="P48" s="3583"/>
      <c r="Q48" s="3583"/>
      <c r="R48" s="3583"/>
      <c r="S48" s="3583"/>
      <c r="T48" s="3566"/>
      <c r="U48" s="3566"/>
      <c r="V48" s="3566"/>
      <c r="W48" s="3566"/>
      <c r="X48" s="3566"/>
      <c r="Y48" s="3566"/>
      <c r="Z48" s="3566"/>
      <c r="AA48" s="3566"/>
      <c r="AB48" s="3566"/>
      <c r="AC48" s="3566"/>
      <c r="AD48" s="3566"/>
      <c r="AE48" s="3566"/>
      <c r="AF48" s="3566"/>
      <c r="AG48" s="3566"/>
      <c r="AH48" s="3566"/>
      <c r="AI48" s="3566"/>
      <c r="AJ48" s="104"/>
    </row>
    <row r="49" spans="2:36" ht="15.95" customHeight="1" x14ac:dyDescent="0.25">
      <c r="B49" s="103"/>
      <c r="C49" s="3581" t="s">
        <v>8012</v>
      </c>
      <c r="D49" s="3581"/>
      <c r="E49" s="3581"/>
      <c r="F49" s="3581"/>
      <c r="G49" s="3581"/>
      <c r="H49" s="3581"/>
      <c r="I49" s="3581"/>
      <c r="J49" s="3581"/>
      <c r="K49" s="3581"/>
      <c r="L49" s="3581"/>
      <c r="M49" s="3581"/>
      <c r="N49" s="3581"/>
      <c r="O49" s="3581"/>
      <c r="P49" s="3581"/>
      <c r="Q49" s="3581"/>
      <c r="R49" s="3581"/>
      <c r="S49" s="3581"/>
      <c r="T49" s="3581"/>
      <c r="U49" s="3581"/>
      <c r="V49" s="3581"/>
      <c r="W49" s="3581"/>
      <c r="X49" s="3581"/>
      <c r="Y49" s="3581"/>
      <c r="Z49" s="3581"/>
      <c r="AA49" s="3581"/>
      <c r="AB49" s="3581"/>
      <c r="AC49" s="3581"/>
      <c r="AD49" s="3581"/>
      <c r="AE49" s="3581"/>
      <c r="AF49" s="3581"/>
      <c r="AG49" s="3581"/>
      <c r="AH49" s="3581"/>
      <c r="AI49" s="3581"/>
      <c r="AJ49" s="104"/>
    </row>
    <row r="50" spans="2:36" ht="15.95" customHeight="1" x14ac:dyDescent="0.25">
      <c r="B50" s="103"/>
      <c r="C50" s="3581" t="s">
        <v>8009</v>
      </c>
      <c r="D50" s="3581"/>
      <c r="E50" s="3581"/>
      <c r="F50" s="3581"/>
      <c r="G50" s="3581"/>
      <c r="H50" s="3581"/>
      <c r="I50" s="3581"/>
      <c r="J50" s="3581"/>
      <c r="K50" s="3581"/>
      <c r="L50" s="3581"/>
      <c r="M50" s="3581"/>
      <c r="N50" s="3581"/>
      <c r="O50" s="3581"/>
      <c r="P50" s="3581"/>
      <c r="Q50" s="3581"/>
      <c r="R50" s="3581"/>
      <c r="S50" s="3581"/>
      <c r="T50" s="3581"/>
      <c r="U50" s="3581"/>
      <c r="V50" s="3581"/>
      <c r="W50" s="3581"/>
      <c r="X50" s="3581"/>
      <c r="Y50" s="3581"/>
      <c r="Z50" s="3581"/>
      <c r="AA50" s="3581"/>
      <c r="AB50" s="3581"/>
      <c r="AC50" s="3581"/>
      <c r="AD50" s="3581"/>
      <c r="AE50" s="3581"/>
      <c r="AF50" s="3581"/>
      <c r="AG50" s="3581"/>
      <c r="AH50" s="3581"/>
      <c r="AI50" s="3581"/>
      <c r="AJ50" s="104"/>
    </row>
    <row r="51" spans="2:36" ht="15.95" customHeight="1" x14ac:dyDescent="0.25">
      <c r="B51" s="103"/>
      <c r="C51" s="3581" t="s">
        <v>8010</v>
      </c>
      <c r="D51" s="3581"/>
      <c r="E51" s="3581"/>
      <c r="F51" s="3581"/>
      <c r="G51" s="3581"/>
      <c r="H51" s="3581"/>
      <c r="I51" s="3581"/>
      <c r="J51" s="3581"/>
      <c r="K51" s="3581"/>
      <c r="L51" s="3581"/>
      <c r="M51" s="3581"/>
      <c r="N51" s="3581"/>
      <c r="O51" s="3581"/>
      <c r="P51" s="3581"/>
      <c r="Q51" s="3581"/>
      <c r="R51" s="3581"/>
      <c r="S51" s="3581"/>
      <c r="T51" s="3581"/>
      <c r="U51" s="3581"/>
      <c r="V51" s="3581"/>
      <c r="W51" s="3581"/>
      <c r="X51" s="3581"/>
      <c r="Y51" s="3581"/>
      <c r="Z51" s="3581"/>
      <c r="AA51" s="3581"/>
      <c r="AB51" s="3581"/>
      <c r="AC51" s="3581"/>
      <c r="AD51" s="3581"/>
      <c r="AE51" s="3581"/>
      <c r="AF51" s="3581"/>
      <c r="AG51" s="3581"/>
      <c r="AH51" s="3581"/>
      <c r="AI51" s="3581"/>
      <c r="AJ51" s="104"/>
    </row>
    <row r="52" spans="2:36" ht="15.95" customHeight="1" x14ac:dyDescent="0.25">
      <c r="B52" s="103"/>
      <c r="C52" s="3581" t="s">
        <v>8011</v>
      </c>
      <c r="D52" s="3581"/>
      <c r="E52" s="3581"/>
      <c r="F52" s="3581"/>
      <c r="G52" s="3581"/>
      <c r="H52" s="3581"/>
      <c r="I52" s="3581"/>
      <c r="J52" s="3581"/>
      <c r="K52" s="3581"/>
      <c r="L52" s="3581"/>
      <c r="M52" s="3581"/>
      <c r="N52" s="3581"/>
      <c r="O52" s="3581"/>
      <c r="P52" s="3581"/>
      <c r="Q52" s="3581"/>
      <c r="R52" s="3581"/>
      <c r="S52" s="3581"/>
      <c r="T52" s="3581"/>
      <c r="U52" s="3581"/>
      <c r="V52" s="3581"/>
      <c r="W52" s="3581"/>
      <c r="X52" s="3581"/>
      <c r="Y52" s="3581"/>
      <c r="Z52" s="3581"/>
      <c r="AA52" s="3581"/>
      <c r="AB52" s="3581"/>
      <c r="AC52" s="3581"/>
      <c r="AD52" s="3581"/>
      <c r="AE52" s="3581"/>
      <c r="AF52" s="3581"/>
      <c r="AG52" s="3581"/>
      <c r="AH52" s="3581"/>
      <c r="AI52" s="3581"/>
      <c r="AJ52" s="104"/>
    </row>
    <row r="53" spans="2:36" ht="15.95" customHeight="1" x14ac:dyDescent="0.25">
      <c r="B53" s="103"/>
      <c r="C53" s="3581" t="s">
        <v>7974</v>
      </c>
      <c r="D53" s="3581"/>
      <c r="E53" s="3581"/>
      <c r="F53" s="3581"/>
      <c r="G53" s="3581"/>
      <c r="H53" s="3581"/>
      <c r="I53" s="3581"/>
      <c r="J53" s="3581"/>
      <c r="K53" s="3581"/>
      <c r="L53" s="3581"/>
      <c r="M53" s="3581"/>
      <c r="N53" s="3581"/>
      <c r="O53" s="3581"/>
      <c r="P53" s="3581"/>
      <c r="Q53" s="3581"/>
      <c r="R53" s="3581"/>
      <c r="S53" s="3581"/>
      <c r="T53" s="3581"/>
      <c r="U53" s="3581"/>
      <c r="V53" s="3581"/>
      <c r="W53" s="3581"/>
      <c r="X53" s="3581"/>
      <c r="Y53" s="3581"/>
      <c r="Z53" s="3581"/>
      <c r="AA53" s="3581"/>
      <c r="AB53" s="3581"/>
      <c r="AC53" s="3581"/>
      <c r="AD53" s="3582">
        <f>C21</f>
        <v>690.12</v>
      </c>
      <c r="AE53" s="3582"/>
      <c r="AF53" s="3582"/>
      <c r="AG53" s="3582"/>
      <c r="AH53" s="3582"/>
      <c r="AI53" s="3582"/>
      <c r="AJ53" s="104"/>
    </row>
    <row r="54" spans="2:36" ht="15.95" customHeight="1" x14ac:dyDescent="0.25">
      <c r="B54" s="103"/>
      <c r="C54" s="3567" t="str">
        <f>I20</f>
        <v>(seiscentos e noventa reais e doze centavos)</v>
      </c>
      <c r="D54" s="3567"/>
      <c r="E54" s="3567"/>
      <c r="F54" s="3567"/>
      <c r="G54" s="3567"/>
      <c r="H54" s="3567"/>
      <c r="I54" s="3567"/>
      <c r="J54" s="3567"/>
      <c r="K54" s="3567"/>
      <c r="L54" s="3567"/>
      <c r="M54" s="3567"/>
      <c r="N54" s="3567"/>
      <c r="O54" s="3567"/>
      <c r="P54" s="3567"/>
      <c r="Q54" s="3567"/>
      <c r="R54" s="3567"/>
      <c r="S54" s="3567"/>
      <c r="T54" s="3567"/>
      <c r="U54" s="3567"/>
      <c r="V54" s="3567"/>
      <c r="W54" s="3567"/>
      <c r="X54" s="3567"/>
      <c r="Y54" s="3567"/>
      <c r="Z54" s="3567"/>
      <c r="AA54" s="3567"/>
      <c r="AB54" s="3567"/>
      <c r="AC54" s="3567"/>
      <c r="AD54" s="3567"/>
      <c r="AE54" s="3567"/>
      <c r="AF54" s="3567"/>
      <c r="AG54" s="3567"/>
      <c r="AH54" s="3567"/>
      <c r="AI54" s="3567"/>
      <c r="AJ54" s="104"/>
    </row>
    <row r="55" spans="2:36" ht="15.95" customHeight="1" x14ac:dyDescent="0.25">
      <c r="B55" s="103"/>
      <c r="C55" s="3568" t="s">
        <v>8023</v>
      </c>
      <c r="D55" s="3568"/>
      <c r="E55" s="3568"/>
      <c r="F55" s="3568"/>
      <c r="G55" s="3568"/>
      <c r="H55" s="3568"/>
      <c r="I55" s="3568"/>
      <c r="J55" s="3568"/>
      <c r="K55" s="3568"/>
      <c r="L55" s="3568"/>
      <c r="M55" s="3568"/>
      <c r="N55" s="3568"/>
      <c r="O55" s="3568"/>
      <c r="P55" s="3568"/>
      <c r="Q55" s="3568"/>
      <c r="R55" s="3568"/>
      <c r="S55" s="3568"/>
      <c r="T55" s="3568"/>
      <c r="U55" s="3568"/>
      <c r="V55" s="3568"/>
      <c r="W55" s="3568"/>
      <c r="X55" s="3568"/>
      <c r="Y55" s="3568"/>
      <c r="Z55" s="3568"/>
      <c r="AA55" s="3568"/>
      <c r="AB55" s="3568"/>
      <c r="AC55" s="3568"/>
      <c r="AD55" s="3568"/>
      <c r="AE55" s="3568"/>
      <c r="AF55" s="3568"/>
      <c r="AG55" s="3568"/>
      <c r="AH55" s="3568"/>
      <c r="AI55" s="3568"/>
      <c r="AJ55" s="104"/>
    </row>
    <row r="56" spans="2:36" ht="18" customHeight="1" x14ac:dyDescent="0.25">
      <c r="B56" s="103"/>
      <c r="C56" s="3570" t="str">
        <f>IF(C28="","",C28)</f>
        <v>Recebimento indevido de Abono de Professor, sendo: Abono 01 de Junho a Dezembro de 2016 e Abono 02 de Agosto a Dezembro de 2016. ATBD1A, Adm.01.</v>
      </c>
      <c r="D56" s="3570"/>
      <c r="E56" s="3570"/>
      <c r="F56" s="3570"/>
      <c r="G56" s="3570"/>
      <c r="H56" s="3570"/>
      <c r="I56" s="3570"/>
      <c r="J56" s="3570"/>
      <c r="K56" s="3570"/>
      <c r="L56" s="3570"/>
      <c r="M56" s="3570"/>
      <c r="N56" s="3570"/>
      <c r="O56" s="3570"/>
      <c r="P56" s="3570"/>
      <c r="Q56" s="3570"/>
      <c r="R56" s="3570"/>
      <c r="S56" s="3570"/>
      <c r="T56" s="3570"/>
      <c r="U56" s="3570"/>
      <c r="V56" s="3570"/>
      <c r="W56" s="3570"/>
      <c r="X56" s="3570"/>
      <c r="Y56" s="3570"/>
      <c r="Z56" s="3570"/>
      <c r="AA56" s="3570"/>
      <c r="AB56" s="3570"/>
      <c r="AC56" s="3570"/>
      <c r="AD56" s="3570"/>
      <c r="AE56" s="3570"/>
      <c r="AF56" s="3570"/>
      <c r="AG56" s="3570"/>
      <c r="AH56" s="3570"/>
      <c r="AI56" s="3570"/>
      <c r="AJ56" s="104"/>
    </row>
    <row r="57" spans="2:36" ht="18" customHeight="1" x14ac:dyDescent="0.25">
      <c r="B57" s="103"/>
      <c r="C57" s="3571"/>
      <c r="D57" s="3571"/>
      <c r="E57" s="3571"/>
      <c r="F57" s="3571"/>
      <c r="G57" s="3571"/>
      <c r="H57" s="3571"/>
      <c r="I57" s="3571"/>
      <c r="J57" s="3571"/>
      <c r="K57" s="3571"/>
      <c r="L57" s="3571"/>
      <c r="M57" s="3571"/>
      <c r="N57" s="3571"/>
      <c r="O57" s="3571"/>
      <c r="P57" s="3571"/>
      <c r="Q57" s="3571"/>
      <c r="R57" s="3571"/>
      <c r="S57" s="3571"/>
      <c r="T57" s="3571"/>
      <c r="U57" s="3571"/>
      <c r="V57" s="3571"/>
      <c r="W57" s="3571"/>
      <c r="X57" s="3571"/>
      <c r="Y57" s="3571"/>
      <c r="Z57" s="3571"/>
      <c r="AA57" s="3571"/>
      <c r="AB57" s="3571"/>
      <c r="AC57" s="3571"/>
      <c r="AD57" s="3571"/>
      <c r="AE57" s="3571"/>
      <c r="AF57" s="3571"/>
      <c r="AG57" s="3571"/>
      <c r="AH57" s="3571"/>
      <c r="AI57" s="3571"/>
      <c r="AJ57" s="104"/>
    </row>
    <row r="58" spans="2:36" ht="18" customHeight="1" x14ac:dyDescent="0.25">
      <c r="B58" s="103"/>
      <c r="C58" s="3572"/>
      <c r="D58" s="3572"/>
      <c r="E58" s="3572"/>
      <c r="F58" s="3572"/>
      <c r="G58" s="3572"/>
      <c r="H58" s="3572"/>
      <c r="I58" s="3572"/>
      <c r="J58" s="3572"/>
      <c r="K58" s="3572"/>
      <c r="L58" s="3572"/>
      <c r="M58" s="3572"/>
      <c r="N58" s="3572"/>
      <c r="O58" s="3572"/>
      <c r="P58" s="3572"/>
      <c r="Q58" s="3572"/>
      <c r="R58" s="3572"/>
      <c r="S58" s="3572"/>
      <c r="T58" s="3572"/>
      <c r="U58" s="3572"/>
      <c r="V58" s="3572"/>
      <c r="W58" s="3572"/>
      <c r="X58" s="3572"/>
      <c r="Y58" s="3572"/>
      <c r="Z58" s="3572"/>
      <c r="AA58" s="3572"/>
      <c r="AB58" s="3572"/>
      <c r="AC58" s="3572"/>
      <c r="AD58" s="3572"/>
      <c r="AE58" s="3572"/>
      <c r="AF58" s="3572"/>
      <c r="AG58" s="3572"/>
      <c r="AH58" s="3572"/>
      <c r="AI58" s="3572"/>
      <c r="AJ58" s="104"/>
    </row>
    <row r="59" spans="2:36" ht="3.95" customHeight="1" x14ac:dyDescent="0.25">
      <c r="B59" s="103"/>
      <c r="C59" s="3564"/>
      <c r="D59" s="3564"/>
      <c r="E59" s="3564"/>
      <c r="F59" s="3564"/>
      <c r="G59" s="3564"/>
      <c r="H59" s="3564"/>
      <c r="I59" s="3564"/>
      <c r="J59" s="3564"/>
      <c r="K59" s="3564"/>
      <c r="L59" s="3564"/>
      <c r="M59" s="3564"/>
      <c r="N59" s="3564"/>
      <c r="O59" s="3564"/>
      <c r="P59" s="3564"/>
      <c r="Q59" s="3564"/>
      <c r="R59" s="3564"/>
      <c r="S59" s="3564"/>
      <c r="T59" s="3564"/>
      <c r="U59" s="3564"/>
      <c r="V59" s="3564"/>
      <c r="W59" s="3564"/>
      <c r="X59" s="3564"/>
      <c r="Y59" s="3564"/>
      <c r="Z59" s="3564"/>
      <c r="AA59" s="3564"/>
      <c r="AB59" s="3564"/>
      <c r="AC59" s="3564"/>
      <c r="AD59" s="3564"/>
      <c r="AE59" s="3564"/>
      <c r="AF59" s="3564"/>
      <c r="AG59" s="3564"/>
      <c r="AH59" s="3564"/>
      <c r="AI59" s="3564"/>
      <c r="AJ59" s="104"/>
    </row>
    <row r="60" spans="2:36" ht="15.95" customHeight="1" x14ac:dyDescent="0.25">
      <c r="B60" s="103"/>
      <c r="C60" s="3581" t="s">
        <v>8015</v>
      </c>
      <c r="D60" s="3581"/>
      <c r="E60" s="3581"/>
      <c r="F60" s="3581"/>
      <c r="G60" s="3581"/>
      <c r="H60" s="3581"/>
      <c r="I60" s="3581"/>
      <c r="J60" s="3581"/>
      <c r="K60" s="3581"/>
      <c r="L60" s="3581"/>
      <c r="M60" s="3581"/>
      <c r="N60" s="3581"/>
      <c r="O60" s="3581"/>
      <c r="P60" s="3581"/>
      <c r="Q60" s="3581"/>
      <c r="R60" s="3581"/>
      <c r="S60" s="3581"/>
      <c r="T60" s="3581"/>
      <c r="U60" s="3581"/>
      <c r="V60" s="3581"/>
      <c r="W60" s="3581"/>
      <c r="X60" s="3581"/>
      <c r="Y60" s="3581"/>
      <c r="Z60" s="3581"/>
      <c r="AA60" s="3581"/>
      <c r="AB60" s="3581"/>
      <c r="AC60" s="3581"/>
      <c r="AD60" s="3581"/>
      <c r="AE60" s="3581"/>
      <c r="AF60" s="3581"/>
      <c r="AG60" s="3581"/>
      <c r="AH60" s="3581"/>
      <c r="AI60" s="3581"/>
      <c r="AJ60" s="104"/>
    </row>
    <row r="61" spans="2:36" ht="15.95" customHeight="1" x14ac:dyDescent="0.25">
      <c r="B61" s="103"/>
      <c r="C61" s="3576" t="s">
        <v>8013</v>
      </c>
      <c r="D61" s="3576"/>
      <c r="E61" s="3576"/>
      <c r="F61" s="3576"/>
      <c r="G61" s="3576"/>
      <c r="H61" s="3576"/>
      <c r="I61" s="3576"/>
      <c r="J61" s="3576"/>
      <c r="K61" s="3576"/>
      <c r="L61" s="3576"/>
      <c r="M61" s="3576"/>
      <c r="N61" s="3576"/>
      <c r="O61" s="3576"/>
      <c r="P61" s="3576"/>
      <c r="Q61" s="3576"/>
      <c r="R61" s="3576"/>
      <c r="S61" s="3576"/>
      <c r="T61" s="3576"/>
      <c r="U61" s="3576"/>
      <c r="V61" s="3576"/>
      <c r="W61" s="3576"/>
      <c r="X61" s="3576"/>
      <c r="Y61" s="3576"/>
      <c r="Z61" s="3576"/>
      <c r="AA61" s="3576"/>
      <c r="AB61" s="3576"/>
      <c r="AC61" s="3576"/>
      <c r="AD61" s="3576"/>
      <c r="AE61" s="3576"/>
      <c r="AF61" s="3576"/>
      <c r="AG61" s="3576"/>
      <c r="AH61" s="3576"/>
      <c r="AI61" s="3576"/>
      <c r="AJ61" s="104"/>
    </row>
    <row r="62" spans="2:36" ht="15.95" customHeight="1" x14ac:dyDescent="0.25">
      <c r="B62" s="103"/>
      <c r="C62" s="3562" t="s">
        <v>8014</v>
      </c>
      <c r="D62" s="3562"/>
      <c r="E62" s="3562"/>
      <c r="F62" s="3562"/>
      <c r="G62" s="3562"/>
      <c r="H62" s="3562"/>
      <c r="I62" s="3562"/>
      <c r="J62" s="3562"/>
      <c r="K62" s="3562"/>
      <c r="L62" s="3562"/>
      <c r="M62" s="3562"/>
      <c r="N62" s="3562"/>
      <c r="O62" s="3562"/>
      <c r="P62" s="3562"/>
      <c r="Q62" s="3562"/>
      <c r="R62" s="3562"/>
      <c r="S62" s="3562"/>
      <c r="T62" s="3562"/>
      <c r="U62" s="3562"/>
      <c r="V62" s="3562"/>
      <c r="W62" s="3562"/>
      <c r="X62" s="3562"/>
      <c r="Y62" s="3562"/>
      <c r="Z62" s="3562"/>
      <c r="AA62" s="3562"/>
      <c r="AB62" s="3562"/>
      <c r="AC62" s="3562"/>
      <c r="AD62" s="3562"/>
      <c r="AE62" s="3562"/>
      <c r="AF62" s="3562"/>
      <c r="AG62" s="3562"/>
      <c r="AH62" s="3562"/>
      <c r="AI62" s="3562"/>
      <c r="AJ62" s="104"/>
    </row>
    <row r="63" spans="2:36" ht="15.95" customHeight="1" x14ac:dyDescent="0.25">
      <c r="B63" s="103"/>
      <c r="C63" s="315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  <c r="AE63" s="315"/>
      <c r="AF63" s="315"/>
      <c r="AG63" s="315"/>
      <c r="AH63" s="315"/>
      <c r="AI63" s="315"/>
      <c r="AJ63" s="104"/>
    </row>
    <row r="64" spans="2:36" ht="15.95" customHeight="1" x14ac:dyDescent="0.25">
      <c r="B64" s="103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315"/>
      <c r="N64" s="315"/>
      <c r="O64" s="315"/>
      <c r="P64" s="315"/>
      <c r="Q64" s="315"/>
      <c r="R64" s="315"/>
      <c r="S64" s="315"/>
      <c r="T64" s="315"/>
      <c r="U64" s="315"/>
      <c r="V64" s="315"/>
      <c r="W64" s="315"/>
      <c r="X64" s="315"/>
      <c r="Y64" s="315"/>
      <c r="Z64" s="315"/>
      <c r="AA64" s="315"/>
      <c r="AB64" s="315"/>
      <c r="AC64" s="315"/>
      <c r="AD64" s="315"/>
      <c r="AE64" s="315"/>
      <c r="AF64" s="315"/>
      <c r="AG64" s="315"/>
      <c r="AH64" s="315"/>
      <c r="AI64" s="315"/>
      <c r="AJ64" s="104"/>
    </row>
    <row r="65" spans="2:36" ht="15.95" customHeight="1" x14ac:dyDescent="0.25">
      <c r="B65" s="103"/>
      <c r="C65" s="3561" t="s">
        <v>7975</v>
      </c>
      <c r="D65" s="3561"/>
      <c r="E65" s="3561"/>
      <c r="F65" s="3561"/>
      <c r="G65" s="316"/>
      <c r="H65" s="316" t="s">
        <v>339</v>
      </c>
      <c r="I65" s="316"/>
      <c r="J65" s="316" t="s">
        <v>339</v>
      </c>
      <c r="K65" s="316"/>
      <c r="L65" s="316"/>
      <c r="M65" s="315"/>
      <c r="N65" s="315"/>
      <c r="O65" s="315"/>
      <c r="P65" s="315"/>
      <c r="Q65" s="315"/>
      <c r="R65" s="315"/>
      <c r="S65" s="315"/>
      <c r="T65" s="315"/>
      <c r="U65" s="315"/>
      <c r="V65" s="315"/>
      <c r="W65" s="315"/>
      <c r="X65" s="315"/>
      <c r="Y65" s="315"/>
      <c r="Z65" s="315"/>
      <c r="AA65" s="315"/>
      <c r="AB65" s="315"/>
      <c r="AC65" s="315"/>
      <c r="AD65" s="315"/>
      <c r="AE65" s="315"/>
      <c r="AF65" s="315"/>
      <c r="AG65" s="315"/>
      <c r="AH65" s="315"/>
      <c r="AI65" s="315"/>
      <c r="AJ65" s="104"/>
    </row>
    <row r="66" spans="2:36" ht="9.9499999999999993" customHeight="1" x14ac:dyDescent="0.25">
      <c r="B66" s="103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317"/>
      <c r="S66" s="317"/>
      <c r="T66" s="317"/>
      <c r="U66" s="317"/>
      <c r="V66" s="317"/>
      <c r="W66" s="317"/>
      <c r="X66" s="317"/>
      <c r="Y66" s="317"/>
      <c r="Z66" s="317"/>
      <c r="AA66" s="317"/>
      <c r="AB66" s="317"/>
      <c r="AC66" s="317"/>
      <c r="AD66" s="317"/>
      <c r="AE66" s="317"/>
      <c r="AF66" s="317"/>
      <c r="AG66" s="317"/>
      <c r="AH66" s="317"/>
      <c r="AI66" s="317"/>
      <c r="AJ66" s="104"/>
    </row>
    <row r="67" spans="2:36" ht="15.95" customHeight="1" x14ac:dyDescent="0.25">
      <c r="B67" s="103"/>
      <c r="C67" s="3559" t="s">
        <v>7976</v>
      </c>
      <c r="D67" s="3559"/>
      <c r="E67" s="3559"/>
      <c r="F67" s="3559"/>
      <c r="G67" s="3575"/>
      <c r="H67" s="3575"/>
      <c r="I67" s="3575"/>
      <c r="J67" s="3575"/>
      <c r="K67" s="3575"/>
      <c r="L67" s="3575"/>
      <c r="M67" s="3575"/>
      <c r="N67" s="3575"/>
      <c r="O67" s="3575"/>
      <c r="P67" s="3575"/>
      <c r="Q67" s="3575"/>
      <c r="R67" s="3575"/>
      <c r="S67" s="3575"/>
      <c r="T67" s="3575"/>
      <c r="U67" s="315"/>
      <c r="V67" s="315"/>
      <c r="W67" s="315"/>
      <c r="X67" s="315"/>
      <c r="Y67" s="315"/>
      <c r="Z67" s="315"/>
      <c r="AA67" s="315"/>
      <c r="AB67" s="315"/>
      <c r="AC67" s="315"/>
      <c r="AD67" s="315"/>
      <c r="AE67" s="315"/>
      <c r="AF67" s="315"/>
      <c r="AG67" s="315"/>
      <c r="AH67" s="315"/>
      <c r="AI67" s="315"/>
      <c r="AJ67" s="104"/>
    </row>
    <row r="68" spans="2:36" ht="15.95" customHeight="1" x14ac:dyDescent="0.25">
      <c r="B68" s="103"/>
      <c r="C68" s="382"/>
      <c r="D68" s="382"/>
      <c r="E68" s="382"/>
      <c r="F68" s="382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104"/>
    </row>
    <row r="69" spans="2:36" ht="15.95" customHeight="1" x14ac:dyDescent="0.25">
      <c r="B69" s="103"/>
      <c r="C69" s="382"/>
      <c r="D69" s="382"/>
      <c r="E69" s="382"/>
      <c r="F69" s="382"/>
      <c r="G69" s="379"/>
      <c r="H69" s="379"/>
      <c r="I69" s="379"/>
      <c r="J69" s="379"/>
      <c r="K69" s="379"/>
      <c r="L69" s="379"/>
      <c r="M69" s="379"/>
      <c r="N69" s="379"/>
      <c r="O69" s="379"/>
      <c r="P69" s="379"/>
      <c r="Q69" s="379"/>
      <c r="R69" s="379"/>
      <c r="S69" s="379"/>
      <c r="T69" s="379"/>
      <c r="U69" s="315"/>
      <c r="V69" s="315"/>
      <c r="W69" s="315"/>
      <c r="X69" s="315"/>
      <c r="Y69" s="315"/>
      <c r="Z69" s="315"/>
      <c r="AA69" s="315"/>
      <c r="AB69" s="315"/>
      <c r="AC69" s="315"/>
      <c r="AD69" s="315"/>
      <c r="AE69" s="315"/>
      <c r="AF69" s="315"/>
      <c r="AG69" s="315"/>
      <c r="AH69" s="315"/>
      <c r="AI69" s="315"/>
      <c r="AJ69" s="104"/>
    </row>
    <row r="70" spans="2:36" ht="15.95" customHeight="1" x14ac:dyDescent="0.25">
      <c r="B70" s="103"/>
      <c r="C70" s="382"/>
      <c r="D70" s="382"/>
      <c r="E70" s="382"/>
      <c r="F70" s="382"/>
      <c r="G70" s="379"/>
      <c r="H70" s="379"/>
      <c r="I70" s="379"/>
      <c r="J70" s="379"/>
      <c r="K70" s="379"/>
      <c r="L70" s="379"/>
      <c r="M70" s="379"/>
      <c r="N70" s="379"/>
      <c r="O70" s="379"/>
      <c r="P70" s="379"/>
      <c r="Q70" s="379"/>
      <c r="R70" s="379"/>
      <c r="S70" s="379"/>
      <c r="T70" s="381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5"/>
      <c r="AJ70" s="104"/>
    </row>
    <row r="71" spans="2:36" s="318" customFormat="1" ht="18" customHeight="1" x14ac:dyDescent="0.3">
      <c r="B71" s="319"/>
      <c r="C71" s="3560" t="s">
        <v>7977</v>
      </c>
      <c r="D71" s="3560"/>
      <c r="E71" s="3560"/>
      <c r="F71" s="3560"/>
      <c r="G71" s="3560"/>
      <c r="H71" s="3560"/>
      <c r="I71" s="3560"/>
      <c r="J71" s="3560"/>
      <c r="K71" s="3560"/>
      <c r="L71" s="3560"/>
      <c r="M71" s="3560"/>
      <c r="N71" s="3560"/>
      <c r="O71" s="3560"/>
      <c r="P71" s="3560"/>
      <c r="Q71" s="3560"/>
      <c r="R71" s="3560"/>
      <c r="S71" s="3560"/>
      <c r="T71" s="3560"/>
      <c r="U71" s="3560"/>
      <c r="V71" s="3560"/>
      <c r="W71" s="3560"/>
      <c r="X71" s="3560"/>
      <c r="Y71" s="3560"/>
      <c r="Z71" s="3560"/>
      <c r="AA71" s="3560"/>
      <c r="AB71" s="3560"/>
      <c r="AC71" s="3560"/>
      <c r="AD71" s="3560"/>
      <c r="AE71" s="3560"/>
      <c r="AF71" s="3560"/>
      <c r="AG71" s="3560"/>
      <c r="AH71" s="3560"/>
      <c r="AI71" s="3560"/>
      <c r="AJ71" s="320"/>
    </row>
    <row r="72" spans="2:36" s="318" customFormat="1" ht="18" customHeight="1" x14ac:dyDescent="0.3">
      <c r="B72" s="319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  <c r="Y72" s="385"/>
      <c r="Z72" s="385"/>
      <c r="AA72" s="385"/>
      <c r="AB72" s="385"/>
      <c r="AC72" s="385"/>
      <c r="AD72" s="385"/>
      <c r="AE72" s="385"/>
      <c r="AF72" s="385"/>
      <c r="AG72" s="385"/>
      <c r="AH72" s="385"/>
      <c r="AI72" s="385"/>
      <c r="AJ72" s="320"/>
    </row>
    <row r="73" spans="2:36" s="318" customFormat="1" ht="15.95" customHeight="1" x14ac:dyDescent="0.3">
      <c r="B73" s="319"/>
      <c r="C73" s="3561" t="s">
        <v>7978</v>
      </c>
      <c r="D73" s="3561"/>
      <c r="E73" s="3574"/>
      <c r="F73" s="3574"/>
      <c r="G73" s="3574"/>
      <c r="H73" s="3574"/>
      <c r="I73" s="3574"/>
      <c r="J73" s="3574"/>
      <c r="K73" s="3574"/>
      <c r="L73" s="3574"/>
      <c r="M73" s="3574"/>
      <c r="N73" s="3574"/>
      <c r="O73" s="3574"/>
      <c r="P73" s="3574"/>
      <c r="Q73" s="3574"/>
      <c r="R73" s="3574"/>
      <c r="S73" s="3574"/>
      <c r="T73" s="3574"/>
      <c r="U73" s="3574"/>
      <c r="V73" s="3574"/>
      <c r="W73" s="3574"/>
      <c r="X73" s="3574"/>
      <c r="Y73" s="3574"/>
      <c r="Z73" s="3573" t="s">
        <v>7979</v>
      </c>
      <c r="AA73" s="3573"/>
      <c r="AB73" s="3573"/>
      <c r="AC73" s="3573"/>
      <c r="AD73" s="3573"/>
      <c r="AE73" s="3573"/>
      <c r="AF73" s="3573"/>
      <c r="AG73" s="3573"/>
      <c r="AH73" s="3573"/>
      <c r="AI73" s="3573"/>
      <c r="AJ73" s="320"/>
    </row>
    <row r="74" spans="2:36" s="318" customFormat="1" ht="15.95" customHeight="1" x14ac:dyDescent="0.3">
      <c r="B74" s="319"/>
      <c r="C74" s="3573" t="s">
        <v>7980</v>
      </c>
      <c r="D74" s="3573"/>
      <c r="E74" s="3573"/>
      <c r="F74" s="3573"/>
      <c r="G74" s="3573"/>
      <c r="H74" s="3573"/>
      <c r="I74" s="3573"/>
      <c r="J74" s="3573"/>
      <c r="K74" s="3573"/>
      <c r="L74" s="3573"/>
      <c r="M74" s="3573"/>
      <c r="N74" s="3573"/>
      <c r="O74" s="3573"/>
      <c r="P74" s="3573"/>
      <c r="Q74" s="3573"/>
      <c r="R74" s="3573"/>
      <c r="S74" s="3573"/>
      <c r="T74" s="349">
        <f>IF(I23="","",I23)</f>
        <v>6</v>
      </c>
      <c r="U74" s="3587" t="str">
        <f>IF(T74="","",IF(AND(T74&gt;0,T74&lt;65),C76,IF(AND(T74&gt;64,T74&lt;100),S76)))</f>
        <v>(seis)</v>
      </c>
      <c r="V74" s="3587"/>
      <c r="W74" s="3587"/>
      <c r="X74" s="3587"/>
      <c r="Y74" s="3587"/>
      <c r="Z74" s="3586" t="s">
        <v>7981</v>
      </c>
      <c r="AA74" s="3586"/>
      <c r="AB74" s="3586"/>
      <c r="AC74" s="3586"/>
      <c r="AD74" s="3586"/>
      <c r="AE74" s="3589">
        <f>IF(R23="","",R23)</f>
        <v>115.02</v>
      </c>
      <c r="AF74" s="3589"/>
      <c r="AG74" s="3589"/>
      <c r="AH74" s="3589"/>
      <c r="AI74" s="3589"/>
      <c r="AJ74" s="320"/>
    </row>
    <row r="75" spans="2:36" s="318" customFormat="1" ht="15.95" customHeight="1" x14ac:dyDescent="0.3">
      <c r="B75" s="319"/>
      <c r="C75" s="3506" t="str">
        <f>C24&amp;"."</f>
        <v>(cento e quinze reais e dois centavos).</v>
      </c>
      <c r="D75" s="3506"/>
      <c r="E75" s="3506"/>
      <c r="F75" s="3506"/>
      <c r="G75" s="3506"/>
      <c r="H75" s="3506"/>
      <c r="I75" s="3506"/>
      <c r="J75" s="3506"/>
      <c r="K75" s="3506"/>
      <c r="L75" s="3506"/>
      <c r="M75" s="3506"/>
      <c r="N75" s="3506"/>
      <c r="O75" s="3506"/>
      <c r="P75" s="3506"/>
      <c r="Q75" s="3506"/>
      <c r="R75" s="3506"/>
      <c r="S75" s="3506"/>
      <c r="T75" s="3506"/>
      <c r="U75" s="3506"/>
      <c r="V75" s="3506"/>
      <c r="W75" s="3506"/>
      <c r="X75" s="3506"/>
      <c r="Y75" s="3506"/>
      <c r="Z75" s="3506"/>
      <c r="AA75" s="3506"/>
      <c r="AB75" s="3506"/>
      <c r="AC75" s="3506"/>
      <c r="AD75" s="3506"/>
      <c r="AE75" s="3506"/>
      <c r="AF75" s="3506"/>
      <c r="AG75" s="3506"/>
      <c r="AH75" s="3506"/>
      <c r="AI75" s="3506"/>
      <c r="AJ75" s="320"/>
    </row>
    <row r="76" spans="2:36" ht="15.95" customHeight="1" x14ac:dyDescent="0.25">
      <c r="B76" s="103"/>
      <c r="C76" s="3590" t="str">
        <f>IF(T74=1,"(uma)",IF(T74=2,"(duas)",IF(T74=3,"(três)",IF(T74=4,"(quatro)",IF(T74=5,"(cinco)",IF(T74=6,"(seis)",IF(T74=7,"(sete)",IF(T74=8,"(oito)",IF(T74=9,"(nove)",IF(T74=10,"(dez)",IF(T74=11,"(onze)",IF(T74=12,"(doze)",IF(T74=13,"(treze)",IF(T74=14,"(quatorze)",IF(T74=15,"(quinze)",IF(T74=16,"(dezesseis)",IF(T74=17,"(dezessete)",IF(T74=18,"(dezoito)",IF(T74=19,"(dezenove)",IF(T74=20,"(vinte)",IF(T74=21,"(vinte e uma)",IF(T74=22,"(vinte e duas)",IF(T74=23,"(vinte e três)",IF(T74=24,"(vinte e quatro)",IF(T74=25,"(vinte e cinco)",IF(T74=26,"(vinte e seis)",IF(T74=27,"(vinte e sete)",IF(T74=28,"(vinte e oito)",IF(T74=29,"(vinte e nove)",IF(T74=30,"(trinta)",IF(T74=31,"(trinta e uma)",IF(T74=32,"(trinta e duas)",IF(T74=33,"(trinta e três)",IF(T74=34,"(trinta e quatro)",IF(T74=35,"(trinta e cinco)",IF(T74=36,"(trinta e seis)",IF(T74=37,"(trinta e sete)",IF(T74=38,"(trinta e oito)",IF(T74=39,"(trinta e nove)",IF(T74=40,"(quarenta)",IF(T74=41,"(quarenta e uma)",IF(T74=42,"(quarenta e duas)",IF(T74=43,"(quarenta e três)",IF(T74=44,"(quarenta e quatro)",IF(T74=45,"(quarenta e cinco)",IF(T74=46,"(quarenta e seis)",IF(T74=47,"(quarenta e sete)",IF(T74=48,"(quarenta e oito)",IF(T74=49,"(quarenta e nove)",IF(T74=50,"(cinquenta)",IF(T74=51,"(cinquenta e um)",IF(T74=52,"(cinquenta e dois)",IF(T74=53,"(cinquenta e três)",IF(T74=54,"(cinquenta e quatro)",IF(T74=55,"(cinquenta e cinco)",IF(T74=56,"(cinquenta e seis)",IF(T74=57,"(cinquenta e sete)",IF(T74=58,"(cinquenta e oito)",IF(T74=59,"(cinquenta e nove)",IF(T74=60,"(sessenta)",IF(T74=61,"(sessenta e uma)",IF(T74=62,"(sessenta e duas)",IF(T74=63,"(sessenta e três)",IF(T74=64,"(sessenta e quatro)"))))))))))))))))))))))))))))))))))))))))))))))))))))))))))))))))</f>
        <v>(seis)</v>
      </c>
      <c r="D76" s="3590"/>
      <c r="E76" s="3590"/>
      <c r="F76" s="3590"/>
      <c r="G76" s="3590"/>
      <c r="H76" s="3590"/>
      <c r="I76" s="3590"/>
      <c r="J76" s="3590"/>
      <c r="K76" s="3590"/>
      <c r="L76" s="3590"/>
      <c r="M76" s="3590"/>
      <c r="N76" s="3590"/>
      <c r="O76" s="3590"/>
      <c r="P76" s="3590"/>
      <c r="Q76" s="3590"/>
      <c r="R76" s="3590"/>
      <c r="S76" s="3590">
        <f>IF(T74=65,"(sessenta e cinco)",IF(T74=66,"(sessenta e seis)",IF(T74=67,"(sessenta e sete)",IF(T74=68,"(sessenta e oito)",IF(T74=69,"(sessenta e nove)",IF(T74=70,"(setenta)",IF(T74=71,"(setenta e uma)",IF(T74=72,"(setenta e duas)",IF(T74=73,"(setenta e três)",IF(T74=74,"(setenta e quatro)",IF(T74=75,"(setenta e cinco)",IF(T74=76,"(setenta e seis)",IF(T74=77,"(setenta e sete)",IF(T74=78,"(setenta e oito)",IF(T74=79,"(setenta e nove)",IF(T74=80,"(oitenta)",IF(T74=81,"(oitenta e um)",IF(T74=82,"(oitenta e dois)",IF(T74=83,"(oitenta e três)",IF(T74=84,"(oitenta e quatro)",IF(T74=85,"(oitenta e cinco)",IF(T74=86,"(oitenta e seis)",IF(T74=87,"(oitenta e sete)",IF(T74=88,"(oitenta e oito)",IF(T74=89,"(oitenta e nove)",IF(T74=90,"(noventa)",IF(T74=91,"(noventa e um)",IF(T74=92,"(noventa e dois)",IF(T74=93,"(noventa e três)",IF(T74=94,"(noventa e quatro)",IF(T74=95,"(noventa e cinco)",IF(T74=96,"(noventa e seis)",IF(T74=97,"(noventa e sete)",IF(T74=98,"(noventa e oito)",IF(T74=99,"(noventa e nove)",)))))))))))))))))))))))))))))))))))</f>
        <v>0</v>
      </c>
      <c r="T76" s="3590"/>
      <c r="U76" s="3590"/>
      <c r="V76" s="3590"/>
      <c r="W76" s="3590"/>
      <c r="X76" s="3590"/>
      <c r="Y76" s="3590"/>
      <c r="Z76" s="3590"/>
      <c r="AA76" s="3590"/>
      <c r="AB76" s="3590"/>
      <c r="AC76" s="3590"/>
      <c r="AD76" s="3590"/>
      <c r="AE76" s="3590"/>
      <c r="AF76" s="3590"/>
      <c r="AG76" s="3590"/>
      <c r="AH76" s="3590"/>
      <c r="AI76" s="3590"/>
      <c r="AJ76" s="104"/>
    </row>
    <row r="77" spans="2:36" ht="15.95" customHeight="1" x14ac:dyDescent="0.25">
      <c r="B77" s="103"/>
      <c r="C77" s="3556" t="str">
        <f>Geral!I8</f>
        <v>Uberaba</v>
      </c>
      <c r="D77" s="3556"/>
      <c r="E77" s="3556"/>
      <c r="F77" s="3556"/>
      <c r="G77" s="3556"/>
      <c r="H77" s="3556"/>
      <c r="I77" s="3556"/>
      <c r="J77" s="3556"/>
      <c r="K77" s="3556"/>
      <c r="L77" s="3556"/>
      <c r="M77" s="3556"/>
      <c r="N77" s="3556"/>
      <c r="O77" s="3556"/>
      <c r="P77" s="3556"/>
      <c r="Q77" s="368" t="s">
        <v>365</v>
      </c>
      <c r="R77" s="378"/>
      <c r="S77" s="321" t="s">
        <v>339</v>
      </c>
      <c r="T77" s="378"/>
      <c r="U77" s="321" t="s">
        <v>339</v>
      </c>
      <c r="V77" s="3588"/>
      <c r="W77" s="3588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104"/>
    </row>
    <row r="78" spans="2:36" ht="20.100000000000001" customHeight="1" x14ac:dyDescent="0.25">
      <c r="B78" s="103"/>
      <c r="C78" s="3306"/>
      <c r="D78" s="3306"/>
      <c r="E78" s="3306"/>
      <c r="F78" s="3306"/>
      <c r="G78" s="3306"/>
      <c r="H78" s="3306"/>
      <c r="I78" s="3306"/>
      <c r="J78" s="3306"/>
      <c r="K78" s="3306"/>
      <c r="L78" s="3306"/>
      <c r="M78" s="3306"/>
      <c r="N78" s="3306"/>
      <c r="O78" s="3306"/>
      <c r="P78" s="3306"/>
      <c r="Q78" s="3306"/>
      <c r="R78" s="3306"/>
      <c r="S78" s="3306"/>
      <c r="T78" s="3306"/>
      <c r="U78" s="3306"/>
      <c r="V78" s="3306"/>
      <c r="W78" s="3306"/>
      <c r="X78" s="3306"/>
      <c r="Y78" s="3306"/>
      <c r="Z78" s="3306"/>
      <c r="AA78" s="3306"/>
      <c r="AB78" s="3306"/>
      <c r="AC78" s="3306"/>
      <c r="AD78" s="3306"/>
      <c r="AE78" s="3306"/>
      <c r="AF78" s="3306"/>
      <c r="AG78" s="3306"/>
      <c r="AH78" s="3306"/>
      <c r="AI78" s="3306"/>
      <c r="AJ78" s="104"/>
    </row>
    <row r="79" spans="2:36" ht="15.95" customHeight="1" x14ac:dyDescent="0.25">
      <c r="B79" s="103"/>
      <c r="C79" s="3304" t="s">
        <v>7976</v>
      </c>
      <c r="D79" s="3304"/>
      <c r="E79" s="3304"/>
      <c r="F79" s="3304"/>
      <c r="G79" s="3585"/>
      <c r="H79" s="3585"/>
      <c r="I79" s="3585"/>
      <c r="J79" s="3585"/>
      <c r="K79" s="3585"/>
      <c r="L79" s="3585"/>
      <c r="M79" s="3585"/>
      <c r="N79" s="3585"/>
      <c r="O79" s="3585"/>
      <c r="P79" s="3585"/>
      <c r="Q79" s="3585"/>
      <c r="R79" s="3585"/>
      <c r="S79" s="3585"/>
      <c r="T79" s="3585"/>
      <c r="U79" s="3584" t="s">
        <v>1</v>
      </c>
      <c r="V79" s="3584"/>
      <c r="W79" s="3584"/>
      <c r="X79" s="3584"/>
      <c r="Y79" s="3385"/>
      <c r="Z79" s="3385"/>
      <c r="AA79" s="3385"/>
      <c r="AB79" s="3385"/>
      <c r="AC79" s="3385"/>
      <c r="AD79" s="3385"/>
      <c r="AE79" s="3385"/>
      <c r="AF79" s="365"/>
      <c r="AG79" s="365"/>
      <c r="AH79" s="365"/>
      <c r="AI79" s="365"/>
      <c r="AJ79" s="104"/>
    </row>
    <row r="80" spans="2:36" ht="15.95" customHeight="1" x14ac:dyDescent="0.25">
      <c r="B80" s="103"/>
      <c r="C80" s="3550" t="s">
        <v>8017</v>
      </c>
      <c r="D80" s="3550"/>
      <c r="E80" s="3550"/>
      <c r="F80" s="3550"/>
      <c r="G80" s="3550"/>
      <c r="H80" s="3550"/>
      <c r="I80" s="3550"/>
      <c r="J80" s="3550"/>
      <c r="K80" s="3550"/>
      <c r="L80" s="3550"/>
      <c r="M80" s="3550"/>
      <c r="N80" s="3550"/>
      <c r="O80" s="3550"/>
      <c r="P80" s="3550"/>
      <c r="Q80" s="3550"/>
      <c r="R80" s="3550"/>
      <c r="S80" s="3550"/>
      <c r="T80" s="3550"/>
      <c r="U80" s="3550"/>
      <c r="V80" s="3550"/>
      <c r="W80" s="3550"/>
      <c r="X80" s="3550"/>
      <c r="Y80" s="3550"/>
      <c r="Z80" s="3550"/>
      <c r="AA80" s="3550"/>
      <c r="AB80" s="3550"/>
      <c r="AC80" s="3550"/>
      <c r="AD80" s="3550"/>
      <c r="AE80" s="3550"/>
      <c r="AF80" s="3550"/>
      <c r="AG80" s="3550"/>
      <c r="AH80" s="3550"/>
      <c r="AI80" s="3550"/>
      <c r="AJ80" s="104"/>
    </row>
    <row r="81" spans="2:36" ht="14.1" customHeight="1" x14ac:dyDescent="0.25">
      <c r="B81" s="103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104"/>
    </row>
    <row r="82" spans="2:36" ht="14.1" customHeight="1" x14ac:dyDescent="0.25">
      <c r="B82" s="103"/>
      <c r="C82" s="3398"/>
      <c r="D82" s="3398"/>
      <c r="E82" s="3398"/>
      <c r="F82" s="3398"/>
      <c r="G82" s="3398"/>
      <c r="H82" s="3398"/>
      <c r="I82" s="3398"/>
      <c r="J82" s="3398"/>
      <c r="K82" s="3398"/>
      <c r="L82" s="3398"/>
      <c r="M82" s="3398"/>
      <c r="N82" s="3398"/>
      <c r="O82" s="3398"/>
      <c r="P82" s="3398"/>
      <c r="Q82" s="3398"/>
      <c r="R82" s="3398"/>
      <c r="S82" s="3398"/>
      <c r="T82" s="3398"/>
      <c r="U82" s="3398"/>
      <c r="V82" s="3398"/>
      <c r="W82" s="3398"/>
      <c r="X82" s="3398"/>
      <c r="Y82" s="3398"/>
      <c r="Z82" s="3398"/>
      <c r="AA82" s="3398"/>
      <c r="AB82" s="3398"/>
      <c r="AC82" s="3398"/>
      <c r="AD82" s="3398"/>
      <c r="AE82" s="3398"/>
      <c r="AF82" s="3398"/>
      <c r="AG82" s="3398"/>
      <c r="AH82" s="3398"/>
      <c r="AI82" s="3398"/>
      <c r="AJ82" s="104"/>
    </row>
    <row r="83" spans="2:36" ht="15.95" customHeight="1" x14ac:dyDescent="0.25">
      <c r="B83" s="103"/>
      <c r="C83" s="3398"/>
      <c r="D83" s="3398"/>
      <c r="E83" s="3398"/>
      <c r="F83" s="3398"/>
      <c r="G83" s="3398"/>
      <c r="H83" s="3398"/>
      <c r="I83" s="3398"/>
      <c r="J83" s="3398"/>
      <c r="K83" s="3398"/>
      <c r="L83" s="3398"/>
      <c r="M83" s="3398"/>
      <c r="N83" s="3398"/>
      <c r="O83" s="3398"/>
      <c r="P83" s="3398"/>
      <c r="Q83" s="3398"/>
      <c r="R83" s="3398"/>
      <c r="S83" s="3398"/>
      <c r="T83" s="3398"/>
      <c r="U83" s="3398"/>
      <c r="V83" s="3398"/>
      <c r="W83" s="3398"/>
      <c r="X83" s="3398"/>
      <c r="Y83" s="3398"/>
      <c r="Z83" s="3398"/>
      <c r="AA83" s="3398"/>
      <c r="AB83" s="3398"/>
      <c r="AC83" s="3398"/>
      <c r="AD83" s="3398"/>
      <c r="AE83" s="3398"/>
      <c r="AF83" s="3398"/>
      <c r="AG83" s="3398"/>
      <c r="AH83" s="3398"/>
      <c r="AI83" s="3398"/>
      <c r="AJ83" s="104"/>
    </row>
    <row r="84" spans="2:36" ht="15.95" customHeight="1" thickBot="1" x14ac:dyDescent="0.3">
      <c r="B84" s="105"/>
      <c r="C84" s="106"/>
      <c r="D84" s="106"/>
      <c r="E84" s="106"/>
      <c r="F84" s="301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301"/>
      <c r="AF84" s="107"/>
      <c r="AG84" s="107"/>
      <c r="AH84" s="107"/>
      <c r="AI84" s="107"/>
      <c r="AJ84" s="108"/>
    </row>
    <row r="85" spans="2:36" ht="15" customHeight="1" thickTop="1" x14ac:dyDescent="0.25">
      <c r="F85" s="302"/>
      <c r="AE85" s="302"/>
    </row>
    <row r="86" spans="2:36" ht="15" customHeight="1" x14ac:dyDescent="0.25">
      <c r="F86" s="302"/>
      <c r="AE86" s="302"/>
    </row>
    <row r="87" spans="2:36" ht="15" customHeight="1" x14ac:dyDescent="0.25">
      <c r="F87" s="302"/>
      <c r="AE87" s="302"/>
    </row>
    <row r="88" spans="2:36" ht="15" customHeight="1" x14ac:dyDescent="0.25">
      <c r="F88" s="302"/>
      <c r="AE88" s="302"/>
    </row>
    <row r="89" spans="2:36" ht="15" customHeight="1" x14ac:dyDescent="0.25">
      <c r="Z89" s="302"/>
      <c r="AE89" s="302"/>
    </row>
  </sheetData>
  <sheetProtection algorithmName="SHA-512" hashValue="knLhAtLACrmDRcFdVkVD799Cdig6JOSv4ZtqLEYDfP7BXg2EjsminXTicYEMCLJxkwSBLEdQrsSpT+81KHH/wg==" saltValue="MZJhPiIy3acbSEjvYPFJlQ==" spinCount="100000" sheet="1" objects="1" scenarios="1" selectLockedCells="1"/>
  <mergeCells count="96">
    <mergeCell ref="B3:AJ3"/>
    <mergeCell ref="B4:B28"/>
    <mergeCell ref="C4:D5"/>
    <mergeCell ref="F4:AD4"/>
    <mergeCell ref="AJ4:AJ28"/>
    <mergeCell ref="F5:AD5"/>
    <mergeCell ref="F6:AD6"/>
    <mergeCell ref="H12:AI12"/>
    <mergeCell ref="H13:I13"/>
    <mergeCell ref="J13:M13"/>
    <mergeCell ref="N13:AI13"/>
    <mergeCell ref="H14:M14"/>
    <mergeCell ref="I20:AI21"/>
    <mergeCell ref="C15:AI15"/>
    <mergeCell ref="C24:AI24"/>
    <mergeCell ref="X23:AI23"/>
    <mergeCell ref="C49:AI49"/>
    <mergeCell ref="C51:AI51"/>
    <mergeCell ref="C43:I43"/>
    <mergeCell ref="C79:F79"/>
    <mergeCell ref="U79:X79"/>
    <mergeCell ref="Y79:AE79"/>
    <mergeCell ref="G79:T79"/>
    <mergeCell ref="Z74:AD74"/>
    <mergeCell ref="C75:AI75"/>
    <mergeCell ref="U74:Y74"/>
    <mergeCell ref="V77:W77"/>
    <mergeCell ref="C78:AI78"/>
    <mergeCell ref="C74:S74"/>
    <mergeCell ref="AE74:AI74"/>
    <mergeCell ref="C76:R76"/>
    <mergeCell ref="S76:AI76"/>
    <mergeCell ref="Z73:AI73"/>
    <mergeCell ref="E73:Y73"/>
    <mergeCell ref="G67:T67"/>
    <mergeCell ref="C61:AI61"/>
    <mergeCell ref="N14:AI14"/>
    <mergeCell ref="C16:AI18"/>
    <mergeCell ref="C20:H20"/>
    <mergeCell ref="C21:H21"/>
    <mergeCell ref="C60:AI60"/>
    <mergeCell ref="C53:AC53"/>
    <mergeCell ref="AD53:AI53"/>
    <mergeCell ref="C42:AI42"/>
    <mergeCell ref="C50:AI50"/>
    <mergeCell ref="C52:AI52"/>
    <mergeCell ref="I48:M48"/>
    <mergeCell ref="O48:S48"/>
    <mergeCell ref="C62:AI62"/>
    <mergeCell ref="C65:F65"/>
    <mergeCell ref="A32:AJ32"/>
    <mergeCell ref="F34:AD34"/>
    <mergeCell ref="F35:AD35"/>
    <mergeCell ref="F36:AD36"/>
    <mergeCell ref="C59:AI59"/>
    <mergeCell ref="C47:AI47"/>
    <mergeCell ref="C48:H48"/>
    <mergeCell ref="C54:AI54"/>
    <mergeCell ref="C55:AI55"/>
    <mergeCell ref="J43:AI43"/>
    <mergeCell ref="C44:I44"/>
    <mergeCell ref="J44:AI44"/>
    <mergeCell ref="C56:AI58"/>
    <mergeCell ref="T48:AI48"/>
    <mergeCell ref="C80:AI80"/>
    <mergeCell ref="C82:AI82"/>
    <mergeCell ref="C83:AI83"/>
    <mergeCell ref="F7:AD7"/>
    <mergeCell ref="C9:E9"/>
    <mergeCell ref="F9:I9"/>
    <mergeCell ref="K9:P9"/>
    <mergeCell ref="AD11:AI11"/>
    <mergeCell ref="C77:P77"/>
    <mergeCell ref="C11:G11"/>
    <mergeCell ref="Z11:AC11"/>
    <mergeCell ref="H11:Y11"/>
    <mergeCell ref="C13:G13"/>
    <mergeCell ref="C67:F67"/>
    <mergeCell ref="C71:AI71"/>
    <mergeCell ref="C73:D73"/>
    <mergeCell ref="C26:AI26"/>
    <mergeCell ref="C28:AI30"/>
    <mergeCell ref="C45:AI46"/>
    <mergeCell ref="C23:H23"/>
    <mergeCell ref="I23:J23"/>
    <mergeCell ref="L23:Q23"/>
    <mergeCell ref="R23:W23"/>
    <mergeCell ref="F37:AD37"/>
    <mergeCell ref="C38:AI38"/>
    <mergeCell ref="C39:P39"/>
    <mergeCell ref="R39:AI39"/>
    <mergeCell ref="C41:G41"/>
    <mergeCell ref="H41:Y41"/>
    <mergeCell ref="Z41:AC41"/>
    <mergeCell ref="AD41:AI41"/>
    <mergeCell ref="B31:AJ31"/>
  </mergeCells>
  <pageMargins left="0.78740157480314965" right="0.39370078740157483" top="0.39370078740157483" bottom="0.19685039370078741" header="0.31496062992125984" footer="0.31496062992125984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pageSetUpPr fitToPage="1"/>
  </sheetPr>
  <dimension ref="B1:BZ133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23" width="4.85546875" style="1" hidden="1" customWidth="1"/>
    <col min="24" max="24" width="15.7109375" style="1" hidden="1" customWidth="1"/>
    <col min="25" max="78" width="2.7109375" style="1" hidden="1" customWidth="1"/>
    <col min="79" max="109" width="2.7109375" style="1" customWidth="1"/>
    <col min="110" max="16384" width="2.7109375" style="1"/>
  </cols>
  <sheetData>
    <row r="1" spans="2:33" ht="9.9499999999999993" customHeight="1" x14ac:dyDescent="0.4"/>
    <row r="2" spans="2:33" ht="9.9499999999999993" customHeight="1" thickBot="1" x14ac:dyDescent="0.45"/>
    <row r="3" spans="2:33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</row>
    <row r="4" spans="2:33" ht="21.95" customHeight="1" thickBot="1" x14ac:dyDescent="0.45">
      <c r="B4" s="1725"/>
      <c r="C4" s="195"/>
      <c r="D4" s="163"/>
      <c r="E4" s="162"/>
      <c r="F4" s="1727" t="s">
        <v>8198</v>
      </c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8"/>
      <c r="T4" s="1728"/>
      <c r="U4" s="196"/>
      <c r="V4" s="1729"/>
      <c r="W4" s="42"/>
      <c r="X4" s="42"/>
      <c r="Y4" s="42"/>
    </row>
    <row r="5" spans="2:33" ht="3" customHeight="1" thickBot="1" x14ac:dyDescent="0.45">
      <c r="B5" s="1726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1730"/>
      <c r="W5" s="42"/>
      <c r="X5" s="42"/>
      <c r="Y5" s="42"/>
    </row>
    <row r="6" spans="2:33" ht="21.95" customHeight="1" x14ac:dyDescent="0.4">
      <c r="B6" s="1726"/>
      <c r="C6" s="1752" t="s">
        <v>3</v>
      </c>
      <c r="D6" s="1753"/>
      <c r="E6" s="1753"/>
      <c r="F6" s="1753"/>
      <c r="G6" s="1754" t="s">
        <v>9420</v>
      </c>
      <c r="H6" s="1754"/>
      <c r="I6" s="1754"/>
      <c r="J6" s="1754"/>
      <c r="K6" s="1754"/>
      <c r="L6" s="1754"/>
      <c r="M6" s="1754"/>
      <c r="N6" s="1754"/>
      <c r="O6" s="1754"/>
      <c r="P6" s="1754"/>
      <c r="Q6" s="1754"/>
      <c r="R6" s="1755" t="s">
        <v>1</v>
      </c>
      <c r="S6" s="1755"/>
      <c r="T6" s="2853">
        <v>6532865</v>
      </c>
      <c r="U6" s="2854"/>
      <c r="V6" s="1730"/>
      <c r="W6" s="43"/>
      <c r="X6" s="43"/>
      <c r="Y6" s="43"/>
    </row>
    <row r="7" spans="2:33" ht="15.95" customHeight="1" thickBot="1" x14ac:dyDescent="0.45">
      <c r="B7" s="1726"/>
      <c r="C7" s="2781" t="s">
        <v>361</v>
      </c>
      <c r="D7" s="2782"/>
      <c r="E7" s="2782"/>
      <c r="F7" s="2782"/>
      <c r="G7" s="504">
        <v>3</v>
      </c>
      <c r="H7" s="3768" t="s">
        <v>7959</v>
      </c>
      <c r="I7" s="3769"/>
      <c r="J7" s="3770"/>
      <c r="K7" s="3771"/>
      <c r="L7" s="3772" t="str">
        <f>IF(J7&lt;&gt;0,DATEVALUE( TEXT( J7, "##""/""##""/""##" ) &amp; "" ),"")</f>
        <v/>
      </c>
      <c r="M7" s="3772"/>
      <c r="N7" s="3772"/>
      <c r="O7" s="3772"/>
      <c r="P7" s="3772"/>
      <c r="Q7" s="518" t="s">
        <v>8138</v>
      </c>
      <c r="R7" s="3773" t="s">
        <v>8139</v>
      </c>
      <c r="S7" s="3773"/>
      <c r="T7" s="3773"/>
      <c r="U7" s="3774"/>
      <c r="V7" s="1730"/>
      <c r="W7" s="43"/>
      <c r="X7" s="43"/>
      <c r="Y7" s="43"/>
    </row>
    <row r="8" spans="2:33" ht="15.95" customHeight="1" thickBot="1" x14ac:dyDescent="0.45">
      <c r="B8" s="2238"/>
      <c r="C8" s="2239"/>
      <c r="D8" s="2239"/>
      <c r="E8" s="2239"/>
      <c r="F8" s="2239"/>
      <c r="G8" s="2239"/>
      <c r="H8" s="2239"/>
      <c r="I8" s="2239"/>
      <c r="J8" s="2239"/>
      <c r="K8" s="2239"/>
      <c r="L8" s="2239"/>
      <c r="M8" s="2239"/>
      <c r="N8" s="2239"/>
      <c r="O8" s="2239"/>
      <c r="P8" s="2239"/>
      <c r="Q8" s="2239"/>
      <c r="R8" s="2239"/>
      <c r="S8" s="2239"/>
      <c r="T8" s="2239"/>
      <c r="U8" s="2239"/>
      <c r="V8" s="2240"/>
    </row>
    <row r="9" spans="2:33" ht="5.0999999999999996" customHeight="1" thickTop="1" thickBot="1" x14ac:dyDescent="0.45"/>
    <row r="10" spans="2:33" ht="15.95" customHeight="1" thickTop="1" thickBot="1" x14ac:dyDescent="0.45">
      <c r="B10" s="52"/>
      <c r="C10" s="5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5"/>
    </row>
    <row r="11" spans="2:33" s="3" customFormat="1" ht="3" customHeight="1" x14ac:dyDescent="0.25">
      <c r="B11" s="56"/>
      <c r="C11" s="2241"/>
      <c r="D11" s="2242"/>
      <c r="E11" s="2242"/>
      <c r="F11" s="2242"/>
      <c r="G11" s="2242"/>
      <c r="H11" s="2242"/>
      <c r="I11" s="2242"/>
      <c r="J11" s="2242"/>
      <c r="K11" s="2242"/>
      <c r="L11" s="2242"/>
      <c r="M11" s="2242"/>
      <c r="N11" s="2242"/>
      <c r="O11" s="2242"/>
      <c r="P11" s="2242"/>
      <c r="Q11" s="2242"/>
      <c r="R11" s="2242"/>
      <c r="S11" s="2242"/>
      <c r="T11" s="2242"/>
      <c r="U11" s="2243"/>
      <c r="V11" s="57"/>
    </row>
    <row r="12" spans="2:33" s="3" customFormat="1" ht="12.95" customHeight="1" x14ac:dyDescent="0.25">
      <c r="B12" s="56"/>
      <c r="C12" s="444"/>
      <c r="D12" s="515"/>
      <c r="E12" s="516"/>
      <c r="F12" s="1433" t="s">
        <v>7925</v>
      </c>
      <c r="G12" s="1433"/>
      <c r="H12" s="1433"/>
      <c r="I12" s="1433"/>
      <c r="J12" s="1433"/>
      <c r="K12" s="1433"/>
      <c r="L12" s="1433"/>
      <c r="M12" s="1433"/>
      <c r="N12" s="1433"/>
      <c r="O12" s="1433"/>
      <c r="P12" s="1433"/>
      <c r="Q12" s="1433"/>
      <c r="R12" s="1433"/>
      <c r="S12" s="1433"/>
      <c r="T12" s="1433"/>
      <c r="U12" s="2244"/>
      <c r="V12" s="57"/>
    </row>
    <row r="13" spans="2:33" ht="12.95" customHeight="1" x14ac:dyDescent="0.4">
      <c r="B13" s="58"/>
      <c r="C13" s="445"/>
      <c r="D13" s="514"/>
      <c r="E13" s="516"/>
      <c r="F13" s="1433" t="s">
        <v>7926</v>
      </c>
      <c r="G13" s="1433"/>
      <c r="H13" s="1433"/>
      <c r="I13" s="1433"/>
      <c r="J13" s="1433"/>
      <c r="K13" s="1433"/>
      <c r="L13" s="1433"/>
      <c r="M13" s="1433"/>
      <c r="N13" s="1433"/>
      <c r="O13" s="1433"/>
      <c r="P13" s="1433"/>
      <c r="Q13" s="1433"/>
      <c r="R13" s="1433"/>
      <c r="S13" s="1433"/>
      <c r="T13" s="1433"/>
      <c r="U13" s="2244"/>
      <c r="V13" s="59"/>
      <c r="AG13" s="1">
        <v>2</v>
      </c>
    </row>
    <row r="14" spans="2:33" ht="12.95" customHeight="1" x14ac:dyDescent="0.4">
      <c r="B14" s="58"/>
      <c r="C14" s="517"/>
      <c r="D14" s="516"/>
      <c r="E14" s="515"/>
      <c r="F14" s="2291" t="s">
        <v>8079</v>
      </c>
      <c r="G14" s="2291"/>
      <c r="H14" s="2291"/>
      <c r="I14" s="2291"/>
      <c r="J14" s="2291"/>
      <c r="K14" s="2291"/>
      <c r="L14" s="2291"/>
      <c r="M14" s="2291"/>
      <c r="N14" s="1435" t="str">
        <f>Geral!I8</f>
        <v>Uberaba</v>
      </c>
      <c r="O14" s="1435"/>
      <c r="P14" s="1435"/>
      <c r="Q14" s="1435"/>
      <c r="R14" s="1435"/>
      <c r="S14" s="1435"/>
      <c r="T14" s="1435"/>
      <c r="U14" s="2292"/>
      <c r="V14" s="59"/>
    </row>
    <row r="15" spans="2:33" ht="3" customHeight="1" thickBot="1" x14ac:dyDescent="0.45">
      <c r="B15" s="58"/>
      <c r="C15" s="2293"/>
      <c r="D15" s="1434"/>
      <c r="E15" s="1434"/>
      <c r="F15" s="1434"/>
      <c r="G15" s="1434"/>
      <c r="H15" s="1434"/>
      <c r="I15" s="1434"/>
      <c r="J15" s="1434"/>
      <c r="K15" s="1434"/>
      <c r="L15" s="1434"/>
      <c r="M15" s="1434"/>
      <c r="N15" s="1434"/>
      <c r="O15" s="1434"/>
      <c r="P15" s="1434"/>
      <c r="Q15" s="1434"/>
      <c r="R15" s="1434"/>
      <c r="S15" s="1434"/>
      <c r="T15" s="1434"/>
      <c r="U15" s="2294"/>
      <c r="V15" s="59"/>
    </row>
    <row r="16" spans="2:33" ht="15" customHeight="1" thickBot="1" x14ac:dyDescent="0.45">
      <c r="B16" s="58"/>
      <c r="C16" s="2295" t="s">
        <v>8140</v>
      </c>
      <c r="D16" s="2296"/>
      <c r="E16" s="2296"/>
      <c r="F16" s="2296"/>
      <c r="G16" s="2296"/>
      <c r="H16" s="2296"/>
      <c r="I16" s="2296"/>
      <c r="J16" s="2296"/>
      <c r="K16" s="2296"/>
      <c r="L16" s="2296"/>
      <c r="M16" s="2296"/>
      <c r="N16" s="2296"/>
      <c r="O16" s="2296"/>
      <c r="P16" s="2296"/>
      <c r="Q16" s="2296"/>
      <c r="R16" s="2296"/>
      <c r="S16" s="2296"/>
      <c r="T16" s="2296"/>
      <c r="U16" s="2297"/>
      <c r="V16" s="59"/>
    </row>
    <row r="17" spans="2:63" ht="15" customHeight="1" x14ac:dyDescent="0.4">
      <c r="B17" s="58"/>
      <c r="C17" s="2298" t="s">
        <v>367</v>
      </c>
      <c r="D17" s="2299"/>
      <c r="E17" s="2300" t="str">
        <f>G6</f>
        <v>Maria Helena Leandro Luiz</v>
      </c>
      <c r="F17" s="2300"/>
      <c r="G17" s="2300"/>
      <c r="H17" s="2300"/>
      <c r="I17" s="2300"/>
      <c r="J17" s="2300"/>
      <c r="K17" s="2300"/>
      <c r="L17" s="2300"/>
      <c r="M17" s="2300"/>
      <c r="N17" s="2300"/>
      <c r="O17" s="2300"/>
      <c r="P17" s="2300"/>
      <c r="Q17" s="2301" t="s">
        <v>1</v>
      </c>
      <c r="R17" s="2301"/>
      <c r="S17" s="2302">
        <f>T6</f>
        <v>6532865</v>
      </c>
      <c r="T17" s="2302"/>
      <c r="U17" s="2303"/>
      <c r="V17" s="59"/>
      <c r="X17" s="506" t="s">
        <v>8150</v>
      </c>
    </row>
    <row r="18" spans="2:63" ht="15" customHeight="1" x14ac:dyDescent="0.4">
      <c r="B18" s="58"/>
      <c r="C18" s="3680" t="s">
        <v>8081</v>
      </c>
      <c r="D18" s="3681"/>
      <c r="E18" s="3681"/>
      <c r="F18" s="461" t="s">
        <v>8082</v>
      </c>
      <c r="G18" s="3763" t="str">
        <f>Geral!I8</f>
        <v>Uberaba</v>
      </c>
      <c r="H18" s="3763"/>
      <c r="I18" s="3763"/>
      <c r="J18" s="3763"/>
      <c r="K18" s="3763"/>
      <c r="L18" s="3763"/>
      <c r="M18" s="3763"/>
      <c r="N18" s="3763"/>
      <c r="O18" s="3763"/>
      <c r="P18" s="3764" t="str">
        <f>IF(L19&lt;&gt;"EEB","Não é EEB; ignorar este Campo.",IF(AND(L19="EEB",U22&lt;40544),"Ignorar; Afast. Anterior Subsídio",IF(AND(L19="EEB",U22&gt;40543),"EEB Retornou à Carreira Antiga?")))</f>
        <v>Não é EEB; ignorar este Campo.</v>
      </c>
      <c r="Q18" s="3765"/>
      <c r="R18" s="3765"/>
      <c r="S18" s="3765"/>
      <c r="T18" s="3765"/>
      <c r="U18" s="3766"/>
      <c r="V18" s="59"/>
      <c r="X18" s="2286" t="s">
        <v>8149</v>
      </c>
    </row>
    <row r="19" spans="2:63" ht="15" customHeight="1" thickBot="1" x14ac:dyDescent="0.45">
      <c r="B19" s="58"/>
      <c r="C19" s="3667" t="s">
        <v>8083</v>
      </c>
      <c r="D19" s="3668"/>
      <c r="E19" s="3668"/>
      <c r="F19" s="3668"/>
      <c r="G19" s="3668"/>
      <c r="H19" s="3668"/>
      <c r="I19" s="3668"/>
      <c r="J19" s="3767" t="s">
        <v>9421</v>
      </c>
      <c r="K19" s="3767"/>
      <c r="L19" s="505" t="str">
        <f>IF(LEFT(J19,4)="ANEI",LEFT(J19,4),LEFT(J19,3))</f>
        <v>PEB</v>
      </c>
      <c r="M19" s="3684" t="s">
        <v>7930</v>
      </c>
      <c r="N19" s="3684"/>
      <c r="O19" s="446">
        <f>G7</f>
        <v>3</v>
      </c>
      <c r="P19" s="507"/>
      <c r="Q19" s="508"/>
      <c r="R19" s="508"/>
      <c r="S19" s="508"/>
      <c r="T19" s="508"/>
      <c r="U19" s="509"/>
      <c r="V19" s="59"/>
      <c r="X19" s="2286"/>
      <c r="Y19" s="3756" t="s">
        <v>8094</v>
      </c>
      <c r="Z19" s="3702"/>
      <c r="AA19" s="3702"/>
      <c r="AB19" s="3702"/>
      <c r="AC19" s="3757" t="s">
        <v>8063</v>
      </c>
      <c r="AD19" s="3757"/>
      <c r="AE19" s="3757"/>
      <c r="AF19" s="3757"/>
    </row>
    <row r="20" spans="2:63" ht="15" hidden="1" customHeight="1" thickBot="1" x14ac:dyDescent="0.45">
      <c r="B20" s="58"/>
      <c r="C20" s="3667" t="s">
        <v>8097</v>
      </c>
      <c r="D20" s="3668"/>
      <c r="E20" s="3668"/>
      <c r="F20" s="3668"/>
      <c r="G20" s="3669" t="s">
        <v>8095</v>
      </c>
      <c r="H20" s="3669"/>
      <c r="I20" s="462"/>
      <c r="J20" s="3670" t="s">
        <v>8098</v>
      </c>
      <c r="K20" s="3670"/>
      <c r="L20" s="3670"/>
      <c r="M20" s="463"/>
      <c r="N20" s="3671" t="s">
        <v>8100</v>
      </c>
      <c r="O20" s="3671"/>
      <c r="P20" s="3671"/>
      <c r="Q20" s="462"/>
      <c r="R20" s="3671" t="s">
        <v>8099</v>
      </c>
      <c r="S20" s="3671"/>
      <c r="T20" s="3671"/>
      <c r="U20" s="478"/>
      <c r="V20" s="59"/>
      <c r="X20" s="552">
        <v>2</v>
      </c>
      <c r="Y20" s="3758" t="str">
        <f>IF(OR(L19="ASB",L19="ATB",L19="AEB",L19="ASE"),"NÃO INCIDE","INCIDE")</f>
        <v>INCIDE</v>
      </c>
      <c r="Z20" s="3759"/>
      <c r="AA20" s="3759"/>
      <c r="AB20" s="3759"/>
      <c r="AC20" s="3759"/>
      <c r="AD20" s="3759"/>
      <c r="AE20" s="3759"/>
      <c r="AF20" s="3760"/>
    </row>
    <row r="21" spans="2:63" ht="15.95" customHeight="1" thickTop="1" thickBot="1" x14ac:dyDescent="0.45">
      <c r="B21" s="58"/>
      <c r="C21" s="3680"/>
      <c r="D21" s="3761"/>
      <c r="E21" s="3761"/>
      <c r="F21" s="3761"/>
      <c r="G21" s="3761"/>
      <c r="H21" s="3761"/>
      <c r="I21" s="3761"/>
      <c r="J21" s="3761"/>
      <c r="K21" s="3762"/>
      <c r="L21" s="3753" t="s">
        <v>8136</v>
      </c>
      <c r="M21" s="3754"/>
      <c r="N21" s="3754"/>
      <c r="O21" s="3754"/>
      <c r="P21" s="3754"/>
      <c r="Q21" s="3754"/>
      <c r="R21" s="3755">
        <v>10217</v>
      </c>
      <c r="S21" s="3755"/>
      <c r="T21" s="3755"/>
      <c r="U21" s="447"/>
      <c r="V21" s="59"/>
      <c r="Y21" s="2307" t="s">
        <v>8115</v>
      </c>
      <c r="Z21" s="2308"/>
      <c r="AA21" s="2308"/>
      <c r="AB21" s="2308"/>
      <c r="AC21" s="2309">
        <v>2</v>
      </c>
      <c r="AD21" s="2309"/>
      <c r="AE21" s="2309"/>
      <c r="AF21" s="2309"/>
    </row>
    <row r="22" spans="2:63" ht="15" hidden="1" customHeight="1" x14ac:dyDescent="0.4">
      <c r="B22" s="58"/>
      <c r="C22" s="3737"/>
      <c r="D22" s="3738"/>
      <c r="E22" s="3738"/>
      <c r="F22" s="3738"/>
      <c r="G22" s="3738"/>
      <c r="H22" s="3738"/>
      <c r="I22" s="3738"/>
      <c r="J22" s="3738"/>
      <c r="K22" s="3738"/>
      <c r="L22" s="3738"/>
      <c r="M22" s="3738"/>
      <c r="N22" s="3739">
        <f>DATEVALUE(TEXT(R21,"##""/""##""/""##")&amp;"")</f>
        <v>42767</v>
      </c>
      <c r="O22" s="3739"/>
      <c r="P22" s="3739"/>
      <c r="Q22" s="3739"/>
      <c r="R22" s="3740">
        <f>N22</f>
        <v>42767</v>
      </c>
      <c r="S22" s="3740"/>
      <c r="T22" s="3740"/>
      <c r="U22" s="447">
        <f>R22</f>
        <v>42767</v>
      </c>
      <c r="V22" s="59"/>
      <c r="Y22" s="3741"/>
      <c r="Z22" s="3742"/>
      <c r="AA22" s="3742"/>
      <c r="AB22" s="3742"/>
      <c r="AC22" s="3743"/>
      <c r="AD22" s="3743"/>
      <c r="AE22" s="3743"/>
      <c r="AF22" s="3743"/>
    </row>
    <row r="23" spans="2:63" ht="14.1" hidden="1" customHeight="1" x14ac:dyDescent="0.4">
      <c r="B23" s="58"/>
      <c r="C23" s="3744"/>
      <c r="D23" s="3745"/>
      <c r="E23" s="3745"/>
      <c r="F23" s="3745"/>
      <c r="G23" s="3745"/>
      <c r="H23" s="3745"/>
      <c r="I23" s="3745"/>
      <c r="J23" s="3745"/>
      <c r="K23" s="3745"/>
      <c r="L23" s="3745"/>
      <c r="M23" s="3745"/>
      <c r="N23" s="3745"/>
      <c r="O23" s="3745"/>
      <c r="P23" s="3745"/>
      <c r="Q23" s="3745"/>
      <c r="R23" s="3745"/>
      <c r="S23" s="3745"/>
      <c r="T23" s="3745"/>
      <c r="U23" s="3746"/>
      <c r="V23" s="59"/>
      <c r="Y23" s="2330" t="s">
        <v>8093</v>
      </c>
      <c r="Z23" s="2331"/>
      <c r="AA23" s="2331"/>
      <c r="AB23" s="2331"/>
      <c r="AC23" s="2332">
        <v>1</v>
      </c>
      <c r="AD23" s="2332"/>
      <c r="AE23" s="2332"/>
      <c r="AF23" s="2332"/>
    </row>
    <row r="24" spans="2:63" ht="14.1" hidden="1" customHeight="1" thickBot="1" x14ac:dyDescent="0.45">
      <c r="B24" s="58"/>
      <c r="C24" s="3747"/>
      <c r="D24" s="3748"/>
      <c r="E24" s="3748"/>
      <c r="F24" s="3748"/>
      <c r="G24" s="3748"/>
      <c r="H24" s="3748"/>
      <c r="I24" s="3748"/>
      <c r="J24" s="3748"/>
      <c r="K24" s="3748"/>
      <c r="L24" s="3748"/>
      <c r="M24" s="3748"/>
      <c r="N24" s="3748"/>
      <c r="O24" s="3748"/>
      <c r="P24" s="3748"/>
      <c r="Q24" s="3748"/>
      <c r="R24" s="3748"/>
      <c r="S24" s="3748"/>
      <c r="T24" s="3748"/>
      <c r="U24" s="3749"/>
      <c r="V24" s="59"/>
      <c r="Y24" s="3750" t="str">
        <f>IF(AC23=1,"SEM DIREITO","COM DIREITO")</f>
        <v>SEM DIREITO</v>
      </c>
      <c r="Z24" s="3751"/>
      <c r="AA24" s="3751"/>
      <c r="AB24" s="3751"/>
      <c r="AC24" s="3751"/>
      <c r="AD24" s="3751"/>
      <c r="AE24" s="3751"/>
      <c r="AF24" s="3752"/>
    </row>
    <row r="25" spans="2:63" ht="15" customHeight="1" thickBot="1" x14ac:dyDescent="0.45">
      <c r="B25" s="58"/>
      <c r="C25" s="2346" t="s">
        <v>8054</v>
      </c>
      <c r="D25" s="2347"/>
      <c r="E25" s="2347"/>
      <c r="F25" s="2347"/>
      <c r="G25" s="2347"/>
      <c r="H25" s="2347"/>
      <c r="I25" s="2347"/>
      <c r="J25" s="2347"/>
      <c r="K25" s="2347"/>
      <c r="L25" s="2347"/>
      <c r="M25" s="2347"/>
      <c r="N25" s="2347"/>
      <c r="O25" s="2347"/>
      <c r="P25" s="2347"/>
      <c r="Q25" s="474" t="s">
        <v>8090</v>
      </c>
      <c r="R25" s="540" t="s">
        <v>8055</v>
      </c>
      <c r="S25" s="2347" t="s">
        <v>348</v>
      </c>
      <c r="T25" s="2347"/>
      <c r="U25" s="2348"/>
      <c r="V25" s="59"/>
      <c r="Y25" s="2349" t="s">
        <v>8091</v>
      </c>
      <c r="Z25" s="2349"/>
      <c r="AA25" s="2349"/>
      <c r="AB25" s="2349"/>
      <c r="AC25" s="2349" t="s">
        <v>8092</v>
      </c>
      <c r="AD25" s="2349"/>
      <c r="AE25" s="2349"/>
      <c r="AF25" s="2349"/>
      <c r="AK25" s="2350" t="s">
        <v>8127</v>
      </c>
      <c r="AL25" s="2351"/>
      <c r="AM25" s="2351"/>
      <c r="AN25" s="2351"/>
      <c r="AO25" s="2351" t="s">
        <v>8128</v>
      </c>
      <c r="AP25" s="2351"/>
      <c r="AQ25" s="2351"/>
      <c r="AR25" s="2351"/>
      <c r="AS25" s="2351" t="s">
        <v>8068</v>
      </c>
      <c r="AT25" s="2351"/>
      <c r="AU25" s="2351"/>
      <c r="AV25" s="2361"/>
      <c r="AW25" s="521"/>
      <c r="AX25" s="521"/>
      <c r="AY25" s="521"/>
      <c r="AZ25" s="521"/>
      <c r="BA25" s="521"/>
      <c r="BB25" s="521"/>
      <c r="BC25" s="521"/>
      <c r="BD25" s="521"/>
      <c r="BE25" s="2368"/>
      <c r="BF25" s="2368"/>
      <c r="BG25" s="2368"/>
      <c r="BH25" s="2368"/>
    </row>
    <row r="26" spans="2:63" ht="14.45" customHeight="1" thickTop="1" x14ac:dyDescent="0.4">
      <c r="B26" s="58"/>
      <c r="C26" s="2336" t="s">
        <v>8056</v>
      </c>
      <c r="D26" s="2337"/>
      <c r="E26" s="2337"/>
      <c r="F26" s="2337"/>
      <c r="G26" s="2337"/>
      <c r="H26" s="2337"/>
      <c r="I26" s="2337"/>
      <c r="J26" s="2337"/>
      <c r="K26" s="2337"/>
      <c r="L26" s="470" t="str">
        <f>IF(Y26="-","-",IF(U22&lt;41306,AC26,Y26))</f>
        <v>-</v>
      </c>
      <c r="M26" s="532" t="s">
        <v>8086</v>
      </c>
      <c r="N26" s="532"/>
      <c r="O26" s="532"/>
      <c r="P26" s="471"/>
      <c r="Q26" s="472" t="s">
        <v>8057</v>
      </c>
      <c r="R26" s="473" t="s">
        <v>8089</v>
      </c>
      <c r="S26" s="3732">
        <v>2467.37</v>
      </c>
      <c r="T26" s="3733"/>
      <c r="U26" s="3734"/>
      <c r="V26" s="59"/>
      <c r="W26" s="484" t="str">
        <f>R26</f>
        <v>XXX</v>
      </c>
      <c r="X26" s="485">
        <f>IF(S26="-","-",ROUND(S26,2))</f>
        <v>2467.37</v>
      </c>
      <c r="Y26" s="3735" t="str">
        <f>IF(OR(I20="-",I20=0,I20="",I20="X"),"-",VLOOKUP(I20,'C Horária'!C8:E23,2))</f>
        <v>-</v>
      </c>
      <c r="Z26" s="3736"/>
      <c r="AA26" s="3736"/>
      <c r="AB26" s="3730"/>
      <c r="AC26" s="3735" t="str">
        <f>IF(OR(I20="-",I20=0,I20="",I20="X"),"-",VLOOKUP(I20,'C Horária'!C32:E49,2))</f>
        <v>-</v>
      </c>
      <c r="AD26" s="3736"/>
      <c r="AE26" s="3736"/>
      <c r="AF26" s="3730"/>
      <c r="AK26" s="2344">
        <f>S26</f>
        <v>2467.37</v>
      </c>
      <c r="AL26" s="2345"/>
      <c r="AM26" s="2345"/>
      <c r="AN26" s="2345"/>
      <c r="AO26" s="2345">
        <f>S62</f>
        <v>0</v>
      </c>
      <c r="AP26" s="2345"/>
      <c r="AQ26" s="2345"/>
      <c r="AR26" s="2345"/>
      <c r="AS26" s="2358">
        <f>AK26+AO26</f>
        <v>2467.37</v>
      </c>
      <c r="AT26" s="2358"/>
      <c r="AU26" s="2358"/>
      <c r="AV26" s="2359"/>
      <c r="AW26" s="522"/>
      <c r="AX26" s="522"/>
      <c r="AY26" s="522"/>
      <c r="AZ26" s="522"/>
      <c r="BA26" s="522"/>
      <c r="BB26" s="522"/>
      <c r="BC26" s="522"/>
      <c r="BD26" s="522"/>
      <c r="BE26" s="2360"/>
      <c r="BF26" s="2360"/>
      <c r="BG26" s="2360"/>
      <c r="BH26" s="2360"/>
    </row>
    <row r="27" spans="2:63" ht="14.45" hidden="1" customHeight="1" x14ac:dyDescent="0.4">
      <c r="B27" s="58"/>
      <c r="C27" s="3622" t="s">
        <v>397</v>
      </c>
      <c r="D27" s="3623"/>
      <c r="E27" s="3623"/>
      <c r="F27" s="3623"/>
      <c r="G27" s="3623"/>
      <c r="H27" s="3623"/>
      <c r="I27" s="3623"/>
      <c r="J27" s="3623"/>
      <c r="K27" s="441"/>
      <c r="L27" s="441" t="str">
        <f>IF(Y27="-","-",IF(U22&lt;41306,AC27,Y27))</f>
        <v>-</v>
      </c>
      <c r="M27" s="524" t="s">
        <v>8086</v>
      </c>
      <c r="N27" s="3625" t="s">
        <v>8085</v>
      </c>
      <c r="O27" s="3625"/>
      <c r="P27" s="464"/>
      <c r="Q27" s="442" t="s">
        <v>8057</v>
      </c>
      <c r="R27" s="443" t="s">
        <v>8057</v>
      </c>
      <c r="S27" s="3626" t="str">
        <f>IF(Y27="-","-",AS26/L26*L27)</f>
        <v>-</v>
      </c>
      <c r="T27" s="3627"/>
      <c r="U27" s="3628"/>
      <c r="V27" s="59"/>
      <c r="W27" s="486" t="str">
        <f>IF(R27="-","-",ROUND(R27,2))</f>
        <v>-</v>
      </c>
      <c r="X27" s="487" t="str">
        <f>IF(S27="-","-",ROUND(S27,2))</f>
        <v>-</v>
      </c>
      <c r="Y27" s="3730" t="str">
        <f>IF(OR(M20="-",M20=0,M20="",M20="X"),"-",VLOOKUP(M20,'C Horária'!G8:I12,2))</f>
        <v>-</v>
      </c>
      <c r="Z27" s="3731"/>
      <c r="AA27" s="3731"/>
      <c r="AB27" s="3731"/>
      <c r="AC27" s="3731" t="str">
        <f>IF(OR(M20="-",M20=0,M20="",M20="X"),"-",VLOOKUP(M20,'C Horária'!G32:I36,2))</f>
        <v>-</v>
      </c>
      <c r="AD27" s="3731"/>
      <c r="AE27" s="3731"/>
      <c r="AF27" s="3731"/>
      <c r="AK27" s="2379"/>
      <c r="AL27" s="2376"/>
      <c r="AM27" s="2376"/>
      <c r="AN27" s="2376"/>
      <c r="AO27" s="2376"/>
      <c r="AP27" s="2376"/>
      <c r="AQ27" s="2376"/>
      <c r="AR27" s="2376"/>
      <c r="AS27" s="539"/>
      <c r="AT27" s="539"/>
      <c r="AU27" s="539"/>
      <c r="AV27" s="539"/>
      <c r="AW27" s="539"/>
      <c r="AX27" s="539"/>
      <c r="AY27" s="539"/>
      <c r="AZ27" s="539"/>
      <c r="BA27" s="539"/>
      <c r="BB27" s="539"/>
      <c r="BC27" s="539"/>
      <c r="BD27" s="539"/>
      <c r="BE27" s="2377"/>
      <c r="BF27" s="2377"/>
      <c r="BG27" s="2377"/>
      <c r="BH27" s="2378"/>
    </row>
    <row r="28" spans="2:63" ht="14.45" hidden="1" customHeight="1" x14ac:dyDescent="0.4">
      <c r="B28" s="58"/>
      <c r="C28" s="3622" t="s">
        <v>8066</v>
      </c>
      <c r="D28" s="3623"/>
      <c r="E28" s="3623"/>
      <c r="F28" s="3623"/>
      <c r="G28" s="3623"/>
      <c r="H28" s="3623"/>
      <c r="I28" s="3623"/>
      <c r="J28" s="3623"/>
      <c r="K28" s="3623"/>
      <c r="L28" s="441" t="str">
        <f>IF(Y28="-","-",IF(U22&lt;41306,AC28,Y28))</f>
        <v>-</v>
      </c>
      <c r="M28" s="524" t="s">
        <v>8086</v>
      </c>
      <c r="N28" s="3625" t="s">
        <v>8085</v>
      </c>
      <c r="O28" s="3625"/>
      <c r="P28" s="464"/>
      <c r="Q28" s="442" t="s">
        <v>8057</v>
      </c>
      <c r="R28" s="443" t="s">
        <v>8057</v>
      </c>
      <c r="S28" s="3626" t="str">
        <f>IF(Y28="-","-",AS26/L26*L28)</f>
        <v>-</v>
      </c>
      <c r="T28" s="3627"/>
      <c r="U28" s="3628"/>
      <c r="V28" s="59"/>
      <c r="W28" s="486" t="str">
        <f t="shared" ref="W28:X45" si="0">IF(R28="-","-",ROUND(R28,2))</f>
        <v>-</v>
      </c>
      <c r="X28" s="487" t="str">
        <f t="shared" si="0"/>
        <v>-</v>
      </c>
      <c r="Y28" s="3730" t="str">
        <f>IF(OR(Q20="-",Q20=0,Q20="",Q20="X"),"-",VLOOKUP(Q20,'C Horária'!C8:E23,2))</f>
        <v>-</v>
      </c>
      <c r="Z28" s="3731"/>
      <c r="AA28" s="3731"/>
      <c r="AB28" s="3731"/>
      <c r="AC28" s="3731" t="str">
        <f>IF(OR(Q20="-",Q20=0,Q20="",Q20="X"),"-",VLOOKUP(Q20,'C Horária'!C32:E49,2))</f>
        <v>-</v>
      </c>
      <c r="AD28" s="3731"/>
      <c r="AE28" s="3731"/>
      <c r="AF28" s="3731"/>
    </row>
    <row r="29" spans="2:63" ht="14.45" hidden="1" customHeight="1" x14ac:dyDescent="0.4">
      <c r="B29" s="58"/>
      <c r="C29" s="3622" t="s">
        <v>8101</v>
      </c>
      <c r="D29" s="3623"/>
      <c r="E29" s="3623"/>
      <c r="F29" s="3623"/>
      <c r="G29" s="3623"/>
      <c r="H29" s="3623"/>
      <c r="I29" s="3623"/>
      <c r="J29" s="3623"/>
      <c r="K29" s="3623"/>
      <c r="L29" s="441" t="str">
        <f>IF(Y29="-","-",IF(U22&lt;41306,AC29,Y29))</f>
        <v>-</v>
      </c>
      <c r="M29" s="524" t="s">
        <v>8086</v>
      </c>
      <c r="N29" s="3625" t="s">
        <v>8085</v>
      </c>
      <c r="O29" s="3625"/>
      <c r="P29" s="464"/>
      <c r="Q29" s="442" t="s">
        <v>8057</v>
      </c>
      <c r="R29" s="443" t="s">
        <v>8057</v>
      </c>
      <c r="S29" s="3626" t="str">
        <f>IF(Y29="-","-",AS26/L26*L29)</f>
        <v>-</v>
      </c>
      <c r="T29" s="3627"/>
      <c r="U29" s="3628"/>
      <c r="V29" s="59"/>
      <c r="W29" s="486" t="str">
        <f t="shared" si="0"/>
        <v>-</v>
      </c>
      <c r="X29" s="487" t="str">
        <f t="shared" si="0"/>
        <v>-</v>
      </c>
      <c r="Y29" s="3730" t="str">
        <f>IF(OR(U20="-",U20=0,U20="",U20="XXX"),"-",VLOOKUP(U20,'C Horária'!G8:I12,2))</f>
        <v>-</v>
      </c>
      <c r="Z29" s="3731"/>
      <c r="AA29" s="3731"/>
      <c r="AB29" s="3731"/>
      <c r="AC29" s="3731" t="str">
        <f>IF(OR(U20="-",U20=0,U20="",U20="XXX"),"-",VLOOKUP(U20,'C Horária'!G32:I36,2))</f>
        <v>-</v>
      </c>
      <c r="AD29" s="3731"/>
      <c r="AE29" s="3731"/>
      <c r="AF29" s="3731"/>
    </row>
    <row r="30" spans="2:63" ht="14.45" hidden="1" customHeight="1" x14ac:dyDescent="0.4">
      <c r="B30" s="58"/>
      <c r="C30" s="3622" t="s">
        <v>8132</v>
      </c>
      <c r="D30" s="3623"/>
      <c r="E30" s="3623"/>
      <c r="F30" s="3623"/>
      <c r="G30" s="3623"/>
      <c r="H30" s="3623"/>
      <c r="I30" s="3623"/>
      <c r="J30" s="3623"/>
      <c r="K30" s="3623"/>
      <c r="L30" s="3623"/>
      <c r="M30" s="3623"/>
      <c r="N30" s="3625" t="s">
        <v>8085</v>
      </c>
      <c r="O30" s="3625"/>
      <c r="P30" s="448">
        <v>143</v>
      </c>
      <c r="Q30" s="442" t="s">
        <v>8057</v>
      </c>
      <c r="R30" s="443" t="str">
        <f>IF(L19&lt;&gt;"PEB","-",IF(Y24="COM DIREITO",0.2,"-"))</f>
        <v>-</v>
      </c>
      <c r="S30" s="3626" t="str">
        <f>IF(AND(AC23=2,R30&lt;&gt;"-"),SUM(S26:U29)*R30,"-")</f>
        <v>-</v>
      </c>
      <c r="T30" s="3627"/>
      <c r="U30" s="3628"/>
      <c r="V30" s="59"/>
      <c r="W30" s="486" t="str">
        <f t="shared" si="0"/>
        <v>-</v>
      </c>
      <c r="X30" s="487" t="str">
        <f t="shared" si="0"/>
        <v>-</v>
      </c>
    </row>
    <row r="31" spans="2:63" ht="14.45" customHeight="1" x14ac:dyDescent="0.4">
      <c r="B31" s="58"/>
      <c r="C31" s="3622" t="s">
        <v>8105</v>
      </c>
      <c r="D31" s="3623"/>
      <c r="E31" s="3623"/>
      <c r="F31" s="3623"/>
      <c r="G31" s="3623"/>
      <c r="H31" s="3623"/>
      <c r="I31" s="3623"/>
      <c r="J31" s="3623"/>
      <c r="K31" s="3623"/>
      <c r="L31" s="3623"/>
      <c r="M31" s="3623"/>
      <c r="N31" s="3625" t="s">
        <v>8085</v>
      </c>
      <c r="O31" s="3625"/>
      <c r="P31" s="453">
        <v>144</v>
      </c>
      <c r="Q31" s="465"/>
      <c r="R31" s="533" t="str">
        <f>IF(OR(Q31="-",Q31="",Q31="X",Q31=0),"-",IF(Q31&gt;=1,Q31*5%))</f>
        <v>-</v>
      </c>
      <c r="S31" s="3626" t="str">
        <f>IF(R31="-",R31,SUM(S26:U29)*R31)</f>
        <v>-</v>
      </c>
      <c r="T31" s="3627"/>
      <c r="U31" s="3628"/>
      <c r="V31" s="59"/>
      <c r="W31" s="486" t="str">
        <f t="shared" si="0"/>
        <v>-</v>
      </c>
      <c r="X31" s="487" t="str">
        <f t="shared" si="0"/>
        <v>-</v>
      </c>
    </row>
    <row r="32" spans="2:63" ht="14.45" customHeight="1" x14ac:dyDescent="0.4">
      <c r="B32" s="58"/>
      <c r="C32" s="3728" t="s">
        <v>8096</v>
      </c>
      <c r="D32" s="3729"/>
      <c r="E32" s="3729"/>
      <c r="F32" s="3729"/>
      <c r="G32" s="3729"/>
      <c r="H32" s="3729"/>
      <c r="I32" s="3729"/>
      <c r="J32" s="3729"/>
      <c r="K32" s="3729"/>
      <c r="L32" s="3729"/>
      <c r="M32" s="3729"/>
      <c r="N32" s="3625" t="s">
        <v>8085</v>
      </c>
      <c r="O32" s="3625"/>
      <c r="P32" s="453">
        <v>42</v>
      </c>
      <c r="Q32" s="465"/>
      <c r="R32" s="533" t="str">
        <f t="shared" ref="R32:R37" si="1">IF(OR(Q32="-",Q32="",Q32="X",Q32=0),"-",IF(Q32&gt;=1,Q32*10%))</f>
        <v>-</v>
      </c>
      <c r="S32" s="3626" t="str">
        <f>IF(R32="-","-",BE32*R32)</f>
        <v>-</v>
      </c>
      <c r="T32" s="3627"/>
      <c r="U32" s="3628"/>
      <c r="V32" s="59"/>
      <c r="W32" s="486" t="str">
        <f t="shared" si="0"/>
        <v>-</v>
      </c>
      <c r="X32" s="487" t="str">
        <f t="shared" si="0"/>
        <v>-</v>
      </c>
      <c r="Y32" s="2384">
        <f>SUM(S26:U31)</f>
        <v>2467.37</v>
      </c>
      <c r="Z32" s="2384"/>
      <c r="AA32" s="2384"/>
      <c r="AB32" s="2385"/>
      <c r="AC32" s="2386" t="s">
        <v>8057</v>
      </c>
      <c r="AD32" s="2384"/>
      <c r="AE32" s="2384"/>
      <c r="AF32" s="2385"/>
      <c r="AG32" s="2386" t="s">
        <v>8057</v>
      </c>
      <c r="AH32" s="2384"/>
      <c r="AI32" s="2384"/>
      <c r="AJ32" s="2385"/>
      <c r="AK32" s="2390" t="str">
        <f>S46</f>
        <v>-</v>
      </c>
      <c r="AL32" s="2391"/>
      <c r="AM32" s="2391"/>
      <c r="AN32" s="2392"/>
      <c r="AO32" s="2390" t="str">
        <f>S50</f>
        <v>-</v>
      </c>
      <c r="AP32" s="2391"/>
      <c r="AQ32" s="2391"/>
      <c r="AR32" s="2392"/>
      <c r="AS32" s="2390">
        <f>S56</f>
        <v>0</v>
      </c>
      <c r="AT32" s="2391"/>
      <c r="AU32" s="2391"/>
      <c r="AV32" s="2392"/>
      <c r="AW32" s="2390">
        <f>S57</f>
        <v>0</v>
      </c>
      <c r="AX32" s="2391"/>
      <c r="AY32" s="2391"/>
      <c r="AZ32" s="2392"/>
      <c r="BA32" s="2390">
        <f>S47</f>
        <v>0</v>
      </c>
      <c r="BB32" s="2391"/>
      <c r="BC32" s="2391"/>
      <c r="BD32" s="2392"/>
      <c r="BE32" s="2393">
        <f>SUM(Y32:BA32)</f>
        <v>2467.37</v>
      </c>
      <c r="BF32" s="2393"/>
      <c r="BG32" s="2393"/>
      <c r="BH32" s="2393"/>
      <c r="BI32" s="2382">
        <v>42</v>
      </c>
      <c r="BJ32" s="2383"/>
      <c r="BK32" s="2383"/>
    </row>
    <row r="33" spans="2:63" ht="14.45" customHeight="1" x14ac:dyDescent="0.4">
      <c r="B33" s="58"/>
      <c r="C33" s="3622" t="s">
        <v>8104</v>
      </c>
      <c r="D33" s="3623"/>
      <c r="E33" s="3623"/>
      <c r="F33" s="3623"/>
      <c r="G33" s="3623"/>
      <c r="H33" s="3623"/>
      <c r="I33" s="3623"/>
      <c r="J33" s="3623"/>
      <c r="K33" s="3623"/>
      <c r="L33" s="3623"/>
      <c r="M33" s="3623"/>
      <c r="N33" s="3625" t="s">
        <v>8085</v>
      </c>
      <c r="O33" s="3625"/>
      <c r="P33" s="453">
        <v>41</v>
      </c>
      <c r="Q33" s="465"/>
      <c r="R33" s="533" t="str">
        <f t="shared" si="1"/>
        <v>-</v>
      </c>
      <c r="S33" s="3626" t="str">
        <f>IF(R33="-","-",BE33*R33)</f>
        <v>-</v>
      </c>
      <c r="T33" s="3627"/>
      <c r="U33" s="3628"/>
      <c r="V33" s="59"/>
      <c r="W33" s="486" t="str">
        <f t="shared" si="0"/>
        <v>-</v>
      </c>
      <c r="X33" s="487" t="str">
        <f t="shared" si="0"/>
        <v>-</v>
      </c>
      <c r="Y33" s="2384">
        <f>SUM(S26:U31)</f>
        <v>2467.37</v>
      </c>
      <c r="Z33" s="2384"/>
      <c r="AA33" s="2384"/>
      <c r="AB33" s="2385"/>
      <c r="AC33" s="2386" t="s">
        <v>8057</v>
      </c>
      <c r="AD33" s="2384"/>
      <c r="AE33" s="2384"/>
      <c r="AF33" s="2385"/>
      <c r="AG33" s="2386" t="s">
        <v>8057</v>
      </c>
      <c r="AH33" s="2384"/>
      <c r="AI33" s="2384"/>
      <c r="AJ33" s="2385"/>
      <c r="AK33" s="3723" t="str">
        <f>S46</f>
        <v>-</v>
      </c>
      <c r="AL33" s="3724"/>
      <c r="AM33" s="3724"/>
      <c r="AN33" s="3725"/>
      <c r="AO33" s="3723" t="str">
        <f>S50</f>
        <v>-</v>
      </c>
      <c r="AP33" s="3724"/>
      <c r="AQ33" s="3724"/>
      <c r="AR33" s="3725"/>
      <c r="AS33" s="3723">
        <f>S56</f>
        <v>0</v>
      </c>
      <c r="AT33" s="3724"/>
      <c r="AU33" s="3724"/>
      <c r="AV33" s="3725"/>
      <c r="AW33" s="3723">
        <f>S57</f>
        <v>0</v>
      </c>
      <c r="AX33" s="3724"/>
      <c r="AY33" s="3724"/>
      <c r="AZ33" s="3725"/>
      <c r="BA33" s="3723">
        <f>S47</f>
        <v>0</v>
      </c>
      <c r="BB33" s="3724"/>
      <c r="BC33" s="3724"/>
      <c r="BD33" s="3725"/>
      <c r="BE33" s="3726">
        <f>SUM(Y33:BA33)</f>
        <v>2467.37</v>
      </c>
      <c r="BF33" s="3726"/>
      <c r="BG33" s="3726"/>
      <c r="BH33" s="3727"/>
      <c r="BI33" s="3721">
        <v>41</v>
      </c>
      <c r="BJ33" s="3722"/>
      <c r="BK33" s="3722"/>
    </row>
    <row r="34" spans="2:63" ht="14.45" customHeight="1" thickBot="1" x14ac:dyDescent="0.45">
      <c r="B34" s="58"/>
      <c r="C34" s="3714" t="s">
        <v>8102</v>
      </c>
      <c r="D34" s="3715"/>
      <c r="E34" s="3715"/>
      <c r="F34" s="3715"/>
      <c r="G34" s="3715"/>
      <c r="H34" s="3715"/>
      <c r="I34" s="3715"/>
      <c r="J34" s="3715"/>
      <c r="K34" s="3715"/>
      <c r="L34" s="3715"/>
      <c r="M34" s="3715"/>
      <c r="N34" s="3716" t="s">
        <v>8085</v>
      </c>
      <c r="O34" s="3716"/>
      <c r="P34" s="454">
        <v>44</v>
      </c>
      <c r="Q34" s="466"/>
      <c r="R34" s="477" t="str">
        <f t="shared" si="1"/>
        <v>-</v>
      </c>
      <c r="S34" s="3717" t="str">
        <f>IF(R34="-","-",BE34*R34)</f>
        <v>-</v>
      </c>
      <c r="T34" s="3718"/>
      <c r="U34" s="3719"/>
      <c r="V34" s="59"/>
      <c r="W34" s="486" t="str">
        <f t="shared" si="0"/>
        <v>-</v>
      </c>
      <c r="X34" s="487" t="str">
        <f t="shared" si="0"/>
        <v>-</v>
      </c>
      <c r="Y34" s="3709">
        <f>SUM(S26:U31)</f>
        <v>2467.37</v>
      </c>
      <c r="Z34" s="3720"/>
      <c r="AA34" s="3720"/>
      <c r="AB34" s="3720"/>
      <c r="AC34" s="3720" t="str">
        <f>S43</f>
        <v>-</v>
      </c>
      <c r="AD34" s="3720"/>
      <c r="AE34" s="3720"/>
      <c r="AF34" s="3720"/>
      <c r="AG34" s="3720" t="str">
        <f>S45</f>
        <v>-</v>
      </c>
      <c r="AH34" s="3720"/>
      <c r="AI34" s="3720"/>
      <c r="AJ34" s="3720"/>
      <c r="AK34" s="3707" t="str">
        <f>S46</f>
        <v>-</v>
      </c>
      <c r="AL34" s="3708"/>
      <c r="AM34" s="3708"/>
      <c r="AN34" s="3709"/>
      <c r="AO34" s="3707" t="str">
        <f>S50</f>
        <v>-</v>
      </c>
      <c r="AP34" s="3708"/>
      <c r="AQ34" s="3708"/>
      <c r="AR34" s="3709"/>
      <c r="AS34" s="3707">
        <f>S56</f>
        <v>0</v>
      </c>
      <c r="AT34" s="3708"/>
      <c r="AU34" s="3708"/>
      <c r="AV34" s="3709"/>
      <c r="AW34" s="3707">
        <f>S57</f>
        <v>0</v>
      </c>
      <c r="AX34" s="3708"/>
      <c r="AY34" s="3708"/>
      <c r="AZ34" s="3709"/>
      <c r="BA34" s="3707">
        <f>S47</f>
        <v>0</v>
      </c>
      <c r="BB34" s="3708"/>
      <c r="BC34" s="3708"/>
      <c r="BD34" s="3709"/>
      <c r="BE34" s="3710">
        <f>SUM(Y34:BA34)</f>
        <v>2467.37</v>
      </c>
      <c r="BF34" s="3710"/>
      <c r="BG34" s="3710"/>
      <c r="BH34" s="3711"/>
      <c r="BI34" s="3712">
        <v>44</v>
      </c>
      <c r="BJ34" s="3713"/>
      <c r="BK34" s="3713"/>
    </row>
    <row r="35" spans="2:63" ht="14.45" customHeight="1" thickTop="1" x14ac:dyDescent="0.4">
      <c r="B35" s="58"/>
      <c r="C35" s="2410" t="s">
        <v>8103</v>
      </c>
      <c r="D35" s="2411"/>
      <c r="E35" s="2411"/>
      <c r="F35" s="2411"/>
      <c r="G35" s="2411"/>
      <c r="H35" s="2411"/>
      <c r="I35" s="2411"/>
      <c r="J35" s="2411"/>
      <c r="K35" s="2411"/>
      <c r="L35" s="2411"/>
      <c r="M35" s="2411"/>
      <c r="N35" s="2412" t="s">
        <v>8085</v>
      </c>
      <c r="O35" s="2412"/>
      <c r="P35" s="452">
        <v>25</v>
      </c>
      <c r="Q35" s="467"/>
      <c r="R35" s="534" t="str">
        <f t="shared" si="1"/>
        <v>-</v>
      </c>
      <c r="S35" s="2413" t="str">
        <f>IF(R35="-",R35,SUM(S26:U29)*R35)</f>
        <v>-</v>
      </c>
      <c r="T35" s="2414"/>
      <c r="U35" s="2415"/>
      <c r="V35" s="59"/>
      <c r="W35" s="486" t="str">
        <f t="shared" si="0"/>
        <v>-</v>
      </c>
      <c r="X35" s="487" t="str">
        <f t="shared" si="0"/>
        <v>-</v>
      </c>
      <c r="Y35" s="2416" t="s">
        <v>8151</v>
      </c>
      <c r="Z35" s="2416"/>
      <c r="AA35" s="2416"/>
      <c r="AB35" s="2417"/>
      <c r="AC35" s="2418" t="s">
        <v>8112</v>
      </c>
      <c r="AD35" s="2416"/>
      <c r="AE35" s="2416"/>
      <c r="AF35" s="2417"/>
      <c r="AG35" s="2418" t="s">
        <v>8114</v>
      </c>
      <c r="AH35" s="2416"/>
      <c r="AI35" s="2416"/>
      <c r="AJ35" s="2417"/>
      <c r="AK35" s="2418" t="s">
        <v>8118</v>
      </c>
      <c r="AL35" s="2416"/>
      <c r="AM35" s="2416"/>
      <c r="AN35" s="2417"/>
      <c r="AO35" s="2418" t="s">
        <v>8119</v>
      </c>
      <c r="AP35" s="2416"/>
      <c r="AQ35" s="2416"/>
      <c r="AR35" s="2417"/>
      <c r="AS35" s="2418" t="s">
        <v>8129</v>
      </c>
      <c r="AT35" s="2416"/>
      <c r="AU35" s="2416"/>
      <c r="AV35" s="2417"/>
      <c r="AW35" s="2418" t="s">
        <v>8130</v>
      </c>
      <c r="AX35" s="2416"/>
      <c r="AY35" s="2416"/>
      <c r="AZ35" s="2417"/>
      <c r="BA35" s="2418" t="s">
        <v>8131</v>
      </c>
      <c r="BB35" s="2416"/>
      <c r="BC35" s="2416"/>
      <c r="BD35" s="2417"/>
      <c r="BE35" s="2418" t="s">
        <v>8068</v>
      </c>
      <c r="BF35" s="2416"/>
      <c r="BG35" s="2416"/>
      <c r="BH35" s="2416"/>
      <c r="BI35" s="2424" t="s">
        <v>391</v>
      </c>
      <c r="BJ35" s="2425"/>
      <c r="BK35" s="2425"/>
    </row>
    <row r="36" spans="2:63" ht="14.45" customHeight="1" x14ac:dyDescent="0.4">
      <c r="B36" s="58"/>
      <c r="C36" s="3622" t="s">
        <v>8106</v>
      </c>
      <c r="D36" s="3623"/>
      <c r="E36" s="3623"/>
      <c r="F36" s="3623"/>
      <c r="G36" s="3623"/>
      <c r="H36" s="3623"/>
      <c r="I36" s="3623"/>
      <c r="J36" s="3623"/>
      <c r="K36" s="3623"/>
      <c r="L36" s="3623"/>
      <c r="M36" s="3623"/>
      <c r="N36" s="3625" t="s">
        <v>8085</v>
      </c>
      <c r="O36" s="3625"/>
      <c r="P36" s="453">
        <v>26</v>
      </c>
      <c r="Q36" s="465"/>
      <c r="R36" s="533" t="str">
        <f t="shared" si="1"/>
        <v>-</v>
      </c>
      <c r="S36" s="3626" t="str">
        <f>IF(R36="-",R36,SUM(S26:U29)*R36)</f>
        <v>-</v>
      </c>
      <c r="T36" s="3627"/>
      <c r="U36" s="3628"/>
      <c r="V36" s="59"/>
      <c r="W36" s="486" t="str">
        <f t="shared" si="0"/>
        <v>-</v>
      </c>
      <c r="X36" s="487" t="str">
        <f t="shared" si="0"/>
        <v>-</v>
      </c>
    </row>
    <row r="37" spans="2:63" ht="14.45" customHeight="1" x14ac:dyDescent="0.4">
      <c r="B37" s="58"/>
      <c r="C37" s="3622" t="s">
        <v>8107</v>
      </c>
      <c r="D37" s="3623"/>
      <c r="E37" s="3623"/>
      <c r="F37" s="3623"/>
      <c r="G37" s="3623"/>
      <c r="H37" s="3623"/>
      <c r="I37" s="3623"/>
      <c r="J37" s="3623"/>
      <c r="K37" s="3623"/>
      <c r="L37" s="3623"/>
      <c r="M37" s="3623"/>
      <c r="N37" s="3625" t="s">
        <v>8085</v>
      </c>
      <c r="O37" s="3625"/>
      <c r="P37" s="453">
        <v>27</v>
      </c>
      <c r="Q37" s="465"/>
      <c r="R37" s="533" t="str">
        <f t="shared" si="1"/>
        <v>-</v>
      </c>
      <c r="S37" s="3626" t="str">
        <f>IF(R37="-",R37,SUM(S26:U29)*R37)</f>
        <v>-</v>
      </c>
      <c r="T37" s="3627"/>
      <c r="U37" s="3628"/>
      <c r="V37" s="59"/>
      <c r="W37" s="486" t="str">
        <f t="shared" si="0"/>
        <v>-</v>
      </c>
      <c r="X37" s="487" t="str">
        <f t="shared" si="0"/>
        <v>-</v>
      </c>
    </row>
    <row r="38" spans="2:63" ht="14.45" customHeight="1" x14ac:dyDescent="0.4">
      <c r="B38" s="58"/>
      <c r="C38" s="3622" t="s">
        <v>8108</v>
      </c>
      <c r="D38" s="3623"/>
      <c r="E38" s="3623"/>
      <c r="F38" s="3623"/>
      <c r="G38" s="3623"/>
      <c r="H38" s="3623"/>
      <c r="I38" s="3623"/>
      <c r="J38" s="3623"/>
      <c r="K38" s="3623"/>
      <c r="L38" s="3623"/>
      <c r="M38" s="3623"/>
      <c r="N38" s="3625" t="s">
        <v>8085</v>
      </c>
      <c r="O38" s="3625"/>
      <c r="P38" s="453">
        <v>28</v>
      </c>
      <c r="Q38" s="465"/>
      <c r="R38" s="533" t="str">
        <f>IF(OR(Q38="-",Q38="",Q38="X",Q38=0),"-",IF(Q38&gt;=1,Q38*5%))</f>
        <v>-</v>
      </c>
      <c r="S38" s="3626" t="str">
        <f>IF(R38="-",R38,SUM(S26:U29)*R38)</f>
        <v>-</v>
      </c>
      <c r="T38" s="3627"/>
      <c r="U38" s="3628"/>
      <c r="V38" s="59"/>
      <c r="W38" s="486" t="str">
        <f t="shared" si="0"/>
        <v>-</v>
      </c>
      <c r="X38" s="487" t="str">
        <f t="shared" si="0"/>
        <v>-</v>
      </c>
    </row>
    <row r="39" spans="2:63" ht="14.45" customHeight="1" x14ac:dyDescent="0.4">
      <c r="B39" s="58"/>
      <c r="C39" s="3622" t="s">
        <v>8109</v>
      </c>
      <c r="D39" s="3623"/>
      <c r="E39" s="3623"/>
      <c r="F39" s="3623"/>
      <c r="G39" s="3623"/>
      <c r="H39" s="3623"/>
      <c r="I39" s="3623"/>
      <c r="J39" s="3623"/>
      <c r="K39" s="3623"/>
      <c r="L39" s="3623"/>
      <c r="M39" s="3623"/>
      <c r="N39" s="3625" t="s">
        <v>8085</v>
      </c>
      <c r="O39" s="3625"/>
      <c r="P39" s="453">
        <v>283</v>
      </c>
      <c r="Q39" s="465"/>
      <c r="R39" s="533" t="str">
        <f>IF(OR(Q39="-",Q39="",Q39="X",Q39=0),"-",IF(Q39&gt;=1,Q39*10%))</f>
        <v>-</v>
      </c>
      <c r="S39" s="3626" t="str">
        <f>IF(R39="-",R39,SUM(S26:U29)*R39)</f>
        <v>-</v>
      </c>
      <c r="T39" s="3627"/>
      <c r="U39" s="3628"/>
      <c r="V39" s="59"/>
      <c r="W39" s="486" t="str">
        <f t="shared" si="0"/>
        <v>-</v>
      </c>
      <c r="X39" s="487" t="str">
        <f t="shared" si="0"/>
        <v>-</v>
      </c>
    </row>
    <row r="40" spans="2:63" ht="14.45" customHeight="1" x14ac:dyDescent="0.4">
      <c r="B40" s="58"/>
      <c r="C40" s="3622" t="s">
        <v>8110</v>
      </c>
      <c r="D40" s="3623"/>
      <c r="E40" s="3623"/>
      <c r="F40" s="3623"/>
      <c r="G40" s="3623"/>
      <c r="H40" s="3623"/>
      <c r="I40" s="3623"/>
      <c r="J40" s="3623"/>
      <c r="K40" s="3623"/>
      <c r="L40" s="3623"/>
      <c r="M40" s="3623"/>
      <c r="N40" s="3625" t="s">
        <v>8085</v>
      </c>
      <c r="O40" s="3625"/>
      <c r="P40" s="453">
        <v>284</v>
      </c>
      <c r="Q40" s="465"/>
      <c r="R40" s="533" t="str">
        <f>IF(OR(Q40="-",Q40="",Q40="X",Q40=0),"-",IF(Q40&gt;=1,Q40*10%))</f>
        <v>-</v>
      </c>
      <c r="S40" s="3626" t="str">
        <f>IF(R40="-",R40,SUM(S26:U29)*R40)</f>
        <v>-</v>
      </c>
      <c r="T40" s="3627"/>
      <c r="U40" s="3628"/>
      <c r="V40" s="59"/>
      <c r="W40" s="486" t="str">
        <f t="shared" si="0"/>
        <v>-</v>
      </c>
      <c r="X40" s="487" t="str">
        <f t="shared" si="0"/>
        <v>-</v>
      </c>
    </row>
    <row r="41" spans="2:63" ht="14.45" customHeight="1" x14ac:dyDescent="0.4">
      <c r="B41" s="58"/>
      <c r="C41" s="3622" t="s">
        <v>8111</v>
      </c>
      <c r="D41" s="3623"/>
      <c r="E41" s="3623"/>
      <c r="F41" s="3623"/>
      <c r="G41" s="3623"/>
      <c r="H41" s="3623"/>
      <c r="I41" s="3623"/>
      <c r="J41" s="3623"/>
      <c r="K41" s="3623"/>
      <c r="L41" s="3623"/>
      <c r="M41" s="3623"/>
      <c r="N41" s="3625" t="s">
        <v>8085</v>
      </c>
      <c r="O41" s="3625"/>
      <c r="P41" s="453">
        <v>285</v>
      </c>
      <c r="Q41" s="465"/>
      <c r="R41" s="533" t="str">
        <f>IF(OR(Q41="-",Q41="",Q41="X",Q41=0),"-",IF(Q41&gt;=1,Q41*10%))</f>
        <v>-</v>
      </c>
      <c r="S41" s="3626" t="str">
        <f>IF(R41="-",R41,SUM(S26:U29)*R41)</f>
        <v>-</v>
      </c>
      <c r="T41" s="3627"/>
      <c r="U41" s="3628"/>
      <c r="V41" s="59"/>
      <c r="W41" s="486" t="str">
        <f t="shared" si="0"/>
        <v>-</v>
      </c>
      <c r="X41" s="487" t="str">
        <f t="shared" si="0"/>
        <v>-</v>
      </c>
    </row>
    <row r="42" spans="2:63" ht="14.45" customHeight="1" x14ac:dyDescent="0.4">
      <c r="B42" s="58"/>
      <c r="C42" s="3622" t="s">
        <v>8058</v>
      </c>
      <c r="D42" s="3623"/>
      <c r="E42" s="3623"/>
      <c r="F42" s="3623"/>
      <c r="G42" s="3623"/>
      <c r="H42" s="3623"/>
      <c r="I42" s="3623"/>
      <c r="J42" s="3623"/>
      <c r="K42" s="3623"/>
      <c r="L42" s="3623"/>
      <c r="M42" s="3623"/>
      <c r="N42" s="3625" t="s">
        <v>8085</v>
      </c>
      <c r="O42" s="3625"/>
      <c r="P42" s="453">
        <v>336</v>
      </c>
      <c r="Q42" s="465"/>
      <c r="R42" s="533" t="str">
        <f>IF(OR(Q42="-",Q42="",Q42="X",Q42=0),"-",IF(Q42&gt;=1,Q42*5%))</f>
        <v>-</v>
      </c>
      <c r="S42" s="3626" t="str">
        <f>IF(R42="-",R42,SUM(S26:U29)*R42)</f>
        <v>-</v>
      </c>
      <c r="T42" s="3627"/>
      <c r="U42" s="3628"/>
      <c r="V42" s="59"/>
      <c r="W42" s="486" t="str">
        <f t="shared" si="0"/>
        <v>-</v>
      </c>
      <c r="X42" s="487" t="str">
        <f t="shared" si="0"/>
        <v>-</v>
      </c>
    </row>
    <row r="43" spans="2:63" ht="14.45" customHeight="1" x14ac:dyDescent="0.4">
      <c r="B43" s="58"/>
      <c r="C43" s="3622" t="s">
        <v>8059</v>
      </c>
      <c r="D43" s="3623"/>
      <c r="E43" s="3623"/>
      <c r="F43" s="3623"/>
      <c r="G43" s="3623"/>
      <c r="H43" s="3623"/>
      <c r="I43" s="3623"/>
      <c r="J43" s="3623"/>
      <c r="K43" s="3623"/>
      <c r="L43" s="3623"/>
      <c r="M43" s="3623"/>
      <c r="N43" s="3625" t="s">
        <v>8085</v>
      </c>
      <c r="O43" s="3625"/>
      <c r="P43" s="453">
        <v>140</v>
      </c>
      <c r="Q43" s="455" t="s">
        <v>8057</v>
      </c>
      <c r="R43" s="533" t="str">
        <f>IF(AND(L19="PEB",AD43="SIM"),20%,"-")</f>
        <v>-</v>
      </c>
      <c r="S43" s="3626" t="str">
        <f>IF(R43="-",R43,SUM(S26:U29)*R43)</f>
        <v>-</v>
      </c>
      <c r="T43" s="3627"/>
      <c r="U43" s="3628"/>
      <c r="V43" s="59"/>
      <c r="W43" s="486" t="str">
        <f>IF(S43="-","-",ROUND(R43,2))</f>
        <v>-</v>
      </c>
      <c r="X43" s="487" t="str">
        <f t="shared" si="0"/>
        <v>-</v>
      </c>
      <c r="Y43" s="3700" t="s">
        <v>8112</v>
      </c>
      <c r="Z43" s="3700"/>
      <c r="AA43" s="3700"/>
      <c r="AB43" s="3700"/>
      <c r="AC43" s="476">
        <v>2</v>
      </c>
      <c r="AD43" s="3701" t="str">
        <f>IF(AC43=1,"SIM","NÃO")</f>
        <v>NÃO</v>
      </c>
      <c r="AE43" s="3702"/>
      <c r="AF43" s="3703"/>
    </row>
    <row r="44" spans="2:63" ht="14.45" customHeight="1" x14ac:dyDescent="0.4">
      <c r="B44" s="58"/>
      <c r="C44" s="3622" t="s">
        <v>8060</v>
      </c>
      <c r="D44" s="3623"/>
      <c r="E44" s="3623"/>
      <c r="F44" s="3623"/>
      <c r="G44" s="3623"/>
      <c r="H44" s="3623"/>
      <c r="I44" s="3623"/>
      <c r="J44" s="3623"/>
      <c r="K44" s="3623"/>
      <c r="L44" s="3623"/>
      <c r="M44" s="3623"/>
      <c r="N44" s="3625" t="s">
        <v>8085</v>
      </c>
      <c r="O44" s="3625"/>
      <c r="P44" s="453">
        <v>158</v>
      </c>
      <c r="Q44" s="455" t="s">
        <v>8057</v>
      </c>
      <c r="R44" s="468"/>
      <c r="S44" s="3626" t="str">
        <f>IF(OR(R44="-",R44="",R44="XXX",R44=0),"-",S26*R44)</f>
        <v>-</v>
      </c>
      <c r="T44" s="3627"/>
      <c r="U44" s="3628"/>
      <c r="V44" s="59"/>
      <c r="W44" s="486" t="str">
        <f>IF(OR(R44="-",R44="",R44="X",R44=0),"-",ROUND(R44,2))</f>
        <v>-</v>
      </c>
      <c r="X44" s="487" t="str">
        <f t="shared" si="0"/>
        <v>-</v>
      </c>
      <c r="Y44" s="3706"/>
      <c r="Z44" s="3706"/>
      <c r="AA44" s="3706"/>
      <c r="AB44" s="3706"/>
      <c r="AC44" s="541"/>
      <c r="AD44" s="3685"/>
      <c r="AE44" s="3686"/>
      <c r="AF44" s="3704"/>
    </row>
    <row r="45" spans="2:63" ht="14.45" customHeight="1" x14ac:dyDescent="0.4">
      <c r="B45" s="58"/>
      <c r="C45" s="3622" t="s">
        <v>8061</v>
      </c>
      <c r="D45" s="3623"/>
      <c r="E45" s="3623"/>
      <c r="F45" s="3623"/>
      <c r="G45" s="3623"/>
      <c r="H45" s="3623"/>
      <c r="I45" s="3623"/>
      <c r="J45" s="3623"/>
      <c r="K45" s="3623"/>
      <c r="L45" s="3623"/>
      <c r="M45" s="3623"/>
      <c r="N45" s="3625" t="s">
        <v>8085</v>
      </c>
      <c r="O45" s="3625"/>
      <c r="P45" s="453">
        <v>142</v>
      </c>
      <c r="Q45" s="455" t="s">
        <v>8057</v>
      </c>
      <c r="R45" s="468"/>
      <c r="S45" s="3626" t="str">
        <f>IF(OR(R45="-",R45="",R45="XXX",R45=0),"-",S26*R45)</f>
        <v>-</v>
      </c>
      <c r="T45" s="3627"/>
      <c r="U45" s="3628"/>
      <c r="V45" s="59"/>
      <c r="W45" s="486" t="str">
        <f>IF(OR(R45="-",R45="",R45="X",R45=0),"-",ROUND(R45,2))</f>
        <v>-</v>
      </c>
      <c r="X45" s="487" t="str">
        <f t="shared" si="0"/>
        <v>-</v>
      </c>
      <c r="Y45" s="3706"/>
      <c r="Z45" s="3706"/>
      <c r="AA45" s="3706"/>
      <c r="AB45" s="3706"/>
      <c r="AC45" s="541"/>
      <c r="AD45" s="3685"/>
      <c r="AE45" s="3686"/>
      <c r="AF45" s="3704"/>
    </row>
    <row r="46" spans="2:63" ht="14.45" customHeight="1" x14ac:dyDescent="0.4">
      <c r="B46" s="58"/>
      <c r="C46" s="3622" t="s">
        <v>8117</v>
      </c>
      <c r="D46" s="3623"/>
      <c r="E46" s="3623"/>
      <c r="F46" s="3623"/>
      <c r="G46" s="3623"/>
      <c r="H46" s="3623"/>
      <c r="I46" s="3623"/>
      <c r="J46" s="3623"/>
      <c r="K46" s="3623"/>
      <c r="L46" s="3623"/>
      <c r="M46" s="3623"/>
      <c r="N46" s="3625" t="s">
        <v>8085</v>
      </c>
      <c r="O46" s="3625"/>
      <c r="P46" s="453">
        <v>146</v>
      </c>
      <c r="Q46" s="455" t="s">
        <v>8057</v>
      </c>
      <c r="R46" s="456" t="str">
        <f>IF(L19&lt;&gt;"EEB","-",IF(AND(L19="EEB",U22&lt;40544),25%,IF(AND(L19="EEB",U22&gt;40543,X20=1),25%,IF(AND(L19="EEB",U22&gt;40543,X20=2),"-"))))</f>
        <v>-</v>
      </c>
      <c r="S46" s="3614" t="str">
        <f>IF(R46="-","-",S26*R46)</f>
        <v>-</v>
      </c>
      <c r="T46" s="3615"/>
      <c r="U46" s="3616"/>
      <c r="V46" s="59"/>
      <c r="W46" s="486" t="str">
        <f>IF(R46="-","-",ROUND(R46,2))</f>
        <v>-</v>
      </c>
      <c r="X46" s="487" t="str">
        <f>IF(S46="-","-",ROUND(S46,2))</f>
        <v>-</v>
      </c>
      <c r="Y46" s="3706"/>
      <c r="Z46" s="3706"/>
      <c r="AA46" s="3706"/>
      <c r="AB46" s="3706"/>
      <c r="AC46" s="541"/>
      <c r="AD46" s="3685"/>
      <c r="AE46" s="3686"/>
      <c r="AF46" s="3704"/>
    </row>
    <row r="47" spans="2:63" ht="14.45" hidden="1" customHeight="1" x14ac:dyDescent="0.4">
      <c r="B47" s="58"/>
      <c r="C47" s="3622" t="s">
        <v>8116</v>
      </c>
      <c r="D47" s="3623"/>
      <c r="E47" s="3623"/>
      <c r="F47" s="3623"/>
      <c r="G47" s="3623"/>
      <c r="H47" s="3623"/>
      <c r="I47" s="3623"/>
      <c r="J47" s="3623"/>
      <c r="K47" s="3623"/>
      <c r="L47" s="3623"/>
      <c r="M47" s="3623"/>
      <c r="N47" s="3625" t="s">
        <v>8085</v>
      </c>
      <c r="O47" s="3625"/>
      <c r="P47" s="453">
        <v>515</v>
      </c>
      <c r="Q47" s="455" t="s">
        <v>8057</v>
      </c>
      <c r="R47" s="456" t="s">
        <v>8057</v>
      </c>
      <c r="S47" s="3688"/>
      <c r="T47" s="3689"/>
      <c r="U47" s="3690"/>
      <c r="V47" s="59"/>
      <c r="W47" s="486" t="str">
        <f t="shared" ref="W47:X63" si="2">IF(R47="-","-",ROUND(R47,2))</f>
        <v>-</v>
      </c>
      <c r="X47" s="487" t="str">
        <f>IF(OR(S47="-",S47="X",S47="",S47=0),"-",ROUND(S47,2))</f>
        <v>-</v>
      </c>
      <c r="Y47" s="3705"/>
      <c r="Z47" s="3706"/>
      <c r="AA47" s="3706"/>
      <c r="AB47" s="3706"/>
      <c r="AC47" s="541"/>
      <c r="AD47" s="3685"/>
      <c r="AE47" s="3686"/>
      <c r="AF47" s="3704"/>
    </row>
    <row r="48" spans="2:63" ht="14.45" hidden="1" customHeight="1" x14ac:dyDescent="0.4">
      <c r="B48" s="58"/>
      <c r="C48" s="3622" t="s">
        <v>8116</v>
      </c>
      <c r="D48" s="3623"/>
      <c r="E48" s="3623"/>
      <c r="F48" s="3623"/>
      <c r="G48" s="3623"/>
      <c r="H48" s="3623"/>
      <c r="I48" s="3624" t="s">
        <v>8120</v>
      </c>
      <c r="J48" s="3624"/>
      <c r="K48" s="3624"/>
      <c r="L48" s="3624"/>
      <c r="M48" s="3624"/>
      <c r="N48" s="3625" t="s">
        <v>8085</v>
      </c>
      <c r="O48" s="3625"/>
      <c r="P48" s="453">
        <v>560</v>
      </c>
      <c r="Q48" s="455" t="s">
        <v>8057</v>
      </c>
      <c r="R48" s="456" t="s">
        <v>8057</v>
      </c>
      <c r="S48" s="3688"/>
      <c r="T48" s="3689"/>
      <c r="U48" s="3690"/>
      <c r="V48" s="59"/>
      <c r="W48" s="486" t="str">
        <f t="shared" si="2"/>
        <v>-</v>
      </c>
      <c r="X48" s="487" t="str">
        <f>IF(OR(S48="-",S48="X",S48="",S48=0),"-",ROUND(S48,2))</f>
        <v>-</v>
      </c>
      <c r="Y48" s="3705"/>
      <c r="Z48" s="3706"/>
      <c r="AA48" s="3706"/>
      <c r="AB48" s="3706"/>
      <c r="AC48" s="541"/>
      <c r="AD48" s="3685"/>
      <c r="AE48" s="3686"/>
      <c r="AF48" s="3704"/>
    </row>
    <row r="49" spans="2:32" ht="14.45" hidden="1" customHeight="1" x14ac:dyDescent="0.4">
      <c r="B49" s="58"/>
      <c r="C49" s="3622" t="s">
        <v>8116</v>
      </c>
      <c r="D49" s="3623"/>
      <c r="E49" s="3623"/>
      <c r="F49" s="3623"/>
      <c r="G49" s="3623"/>
      <c r="H49" s="3623"/>
      <c r="I49" s="3624" t="s">
        <v>8121</v>
      </c>
      <c r="J49" s="3624"/>
      <c r="K49" s="3624"/>
      <c r="L49" s="3624"/>
      <c r="M49" s="3624"/>
      <c r="N49" s="3625" t="s">
        <v>8085</v>
      </c>
      <c r="O49" s="3625"/>
      <c r="P49" s="453">
        <v>859</v>
      </c>
      <c r="Q49" s="455" t="s">
        <v>8057</v>
      </c>
      <c r="R49" s="456" t="s">
        <v>8057</v>
      </c>
      <c r="S49" s="3688"/>
      <c r="T49" s="3689"/>
      <c r="U49" s="3690"/>
      <c r="V49" s="59"/>
      <c r="W49" s="486" t="str">
        <f t="shared" si="2"/>
        <v>-</v>
      </c>
      <c r="X49" s="487" t="str">
        <f>IF(OR(S49="-",S49="X",S49="",S49=0),"-",ROUND(S49,2))</f>
        <v>-</v>
      </c>
      <c r="Y49" s="3705"/>
      <c r="Z49" s="3706"/>
      <c r="AA49" s="3706"/>
      <c r="AB49" s="3706"/>
      <c r="AC49" s="541"/>
      <c r="AD49" s="3685"/>
      <c r="AE49" s="3686"/>
      <c r="AF49" s="3704"/>
    </row>
    <row r="50" spans="2:32" ht="14.45" customHeight="1" x14ac:dyDescent="0.4">
      <c r="B50" s="58"/>
      <c r="C50" s="3622" t="s">
        <v>8153</v>
      </c>
      <c r="D50" s="3623"/>
      <c r="E50" s="3623"/>
      <c r="F50" s="3623"/>
      <c r="G50" s="3623"/>
      <c r="H50" s="3623"/>
      <c r="I50" s="3623"/>
      <c r="J50" s="3623"/>
      <c r="K50" s="3623"/>
      <c r="L50" s="3623"/>
      <c r="M50" s="3623"/>
      <c r="N50" s="3625" t="s">
        <v>8085</v>
      </c>
      <c r="O50" s="3625"/>
      <c r="P50" s="453">
        <f>IF(U22&lt;39282,146,IF(U22&lt;40544,342,IF(U22&gt;40543,378)))</f>
        <v>378</v>
      </c>
      <c r="Q50" s="455" t="s">
        <v>8057</v>
      </c>
      <c r="R50" s="456" t="str">
        <f>IF(AC50=2,"-",IF(U22&lt;40544,25%,"-"))</f>
        <v>-</v>
      </c>
      <c r="S50" s="3614" t="str">
        <f>IF(AC50=2,"-",IF(AND(AC50=1,R50&lt;&gt;"-"),S26*R50,IF(AND(AC50=1,U22&gt;40908,U22&lt;42156),1056,IF(AND(AC50=1,U22&gt;42155),1164.24,IF(AND(AC50=1,U22&gt;40543),330)))))</f>
        <v>-</v>
      </c>
      <c r="T50" s="3615"/>
      <c r="U50" s="3616"/>
      <c r="V50" s="59"/>
      <c r="W50" s="486" t="str">
        <f t="shared" si="2"/>
        <v>-</v>
      </c>
      <c r="X50" s="487" t="str">
        <f t="shared" si="2"/>
        <v>-</v>
      </c>
      <c r="Y50" s="3700" t="s">
        <v>8123</v>
      </c>
      <c r="Z50" s="3700"/>
      <c r="AA50" s="3700"/>
      <c r="AB50" s="3700"/>
      <c r="AC50" s="476">
        <v>2</v>
      </c>
      <c r="AD50" s="3701" t="str">
        <f>IF(AC50=1,"SIM","NÃO")</f>
        <v>NÃO</v>
      </c>
      <c r="AE50" s="3702"/>
      <c r="AF50" s="3703"/>
    </row>
    <row r="51" spans="2:32" ht="14.45" customHeight="1" x14ac:dyDescent="0.4">
      <c r="B51" s="58"/>
      <c r="C51" s="3622" t="s">
        <v>8062</v>
      </c>
      <c r="D51" s="3623"/>
      <c r="E51" s="3623"/>
      <c r="F51" s="3623"/>
      <c r="G51" s="3623"/>
      <c r="H51" s="3623"/>
      <c r="I51" s="3623"/>
      <c r="J51" s="3623"/>
      <c r="K51" s="3623"/>
      <c r="L51" s="3623"/>
      <c r="M51" s="3623"/>
      <c r="N51" s="3625" t="s">
        <v>8085</v>
      </c>
      <c r="O51" s="3625"/>
      <c r="P51" s="453">
        <v>20</v>
      </c>
      <c r="Q51" s="455" t="s">
        <v>8057</v>
      </c>
      <c r="R51" s="456" t="s">
        <v>8057</v>
      </c>
      <c r="S51" s="3688"/>
      <c r="T51" s="3689"/>
      <c r="U51" s="3690"/>
      <c r="V51" s="59"/>
      <c r="W51" s="486" t="str">
        <f t="shared" si="2"/>
        <v>-</v>
      </c>
      <c r="X51" s="487" t="str">
        <f t="shared" ref="X51:X63" si="3">IF(OR(S51="-",S51="X",S51="",S51=0),"-",ROUND(S51,2))</f>
        <v>-</v>
      </c>
      <c r="Y51" s="457"/>
      <c r="Z51" s="458"/>
      <c r="AA51" s="458"/>
      <c r="AB51" s="458"/>
      <c r="AC51" s="538"/>
      <c r="AD51" s="538"/>
      <c r="AE51" s="538"/>
      <c r="AF51" s="542"/>
    </row>
    <row r="52" spans="2:32" ht="14.45" customHeight="1" x14ac:dyDescent="0.4">
      <c r="B52" s="58"/>
      <c r="C52" s="3622" t="s">
        <v>8064</v>
      </c>
      <c r="D52" s="3623"/>
      <c r="E52" s="3623"/>
      <c r="F52" s="3623"/>
      <c r="G52" s="3623"/>
      <c r="H52" s="3623"/>
      <c r="I52" s="3623"/>
      <c r="J52" s="3623"/>
      <c r="K52" s="3623"/>
      <c r="L52" s="3623"/>
      <c r="M52" s="3623"/>
      <c r="N52" s="3625" t="s">
        <v>8085</v>
      </c>
      <c r="O52" s="3625"/>
      <c r="P52" s="453">
        <v>540</v>
      </c>
      <c r="Q52" s="455" t="s">
        <v>8057</v>
      </c>
      <c r="R52" s="456" t="s">
        <v>8057</v>
      </c>
      <c r="S52" s="3688"/>
      <c r="T52" s="3689"/>
      <c r="U52" s="3690"/>
      <c r="V52" s="59"/>
      <c r="W52" s="486" t="str">
        <f t="shared" si="2"/>
        <v>-</v>
      </c>
      <c r="X52" s="487" t="str">
        <f t="shared" si="3"/>
        <v>-</v>
      </c>
      <c r="Y52" s="457"/>
      <c r="Z52" s="458"/>
      <c r="AA52" s="458"/>
      <c r="AB52" s="458"/>
      <c r="AC52" s="538"/>
      <c r="AD52" s="538"/>
      <c r="AE52" s="538"/>
      <c r="AF52" s="542"/>
    </row>
    <row r="53" spans="2:32" ht="14.45" customHeight="1" x14ac:dyDescent="0.4">
      <c r="B53" s="58"/>
      <c r="C53" s="523" t="s">
        <v>8063</v>
      </c>
      <c r="D53" s="3699"/>
      <c r="E53" s="3699"/>
      <c r="F53" s="3699"/>
      <c r="G53" s="3699"/>
      <c r="H53" s="3699"/>
      <c r="I53" s="3699"/>
      <c r="J53" s="3699"/>
      <c r="K53" s="3699"/>
      <c r="L53" s="3699"/>
      <c r="M53" s="525"/>
      <c r="N53" s="3625" t="s">
        <v>8085</v>
      </c>
      <c r="O53" s="3625"/>
      <c r="P53" s="453">
        <v>420</v>
      </c>
      <c r="Q53" s="455" t="s">
        <v>8057</v>
      </c>
      <c r="R53" s="456" t="s">
        <v>8057</v>
      </c>
      <c r="S53" s="3688"/>
      <c r="T53" s="3689"/>
      <c r="U53" s="3690"/>
      <c r="V53" s="59"/>
      <c r="W53" s="486" t="str">
        <f t="shared" si="2"/>
        <v>-</v>
      </c>
      <c r="X53" s="487" t="str">
        <f t="shared" si="3"/>
        <v>-</v>
      </c>
      <c r="Y53" s="457"/>
      <c r="Z53" s="458"/>
      <c r="AA53" s="458"/>
      <c r="AB53" s="458"/>
      <c r="AC53" s="538"/>
      <c r="AD53" s="538"/>
      <c r="AE53" s="538"/>
      <c r="AF53" s="542"/>
    </row>
    <row r="54" spans="2:32" ht="14.45" customHeight="1" x14ac:dyDescent="0.4">
      <c r="B54" s="58"/>
      <c r="C54" s="523" t="s">
        <v>8063</v>
      </c>
      <c r="D54" s="3698"/>
      <c r="E54" s="3698"/>
      <c r="F54" s="3698"/>
      <c r="G54" s="3698"/>
      <c r="H54" s="3698"/>
      <c r="I54" s="3698"/>
      <c r="J54" s="3698"/>
      <c r="K54" s="3698"/>
      <c r="L54" s="3698"/>
      <c r="M54" s="525"/>
      <c r="N54" s="3625" t="s">
        <v>8085</v>
      </c>
      <c r="O54" s="3625"/>
      <c r="P54" s="453">
        <v>445</v>
      </c>
      <c r="Q54" s="455" t="s">
        <v>8057</v>
      </c>
      <c r="R54" s="456" t="s">
        <v>8057</v>
      </c>
      <c r="S54" s="3688"/>
      <c r="T54" s="3689"/>
      <c r="U54" s="3690"/>
      <c r="V54" s="59"/>
      <c r="W54" s="486" t="str">
        <f t="shared" si="2"/>
        <v>-</v>
      </c>
      <c r="X54" s="487" t="str">
        <f t="shared" si="3"/>
        <v>-</v>
      </c>
      <c r="Y54" s="457"/>
      <c r="Z54" s="458"/>
      <c r="AA54" s="458"/>
      <c r="AB54" s="458"/>
      <c r="AC54" s="538"/>
      <c r="AD54" s="538"/>
      <c r="AE54" s="538"/>
      <c r="AF54" s="542"/>
    </row>
    <row r="55" spans="2:32" ht="14.45" customHeight="1" x14ac:dyDescent="0.4">
      <c r="B55" s="58"/>
      <c r="C55" s="3622" t="s">
        <v>8065</v>
      </c>
      <c r="D55" s="3623"/>
      <c r="E55" s="3623"/>
      <c r="F55" s="3623"/>
      <c r="G55" s="3623"/>
      <c r="H55" s="3623"/>
      <c r="I55" s="3623"/>
      <c r="J55" s="3623"/>
      <c r="K55" s="3623"/>
      <c r="L55" s="3623"/>
      <c r="M55" s="3623"/>
      <c r="N55" s="3625" t="s">
        <v>8085</v>
      </c>
      <c r="O55" s="3625"/>
      <c r="P55" s="453">
        <v>164</v>
      </c>
      <c r="Q55" s="455" t="s">
        <v>8057</v>
      </c>
      <c r="R55" s="456" t="s">
        <v>8057</v>
      </c>
      <c r="S55" s="3688"/>
      <c r="T55" s="3689"/>
      <c r="U55" s="3690"/>
      <c r="V55" s="59"/>
      <c r="W55" s="486" t="str">
        <f t="shared" si="2"/>
        <v>-</v>
      </c>
      <c r="X55" s="487" t="str">
        <f t="shared" si="3"/>
        <v>-</v>
      </c>
      <c r="Y55" s="457"/>
      <c r="Z55" s="458"/>
      <c r="AA55" s="458"/>
      <c r="AB55" s="458"/>
      <c r="AC55" s="538"/>
      <c r="AD55" s="538"/>
      <c r="AE55" s="538"/>
      <c r="AF55" s="542"/>
    </row>
    <row r="56" spans="2:32" ht="14.45" customHeight="1" x14ac:dyDescent="0.4">
      <c r="B56" s="58"/>
      <c r="C56" s="3622" t="s">
        <v>8125</v>
      </c>
      <c r="D56" s="3623"/>
      <c r="E56" s="3623"/>
      <c r="F56" s="3623"/>
      <c r="G56" s="3623"/>
      <c r="H56" s="3623"/>
      <c r="I56" s="3623"/>
      <c r="J56" s="3623"/>
      <c r="K56" s="3623"/>
      <c r="L56" s="3623"/>
      <c r="M56" s="3623"/>
      <c r="N56" s="3625" t="s">
        <v>8085</v>
      </c>
      <c r="O56" s="3625"/>
      <c r="P56" s="453">
        <v>112</v>
      </c>
      <c r="Q56" s="455" t="s">
        <v>8057</v>
      </c>
      <c r="R56" s="456" t="s">
        <v>8057</v>
      </c>
      <c r="S56" s="3688"/>
      <c r="T56" s="3689"/>
      <c r="U56" s="3690"/>
      <c r="V56" s="59"/>
      <c r="W56" s="486" t="str">
        <f t="shared" si="2"/>
        <v>-</v>
      </c>
      <c r="X56" s="487" t="str">
        <f t="shared" si="3"/>
        <v>-</v>
      </c>
      <c r="Y56" s="457"/>
      <c r="Z56" s="458"/>
      <c r="AA56" s="458"/>
      <c r="AB56" s="458"/>
      <c r="AC56" s="538"/>
      <c r="AD56" s="538"/>
      <c r="AE56" s="538"/>
      <c r="AF56" s="542"/>
    </row>
    <row r="57" spans="2:32" ht="14.45" customHeight="1" x14ac:dyDescent="0.4">
      <c r="B57" s="58"/>
      <c r="C57" s="3622" t="s">
        <v>8125</v>
      </c>
      <c r="D57" s="3623"/>
      <c r="E57" s="3623"/>
      <c r="F57" s="3623"/>
      <c r="G57" s="3623"/>
      <c r="H57" s="3623"/>
      <c r="I57" s="3623"/>
      <c r="J57" s="3623"/>
      <c r="K57" s="3623"/>
      <c r="L57" s="3623"/>
      <c r="M57" s="3623"/>
      <c r="N57" s="3625" t="s">
        <v>8085</v>
      </c>
      <c r="O57" s="3625"/>
      <c r="P57" s="453">
        <v>113</v>
      </c>
      <c r="Q57" s="455" t="s">
        <v>8057</v>
      </c>
      <c r="R57" s="456" t="s">
        <v>8057</v>
      </c>
      <c r="S57" s="3688"/>
      <c r="T57" s="3689"/>
      <c r="U57" s="3690"/>
      <c r="V57" s="59"/>
      <c r="W57" s="486" t="str">
        <f t="shared" si="2"/>
        <v>-</v>
      </c>
      <c r="X57" s="487" t="str">
        <f t="shared" si="3"/>
        <v>-</v>
      </c>
      <c r="Y57" s="457"/>
      <c r="Z57" s="458"/>
      <c r="AA57" s="458"/>
      <c r="AB57" s="458"/>
      <c r="AC57" s="538"/>
      <c r="AD57" s="538"/>
      <c r="AE57" s="538"/>
      <c r="AF57" s="542"/>
    </row>
    <row r="58" spans="2:32" ht="14.45" customHeight="1" x14ac:dyDescent="0.4">
      <c r="B58" s="58"/>
      <c r="C58" s="3622" t="s">
        <v>8124</v>
      </c>
      <c r="D58" s="3623"/>
      <c r="E58" s="3623"/>
      <c r="F58" s="3623"/>
      <c r="G58" s="3623"/>
      <c r="H58" s="3623"/>
      <c r="I58" s="3623"/>
      <c r="J58" s="3623"/>
      <c r="K58" s="3623"/>
      <c r="L58" s="3623"/>
      <c r="M58" s="3623"/>
      <c r="N58" s="3625" t="s">
        <v>8085</v>
      </c>
      <c r="O58" s="3625"/>
      <c r="P58" s="453">
        <v>280</v>
      </c>
      <c r="Q58" s="455" t="s">
        <v>8057</v>
      </c>
      <c r="R58" s="456" t="s">
        <v>8057</v>
      </c>
      <c r="S58" s="3688"/>
      <c r="T58" s="3689"/>
      <c r="U58" s="3690"/>
      <c r="V58" s="59"/>
      <c r="W58" s="486" t="str">
        <f t="shared" si="2"/>
        <v>-</v>
      </c>
      <c r="X58" s="487" t="str">
        <f t="shared" si="3"/>
        <v>-</v>
      </c>
      <c r="Y58" s="457"/>
      <c r="Z58" s="458"/>
      <c r="AA58" s="458"/>
      <c r="AB58" s="458"/>
      <c r="AC58" s="538"/>
      <c r="AD58" s="538"/>
      <c r="AE58" s="538"/>
      <c r="AF58" s="542"/>
    </row>
    <row r="59" spans="2:32" ht="14.45" customHeight="1" x14ac:dyDescent="0.4">
      <c r="B59" s="58"/>
      <c r="C59" s="3622" t="s">
        <v>8124</v>
      </c>
      <c r="D59" s="3623"/>
      <c r="E59" s="3623"/>
      <c r="F59" s="3623"/>
      <c r="G59" s="3623"/>
      <c r="H59" s="3623"/>
      <c r="I59" s="3623"/>
      <c r="J59" s="3623"/>
      <c r="K59" s="3623"/>
      <c r="L59" s="3623"/>
      <c r="M59" s="3623"/>
      <c r="N59" s="3625" t="s">
        <v>8085</v>
      </c>
      <c r="O59" s="3625"/>
      <c r="P59" s="453">
        <v>281</v>
      </c>
      <c r="Q59" s="455" t="s">
        <v>8057</v>
      </c>
      <c r="R59" s="456" t="s">
        <v>8057</v>
      </c>
      <c r="S59" s="3688"/>
      <c r="T59" s="3689"/>
      <c r="U59" s="3690"/>
      <c r="V59" s="59"/>
      <c r="W59" s="486" t="str">
        <f t="shared" si="2"/>
        <v>-</v>
      </c>
      <c r="X59" s="487" t="str">
        <f t="shared" si="3"/>
        <v>-</v>
      </c>
      <c r="Y59" s="457"/>
      <c r="Z59" s="458"/>
      <c r="AA59" s="458"/>
      <c r="AB59" s="458"/>
      <c r="AC59" s="538"/>
      <c r="AD59" s="538"/>
      <c r="AE59" s="538"/>
      <c r="AF59" s="542"/>
    </row>
    <row r="60" spans="2:32" ht="14.45" customHeight="1" x14ac:dyDescent="0.4">
      <c r="B60" s="58"/>
      <c r="C60" s="3622" t="s">
        <v>8125</v>
      </c>
      <c r="D60" s="3623"/>
      <c r="E60" s="3623"/>
      <c r="F60" s="3623"/>
      <c r="G60" s="3623"/>
      <c r="H60" s="3623"/>
      <c r="I60" s="3623"/>
      <c r="J60" s="3623"/>
      <c r="K60" s="3623"/>
      <c r="L60" s="3623"/>
      <c r="M60" s="3623"/>
      <c r="N60" s="3625" t="s">
        <v>8085</v>
      </c>
      <c r="O60" s="3625"/>
      <c r="P60" s="453">
        <v>318</v>
      </c>
      <c r="Q60" s="455" t="s">
        <v>8057</v>
      </c>
      <c r="R60" s="456" t="s">
        <v>8057</v>
      </c>
      <c r="S60" s="3688"/>
      <c r="T60" s="3689"/>
      <c r="U60" s="3690"/>
      <c r="V60" s="59"/>
      <c r="W60" s="486" t="str">
        <f t="shared" si="2"/>
        <v>-</v>
      </c>
      <c r="X60" s="487" t="str">
        <f t="shared" si="3"/>
        <v>-</v>
      </c>
      <c r="Y60" s="457"/>
      <c r="Z60" s="458"/>
      <c r="AA60" s="458"/>
      <c r="AB60" s="458"/>
      <c r="AC60" s="538"/>
      <c r="AD60" s="538"/>
      <c r="AE60" s="538"/>
      <c r="AF60" s="542"/>
    </row>
    <row r="61" spans="2:32" ht="14.45" customHeight="1" x14ac:dyDescent="0.4">
      <c r="B61" s="58"/>
      <c r="C61" s="3622" t="s">
        <v>8125</v>
      </c>
      <c r="D61" s="3623"/>
      <c r="E61" s="3623"/>
      <c r="F61" s="3623"/>
      <c r="G61" s="3623"/>
      <c r="H61" s="3623"/>
      <c r="I61" s="3623"/>
      <c r="J61" s="3623"/>
      <c r="K61" s="3623"/>
      <c r="L61" s="3623"/>
      <c r="M61" s="3623"/>
      <c r="N61" s="3625" t="s">
        <v>8085</v>
      </c>
      <c r="O61" s="3625"/>
      <c r="P61" s="453">
        <v>379</v>
      </c>
      <c r="Q61" s="455" t="s">
        <v>8057</v>
      </c>
      <c r="R61" s="456" t="s">
        <v>8057</v>
      </c>
      <c r="S61" s="3688"/>
      <c r="T61" s="3689"/>
      <c r="U61" s="3690"/>
      <c r="V61" s="59"/>
      <c r="W61" s="486" t="str">
        <f t="shared" si="2"/>
        <v>-</v>
      </c>
      <c r="X61" s="487" t="str">
        <f t="shared" si="3"/>
        <v>-</v>
      </c>
      <c r="Y61" s="510"/>
      <c r="Z61" s="511"/>
      <c r="AA61" s="511"/>
      <c r="AB61" s="511"/>
      <c r="AC61" s="512"/>
      <c r="AD61" s="512"/>
      <c r="AE61" s="512"/>
      <c r="AF61" s="513"/>
    </row>
    <row r="62" spans="2:32" ht="14.45" customHeight="1" x14ac:dyDescent="0.4">
      <c r="B62" s="58"/>
      <c r="C62" s="3622" t="s">
        <v>8126</v>
      </c>
      <c r="D62" s="3623"/>
      <c r="E62" s="3623"/>
      <c r="F62" s="3623"/>
      <c r="G62" s="3623"/>
      <c r="H62" s="3623"/>
      <c r="I62" s="3623"/>
      <c r="J62" s="3623"/>
      <c r="K62" s="3623"/>
      <c r="L62" s="3623"/>
      <c r="M62" s="3623"/>
      <c r="N62" s="3625" t="s">
        <v>8085</v>
      </c>
      <c r="O62" s="3625"/>
      <c r="P62" s="453">
        <v>385</v>
      </c>
      <c r="Q62" s="455" t="s">
        <v>8057</v>
      </c>
      <c r="R62" s="456" t="s">
        <v>8057</v>
      </c>
      <c r="S62" s="3688"/>
      <c r="T62" s="3689"/>
      <c r="U62" s="3690"/>
      <c r="V62" s="59"/>
      <c r="W62" s="486" t="str">
        <f t="shared" si="2"/>
        <v>-</v>
      </c>
      <c r="X62" s="487" t="str">
        <f t="shared" si="3"/>
        <v>-</v>
      </c>
      <c r="Y62" s="457"/>
      <c r="Z62" s="458"/>
      <c r="AA62" s="458"/>
      <c r="AB62" s="458"/>
      <c r="AC62" s="538"/>
      <c r="AD62" s="538"/>
      <c r="AE62" s="538"/>
      <c r="AF62" s="542"/>
    </row>
    <row r="63" spans="2:32" ht="14.45" customHeight="1" thickBot="1" x14ac:dyDescent="0.45">
      <c r="B63" s="58"/>
      <c r="C63" s="3691" t="s">
        <v>8067</v>
      </c>
      <c r="D63" s="3692"/>
      <c r="E63" s="3692"/>
      <c r="F63" s="3692"/>
      <c r="G63" s="3692"/>
      <c r="H63" s="3693" t="s">
        <v>8125</v>
      </c>
      <c r="I63" s="3693"/>
      <c r="J63" s="3693"/>
      <c r="K63" s="3693"/>
      <c r="L63" s="3693"/>
      <c r="M63" s="3693"/>
      <c r="N63" s="3694" t="s">
        <v>8085</v>
      </c>
      <c r="O63" s="3694"/>
      <c r="P63" s="469">
        <v>852</v>
      </c>
      <c r="Q63" s="459" t="s">
        <v>8057</v>
      </c>
      <c r="R63" s="460" t="s">
        <v>8057</v>
      </c>
      <c r="S63" s="3695"/>
      <c r="T63" s="3696"/>
      <c r="U63" s="3697"/>
      <c r="V63" s="59"/>
      <c r="W63" s="488" t="str">
        <f t="shared" si="2"/>
        <v>-</v>
      </c>
      <c r="X63" s="489" t="str">
        <f t="shared" si="3"/>
        <v>-</v>
      </c>
      <c r="Y63" s="457"/>
      <c r="Z63" s="458"/>
      <c r="AA63" s="458"/>
      <c r="AB63" s="458"/>
      <c r="AC63" s="538"/>
      <c r="AD63" s="538"/>
      <c r="AE63" s="538"/>
      <c r="AF63" s="542"/>
    </row>
    <row r="64" spans="2:32" ht="15" customHeight="1" thickBot="1" x14ac:dyDescent="0.45">
      <c r="B64" s="58"/>
      <c r="C64" s="2463" t="s">
        <v>8068</v>
      </c>
      <c r="D64" s="2464"/>
      <c r="E64" s="2464"/>
      <c r="F64" s="2464"/>
      <c r="G64" s="2464"/>
      <c r="H64" s="2464"/>
      <c r="I64" s="2464"/>
      <c r="J64" s="2464"/>
      <c r="K64" s="2464"/>
      <c r="L64" s="2464"/>
      <c r="M64" s="2464"/>
      <c r="N64" s="2464"/>
      <c r="O64" s="2464"/>
      <c r="P64" s="2464"/>
      <c r="Q64" s="2464"/>
      <c r="R64" s="2465"/>
      <c r="S64" s="2466">
        <f>X64</f>
        <v>2467.37</v>
      </c>
      <c r="T64" s="2467"/>
      <c r="U64" s="2468"/>
      <c r="V64" s="59"/>
      <c r="X64" s="483">
        <f>SUM(X26:X63)</f>
        <v>2467.37</v>
      </c>
      <c r="Y64" s="536"/>
      <c r="Z64" s="536"/>
      <c r="AA64" s="536"/>
      <c r="AB64" s="536"/>
      <c r="AC64" s="536"/>
      <c r="AD64" s="536"/>
      <c r="AE64" s="536"/>
      <c r="AF64" s="537"/>
    </row>
    <row r="65" spans="2:22" ht="14.1" customHeight="1" x14ac:dyDescent="0.4">
      <c r="B65" s="58"/>
      <c r="C65" s="2469" t="s">
        <v>8069</v>
      </c>
      <c r="D65" s="1931"/>
      <c r="E65" s="1931"/>
      <c r="F65" s="1931"/>
      <c r="G65" s="1931"/>
      <c r="H65" s="1931"/>
      <c r="I65" s="1931"/>
      <c r="J65" s="1931"/>
      <c r="K65" s="1931"/>
      <c r="L65" s="1931"/>
      <c r="M65" s="1931"/>
      <c r="N65" s="1931"/>
      <c r="O65" s="1931"/>
      <c r="P65" s="1931"/>
      <c r="Q65" s="1931"/>
      <c r="R65" s="1931"/>
      <c r="S65" s="1931"/>
      <c r="T65" s="1931"/>
      <c r="U65" s="2470"/>
      <c r="V65" s="59"/>
    </row>
    <row r="66" spans="2:22" ht="14.1" customHeight="1" x14ac:dyDescent="0.4">
      <c r="B66" s="58"/>
      <c r="C66" s="2471" t="s">
        <v>8134</v>
      </c>
      <c r="D66" s="2472"/>
      <c r="E66" s="1931" t="str">
        <f>Geral!I10</f>
        <v>Alterar</v>
      </c>
      <c r="F66" s="1931"/>
      <c r="G66" s="1931"/>
      <c r="H66" s="1931"/>
      <c r="I66" s="1931"/>
      <c r="J66" s="1931"/>
      <c r="K66" s="1931"/>
      <c r="L66" s="1931"/>
      <c r="M66" s="1931"/>
      <c r="N66" s="1931"/>
      <c r="O66" s="1931"/>
      <c r="P66" s="1931"/>
      <c r="Q66" s="2168" t="s">
        <v>1</v>
      </c>
      <c r="R66" s="2168"/>
      <c r="S66" s="2473">
        <f>Geral!T10</f>
        <v>0</v>
      </c>
      <c r="T66" s="2473"/>
      <c r="U66" s="2474"/>
      <c r="V66" s="59"/>
    </row>
    <row r="67" spans="2:22" ht="14.1" customHeight="1" x14ac:dyDescent="0.4">
      <c r="B67" s="58"/>
      <c r="C67" s="2458" t="s">
        <v>8135</v>
      </c>
      <c r="D67" s="2459"/>
      <c r="E67" s="2459"/>
      <c r="F67" s="2459"/>
      <c r="G67" s="2459"/>
      <c r="H67" s="2460"/>
      <c r="I67" s="2460"/>
      <c r="J67" s="2460"/>
      <c r="K67" s="2460"/>
      <c r="L67" s="2460"/>
      <c r="M67" s="2460"/>
      <c r="N67" s="2460"/>
      <c r="O67" s="2460"/>
      <c r="P67" s="2460"/>
      <c r="Q67" s="2168" t="s">
        <v>386</v>
      </c>
      <c r="R67" s="2168"/>
      <c r="S67" s="2461">
        <f ca="1">IF(J7&lt;&gt;0,L7,TODAY())</f>
        <v>43238</v>
      </c>
      <c r="T67" s="2461"/>
      <c r="U67" s="2462"/>
      <c r="V67" s="59"/>
    </row>
    <row r="68" spans="2:22" ht="14.1" customHeight="1" x14ac:dyDescent="0.4">
      <c r="B68" s="58"/>
      <c r="C68" s="527"/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28"/>
      <c r="P68" s="528"/>
      <c r="Q68" s="526"/>
      <c r="R68" s="526"/>
      <c r="S68" s="529"/>
      <c r="T68" s="529"/>
      <c r="U68" s="530"/>
      <c r="V68" s="59"/>
    </row>
    <row r="69" spans="2:22" ht="14.1" customHeight="1" x14ac:dyDescent="0.4">
      <c r="B69" s="58"/>
      <c r="C69" s="527"/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6"/>
      <c r="R69" s="526"/>
      <c r="S69" s="529"/>
      <c r="T69" s="529"/>
      <c r="U69" s="530"/>
      <c r="V69" s="59"/>
    </row>
    <row r="70" spans="2:22" ht="14.1" customHeight="1" thickBot="1" x14ac:dyDescent="0.45">
      <c r="B70" s="58"/>
      <c r="C70" s="449"/>
      <c r="D70" s="450"/>
      <c r="E70" s="450"/>
      <c r="F70" s="450"/>
      <c r="G70" s="450"/>
      <c r="H70" s="450"/>
      <c r="I70" s="450"/>
      <c r="J70" s="45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1"/>
      <c r="V70" s="59"/>
    </row>
    <row r="71" spans="2:22" ht="15.95" customHeight="1" thickBot="1" x14ac:dyDescent="0.45">
      <c r="B71" s="60"/>
      <c r="C71" s="61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3"/>
    </row>
    <row r="72" spans="2:22" ht="5.0999999999999996" customHeight="1" thickTop="1" thickBot="1" x14ac:dyDescent="0.45"/>
    <row r="73" spans="2:22" ht="15.95" customHeight="1" thickTop="1" thickBot="1" x14ac:dyDescent="0.45"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5"/>
    </row>
    <row r="74" spans="2:22" s="3" customFormat="1" ht="3" customHeight="1" x14ac:dyDescent="0.25">
      <c r="B74" s="56"/>
      <c r="C74" s="2241"/>
      <c r="D74" s="2242"/>
      <c r="E74" s="2242"/>
      <c r="F74" s="2242"/>
      <c r="G74" s="2242"/>
      <c r="H74" s="2242"/>
      <c r="I74" s="2242"/>
      <c r="J74" s="2242"/>
      <c r="K74" s="2242"/>
      <c r="L74" s="2242"/>
      <c r="M74" s="2242"/>
      <c r="N74" s="2242"/>
      <c r="O74" s="2242"/>
      <c r="P74" s="2242"/>
      <c r="Q74" s="2242"/>
      <c r="R74" s="2242"/>
      <c r="S74" s="2242"/>
      <c r="T74" s="2242"/>
      <c r="U74" s="2243"/>
      <c r="V74" s="57"/>
    </row>
    <row r="75" spans="2:22" s="3" customFormat="1" ht="12.95" customHeight="1" x14ac:dyDescent="0.25">
      <c r="B75" s="56"/>
      <c r="C75" s="444"/>
      <c r="D75" s="515"/>
      <c r="E75" s="516"/>
      <c r="F75" s="1433" t="s">
        <v>7925</v>
      </c>
      <c r="G75" s="1433"/>
      <c r="H75" s="1433"/>
      <c r="I75" s="1433"/>
      <c r="J75" s="1433"/>
      <c r="K75" s="1433"/>
      <c r="L75" s="1433"/>
      <c r="M75" s="1433"/>
      <c r="N75" s="1433"/>
      <c r="O75" s="1433"/>
      <c r="P75" s="1433"/>
      <c r="Q75" s="1433"/>
      <c r="R75" s="1433"/>
      <c r="S75" s="1433"/>
      <c r="T75" s="1433"/>
      <c r="U75" s="2244"/>
      <c r="V75" s="57"/>
    </row>
    <row r="76" spans="2:22" ht="12.95" customHeight="1" x14ac:dyDescent="0.4">
      <c r="B76" s="58"/>
      <c r="C76" s="445"/>
      <c r="D76" s="514"/>
      <c r="E76" s="516"/>
      <c r="F76" s="1433" t="s">
        <v>7926</v>
      </c>
      <c r="G76" s="1433"/>
      <c r="H76" s="1433"/>
      <c r="I76" s="1433"/>
      <c r="J76" s="1433"/>
      <c r="K76" s="1433"/>
      <c r="L76" s="1433"/>
      <c r="M76" s="1433"/>
      <c r="N76" s="1433"/>
      <c r="O76" s="1433"/>
      <c r="P76" s="1433"/>
      <c r="Q76" s="1433"/>
      <c r="R76" s="1433"/>
      <c r="S76" s="1433"/>
      <c r="T76" s="1433"/>
      <c r="U76" s="2244"/>
      <c r="V76" s="59"/>
    </row>
    <row r="77" spans="2:22" ht="12.95" customHeight="1" x14ac:dyDescent="0.4">
      <c r="B77" s="58"/>
      <c r="C77" s="517"/>
      <c r="D77" s="516"/>
      <c r="E77" s="515"/>
      <c r="F77" s="2291" t="s">
        <v>8079</v>
      </c>
      <c r="G77" s="2291"/>
      <c r="H77" s="2291"/>
      <c r="I77" s="2291"/>
      <c r="J77" s="2291"/>
      <c r="K77" s="2291"/>
      <c r="L77" s="2291"/>
      <c r="M77" s="2291"/>
      <c r="N77" s="1435" t="str">
        <f>N14</f>
        <v>Uberaba</v>
      </c>
      <c r="O77" s="1435"/>
      <c r="P77" s="1435"/>
      <c r="Q77" s="1435"/>
      <c r="R77" s="1435"/>
      <c r="S77" s="1435"/>
      <c r="T77" s="1435"/>
      <c r="U77" s="2292"/>
      <c r="V77" s="59"/>
    </row>
    <row r="78" spans="2:22" ht="3" customHeight="1" thickBot="1" x14ac:dyDescent="0.45">
      <c r="B78" s="58"/>
      <c r="C78" s="2293"/>
      <c r="D78" s="1434"/>
      <c r="E78" s="1434"/>
      <c r="F78" s="1434"/>
      <c r="G78" s="1434"/>
      <c r="H78" s="1434"/>
      <c r="I78" s="1434"/>
      <c r="J78" s="1434"/>
      <c r="K78" s="1434"/>
      <c r="L78" s="1434"/>
      <c r="M78" s="1434"/>
      <c r="N78" s="1434"/>
      <c r="O78" s="1434"/>
      <c r="P78" s="1434"/>
      <c r="Q78" s="1434"/>
      <c r="R78" s="1434"/>
      <c r="S78" s="1434"/>
      <c r="T78" s="1434"/>
      <c r="U78" s="2294"/>
      <c r="V78" s="59"/>
    </row>
    <row r="79" spans="2:22" ht="30" customHeight="1" thickBot="1" x14ac:dyDescent="0.45">
      <c r="B79" s="58"/>
      <c r="C79" s="3687" t="s">
        <v>8152</v>
      </c>
      <c r="D79" s="2478"/>
      <c r="E79" s="2478"/>
      <c r="F79" s="2478"/>
      <c r="G79" s="2478"/>
      <c r="H79" s="2478"/>
      <c r="I79" s="2478"/>
      <c r="J79" s="2478"/>
      <c r="K79" s="2478"/>
      <c r="L79" s="2478"/>
      <c r="M79" s="2478"/>
      <c r="N79" s="2478"/>
      <c r="O79" s="2478"/>
      <c r="P79" s="2478"/>
      <c r="Q79" s="2478"/>
      <c r="R79" s="2478"/>
      <c r="S79" s="2478"/>
      <c r="T79" s="2478"/>
      <c r="U79" s="2479"/>
      <c r="V79" s="59"/>
    </row>
    <row r="80" spans="2:22" ht="14.45" customHeight="1" x14ac:dyDescent="0.4">
      <c r="B80" s="58"/>
      <c r="C80" s="2298" t="s">
        <v>367</v>
      </c>
      <c r="D80" s="2299"/>
      <c r="E80" s="2300" t="str">
        <f>E17</f>
        <v>Maria Helena Leandro Luiz</v>
      </c>
      <c r="F80" s="2300"/>
      <c r="G80" s="2300"/>
      <c r="H80" s="2300"/>
      <c r="I80" s="2300"/>
      <c r="J80" s="2300"/>
      <c r="K80" s="2300"/>
      <c r="L80" s="2300"/>
      <c r="M80" s="2300"/>
      <c r="N80" s="2300"/>
      <c r="O80" s="2300"/>
      <c r="P80" s="2300"/>
      <c r="Q80" s="2301" t="s">
        <v>1</v>
      </c>
      <c r="R80" s="2301"/>
      <c r="S80" s="2302">
        <f>S17</f>
        <v>6532865</v>
      </c>
      <c r="T80" s="2302"/>
      <c r="U80" s="2303"/>
      <c r="V80" s="59"/>
    </row>
    <row r="81" spans="2:63" ht="14.45" customHeight="1" x14ac:dyDescent="0.4">
      <c r="B81" s="58"/>
      <c r="C81" s="3680" t="s">
        <v>8081</v>
      </c>
      <c r="D81" s="3681"/>
      <c r="E81" s="3681"/>
      <c r="F81" s="461" t="s">
        <v>8082</v>
      </c>
      <c r="G81" s="3682" t="str">
        <f>G18</f>
        <v>Uberaba</v>
      </c>
      <c r="H81" s="3682"/>
      <c r="I81" s="3682"/>
      <c r="J81" s="3682"/>
      <c r="K81" s="3682"/>
      <c r="L81" s="3682"/>
      <c r="M81" s="3682"/>
      <c r="N81" s="3682"/>
      <c r="O81" s="3682"/>
      <c r="P81" s="3682"/>
      <c r="Q81" s="3682"/>
      <c r="R81" s="3682"/>
      <c r="S81" s="3682"/>
      <c r="T81" s="3682"/>
      <c r="U81" s="3683"/>
      <c r="V81" s="59"/>
    </row>
    <row r="82" spans="2:63" ht="14.45" customHeight="1" thickBot="1" x14ac:dyDescent="0.45">
      <c r="B82" s="58"/>
      <c r="C82" s="3675" t="s">
        <v>8137</v>
      </c>
      <c r="D82" s="3676"/>
      <c r="E82" s="3676"/>
      <c r="F82" s="3677" t="str">
        <f>J19</f>
        <v>PEB2F</v>
      </c>
      <c r="G82" s="3677"/>
      <c r="H82" s="3678" t="str">
        <f>M19</f>
        <v>Adm.:</v>
      </c>
      <c r="I82" s="3678"/>
      <c r="J82" s="3679">
        <f>O19</f>
        <v>3</v>
      </c>
      <c r="K82" s="3679"/>
      <c r="L82" s="475" t="str">
        <f>L19</f>
        <v>PEB</v>
      </c>
      <c r="M82" s="3684"/>
      <c r="N82" s="3684"/>
      <c r="O82" s="3679"/>
      <c r="P82" s="3679"/>
      <c r="Q82" s="519"/>
      <c r="R82" s="519"/>
      <c r="S82" s="519"/>
      <c r="T82" s="519"/>
      <c r="U82" s="520"/>
      <c r="V82" s="59"/>
      <c r="Y82" s="3685"/>
      <c r="Z82" s="3686"/>
      <c r="AA82" s="3686"/>
      <c r="AB82" s="3686"/>
      <c r="AC82" s="3666"/>
      <c r="AD82" s="3666"/>
      <c r="AE82" s="3666"/>
      <c r="AF82" s="3666"/>
    </row>
    <row r="83" spans="2:63" ht="14.45" hidden="1" customHeight="1" thickBot="1" x14ac:dyDescent="0.45">
      <c r="B83" s="58"/>
      <c r="C83" s="3667" t="s">
        <v>8097</v>
      </c>
      <c r="D83" s="3668"/>
      <c r="E83" s="3668"/>
      <c r="F83" s="3668"/>
      <c r="G83" s="3669" t="s">
        <v>8095</v>
      </c>
      <c r="H83" s="3669"/>
      <c r="I83" s="494" t="str">
        <f>IF(I20="","-",I20)</f>
        <v>-</v>
      </c>
      <c r="J83" s="3670" t="s">
        <v>8098</v>
      </c>
      <c r="K83" s="3670"/>
      <c r="L83" s="3670"/>
      <c r="M83" s="494" t="str">
        <f>IF(M20="","-",M20)</f>
        <v>-</v>
      </c>
      <c r="N83" s="3671" t="s">
        <v>8100</v>
      </c>
      <c r="O83" s="3671"/>
      <c r="P83" s="3671"/>
      <c r="Q83" s="494" t="str">
        <f>IF(Q20="","-",Q20)</f>
        <v>-</v>
      </c>
      <c r="R83" s="3671" t="s">
        <v>8099</v>
      </c>
      <c r="S83" s="3671"/>
      <c r="T83" s="3671"/>
      <c r="U83" s="495" t="str">
        <f>IF(U20="","-",U20)</f>
        <v>-</v>
      </c>
      <c r="V83" s="59"/>
      <c r="Y83" s="3672"/>
      <c r="Z83" s="3673"/>
      <c r="AA83" s="3673"/>
      <c r="AB83" s="3673"/>
      <c r="AC83" s="3673"/>
      <c r="AD83" s="3673"/>
      <c r="AE83" s="3673"/>
      <c r="AF83" s="3674"/>
    </row>
    <row r="84" spans="2:63" ht="14.45" customHeight="1" thickTop="1" thickBot="1" x14ac:dyDescent="0.45">
      <c r="B84" s="58"/>
      <c r="C84" s="3661" t="str">
        <f>L21</f>
        <v>Vigência da Aposentadoria:</v>
      </c>
      <c r="D84" s="3662"/>
      <c r="E84" s="3662"/>
      <c r="F84" s="3662"/>
      <c r="G84" s="3662"/>
      <c r="H84" s="3662"/>
      <c r="I84" s="3663">
        <f>R22</f>
        <v>42767</v>
      </c>
      <c r="J84" s="3663"/>
      <c r="K84" s="3663"/>
      <c r="L84" s="3664"/>
      <c r="M84" s="3664"/>
      <c r="N84" s="3664"/>
      <c r="O84" s="3664"/>
      <c r="P84" s="3664"/>
      <c r="Q84" s="3664"/>
      <c r="R84" s="3665"/>
      <c r="S84" s="3665"/>
      <c r="T84" s="3665"/>
      <c r="U84" s="447"/>
      <c r="V84" s="59"/>
      <c r="Y84" s="2484"/>
      <c r="Z84" s="2485"/>
      <c r="AA84" s="2485"/>
      <c r="AB84" s="2485"/>
      <c r="AC84" s="2486"/>
      <c r="AD84" s="2486"/>
      <c r="AE84" s="2486"/>
      <c r="AF84" s="2486"/>
    </row>
    <row r="85" spans="2:63" ht="14.45" customHeight="1" thickBot="1" x14ac:dyDescent="0.45">
      <c r="B85" s="58"/>
      <c r="C85" s="2504" t="s">
        <v>8054</v>
      </c>
      <c r="D85" s="2505"/>
      <c r="E85" s="2505"/>
      <c r="F85" s="2505"/>
      <c r="G85" s="2505"/>
      <c r="H85" s="2505"/>
      <c r="I85" s="2505"/>
      <c r="J85" s="2505"/>
      <c r="K85" s="2505"/>
      <c r="L85" s="2505"/>
      <c r="M85" s="2505"/>
      <c r="N85" s="2505"/>
      <c r="O85" s="2505"/>
      <c r="P85" s="2505"/>
      <c r="Q85" s="2506" t="s">
        <v>8055</v>
      </c>
      <c r="R85" s="2507"/>
      <c r="S85" s="2505" t="s">
        <v>348</v>
      </c>
      <c r="T85" s="2505"/>
      <c r="U85" s="2508"/>
      <c r="V85" s="59"/>
      <c r="Y85" s="2509"/>
      <c r="Z85" s="2509"/>
      <c r="AA85" s="2509"/>
      <c r="AB85" s="2509"/>
      <c r="AC85" s="2509"/>
      <c r="AD85" s="2509"/>
      <c r="AE85" s="2509"/>
      <c r="AF85" s="2509"/>
      <c r="AK85" s="2510"/>
      <c r="AL85" s="2491"/>
      <c r="AM85" s="2491"/>
      <c r="AN85" s="2491"/>
      <c r="AO85" s="2491"/>
      <c r="AP85" s="2491"/>
      <c r="AQ85" s="2491"/>
      <c r="AR85" s="2491"/>
      <c r="AS85" s="2491"/>
      <c r="AT85" s="2491"/>
      <c r="AU85" s="2491"/>
      <c r="AV85" s="2492"/>
      <c r="AW85" s="521"/>
      <c r="AX85" s="521"/>
      <c r="AY85" s="521"/>
      <c r="AZ85" s="521"/>
      <c r="BA85" s="521"/>
      <c r="BB85" s="521"/>
      <c r="BC85" s="521"/>
      <c r="BD85" s="521"/>
      <c r="BE85" s="2368"/>
      <c r="BF85" s="2368"/>
      <c r="BG85" s="2368"/>
      <c r="BH85" s="2368"/>
    </row>
    <row r="86" spans="2:63" ht="15" customHeight="1" x14ac:dyDescent="0.4">
      <c r="B86" s="58"/>
      <c r="C86" s="2493" t="str">
        <f>C26</f>
        <v>VENCIMENTO BÁSICO DO CARGO EFETIVO</v>
      </c>
      <c r="D86" s="2494"/>
      <c r="E86" s="2494"/>
      <c r="F86" s="2494"/>
      <c r="G86" s="2494"/>
      <c r="H86" s="2494"/>
      <c r="I86" s="2494"/>
      <c r="J86" s="2494"/>
      <c r="K86" s="2494"/>
      <c r="L86" s="496"/>
      <c r="M86" s="531"/>
      <c r="N86" s="2495"/>
      <c r="O86" s="2495"/>
      <c r="P86" s="497"/>
      <c r="Q86" s="2496" t="str">
        <f>W26</f>
        <v>XXX</v>
      </c>
      <c r="R86" s="2497"/>
      <c r="S86" s="2498">
        <f>X26</f>
        <v>2467.37</v>
      </c>
      <c r="T86" s="2499"/>
      <c r="U86" s="2500"/>
      <c r="V86" s="59"/>
      <c r="W86" s="490"/>
      <c r="X86" s="491"/>
      <c r="Y86" s="2501"/>
      <c r="Z86" s="2501"/>
      <c r="AA86" s="2501"/>
      <c r="AB86" s="2501"/>
      <c r="AC86" s="2501"/>
      <c r="AD86" s="2501"/>
      <c r="AE86" s="2501"/>
      <c r="AF86" s="2501"/>
      <c r="AG86" s="41"/>
      <c r="AH86" s="41"/>
      <c r="AI86" s="41"/>
      <c r="AJ86" s="41"/>
      <c r="AK86" s="2502"/>
      <c r="AL86" s="2503"/>
      <c r="AM86" s="2503"/>
      <c r="AN86" s="2503"/>
      <c r="AO86" s="2503"/>
      <c r="AP86" s="2503"/>
      <c r="AQ86" s="2503"/>
      <c r="AR86" s="2503"/>
      <c r="AS86" s="2511"/>
      <c r="AT86" s="2511"/>
      <c r="AU86" s="2511"/>
      <c r="AV86" s="2512"/>
      <c r="AW86" s="522"/>
      <c r="AX86" s="522"/>
      <c r="AY86" s="522"/>
      <c r="AZ86" s="522"/>
      <c r="BA86" s="522"/>
      <c r="BB86" s="522"/>
      <c r="BC86" s="522"/>
      <c r="BD86" s="522"/>
      <c r="BE86" s="2360"/>
      <c r="BF86" s="2360"/>
      <c r="BG86" s="2360"/>
      <c r="BH86" s="2360"/>
    </row>
    <row r="87" spans="2:63" ht="15" hidden="1" customHeight="1" x14ac:dyDescent="0.4">
      <c r="B87" s="58"/>
      <c r="C87" s="2336" t="str">
        <f>C27</f>
        <v>EXIGÊNCIA CURRICULAR</v>
      </c>
      <c r="D87" s="2337"/>
      <c r="E87" s="2337"/>
      <c r="F87" s="2337"/>
      <c r="G87" s="2337"/>
      <c r="H87" s="2337"/>
      <c r="I87" s="2337"/>
      <c r="J87" s="2337"/>
      <c r="K87" s="2337"/>
      <c r="L87" s="479" t="str">
        <f>L27</f>
        <v>-</v>
      </c>
      <c r="M87" s="524" t="str">
        <f>M27</f>
        <v>H/A</v>
      </c>
      <c r="N87" s="3625" t="str">
        <f>N27</f>
        <v>VERBA</v>
      </c>
      <c r="O87" s="3625"/>
      <c r="P87" s="448" t="str">
        <f>IF(OR(P27="X",P27="",P27="-",P27=0),"",P27)</f>
        <v/>
      </c>
      <c r="Q87" s="3650" t="str">
        <f>W27</f>
        <v>-</v>
      </c>
      <c r="R87" s="3651"/>
      <c r="S87" s="3614" t="str">
        <f>X27</f>
        <v>-</v>
      </c>
      <c r="T87" s="3615"/>
      <c r="U87" s="3616"/>
      <c r="V87" s="59"/>
      <c r="W87" s="492"/>
      <c r="X87" s="491"/>
      <c r="Y87" s="2501"/>
      <c r="Z87" s="2501"/>
      <c r="AA87" s="2501"/>
      <c r="AB87" s="2501"/>
      <c r="AC87" s="2501"/>
      <c r="AD87" s="2501"/>
      <c r="AE87" s="2501"/>
      <c r="AF87" s="2501"/>
      <c r="AG87" s="41"/>
      <c r="AH87" s="41"/>
      <c r="AI87" s="41"/>
      <c r="AJ87" s="41"/>
      <c r="AK87" s="2379"/>
      <c r="AL87" s="2376"/>
      <c r="AM87" s="2376"/>
      <c r="AN87" s="2376"/>
      <c r="AO87" s="2376"/>
      <c r="AP87" s="2376"/>
      <c r="AQ87" s="2376"/>
      <c r="AR87" s="2376"/>
      <c r="AS87" s="539"/>
      <c r="AT87" s="539"/>
      <c r="AU87" s="539"/>
      <c r="AV87" s="539"/>
      <c r="AW87" s="539"/>
      <c r="AX87" s="539"/>
      <c r="AY87" s="539"/>
      <c r="AZ87" s="539"/>
      <c r="BA87" s="539"/>
      <c r="BB87" s="539"/>
      <c r="BC87" s="539"/>
      <c r="BD87" s="539"/>
      <c r="BE87" s="2377"/>
      <c r="BF87" s="2377"/>
      <c r="BG87" s="2377"/>
      <c r="BH87" s="2378"/>
    </row>
    <row r="88" spans="2:63" ht="15" hidden="1" customHeight="1" x14ac:dyDescent="0.4">
      <c r="B88" s="58"/>
      <c r="C88" s="2493" t="str">
        <f t="shared" ref="C88:C106" si="4">C28</f>
        <v>EXTENSÃO DE CARGA HORÁRIA</v>
      </c>
      <c r="D88" s="2494"/>
      <c r="E88" s="2494"/>
      <c r="F88" s="2494"/>
      <c r="G88" s="2494"/>
      <c r="H88" s="2494"/>
      <c r="I88" s="2494"/>
      <c r="J88" s="2494"/>
      <c r="K88" s="2494"/>
      <c r="L88" s="498" t="str">
        <f t="shared" ref="L88:N94" si="5">L28</f>
        <v>-</v>
      </c>
      <c r="M88" s="499" t="str">
        <f t="shared" si="5"/>
        <v>H/A</v>
      </c>
      <c r="N88" s="3655" t="str">
        <f t="shared" si="5"/>
        <v>VERBA</v>
      </c>
      <c r="O88" s="3655"/>
      <c r="P88" s="500" t="str">
        <f>IF(OR(P28="X",P28="",P28="-",P28=0),"",P28)</f>
        <v/>
      </c>
      <c r="Q88" s="3656" t="str">
        <f t="shared" ref="Q88:Q94" si="6">W28</f>
        <v>-</v>
      </c>
      <c r="R88" s="3657"/>
      <c r="S88" s="3658" t="str">
        <f t="shared" ref="S88:S94" si="7">X28</f>
        <v>-</v>
      </c>
      <c r="T88" s="3659"/>
      <c r="U88" s="3660"/>
      <c r="V88" s="59"/>
      <c r="W88" s="492"/>
      <c r="X88" s="491"/>
      <c r="Y88" s="2501"/>
      <c r="Z88" s="2501"/>
      <c r="AA88" s="2501"/>
      <c r="AB88" s="2501"/>
      <c r="AC88" s="2501"/>
      <c r="AD88" s="2501"/>
      <c r="AE88" s="2501"/>
      <c r="AF88" s="2501"/>
      <c r="AG88" s="41"/>
      <c r="AH88" s="41"/>
      <c r="AI88" s="41"/>
      <c r="AJ88" s="41"/>
    </row>
    <row r="89" spans="2:63" ht="15" hidden="1" customHeight="1" x14ac:dyDescent="0.4">
      <c r="B89" s="58"/>
      <c r="C89" s="2336" t="str">
        <f t="shared" si="4"/>
        <v>EXIGÊNCIA DA EXTENSÃO</v>
      </c>
      <c r="D89" s="2337"/>
      <c r="E89" s="2337"/>
      <c r="F89" s="2337"/>
      <c r="G89" s="2337"/>
      <c r="H89" s="2337"/>
      <c r="I89" s="2337"/>
      <c r="J89" s="2337"/>
      <c r="K89" s="2337"/>
      <c r="L89" s="479" t="str">
        <f t="shared" si="5"/>
        <v>-</v>
      </c>
      <c r="M89" s="524" t="str">
        <f t="shared" si="5"/>
        <v>H/A</v>
      </c>
      <c r="N89" s="3625" t="str">
        <f t="shared" si="5"/>
        <v>VERBA</v>
      </c>
      <c r="O89" s="3625"/>
      <c r="P89" s="448" t="str">
        <f>IF(OR(P29="X",P29="",P29="-",P29=0),"",P29)</f>
        <v/>
      </c>
      <c r="Q89" s="3650" t="str">
        <f t="shared" si="6"/>
        <v>-</v>
      </c>
      <c r="R89" s="3651"/>
      <c r="S89" s="3614" t="str">
        <f t="shared" si="7"/>
        <v>-</v>
      </c>
      <c r="T89" s="3615"/>
      <c r="U89" s="3616"/>
      <c r="V89" s="59"/>
      <c r="W89" s="492"/>
      <c r="X89" s="491"/>
      <c r="Y89" s="2501"/>
      <c r="Z89" s="2501"/>
      <c r="AA89" s="2501"/>
      <c r="AB89" s="2501"/>
      <c r="AC89" s="2501"/>
      <c r="AD89" s="2501"/>
      <c r="AE89" s="2501"/>
      <c r="AF89" s="2501"/>
      <c r="AG89" s="41"/>
      <c r="AH89" s="41"/>
      <c r="AI89" s="41"/>
      <c r="AJ89" s="41"/>
    </row>
    <row r="90" spans="2:63" ht="15" hidden="1" customHeight="1" x14ac:dyDescent="0.4">
      <c r="B90" s="58"/>
      <c r="C90" s="3633" t="str">
        <f t="shared" si="4"/>
        <v>GRATIFICAÇÃO DE INCENTIVO À DOCÊNCIA (Pó de Giz)</v>
      </c>
      <c r="D90" s="3634"/>
      <c r="E90" s="3634"/>
      <c r="F90" s="3634"/>
      <c r="G90" s="3634"/>
      <c r="H90" s="3634"/>
      <c r="I90" s="3634"/>
      <c r="J90" s="3634"/>
      <c r="K90" s="3634"/>
      <c r="L90" s="3634"/>
      <c r="M90" s="3634"/>
      <c r="N90" s="3603" t="str">
        <f t="shared" si="5"/>
        <v>VERBA</v>
      </c>
      <c r="O90" s="3603"/>
      <c r="P90" s="501">
        <f t="shared" ref="P90:P121" si="8">P30</f>
        <v>143</v>
      </c>
      <c r="Q90" s="3604" t="str">
        <f t="shared" si="6"/>
        <v>-</v>
      </c>
      <c r="R90" s="3605"/>
      <c r="S90" s="3606" t="str">
        <f t="shared" si="7"/>
        <v>-</v>
      </c>
      <c r="T90" s="3607"/>
      <c r="U90" s="3608"/>
      <c r="V90" s="59"/>
      <c r="W90" s="492"/>
      <c r="X90" s="49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2:63" ht="15" customHeight="1" x14ac:dyDescent="0.4">
      <c r="B91" s="58"/>
      <c r="C91" s="3622" t="str">
        <f t="shared" si="4"/>
        <v>BIÊNIO (ANTERIOR E.C. N.º 19/98)</v>
      </c>
      <c r="D91" s="3623"/>
      <c r="E91" s="3623"/>
      <c r="F91" s="3623"/>
      <c r="G91" s="3623"/>
      <c r="H91" s="3623"/>
      <c r="I91" s="3623"/>
      <c r="J91" s="3623"/>
      <c r="K91" s="3623"/>
      <c r="L91" s="3623"/>
      <c r="M91" s="3623"/>
      <c r="N91" s="3625" t="str">
        <f t="shared" si="5"/>
        <v>VERBA</v>
      </c>
      <c r="O91" s="3625"/>
      <c r="P91" s="448">
        <f t="shared" si="8"/>
        <v>144</v>
      </c>
      <c r="Q91" s="3650" t="str">
        <f t="shared" si="6"/>
        <v>-</v>
      </c>
      <c r="R91" s="3651"/>
      <c r="S91" s="3614" t="str">
        <f t="shared" si="7"/>
        <v>-</v>
      </c>
      <c r="T91" s="3615"/>
      <c r="U91" s="3616"/>
      <c r="V91" s="59"/>
      <c r="W91" s="492"/>
      <c r="X91" s="49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</row>
    <row r="92" spans="2:63" ht="15" customHeight="1" x14ac:dyDescent="0.4">
      <c r="B92" s="58"/>
      <c r="C92" s="3633" t="str">
        <f t="shared" si="4"/>
        <v>QUINQUÊNIO(S) MAGISTÉRIO (ANTERIOR E.C. N.º 19/98 )</v>
      </c>
      <c r="D92" s="3634"/>
      <c r="E92" s="3634"/>
      <c r="F92" s="3634"/>
      <c r="G92" s="3634"/>
      <c r="H92" s="3634"/>
      <c r="I92" s="3634"/>
      <c r="J92" s="3634"/>
      <c r="K92" s="3634"/>
      <c r="L92" s="3634"/>
      <c r="M92" s="3634"/>
      <c r="N92" s="3603" t="str">
        <f t="shared" si="5"/>
        <v>VERBA</v>
      </c>
      <c r="O92" s="3603"/>
      <c r="P92" s="501">
        <f t="shared" si="8"/>
        <v>42</v>
      </c>
      <c r="Q92" s="3604" t="str">
        <f t="shared" si="6"/>
        <v>-</v>
      </c>
      <c r="R92" s="3605"/>
      <c r="S92" s="3606" t="str">
        <f t="shared" si="7"/>
        <v>-</v>
      </c>
      <c r="T92" s="3607"/>
      <c r="U92" s="3608"/>
      <c r="V92" s="59"/>
      <c r="W92" s="492"/>
      <c r="X92" s="491"/>
      <c r="Y92" s="2534"/>
      <c r="Z92" s="2534"/>
      <c r="AA92" s="2534"/>
      <c r="AB92" s="2534"/>
      <c r="AC92" s="2534"/>
      <c r="AD92" s="2534"/>
      <c r="AE92" s="2534"/>
      <c r="AF92" s="2534"/>
      <c r="AG92" s="2534"/>
      <c r="AH92" s="2534"/>
      <c r="AI92" s="2534"/>
      <c r="AJ92" s="2534"/>
      <c r="AK92" s="2538"/>
      <c r="AL92" s="2539"/>
      <c r="AM92" s="2539"/>
      <c r="AN92" s="2540"/>
      <c r="AO92" s="2541"/>
      <c r="AP92" s="2539"/>
      <c r="AQ92" s="2539"/>
      <c r="AR92" s="2540"/>
      <c r="AS92" s="2541"/>
      <c r="AT92" s="2539"/>
      <c r="AU92" s="2539"/>
      <c r="AV92" s="2540"/>
      <c r="AW92" s="2541"/>
      <c r="AX92" s="2539"/>
      <c r="AY92" s="2539"/>
      <c r="AZ92" s="2540"/>
      <c r="BA92" s="2541"/>
      <c r="BB92" s="2539"/>
      <c r="BC92" s="2539"/>
      <c r="BD92" s="2540"/>
      <c r="BE92" s="2531"/>
      <c r="BF92" s="2531"/>
      <c r="BG92" s="2531"/>
      <c r="BH92" s="2531"/>
      <c r="BI92" s="2532"/>
      <c r="BJ92" s="2533"/>
      <c r="BK92" s="2533"/>
    </row>
    <row r="93" spans="2:63" ht="15" customHeight="1" x14ac:dyDescent="0.4">
      <c r="B93" s="58"/>
      <c r="C93" s="3622" t="str">
        <f t="shared" si="4"/>
        <v>QUINQUÊNIO(S) ADM. (ANTERIOR E.C. N.º 19/98)</v>
      </c>
      <c r="D93" s="3623"/>
      <c r="E93" s="3623"/>
      <c r="F93" s="3623"/>
      <c r="G93" s="3623"/>
      <c r="H93" s="3623"/>
      <c r="I93" s="3623"/>
      <c r="J93" s="3623"/>
      <c r="K93" s="3623"/>
      <c r="L93" s="3623"/>
      <c r="M93" s="3623"/>
      <c r="N93" s="3625" t="str">
        <f t="shared" si="5"/>
        <v>VERBA</v>
      </c>
      <c r="O93" s="3625"/>
      <c r="P93" s="448">
        <f t="shared" si="8"/>
        <v>41</v>
      </c>
      <c r="Q93" s="3650" t="str">
        <f t="shared" si="6"/>
        <v>-</v>
      </c>
      <c r="R93" s="3651"/>
      <c r="S93" s="3614" t="str">
        <f t="shared" si="7"/>
        <v>-</v>
      </c>
      <c r="T93" s="3615"/>
      <c r="U93" s="3616"/>
      <c r="V93" s="59"/>
      <c r="W93" s="492"/>
      <c r="X93" s="491"/>
      <c r="Y93" s="2534"/>
      <c r="Z93" s="2534"/>
      <c r="AA93" s="2534"/>
      <c r="AB93" s="2534"/>
      <c r="AC93" s="2534"/>
      <c r="AD93" s="2534"/>
      <c r="AE93" s="2534"/>
      <c r="AF93" s="2534"/>
      <c r="AG93" s="2534"/>
      <c r="AH93" s="2534"/>
      <c r="AI93" s="2534"/>
      <c r="AJ93" s="2534"/>
      <c r="AK93" s="3654"/>
      <c r="AL93" s="3648"/>
      <c r="AM93" s="3648"/>
      <c r="AN93" s="3649"/>
      <c r="AO93" s="3647"/>
      <c r="AP93" s="3648"/>
      <c r="AQ93" s="3648"/>
      <c r="AR93" s="3649"/>
      <c r="AS93" s="3647"/>
      <c r="AT93" s="3648"/>
      <c r="AU93" s="3648"/>
      <c r="AV93" s="3649"/>
      <c r="AW93" s="3647"/>
      <c r="AX93" s="3648"/>
      <c r="AY93" s="3648"/>
      <c r="AZ93" s="3649"/>
      <c r="BA93" s="3647"/>
      <c r="BB93" s="3648"/>
      <c r="BC93" s="3648"/>
      <c r="BD93" s="3649"/>
      <c r="BE93" s="3635"/>
      <c r="BF93" s="3635"/>
      <c r="BG93" s="3635"/>
      <c r="BH93" s="3636"/>
      <c r="BI93" s="3652"/>
      <c r="BJ93" s="3653"/>
      <c r="BK93" s="3653"/>
    </row>
    <row r="94" spans="2:63" ht="15" customHeight="1" thickBot="1" x14ac:dyDescent="0.45">
      <c r="B94" s="58"/>
      <c r="C94" s="3633" t="str">
        <f t="shared" si="4"/>
        <v>ADICIONAL P/ TEMPO DE SERVIÇO (ANT. E.C. N.º 19/98 )</v>
      </c>
      <c r="D94" s="3634"/>
      <c r="E94" s="3634"/>
      <c r="F94" s="3634"/>
      <c r="G94" s="3634"/>
      <c r="H94" s="3634"/>
      <c r="I94" s="3634"/>
      <c r="J94" s="3634"/>
      <c r="K94" s="3634"/>
      <c r="L94" s="3634"/>
      <c r="M94" s="3634"/>
      <c r="N94" s="3603" t="str">
        <f t="shared" si="5"/>
        <v>VERBA</v>
      </c>
      <c r="O94" s="3603"/>
      <c r="P94" s="501">
        <f t="shared" si="8"/>
        <v>44</v>
      </c>
      <c r="Q94" s="3642" t="str">
        <f t="shared" si="6"/>
        <v>-</v>
      </c>
      <c r="R94" s="3643"/>
      <c r="S94" s="3644" t="str">
        <f t="shared" si="7"/>
        <v>-</v>
      </c>
      <c r="T94" s="3645"/>
      <c r="U94" s="3646"/>
      <c r="V94" s="59"/>
      <c r="W94" s="492"/>
      <c r="X94" s="491"/>
      <c r="Y94" s="2547"/>
      <c r="Z94" s="2547"/>
      <c r="AA94" s="2547"/>
      <c r="AB94" s="2547"/>
      <c r="AC94" s="2547"/>
      <c r="AD94" s="2547"/>
      <c r="AE94" s="2547"/>
      <c r="AF94" s="2547"/>
      <c r="AG94" s="2547"/>
      <c r="AH94" s="2547"/>
      <c r="AI94" s="2547"/>
      <c r="AJ94" s="2547"/>
      <c r="AK94" s="3630"/>
      <c r="AL94" s="3631"/>
      <c r="AM94" s="3631"/>
      <c r="AN94" s="3632"/>
      <c r="AO94" s="3641"/>
      <c r="AP94" s="3631"/>
      <c r="AQ94" s="3631"/>
      <c r="AR94" s="3632"/>
      <c r="AS94" s="3641"/>
      <c r="AT94" s="3631"/>
      <c r="AU94" s="3631"/>
      <c r="AV94" s="3632"/>
      <c r="AW94" s="3641"/>
      <c r="AX94" s="3631"/>
      <c r="AY94" s="3631"/>
      <c r="AZ94" s="3632"/>
      <c r="BA94" s="3641"/>
      <c r="BB94" s="3631"/>
      <c r="BC94" s="3631"/>
      <c r="BD94" s="3632"/>
      <c r="BE94" s="3637"/>
      <c r="BF94" s="3637"/>
      <c r="BG94" s="3637"/>
      <c r="BH94" s="3638"/>
      <c r="BI94" s="3639"/>
      <c r="BJ94" s="3640"/>
      <c r="BK94" s="3640"/>
    </row>
    <row r="95" spans="2:63" ht="15" customHeight="1" thickTop="1" x14ac:dyDescent="0.4">
      <c r="B95" s="58"/>
      <c r="C95" s="2410" t="str">
        <f t="shared" si="4"/>
        <v>QUINQUÊNIO ADM. E.C. N.º 19/98</v>
      </c>
      <c r="D95" s="2411"/>
      <c r="E95" s="2411"/>
      <c r="F95" s="2411"/>
      <c r="G95" s="2411"/>
      <c r="H95" s="2411"/>
      <c r="I95" s="2411"/>
      <c r="J95" s="2411"/>
      <c r="K95" s="2411"/>
      <c r="L95" s="2411"/>
      <c r="M95" s="2411"/>
      <c r="N95" s="2412" t="str">
        <f>N35</f>
        <v>VERBA</v>
      </c>
      <c r="O95" s="2412"/>
      <c r="P95" s="452">
        <f t="shared" si="8"/>
        <v>25</v>
      </c>
      <c r="Q95" s="2563" t="str">
        <f>W35</f>
        <v>-</v>
      </c>
      <c r="R95" s="2564"/>
      <c r="S95" s="2413" t="str">
        <f>X35</f>
        <v>-</v>
      </c>
      <c r="T95" s="2414"/>
      <c r="U95" s="2415"/>
      <c r="V95" s="59"/>
      <c r="W95" s="492"/>
      <c r="X95" s="491"/>
      <c r="Y95" s="2565"/>
      <c r="Z95" s="2565"/>
      <c r="AA95" s="2565"/>
      <c r="AB95" s="2565"/>
      <c r="AC95" s="2565"/>
      <c r="AD95" s="2565"/>
      <c r="AE95" s="2565"/>
      <c r="AF95" s="2565"/>
      <c r="AG95" s="2565"/>
      <c r="AH95" s="2565"/>
      <c r="AI95" s="2565"/>
      <c r="AJ95" s="2565"/>
      <c r="AK95" s="2552"/>
      <c r="AL95" s="2552"/>
      <c r="AM95" s="2552"/>
      <c r="AN95" s="2553"/>
      <c r="AO95" s="2551"/>
      <c r="AP95" s="2552"/>
      <c r="AQ95" s="2552"/>
      <c r="AR95" s="2553"/>
      <c r="AS95" s="2551"/>
      <c r="AT95" s="2552"/>
      <c r="AU95" s="2552"/>
      <c r="AV95" s="2553"/>
      <c r="AW95" s="2551"/>
      <c r="AX95" s="2552"/>
      <c r="AY95" s="2552"/>
      <c r="AZ95" s="2553"/>
      <c r="BA95" s="2551"/>
      <c r="BB95" s="2552"/>
      <c r="BC95" s="2552"/>
      <c r="BD95" s="2553"/>
      <c r="BE95" s="2551"/>
      <c r="BF95" s="2552"/>
      <c r="BG95" s="2552"/>
      <c r="BH95" s="2552"/>
      <c r="BI95" s="2554"/>
      <c r="BJ95" s="2555"/>
      <c r="BK95" s="2555"/>
    </row>
    <row r="96" spans="2:63" ht="15" customHeight="1" x14ac:dyDescent="0.4">
      <c r="B96" s="58"/>
      <c r="C96" s="2571" t="str">
        <f t="shared" si="4"/>
        <v>QUINQUÊNIO MAG. E.C. N.º 19/98</v>
      </c>
      <c r="D96" s="2572"/>
      <c r="E96" s="2572"/>
      <c r="F96" s="2572"/>
      <c r="G96" s="2572"/>
      <c r="H96" s="2572"/>
      <c r="I96" s="2572"/>
      <c r="J96" s="2572"/>
      <c r="K96" s="2572"/>
      <c r="L96" s="2572"/>
      <c r="M96" s="2572"/>
      <c r="N96" s="3603" t="str">
        <f t="shared" ref="N96:N121" si="9">N36</f>
        <v>VERBA</v>
      </c>
      <c r="O96" s="3603"/>
      <c r="P96" s="502">
        <f t="shared" si="8"/>
        <v>26</v>
      </c>
      <c r="Q96" s="3604" t="str">
        <f>W36</f>
        <v>-</v>
      </c>
      <c r="R96" s="3605"/>
      <c r="S96" s="3606" t="str">
        <f>X36</f>
        <v>-</v>
      </c>
      <c r="T96" s="3607"/>
      <c r="U96" s="3608"/>
      <c r="V96" s="59"/>
      <c r="W96" s="492"/>
      <c r="X96" s="49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</row>
    <row r="97" spans="2:36" ht="15" customHeight="1" x14ac:dyDescent="0.4">
      <c r="B97" s="58"/>
      <c r="C97" s="3622" t="str">
        <f t="shared" si="4"/>
        <v>ADICIONAL POR TEMPO DE SERVIÇO - E.C. N.º 19/98</v>
      </c>
      <c r="D97" s="3623"/>
      <c r="E97" s="3623"/>
      <c r="F97" s="3623"/>
      <c r="G97" s="3623"/>
      <c r="H97" s="3623"/>
      <c r="I97" s="3623"/>
      <c r="J97" s="3623"/>
      <c r="K97" s="3623"/>
      <c r="L97" s="3623"/>
      <c r="M97" s="3623"/>
      <c r="N97" s="3625" t="str">
        <f t="shared" si="9"/>
        <v>VERBA</v>
      </c>
      <c r="O97" s="3625"/>
      <c r="P97" s="453">
        <f t="shared" si="8"/>
        <v>27</v>
      </c>
      <c r="Q97" s="3612" t="str">
        <f t="shared" ref="Q97:Q121" si="10">W37</f>
        <v>-</v>
      </c>
      <c r="R97" s="3613"/>
      <c r="S97" s="3626" t="str">
        <f t="shared" ref="S97:S121" si="11">X37</f>
        <v>-</v>
      </c>
      <c r="T97" s="3627"/>
      <c r="U97" s="3628"/>
      <c r="V97" s="59"/>
      <c r="W97" s="492"/>
      <c r="X97" s="49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</row>
    <row r="98" spans="2:36" ht="15" customHeight="1" x14ac:dyDescent="0.4">
      <c r="B98" s="58"/>
      <c r="C98" s="3601" t="str">
        <f t="shared" si="4"/>
        <v>BIÊNIO E.C. N.º 19/98</v>
      </c>
      <c r="D98" s="3602"/>
      <c r="E98" s="3602"/>
      <c r="F98" s="3602"/>
      <c r="G98" s="3602"/>
      <c r="H98" s="3602"/>
      <c r="I98" s="3602"/>
      <c r="J98" s="3602"/>
      <c r="K98" s="3602"/>
      <c r="L98" s="3602"/>
      <c r="M98" s="3602"/>
      <c r="N98" s="3603" t="str">
        <f t="shared" si="9"/>
        <v>VERBA</v>
      </c>
      <c r="O98" s="3603"/>
      <c r="P98" s="502">
        <f t="shared" si="8"/>
        <v>28</v>
      </c>
      <c r="Q98" s="3604" t="str">
        <f t="shared" si="10"/>
        <v>-</v>
      </c>
      <c r="R98" s="3605"/>
      <c r="S98" s="3606" t="str">
        <f t="shared" si="11"/>
        <v>-</v>
      </c>
      <c r="T98" s="3607"/>
      <c r="U98" s="3608"/>
      <c r="V98" s="59"/>
      <c r="W98" s="492"/>
      <c r="X98" s="49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</row>
    <row r="99" spans="2:36" ht="15" customHeight="1" x14ac:dyDescent="0.4">
      <c r="B99" s="58"/>
      <c r="C99" s="3622" t="str">
        <f t="shared" si="4"/>
        <v>QUINQUÊNIO ADM. E.C.E. 57/03</v>
      </c>
      <c r="D99" s="3623"/>
      <c r="E99" s="3623"/>
      <c r="F99" s="3623"/>
      <c r="G99" s="3623"/>
      <c r="H99" s="3623"/>
      <c r="I99" s="3623"/>
      <c r="J99" s="3623"/>
      <c r="K99" s="3623"/>
      <c r="L99" s="3623"/>
      <c r="M99" s="3623"/>
      <c r="N99" s="3625" t="str">
        <f t="shared" si="9"/>
        <v>VERBA</v>
      </c>
      <c r="O99" s="3625"/>
      <c r="P99" s="453">
        <f t="shared" si="8"/>
        <v>283</v>
      </c>
      <c r="Q99" s="3612" t="str">
        <f t="shared" si="10"/>
        <v>-</v>
      </c>
      <c r="R99" s="3613"/>
      <c r="S99" s="3626" t="str">
        <f t="shared" si="11"/>
        <v>-</v>
      </c>
      <c r="T99" s="3627"/>
      <c r="U99" s="3628"/>
      <c r="V99" s="59"/>
      <c r="W99" s="492"/>
      <c r="X99" s="49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</row>
    <row r="100" spans="2:36" ht="15" customHeight="1" x14ac:dyDescent="0.4">
      <c r="B100" s="58"/>
      <c r="C100" s="3601" t="str">
        <f t="shared" si="4"/>
        <v>QUINQUÊNIO MAG. E.C.E. 57/03</v>
      </c>
      <c r="D100" s="3602"/>
      <c r="E100" s="3602"/>
      <c r="F100" s="3602"/>
      <c r="G100" s="3602"/>
      <c r="H100" s="3602"/>
      <c r="I100" s="3602"/>
      <c r="J100" s="3602"/>
      <c r="K100" s="3602"/>
      <c r="L100" s="3602"/>
      <c r="M100" s="3602"/>
      <c r="N100" s="3603" t="str">
        <f t="shared" si="9"/>
        <v>VERBA</v>
      </c>
      <c r="O100" s="3603"/>
      <c r="P100" s="502">
        <f t="shared" si="8"/>
        <v>284</v>
      </c>
      <c r="Q100" s="3604" t="str">
        <f t="shared" si="10"/>
        <v>-</v>
      </c>
      <c r="R100" s="3605"/>
      <c r="S100" s="3606" t="str">
        <f t="shared" si="11"/>
        <v>-</v>
      </c>
      <c r="T100" s="3607"/>
      <c r="U100" s="3608"/>
      <c r="V100" s="59"/>
      <c r="W100" s="492"/>
      <c r="X100" s="49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</row>
    <row r="101" spans="2:36" ht="15" customHeight="1" x14ac:dyDescent="0.4">
      <c r="B101" s="58"/>
      <c r="C101" s="3622" t="str">
        <f t="shared" si="4"/>
        <v>ADICIONAL POR TEMPO DE SERVIÇO - E.C.E. N.º 57/03</v>
      </c>
      <c r="D101" s="3623"/>
      <c r="E101" s="3623"/>
      <c r="F101" s="3623"/>
      <c r="G101" s="3623"/>
      <c r="H101" s="3623"/>
      <c r="I101" s="3623"/>
      <c r="J101" s="3623"/>
      <c r="K101" s="3623"/>
      <c r="L101" s="3623"/>
      <c r="M101" s="3623"/>
      <c r="N101" s="3625" t="str">
        <f t="shared" si="9"/>
        <v>VERBA</v>
      </c>
      <c r="O101" s="3625"/>
      <c r="P101" s="453">
        <f t="shared" si="8"/>
        <v>285</v>
      </c>
      <c r="Q101" s="3612" t="str">
        <f t="shared" si="10"/>
        <v>-</v>
      </c>
      <c r="R101" s="3613"/>
      <c r="S101" s="3626" t="str">
        <f t="shared" si="11"/>
        <v>-</v>
      </c>
      <c r="T101" s="3627"/>
      <c r="U101" s="3628"/>
      <c r="V101" s="59"/>
      <c r="W101" s="492"/>
      <c r="X101" s="49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</row>
    <row r="102" spans="2:36" ht="15" customHeight="1" x14ac:dyDescent="0.4">
      <c r="B102" s="58"/>
      <c r="C102" s="3601" t="str">
        <f t="shared" si="4"/>
        <v>BIÊNIO LEI 15788/05</v>
      </c>
      <c r="D102" s="3602"/>
      <c r="E102" s="3602"/>
      <c r="F102" s="3602"/>
      <c r="G102" s="3602"/>
      <c r="H102" s="3602"/>
      <c r="I102" s="3602"/>
      <c r="J102" s="3602"/>
      <c r="K102" s="3602"/>
      <c r="L102" s="3602"/>
      <c r="M102" s="3602"/>
      <c r="N102" s="3603" t="str">
        <f t="shared" si="9"/>
        <v>VERBA</v>
      </c>
      <c r="O102" s="3603"/>
      <c r="P102" s="502">
        <f t="shared" si="8"/>
        <v>336</v>
      </c>
      <c r="Q102" s="3604" t="str">
        <f t="shared" si="10"/>
        <v>-</v>
      </c>
      <c r="R102" s="3605"/>
      <c r="S102" s="3606" t="str">
        <f t="shared" si="11"/>
        <v>-</v>
      </c>
      <c r="T102" s="3607"/>
      <c r="U102" s="3608"/>
      <c r="V102" s="59"/>
      <c r="W102" s="492"/>
      <c r="X102" s="49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</row>
    <row r="103" spans="2:36" ht="15" customHeight="1" x14ac:dyDescent="0.4">
      <c r="B103" s="58"/>
      <c r="C103" s="3622" t="str">
        <f t="shared" si="4"/>
        <v>GRATIFICAÇÃO DE ENSINO ESPECIAL</v>
      </c>
      <c r="D103" s="3623"/>
      <c r="E103" s="3623"/>
      <c r="F103" s="3623"/>
      <c r="G103" s="3623"/>
      <c r="H103" s="3623"/>
      <c r="I103" s="3623"/>
      <c r="J103" s="3623"/>
      <c r="K103" s="3623"/>
      <c r="L103" s="3623"/>
      <c r="M103" s="3623"/>
      <c r="N103" s="3625" t="str">
        <f t="shared" si="9"/>
        <v>VERBA</v>
      </c>
      <c r="O103" s="3625"/>
      <c r="P103" s="453">
        <f t="shared" si="8"/>
        <v>140</v>
      </c>
      <c r="Q103" s="3612" t="str">
        <f t="shared" si="10"/>
        <v>-</v>
      </c>
      <c r="R103" s="3613"/>
      <c r="S103" s="3626" t="str">
        <f t="shared" si="11"/>
        <v>-</v>
      </c>
      <c r="T103" s="3627"/>
      <c r="U103" s="3628"/>
      <c r="V103" s="59"/>
      <c r="W103" s="492"/>
      <c r="X103" s="491"/>
      <c r="Y103" s="2573"/>
      <c r="Z103" s="2573"/>
      <c r="AA103" s="2573"/>
      <c r="AB103" s="2573"/>
      <c r="AC103" s="521"/>
      <c r="AD103" s="2368"/>
      <c r="AE103" s="2368"/>
      <c r="AF103" s="2368"/>
      <c r="AG103" s="41"/>
      <c r="AH103" s="41"/>
      <c r="AI103" s="41"/>
      <c r="AJ103" s="41"/>
    </row>
    <row r="104" spans="2:36" ht="15" customHeight="1" x14ac:dyDescent="0.4">
      <c r="B104" s="58"/>
      <c r="C104" s="3601" t="str">
        <f t="shared" si="4"/>
        <v>GRATIFICAÇÃO DE PÓS GRADUAÇÃO</v>
      </c>
      <c r="D104" s="3602"/>
      <c r="E104" s="3602"/>
      <c r="F104" s="3602"/>
      <c r="G104" s="3602"/>
      <c r="H104" s="3602"/>
      <c r="I104" s="3602"/>
      <c r="J104" s="3602"/>
      <c r="K104" s="3602"/>
      <c r="L104" s="3602"/>
      <c r="M104" s="3602"/>
      <c r="N104" s="3603" t="str">
        <f t="shared" si="9"/>
        <v>VERBA</v>
      </c>
      <c r="O104" s="3603"/>
      <c r="P104" s="502">
        <f t="shared" si="8"/>
        <v>158</v>
      </c>
      <c r="Q104" s="3604" t="str">
        <f t="shared" si="10"/>
        <v>-</v>
      </c>
      <c r="R104" s="3605"/>
      <c r="S104" s="3606" t="str">
        <f t="shared" si="11"/>
        <v>-</v>
      </c>
      <c r="T104" s="3607"/>
      <c r="U104" s="3608"/>
      <c r="V104" s="59"/>
      <c r="W104" s="492"/>
      <c r="X104" s="491"/>
      <c r="Y104" s="2573"/>
      <c r="Z104" s="2573"/>
      <c r="AA104" s="2573"/>
      <c r="AB104" s="2573"/>
      <c r="AC104" s="521"/>
      <c r="AD104" s="2368"/>
      <c r="AE104" s="2368"/>
      <c r="AF104" s="2368"/>
      <c r="AG104" s="41"/>
      <c r="AH104" s="41"/>
      <c r="AI104" s="41"/>
      <c r="AJ104" s="41"/>
    </row>
    <row r="105" spans="2:36" ht="15" customHeight="1" x14ac:dyDescent="0.4">
      <c r="B105" s="58"/>
      <c r="C105" s="3622" t="str">
        <f t="shared" si="4"/>
        <v>GRATIFICAÇÃO DE COORDENAÇÃO DE ESCOLA</v>
      </c>
      <c r="D105" s="3623"/>
      <c r="E105" s="3623"/>
      <c r="F105" s="3623"/>
      <c r="G105" s="3623"/>
      <c r="H105" s="3623"/>
      <c r="I105" s="3623"/>
      <c r="J105" s="3623"/>
      <c r="K105" s="3623"/>
      <c r="L105" s="3623"/>
      <c r="M105" s="3623"/>
      <c r="N105" s="3625" t="str">
        <f t="shared" si="9"/>
        <v>VERBA</v>
      </c>
      <c r="O105" s="3625"/>
      <c r="P105" s="453">
        <f t="shared" si="8"/>
        <v>142</v>
      </c>
      <c r="Q105" s="3612" t="str">
        <f t="shared" si="10"/>
        <v>-</v>
      </c>
      <c r="R105" s="3613"/>
      <c r="S105" s="3626" t="str">
        <f t="shared" si="11"/>
        <v>-</v>
      </c>
      <c r="T105" s="3627"/>
      <c r="U105" s="3628"/>
      <c r="V105" s="59"/>
      <c r="W105" s="492"/>
      <c r="X105" s="491"/>
      <c r="Y105" s="2573"/>
      <c r="Z105" s="2573"/>
      <c r="AA105" s="2573"/>
      <c r="AB105" s="2573"/>
      <c r="AC105" s="521"/>
      <c r="AD105" s="2368"/>
      <c r="AE105" s="2368"/>
      <c r="AF105" s="2368"/>
      <c r="AG105" s="41"/>
      <c r="AH105" s="41"/>
      <c r="AI105" s="41"/>
      <c r="AJ105" s="41"/>
    </row>
    <row r="106" spans="2:36" ht="15" customHeight="1" x14ac:dyDescent="0.4">
      <c r="B106" s="58"/>
      <c r="C106" s="3601" t="str">
        <f t="shared" si="4"/>
        <v>GRATIFICAÇÃO DE FUNÇÃO ESPECIALISTA</v>
      </c>
      <c r="D106" s="3602"/>
      <c r="E106" s="3602"/>
      <c r="F106" s="3602"/>
      <c r="G106" s="3602"/>
      <c r="H106" s="3602"/>
      <c r="I106" s="3602"/>
      <c r="J106" s="3602"/>
      <c r="K106" s="3602"/>
      <c r="L106" s="3602"/>
      <c r="M106" s="3602"/>
      <c r="N106" s="3603" t="str">
        <f t="shared" si="9"/>
        <v>VERBA</v>
      </c>
      <c r="O106" s="3603"/>
      <c r="P106" s="502">
        <f t="shared" si="8"/>
        <v>146</v>
      </c>
      <c r="Q106" s="3604" t="str">
        <f t="shared" si="10"/>
        <v>-</v>
      </c>
      <c r="R106" s="3605"/>
      <c r="S106" s="3606" t="str">
        <f t="shared" si="11"/>
        <v>-</v>
      </c>
      <c r="T106" s="3607"/>
      <c r="U106" s="3608"/>
      <c r="V106" s="59"/>
      <c r="W106" s="492"/>
      <c r="X106" s="491"/>
      <c r="Y106" s="2573"/>
      <c r="Z106" s="2573"/>
      <c r="AA106" s="2573"/>
      <c r="AB106" s="2573"/>
      <c r="AC106" s="521"/>
      <c r="AD106" s="2368"/>
      <c r="AE106" s="2368"/>
      <c r="AF106" s="2368"/>
      <c r="AG106" s="41"/>
      <c r="AH106" s="41"/>
      <c r="AI106" s="41"/>
      <c r="AJ106" s="41"/>
    </row>
    <row r="107" spans="2:36" ht="15" hidden="1" customHeight="1" x14ac:dyDescent="0.4">
      <c r="B107" s="58"/>
      <c r="C107" s="3622" t="str">
        <f>C47</f>
        <v>GRATIFICAÇÃO DE FUNÇÃO</v>
      </c>
      <c r="D107" s="3623"/>
      <c r="E107" s="3623"/>
      <c r="F107" s="3623"/>
      <c r="G107" s="3623"/>
      <c r="H107" s="3623"/>
      <c r="I107" s="3623"/>
      <c r="J107" s="3623"/>
      <c r="K107" s="3623"/>
      <c r="L107" s="3623"/>
      <c r="M107" s="3623"/>
      <c r="N107" s="3625" t="str">
        <f t="shared" si="9"/>
        <v>VERBA</v>
      </c>
      <c r="O107" s="3625"/>
      <c r="P107" s="453">
        <f t="shared" si="8"/>
        <v>515</v>
      </c>
      <c r="Q107" s="3612" t="str">
        <f t="shared" si="10"/>
        <v>-</v>
      </c>
      <c r="R107" s="3613"/>
      <c r="S107" s="3626" t="str">
        <f t="shared" si="11"/>
        <v>-</v>
      </c>
      <c r="T107" s="3627"/>
      <c r="U107" s="3628"/>
      <c r="V107" s="59"/>
      <c r="W107" s="492"/>
      <c r="X107" s="491"/>
      <c r="Y107" s="2573"/>
      <c r="Z107" s="2573"/>
      <c r="AA107" s="2573"/>
      <c r="AB107" s="2573"/>
      <c r="AC107" s="521"/>
      <c r="AD107" s="2368"/>
      <c r="AE107" s="2368"/>
      <c r="AF107" s="2368"/>
      <c r="AG107" s="41"/>
      <c r="AH107" s="41"/>
      <c r="AI107" s="41"/>
      <c r="AJ107" s="41"/>
    </row>
    <row r="108" spans="2:36" ht="15" hidden="1" customHeight="1" x14ac:dyDescent="0.4">
      <c r="B108" s="58"/>
      <c r="C108" s="3601" t="str">
        <f>C48</f>
        <v>GRATIFICAÇÃO DE FUNÇÃO</v>
      </c>
      <c r="D108" s="3602"/>
      <c r="E108" s="3602"/>
      <c r="F108" s="3602"/>
      <c r="G108" s="3602"/>
      <c r="H108" s="3602"/>
      <c r="I108" s="3629" t="s">
        <v>8120</v>
      </c>
      <c r="J108" s="3629"/>
      <c r="K108" s="3629"/>
      <c r="L108" s="3629"/>
      <c r="M108" s="3629"/>
      <c r="N108" s="3603" t="str">
        <f t="shared" si="9"/>
        <v>VERBA</v>
      </c>
      <c r="O108" s="3603"/>
      <c r="P108" s="502">
        <f t="shared" si="8"/>
        <v>560</v>
      </c>
      <c r="Q108" s="3604" t="str">
        <f t="shared" si="10"/>
        <v>-</v>
      </c>
      <c r="R108" s="3605"/>
      <c r="S108" s="3606" t="str">
        <f t="shared" si="11"/>
        <v>-</v>
      </c>
      <c r="T108" s="3607"/>
      <c r="U108" s="3608"/>
      <c r="V108" s="59"/>
      <c r="W108" s="492"/>
      <c r="X108" s="491"/>
      <c r="Y108" s="2573"/>
      <c r="Z108" s="2573"/>
      <c r="AA108" s="2573"/>
      <c r="AB108" s="2573"/>
      <c r="AC108" s="521"/>
      <c r="AD108" s="2368"/>
      <c r="AE108" s="2368"/>
      <c r="AF108" s="2368"/>
      <c r="AG108" s="41"/>
      <c r="AH108" s="41"/>
      <c r="AI108" s="41"/>
      <c r="AJ108" s="41"/>
    </row>
    <row r="109" spans="2:36" ht="15" hidden="1" customHeight="1" x14ac:dyDescent="0.4">
      <c r="B109" s="58"/>
      <c r="C109" s="3622" t="str">
        <f>C49</f>
        <v>GRATIFICAÇÃO DE FUNÇÃO</v>
      </c>
      <c r="D109" s="3623"/>
      <c r="E109" s="3623"/>
      <c r="F109" s="3623"/>
      <c r="G109" s="3623"/>
      <c r="H109" s="3623"/>
      <c r="I109" s="3624" t="s">
        <v>8121</v>
      </c>
      <c r="J109" s="3624"/>
      <c r="K109" s="3624"/>
      <c r="L109" s="3624"/>
      <c r="M109" s="3624"/>
      <c r="N109" s="3625" t="str">
        <f t="shared" si="9"/>
        <v>VERBA</v>
      </c>
      <c r="O109" s="3625"/>
      <c r="P109" s="453">
        <f t="shared" si="8"/>
        <v>859</v>
      </c>
      <c r="Q109" s="3612" t="str">
        <f t="shared" si="10"/>
        <v>-</v>
      </c>
      <c r="R109" s="3613"/>
      <c r="S109" s="3626" t="str">
        <f t="shared" si="11"/>
        <v>-</v>
      </c>
      <c r="T109" s="3627"/>
      <c r="U109" s="3628"/>
      <c r="V109" s="59"/>
      <c r="W109" s="492"/>
      <c r="X109" s="491"/>
      <c r="Y109" s="2573"/>
      <c r="Z109" s="2573"/>
      <c r="AA109" s="2573"/>
      <c r="AB109" s="2573"/>
      <c r="AC109" s="521"/>
      <c r="AD109" s="2368"/>
      <c r="AE109" s="2368"/>
      <c r="AF109" s="2368"/>
      <c r="AG109" s="41"/>
      <c r="AH109" s="41"/>
      <c r="AI109" s="41"/>
      <c r="AJ109" s="41"/>
    </row>
    <row r="110" spans="2:36" ht="15" customHeight="1" x14ac:dyDescent="0.4">
      <c r="B110" s="58"/>
      <c r="C110" s="3609" t="s">
        <v>8154</v>
      </c>
      <c r="D110" s="3610"/>
      <c r="E110" s="3610"/>
      <c r="F110" s="3610"/>
      <c r="G110" s="3610"/>
      <c r="H110" s="3610"/>
      <c r="I110" s="3610"/>
      <c r="J110" s="3610"/>
      <c r="K110" s="3610"/>
      <c r="L110" s="3610"/>
      <c r="M110" s="3610"/>
      <c r="N110" s="3611" t="str">
        <f t="shared" si="9"/>
        <v>VERBA</v>
      </c>
      <c r="O110" s="3611"/>
      <c r="P110" s="453">
        <f t="shared" si="8"/>
        <v>378</v>
      </c>
      <c r="Q110" s="3612" t="str">
        <f t="shared" si="10"/>
        <v>-</v>
      </c>
      <c r="R110" s="3613"/>
      <c r="S110" s="3614" t="str">
        <f t="shared" si="11"/>
        <v>-</v>
      </c>
      <c r="T110" s="3615"/>
      <c r="U110" s="3616"/>
      <c r="V110" s="59"/>
      <c r="W110" s="492"/>
      <c r="X110" s="491"/>
      <c r="Y110" s="2573"/>
      <c r="Z110" s="2573"/>
      <c r="AA110" s="2573"/>
      <c r="AB110" s="2573"/>
      <c r="AC110" s="521"/>
      <c r="AD110" s="2368"/>
      <c r="AE110" s="2368"/>
      <c r="AF110" s="2368"/>
      <c r="AG110" s="41"/>
      <c r="AH110" s="41"/>
      <c r="AI110" s="41"/>
      <c r="AJ110" s="41"/>
    </row>
    <row r="111" spans="2:36" ht="15" customHeight="1" x14ac:dyDescent="0.4">
      <c r="B111" s="58"/>
      <c r="C111" s="3601" t="str">
        <f>C51</f>
        <v>PRC</v>
      </c>
      <c r="D111" s="3602"/>
      <c r="E111" s="3602"/>
      <c r="F111" s="3602"/>
      <c r="G111" s="3602"/>
      <c r="H111" s="3602"/>
      <c r="I111" s="3602"/>
      <c r="J111" s="3602"/>
      <c r="K111" s="3602"/>
      <c r="L111" s="3602"/>
      <c r="M111" s="3602"/>
      <c r="N111" s="3603" t="str">
        <f t="shared" si="9"/>
        <v>VERBA</v>
      </c>
      <c r="O111" s="3603"/>
      <c r="P111" s="502">
        <f t="shared" si="8"/>
        <v>20</v>
      </c>
      <c r="Q111" s="3604" t="str">
        <f t="shared" si="10"/>
        <v>-</v>
      </c>
      <c r="R111" s="3605"/>
      <c r="S111" s="3606" t="str">
        <f t="shared" si="11"/>
        <v>-</v>
      </c>
      <c r="T111" s="3607"/>
      <c r="U111" s="3608"/>
      <c r="V111" s="59"/>
      <c r="W111" s="492"/>
      <c r="X111" s="491"/>
      <c r="Y111" s="535"/>
      <c r="Z111" s="535"/>
      <c r="AA111" s="535"/>
      <c r="AB111" s="535"/>
      <c r="AC111" s="521"/>
      <c r="AD111" s="521"/>
      <c r="AE111" s="521"/>
      <c r="AF111" s="521"/>
      <c r="AG111" s="41"/>
      <c r="AH111" s="41"/>
      <c r="AI111" s="41"/>
      <c r="AJ111" s="41"/>
    </row>
    <row r="112" spans="2:36" ht="15" customHeight="1" x14ac:dyDescent="0.4">
      <c r="B112" s="58"/>
      <c r="C112" s="3609" t="str">
        <f>C52</f>
        <v>PCRM</v>
      </c>
      <c r="D112" s="3610"/>
      <c r="E112" s="3610"/>
      <c r="F112" s="3610"/>
      <c r="G112" s="3610"/>
      <c r="H112" s="3610"/>
      <c r="I112" s="3610"/>
      <c r="J112" s="3610"/>
      <c r="K112" s="3610"/>
      <c r="L112" s="3610"/>
      <c r="M112" s="3610"/>
      <c r="N112" s="3611" t="str">
        <f t="shared" si="9"/>
        <v>VERBA</v>
      </c>
      <c r="O112" s="3611"/>
      <c r="P112" s="453">
        <f t="shared" si="8"/>
        <v>540</v>
      </c>
      <c r="Q112" s="3612" t="str">
        <f t="shared" si="10"/>
        <v>-</v>
      </c>
      <c r="R112" s="3613"/>
      <c r="S112" s="3614" t="str">
        <f t="shared" si="11"/>
        <v>-</v>
      </c>
      <c r="T112" s="3615"/>
      <c r="U112" s="3616"/>
      <c r="V112" s="59"/>
      <c r="W112" s="492"/>
      <c r="X112" s="491"/>
      <c r="Y112" s="535"/>
      <c r="Z112" s="535"/>
      <c r="AA112" s="535"/>
      <c r="AB112" s="535"/>
      <c r="AC112" s="521"/>
      <c r="AD112" s="521"/>
      <c r="AE112" s="521"/>
      <c r="AF112" s="521"/>
      <c r="AG112" s="41"/>
      <c r="AH112" s="41"/>
      <c r="AI112" s="41"/>
      <c r="AJ112" s="41"/>
    </row>
    <row r="113" spans="2:36" ht="15" customHeight="1" x14ac:dyDescent="0.4">
      <c r="B113" s="58"/>
      <c r="C113" s="548" t="str">
        <f>C53</f>
        <v>VTI</v>
      </c>
      <c r="D113" s="3620"/>
      <c r="E113" s="3620"/>
      <c r="F113" s="3620"/>
      <c r="G113" s="3620"/>
      <c r="H113" s="3620"/>
      <c r="I113" s="3620"/>
      <c r="J113" s="3620"/>
      <c r="K113" s="3620"/>
      <c r="L113" s="3620"/>
      <c r="M113" s="549"/>
      <c r="N113" s="3603" t="str">
        <f t="shared" si="9"/>
        <v>VERBA</v>
      </c>
      <c r="O113" s="3603"/>
      <c r="P113" s="502">
        <f t="shared" si="8"/>
        <v>420</v>
      </c>
      <c r="Q113" s="3604" t="str">
        <f t="shared" si="10"/>
        <v>-</v>
      </c>
      <c r="R113" s="3605"/>
      <c r="S113" s="3606" t="str">
        <f t="shared" si="11"/>
        <v>-</v>
      </c>
      <c r="T113" s="3607"/>
      <c r="U113" s="3608"/>
      <c r="V113" s="59"/>
      <c r="W113" s="492"/>
      <c r="X113" s="491"/>
      <c r="Y113" s="535"/>
      <c r="Z113" s="535"/>
      <c r="AA113" s="535"/>
      <c r="AB113" s="535"/>
      <c r="AC113" s="521"/>
      <c r="AD113" s="521"/>
      <c r="AE113" s="521"/>
      <c r="AF113" s="521"/>
      <c r="AG113" s="41"/>
      <c r="AH113" s="41"/>
      <c r="AI113" s="41"/>
      <c r="AJ113" s="41"/>
    </row>
    <row r="114" spans="2:36" ht="15" customHeight="1" x14ac:dyDescent="0.4">
      <c r="B114" s="58"/>
      <c r="C114" s="550" t="str">
        <f>C54</f>
        <v>VTI</v>
      </c>
      <c r="D114" s="3621"/>
      <c r="E114" s="3621"/>
      <c r="F114" s="3621"/>
      <c r="G114" s="3621"/>
      <c r="H114" s="3621"/>
      <c r="I114" s="3621"/>
      <c r="J114" s="3621"/>
      <c r="K114" s="3621"/>
      <c r="L114" s="3621"/>
      <c r="M114" s="551"/>
      <c r="N114" s="3611" t="str">
        <f t="shared" si="9"/>
        <v>VERBA</v>
      </c>
      <c r="O114" s="3611"/>
      <c r="P114" s="453">
        <f t="shared" si="8"/>
        <v>445</v>
      </c>
      <c r="Q114" s="3612" t="str">
        <f t="shared" si="10"/>
        <v>-</v>
      </c>
      <c r="R114" s="3613"/>
      <c r="S114" s="3614" t="str">
        <f t="shared" si="11"/>
        <v>-</v>
      </c>
      <c r="T114" s="3615"/>
      <c r="U114" s="3616"/>
      <c r="V114" s="59"/>
      <c r="W114" s="492"/>
      <c r="X114" s="491"/>
      <c r="Y114" s="535"/>
      <c r="Z114" s="535"/>
      <c r="AA114" s="535"/>
      <c r="AB114" s="535"/>
      <c r="AC114" s="521"/>
      <c r="AD114" s="521"/>
      <c r="AE114" s="521"/>
      <c r="AF114" s="521"/>
      <c r="AG114" s="41"/>
      <c r="AH114" s="41"/>
      <c r="AI114" s="41"/>
      <c r="AJ114" s="41"/>
    </row>
    <row r="115" spans="2:36" ht="15" customHeight="1" x14ac:dyDescent="0.4">
      <c r="B115" s="58"/>
      <c r="C115" s="3601" t="str">
        <f>C55</f>
        <v>ABONO SALARIAL</v>
      </c>
      <c r="D115" s="3602"/>
      <c r="E115" s="3602"/>
      <c r="F115" s="3602"/>
      <c r="G115" s="3602"/>
      <c r="H115" s="3602"/>
      <c r="I115" s="3602"/>
      <c r="J115" s="3602"/>
      <c r="K115" s="3602"/>
      <c r="L115" s="3602"/>
      <c r="M115" s="3602"/>
      <c r="N115" s="3603" t="str">
        <f t="shared" si="9"/>
        <v>VERBA</v>
      </c>
      <c r="O115" s="3603"/>
      <c r="P115" s="502">
        <f t="shared" si="8"/>
        <v>164</v>
      </c>
      <c r="Q115" s="3604" t="str">
        <f t="shared" si="10"/>
        <v>-</v>
      </c>
      <c r="R115" s="3605"/>
      <c r="S115" s="3606" t="str">
        <f t="shared" si="11"/>
        <v>-</v>
      </c>
      <c r="T115" s="3607"/>
      <c r="U115" s="3608"/>
      <c r="V115" s="59"/>
      <c r="W115" s="492"/>
      <c r="X115" s="491"/>
      <c r="Y115" s="535"/>
      <c r="Z115" s="535"/>
      <c r="AA115" s="535"/>
      <c r="AB115" s="535"/>
      <c r="AC115" s="521"/>
      <c r="AD115" s="521"/>
      <c r="AE115" s="521"/>
      <c r="AF115" s="521"/>
      <c r="AG115" s="41"/>
      <c r="AH115" s="41"/>
      <c r="AI115" s="41"/>
      <c r="AJ115" s="41"/>
    </row>
    <row r="116" spans="2:36" ht="15" customHeight="1" x14ac:dyDescent="0.4">
      <c r="B116" s="58"/>
      <c r="C116" s="3609" t="str">
        <f t="shared" ref="C116:C121" si="12">C56</f>
        <v>VANTAGEM PESSOAL</v>
      </c>
      <c r="D116" s="3610"/>
      <c r="E116" s="3610"/>
      <c r="F116" s="3610"/>
      <c r="G116" s="3610"/>
      <c r="H116" s="3610"/>
      <c r="I116" s="3610"/>
      <c r="J116" s="3610"/>
      <c r="K116" s="3610"/>
      <c r="L116" s="3610"/>
      <c r="M116" s="3610"/>
      <c r="N116" s="3611" t="str">
        <f t="shared" si="9"/>
        <v>VERBA</v>
      </c>
      <c r="O116" s="3611"/>
      <c r="P116" s="453">
        <f t="shared" si="8"/>
        <v>112</v>
      </c>
      <c r="Q116" s="3612" t="str">
        <f t="shared" si="10"/>
        <v>-</v>
      </c>
      <c r="R116" s="3613"/>
      <c r="S116" s="3614" t="str">
        <f t="shared" si="11"/>
        <v>-</v>
      </c>
      <c r="T116" s="3615"/>
      <c r="U116" s="3616"/>
      <c r="V116" s="59"/>
      <c r="W116" s="492"/>
      <c r="X116" s="491"/>
      <c r="Y116" s="535"/>
      <c r="Z116" s="535"/>
      <c r="AA116" s="535"/>
      <c r="AB116" s="535"/>
      <c r="AC116" s="521"/>
      <c r="AD116" s="521"/>
      <c r="AE116" s="521"/>
      <c r="AF116" s="521"/>
      <c r="AG116" s="41"/>
      <c r="AH116" s="41"/>
      <c r="AI116" s="41"/>
      <c r="AJ116" s="41"/>
    </row>
    <row r="117" spans="2:36" ht="15" customHeight="1" x14ac:dyDescent="0.4">
      <c r="B117" s="58"/>
      <c r="C117" s="3601" t="str">
        <f t="shared" si="12"/>
        <v>VANTAGEM PESSOAL</v>
      </c>
      <c r="D117" s="3602"/>
      <c r="E117" s="3602"/>
      <c r="F117" s="3602"/>
      <c r="G117" s="3602"/>
      <c r="H117" s="3602"/>
      <c r="I117" s="3602"/>
      <c r="J117" s="3602"/>
      <c r="K117" s="3602"/>
      <c r="L117" s="3602"/>
      <c r="M117" s="3602"/>
      <c r="N117" s="3603" t="str">
        <f t="shared" si="9"/>
        <v>VERBA</v>
      </c>
      <c r="O117" s="3603"/>
      <c r="P117" s="502">
        <f t="shared" si="8"/>
        <v>113</v>
      </c>
      <c r="Q117" s="3604" t="str">
        <f t="shared" si="10"/>
        <v>-</v>
      </c>
      <c r="R117" s="3605"/>
      <c r="S117" s="3606" t="str">
        <f t="shared" si="11"/>
        <v>-</v>
      </c>
      <c r="T117" s="3607"/>
      <c r="U117" s="3608"/>
      <c r="V117" s="59"/>
      <c r="W117" s="492"/>
      <c r="X117" s="491"/>
      <c r="Y117" s="535"/>
      <c r="Z117" s="535"/>
      <c r="AA117" s="535"/>
      <c r="AB117" s="535"/>
      <c r="AC117" s="521"/>
      <c r="AD117" s="521"/>
      <c r="AE117" s="521"/>
      <c r="AF117" s="521"/>
      <c r="AG117" s="41"/>
      <c r="AH117" s="41"/>
      <c r="AI117" s="41"/>
      <c r="AJ117" s="41"/>
    </row>
    <row r="118" spans="2:36" ht="15" customHeight="1" x14ac:dyDescent="0.4">
      <c r="B118" s="58"/>
      <c r="C118" s="3609" t="str">
        <f t="shared" si="12"/>
        <v>VANTAGEM PESSOAL - APOSTILAMENTO</v>
      </c>
      <c r="D118" s="3610"/>
      <c r="E118" s="3610"/>
      <c r="F118" s="3610"/>
      <c r="G118" s="3610"/>
      <c r="H118" s="3610"/>
      <c r="I118" s="3610"/>
      <c r="J118" s="3610"/>
      <c r="K118" s="3610"/>
      <c r="L118" s="3610"/>
      <c r="M118" s="3610"/>
      <c r="N118" s="3611" t="str">
        <f t="shared" si="9"/>
        <v>VERBA</v>
      </c>
      <c r="O118" s="3611"/>
      <c r="P118" s="453">
        <f t="shared" si="8"/>
        <v>280</v>
      </c>
      <c r="Q118" s="3612" t="str">
        <f t="shared" si="10"/>
        <v>-</v>
      </c>
      <c r="R118" s="3613"/>
      <c r="S118" s="3614" t="str">
        <f t="shared" si="11"/>
        <v>-</v>
      </c>
      <c r="T118" s="3615"/>
      <c r="U118" s="3616"/>
      <c r="V118" s="59"/>
      <c r="W118" s="492"/>
      <c r="X118" s="491"/>
      <c r="Y118" s="535"/>
      <c r="Z118" s="535"/>
      <c r="AA118" s="535"/>
      <c r="AB118" s="535"/>
      <c r="AC118" s="521"/>
      <c r="AD118" s="521"/>
      <c r="AE118" s="521"/>
      <c r="AF118" s="521"/>
      <c r="AG118" s="41"/>
      <c r="AH118" s="41"/>
      <c r="AI118" s="41"/>
      <c r="AJ118" s="41"/>
    </row>
    <row r="119" spans="2:36" ht="15" customHeight="1" x14ac:dyDescent="0.4">
      <c r="B119" s="58"/>
      <c r="C119" s="3601" t="str">
        <f t="shared" si="12"/>
        <v>VANTAGEM PESSOAL - APOSTILAMENTO</v>
      </c>
      <c r="D119" s="3602"/>
      <c r="E119" s="3602"/>
      <c r="F119" s="3602"/>
      <c r="G119" s="3602"/>
      <c r="H119" s="3602"/>
      <c r="I119" s="3602"/>
      <c r="J119" s="3602"/>
      <c r="K119" s="3602"/>
      <c r="L119" s="3602"/>
      <c r="M119" s="3602"/>
      <c r="N119" s="3603" t="str">
        <f t="shared" si="9"/>
        <v>VERBA</v>
      </c>
      <c r="O119" s="3603"/>
      <c r="P119" s="502">
        <f t="shared" si="8"/>
        <v>281</v>
      </c>
      <c r="Q119" s="3604" t="str">
        <f t="shared" si="10"/>
        <v>-</v>
      </c>
      <c r="R119" s="3605"/>
      <c r="S119" s="3606" t="str">
        <f t="shared" si="11"/>
        <v>-</v>
      </c>
      <c r="T119" s="3607"/>
      <c r="U119" s="3608"/>
      <c r="V119" s="59"/>
      <c r="W119" s="492"/>
      <c r="X119" s="491"/>
      <c r="Y119" s="535"/>
      <c r="Z119" s="535"/>
      <c r="AA119" s="535"/>
      <c r="AB119" s="535"/>
      <c r="AC119" s="521"/>
      <c r="AD119" s="521"/>
      <c r="AE119" s="521"/>
      <c r="AF119" s="521"/>
      <c r="AG119" s="41"/>
      <c r="AH119" s="41"/>
      <c r="AI119" s="41"/>
      <c r="AJ119" s="41"/>
    </row>
    <row r="120" spans="2:36" ht="15" customHeight="1" x14ac:dyDescent="0.4">
      <c r="B120" s="58"/>
      <c r="C120" s="3609" t="str">
        <f t="shared" si="12"/>
        <v>VANTAGEM PESSOAL</v>
      </c>
      <c r="D120" s="3610"/>
      <c r="E120" s="3610"/>
      <c r="F120" s="3610"/>
      <c r="G120" s="3610"/>
      <c r="H120" s="3610"/>
      <c r="I120" s="3610"/>
      <c r="J120" s="3610"/>
      <c r="K120" s="3610"/>
      <c r="L120" s="3610"/>
      <c r="M120" s="3610"/>
      <c r="N120" s="3611" t="str">
        <f t="shared" si="9"/>
        <v>VERBA</v>
      </c>
      <c r="O120" s="3611"/>
      <c r="P120" s="453">
        <f t="shared" si="8"/>
        <v>318</v>
      </c>
      <c r="Q120" s="3612" t="str">
        <f t="shared" si="10"/>
        <v>-</v>
      </c>
      <c r="R120" s="3613"/>
      <c r="S120" s="3614" t="str">
        <f t="shared" si="11"/>
        <v>-</v>
      </c>
      <c r="T120" s="3615"/>
      <c r="U120" s="3616"/>
      <c r="V120" s="59"/>
      <c r="W120" s="492"/>
      <c r="X120" s="491"/>
      <c r="Y120" s="535"/>
      <c r="Z120" s="535"/>
      <c r="AA120" s="535"/>
      <c r="AB120" s="535"/>
      <c r="AC120" s="521"/>
      <c r="AD120" s="521"/>
      <c r="AE120" s="521"/>
      <c r="AF120" s="521"/>
      <c r="AG120" s="41"/>
      <c r="AH120" s="41"/>
      <c r="AI120" s="41"/>
      <c r="AJ120" s="41"/>
    </row>
    <row r="121" spans="2:36" ht="15" customHeight="1" x14ac:dyDescent="0.4">
      <c r="B121" s="58"/>
      <c r="C121" s="3601" t="str">
        <f t="shared" si="12"/>
        <v>VANTAGEM PESSOAL</v>
      </c>
      <c r="D121" s="3602"/>
      <c r="E121" s="3602"/>
      <c r="F121" s="3602"/>
      <c r="G121" s="3602"/>
      <c r="H121" s="3602"/>
      <c r="I121" s="3602"/>
      <c r="J121" s="3602"/>
      <c r="K121" s="3602"/>
      <c r="L121" s="3602"/>
      <c r="M121" s="3602"/>
      <c r="N121" s="3603" t="str">
        <f t="shared" si="9"/>
        <v>VERBA</v>
      </c>
      <c r="O121" s="3603"/>
      <c r="P121" s="502">
        <f t="shared" si="8"/>
        <v>379</v>
      </c>
      <c r="Q121" s="3604" t="str">
        <f t="shared" si="10"/>
        <v>-</v>
      </c>
      <c r="R121" s="3605"/>
      <c r="S121" s="3606" t="str">
        <f t="shared" si="11"/>
        <v>-</v>
      </c>
      <c r="T121" s="3607"/>
      <c r="U121" s="3608"/>
      <c r="V121" s="59"/>
      <c r="W121" s="492"/>
      <c r="X121" s="491"/>
      <c r="Y121" s="535"/>
      <c r="Z121" s="535"/>
      <c r="AA121" s="535"/>
      <c r="AB121" s="535"/>
      <c r="AC121" s="521"/>
      <c r="AD121" s="521"/>
      <c r="AE121" s="521"/>
      <c r="AF121" s="521"/>
      <c r="AG121" s="41"/>
      <c r="AH121" s="41"/>
      <c r="AI121" s="41"/>
      <c r="AJ121" s="41"/>
    </row>
    <row r="122" spans="2:36" ht="15" customHeight="1" x14ac:dyDescent="0.4">
      <c r="B122" s="58"/>
      <c r="C122" s="3609" t="str">
        <f>C62</f>
        <v>VANTAGEM TEMP. ANTEC. POSICIONAMENTO - VTAP</v>
      </c>
      <c r="D122" s="3610"/>
      <c r="E122" s="3610"/>
      <c r="F122" s="3610"/>
      <c r="G122" s="3610"/>
      <c r="H122" s="3610"/>
      <c r="I122" s="3610"/>
      <c r="J122" s="3610"/>
      <c r="K122" s="3610"/>
      <c r="L122" s="3610"/>
      <c r="M122" s="3610"/>
      <c r="N122" s="3611" t="str">
        <f>N62</f>
        <v>VERBA</v>
      </c>
      <c r="O122" s="3611"/>
      <c r="P122" s="453">
        <f>P62</f>
        <v>385</v>
      </c>
      <c r="Q122" s="3612" t="str">
        <f>W62</f>
        <v>-</v>
      </c>
      <c r="R122" s="3613"/>
      <c r="S122" s="3614" t="str">
        <f>X62</f>
        <v>-</v>
      </c>
      <c r="T122" s="3615"/>
      <c r="U122" s="3616"/>
      <c r="V122" s="59"/>
      <c r="W122" s="492"/>
      <c r="X122" s="491"/>
      <c r="Y122" s="535"/>
      <c r="Z122" s="535"/>
      <c r="AA122" s="535"/>
      <c r="AB122" s="535"/>
      <c r="AC122" s="521"/>
      <c r="AD122" s="521"/>
      <c r="AE122" s="521"/>
      <c r="AF122" s="521"/>
      <c r="AG122" s="41"/>
      <c r="AH122" s="41"/>
      <c r="AI122" s="41"/>
      <c r="AJ122" s="41"/>
    </row>
    <row r="123" spans="2:36" ht="15" customHeight="1" thickBot="1" x14ac:dyDescent="0.45">
      <c r="B123" s="58"/>
      <c r="C123" s="3617" t="str">
        <f>C63</f>
        <v>OUTRAS VANTAGENS</v>
      </c>
      <c r="D123" s="3618"/>
      <c r="E123" s="3618"/>
      <c r="F123" s="3618"/>
      <c r="G123" s="3618"/>
      <c r="H123" s="3618" t="str">
        <f>IF(H63="","",H63)</f>
        <v>VANTAGEM PESSOAL</v>
      </c>
      <c r="I123" s="3618"/>
      <c r="J123" s="3618"/>
      <c r="K123" s="3618"/>
      <c r="L123" s="3618"/>
      <c r="M123" s="3618"/>
      <c r="N123" s="3619" t="str">
        <f>N63</f>
        <v>VERBA</v>
      </c>
      <c r="O123" s="3619"/>
      <c r="P123" s="503">
        <f>IF(P63="","",P63)</f>
        <v>852</v>
      </c>
      <c r="Q123" s="3604" t="str">
        <f>W63</f>
        <v>-</v>
      </c>
      <c r="R123" s="3605"/>
      <c r="S123" s="3606" t="str">
        <f>X63</f>
        <v>-</v>
      </c>
      <c r="T123" s="3607"/>
      <c r="U123" s="3608"/>
      <c r="V123" s="59"/>
      <c r="W123" s="492"/>
      <c r="X123" s="491"/>
      <c r="Y123" s="535"/>
      <c r="Z123" s="535"/>
      <c r="AA123" s="535"/>
      <c r="AB123" s="535"/>
      <c r="AC123" s="521"/>
      <c r="AD123" s="521"/>
      <c r="AE123" s="521"/>
      <c r="AF123" s="521"/>
      <c r="AG123" s="41"/>
      <c r="AH123" s="41"/>
      <c r="AI123" s="41"/>
      <c r="AJ123" s="41"/>
    </row>
    <row r="124" spans="2:36" ht="14.45" customHeight="1" thickBot="1" x14ac:dyDescent="0.45">
      <c r="B124" s="58"/>
      <c r="C124" s="2579" t="s">
        <v>8068</v>
      </c>
      <c r="D124" s="2580"/>
      <c r="E124" s="2580"/>
      <c r="F124" s="2580"/>
      <c r="G124" s="2580"/>
      <c r="H124" s="2580"/>
      <c r="I124" s="2580"/>
      <c r="J124" s="2580"/>
      <c r="K124" s="2580"/>
      <c r="L124" s="2580"/>
      <c r="M124" s="2580"/>
      <c r="N124" s="2580"/>
      <c r="O124" s="2580"/>
      <c r="P124" s="2580"/>
      <c r="Q124" s="2580"/>
      <c r="R124" s="2581"/>
      <c r="S124" s="2466">
        <f>S64</f>
        <v>2467.37</v>
      </c>
      <c r="T124" s="2467"/>
      <c r="U124" s="2468"/>
      <c r="V124" s="59"/>
      <c r="W124" s="410"/>
      <c r="X124" s="493"/>
      <c r="Y124" s="521"/>
      <c r="Z124" s="521"/>
      <c r="AA124" s="521"/>
      <c r="AB124" s="521"/>
      <c r="AC124" s="521"/>
      <c r="AD124" s="521"/>
      <c r="AE124" s="521"/>
      <c r="AF124" s="521"/>
      <c r="AG124" s="41"/>
      <c r="AH124" s="41"/>
      <c r="AI124" s="41"/>
      <c r="AJ124" s="41"/>
    </row>
    <row r="125" spans="2:36" ht="13.35" customHeight="1" x14ac:dyDescent="0.4">
      <c r="B125" s="58"/>
      <c r="C125" s="2469" t="s">
        <v>8069</v>
      </c>
      <c r="D125" s="1931"/>
      <c r="E125" s="1931"/>
      <c r="F125" s="1931"/>
      <c r="G125" s="1931"/>
      <c r="H125" s="1931"/>
      <c r="I125" s="1931"/>
      <c r="J125" s="1931"/>
      <c r="K125" s="1931"/>
      <c r="L125" s="1931"/>
      <c r="M125" s="1931"/>
      <c r="N125" s="1931"/>
      <c r="O125" s="1931"/>
      <c r="P125" s="1931"/>
      <c r="Q125" s="1931"/>
      <c r="R125" s="1931"/>
      <c r="S125" s="1931"/>
      <c r="T125" s="1931"/>
      <c r="U125" s="2470"/>
      <c r="V125" s="59"/>
    </row>
    <row r="126" spans="2:36" ht="14.1" customHeight="1" x14ac:dyDescent="0.4">
      <c r="B126" s="58"/>
      <c r="C126" s="2471" t="s">
        <v>8134</v>
      </c>
      <c r="D126" s="2472"/>
      <c r="E126" s="1931" t="str">
        <f>E66</f>
        <v>Alterar</v>
      </c>
      <c r="F126" s="1931"/>
      <c r="G126" s="1931"/>
      <c r="H126" s="1931"/>
      <c r="I126" s="1931"/>
      <c r="J126" s="1931"/>
      <c r="K126" s="1931"/>
      <c r="L126" s="1931"/>
      <c r="M126" s="1931"/>
      <c r="N126" s="1931"/>
      <c r="O126" s="1931"/>
      <c r="P126" s="1931"/>
      <c r="Q126" s="2168" t="s">
        <v>1</v>
      </c>
      <c r="R126" s="2168"/>
      <c r="S126" s="2473">
        <f>S66</f>
        <v>0</v>
      </c>
      <c r="T126" s="2473"/>
      <c r="U126" s="2474"/>
      <c r="V126" s="59"/>
    </row>
    <row r="127" spans="2:36" ht="13.35" customHeight="1" x14ac:dyDescent="0.4">
      <c r="B127" s="58"/>
      <c r="C127" s="2458" t="s">
        <v>8135</v>
      </c>
      <c r="D127" s="2459"/>
      <c r="E127" s="2459"/>
      <c r="F127" s="2459"/>
      <c r="G127" s="2459"/>
      <c r="H127" s="2460"/>
      <c r="I127" s="2460"/>
      <c r="J127" s="2460"/>
      <c r="K127" s="2460"/>
      <c r="L127" s="2460"/>
      <c r="M127" s="2460"/>
      <c r="N127" s="2460"/>
      <c r="O127" s="2460"/>
      <c r="P127" s="2460"/>
      <c r="Q127" s="2168" t="s">
        <v>386</v>
      </c>
      <c r="R127" s="2168"/>
      <c r="S127" s="2461">
        <f ca="1">S67</f>
        <v>43238</v>
      </c>
      <c r="T127" s="2461"/>
      <c r="U127" s="2462"/>
      <c r="V127" s="59"/>
    </row>
    <row r="128" spans="2:36" ht="13.35" customHeight="1" x14ac:dyDescent="0.4">
      <c r="B128" s="58"/>
      <c r="C128" s="527"/>
      <c r="D128" s="528"/>
      <c r="E128" s="528"/>
      <c r="F128" s="528"/>
      <c r="G128" s="528"/>
      <c r="H128" s="528"/>
      <c r="I128" s="528"/>
      <c r="J128" s="528"/>
      <c r="K128" s="528"/>
      <c r="L128" s="528"/>
      <c r="M128" s="528"/>
      <c r="N128" s="528"/>
      <c r="O128" s="528"/>
      <c r="P128" s="528"/>
      <c r="Q128" s="526"/>
      <c r="R128" s="526"/>
      <c r="S128" s="529"/>
      <c r="T128" s="529"/>
      <c r="U128" s="530"/>
      <c r="V128" s="59"/>
    </row>
    <row r="129" spans="2:22" ht="13.35" customHeight="1" x14ac:dyDescent="0.4">
      <c r="B129" s="58"/>
      <c r="C129" s="527"/>
      <c r="D129" s="528"/>
      <c r="E129" s="528"/>
      <c r="F129" s="528"/>
      <c r="G129" s="528"/>
      <c r="H129" s="528"/>
      <c r="I129" s="528"/>
      <c r="J129" s="528"/>
      <c r="K129" s="528"/>
      <c r="L129" s="528"/>
      <c r="M129" s="528"/>
      <c r="N129" s="528"/>
      <c r="O129" s="528"/>
      <c r="P129" s="528"/>
      <c r="Q129" s="526"/>
      <c r="R129" s="526"/>
      <c r="S129" s="529"/>
      <c r="T129" s="529"/>
      <c r="U129" s="530"/>
      <c r="V129" s="59"/>
    </row>
    <row r="130" spans="2:22" ht="13.35" customHeight="1" x14ac:dyDescent="0.4">
      <c r="B130" s="58"/>
      <c r="C130" s="544"/>
      <c r="D130" s="545"/>
      <c r="E130" s="545"/>
      <c r="F130" s="545"/>
      <c r="G130" s="545"/>
      <c r="H130" s="545"/>
      <c r="I130" s="545"/>
      <c r="J130" s="545"/>
      <c r="K130" s="545"/>
      <c r="L130" s="545"/>
      <c r="M130" s="545"/>
      <c r="N130" s="545"/>
      <c r="O130" s="545"/>
      <c r="P130" s="545"/>
      <c r="Q130" s="543"/>
      <c r="R130" s="543"/>
      <c r="S130" s="546"/>
      <c r="T130" s="546"/>
      <c r="U130" s="547"/>
      <c r="V130" s="59"/>
    </row>
    <row r="131" spans="2:22" ht="13.35" customHeight="1" thickBot="1" x14ac:dyDescent="0.45">
      <c r="B131" s="58"/>
      <c r="C131" s="449"/>
      <c r="D131" s="450"/>
      <c r="E131" s="450"/>
      <c r="F131" s="450"/>
      <c r="G131" s="450"/>
      <c r="H131" s="450"/>
      <c r="I131" s="450"/>
      <c r="J131" s="450"/>
      <c r="K131" s="450"/>
      <c r="L131" s="450"/>
      <c r="M131" s="450"/>
      <c r="N131" s="450"/>
      <c r="O131" s="450"/>
      <c r="P131" s="450"/>
      <c r="Q131" s="450"/>
      <c r="R131" s="450"/>
      <c r="S131" s="450"/>
      <c r="T131" s="450"/>
      <c r="U131" s="451"/>
      <c r="V131" s="59"/>
    </row>
    <row r="132" spans="2:22" ht="15.95" customHeight="1" thickBot="1" x14ac:dyDescent="0.45">
      <c r="B132" s="60"/>
      <c r="C132" s="61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3"/>
    </row>
    <row r="133" spans="2:22" ht="15.95" customHeight="1" thickTop="1" x14ac:dyDescent="0.4"/>
  </sheetData>
  <sheetProtection password="CB18" sheet="1" objects="1" scenarios="1" selectLockedCells="1"/>
  <mergeCells count="541">
    <mergeCell ref="B8:V8"/>
    <mergeCell ref="C11:U11"/>
    <mergeCell ref="F12:U12"/>
    <mergeCell ref="C7:F7"/>
    <mergeCell ref="B3:V3"/>
    <mergeCell ref="B4:B7"/>
    <mergeCell ref="F4:R4"/>
    <mergeCell ref="S4:T4"/>
    <mergeCell ref="V4:V7"/>
    <mergeCell ref="C5:U5"/>
    <mergeCell ref="C6:F6"/>
    <mergeCell ref="G6:Q6"/>
    <mergeCell ref="R6:S6"/>
    <mergeCell ref="T6:U6"/>
    <mergeCell ref="H7:I7"/>
    <mergeCell ref="J7:K7"/>
    <mergeCell ref="L7:P7"/>
    <mergeCell ref="R7:U7"/>
    <mergeCell ref="C18:E18"/>
    <mergeCell ref="G18:O18"/>
    <mergeCell ref="P18:U18"/>
    <mergeCell ref="X18:X19"/>
    <mergeCell ref="C19:I19"/>
    <mergeCell ref="J19:K19"/>
    <mergeCell ref="M19:N19"/>
    <mergeCell ref="F13:U13"/>
    <mergeCell ref="F14:M14"/>
    <mergeCell ref="N14:U14"/>
    <mergeCell ref="C15:U15"/>
    <mergeCell ref="C16:U16"/>
    <mergeCell ref="C17:D17"/>
    <mergeCell ref="E17:P17"/>
    <mergeCell ref="Q17:R17"/>
    <mergeCell ref="S17:U17"/>
    <mergeCell ref="L21:Q21"/>
    <mergeCell ref="R21:T21"/>
    <mergeCell ref="Y21:AB21"/>
    <mergeCell ref="AC21:AF21"/>
    <mergeCell ref="Y19:AB19"/>
    <mergeCell ref="AC19:AF19"/>
    <mergeCell ref="C20:F20"/>
    <mergeCell ref="G20:H20"/>
    <mergeCell ref="J20:L20"/>
    <mergeCell ref="N20:P20"/>
    <mergeCell ref="R20:T20"/>
    <mergeCell ref="Y20:AF20"/>
    <mergeCell ref="C21:K21"/>
    <mergeCell ref="C22:M22"/>
    <mergeCell ref="N22:Q22"/>
    <mergeCell ref="R22:T22"/>
    <mergeCell ref="Y22:AB22"/>
    <mergeCell ref="AC22:AF22"/>
    <mergeCell ref="C23:U24"/>
    <mergeCell ref="Y23:AB23"/>
    <mergeCell ref="AC23:AF23"/>
    <mergeCell ref="Y24:AF24"/>
    <mergeCell ref="AS25:AV25"/>
    <mergeCell ref="BE25:BH25"/>
    <mergeCell ref="C26:K26"/>
    <mergeCell ref="S26:U26"/>
    <mergeCell ref="Y26:AB26"/>
    <mergeCell ref="AC26:AF26"/>
    <mergeCell ref="AK26:AN26"/>
    <mergeCell ref="AO26:AR26"/>
    <mergeCell ref="AS26:AV26"/>
    <mergeCell ref="BE26:BH26"/>
    <mergeCell ref="C25:P25"/>
    <mergeCell ref="S25:U25"/>
    <mergeCell ref="Y25:AB25"/>
    <mergeCell ref="AC25:AF25"/>
    <mergeCell ref="AK25:AN25"/>
    <mergeCell ref="AO25:AR25"/>
    <mergeCell ref="Y29:AB29"/>
    <mergeCell ref="AC29:AF29"/>
    <mergeCell ref="C30:M30"/>
    <mergeCell ref="N30:O30"/>
    <mergeCell ref="S30:U30"/>
    <mergeCell ref="AO27:AR27"/>
    <mergeCell ref="BE27:BH27"/>
    <mergeCell ref="C28:K28"/>
    <mergeCell ref="N28:O28"/>
    <mergeCell ref="S28:U28"/>
    <mergeCell ref="Y28:AB28"/>
    <mergeCell ref="AC28:AF28"/>
    <mergeCell ref="C27:J27"/>
    <mergeCell ref="N27:O27"/>
    <mergeCell ref="S27:U27"/>
    <mergeCell ref="Y27:AB27"/>
    <mergeCell ref="AC27:AF27"/>
    <mergeCell ref="AK27:AN27"/>
    <mergeCell ref="C31:M31"/>
    <mergeCell ref="N31:O31"/>
    <mergeCell ref="S31:U31"/>
    <mergeCell ref="C32:M32"/>
    <mergeCell ref="N32:O32"/>
    <mergeCell ref="S32:U32"/>
    <mergeCell ref="C29:K29"/>
    <mergeCell ref="N29:O29"/>
    <mergeCell ref="S29:U29"/>
    <mergeCell ref="AW32:AZ32"/>
    <mergeCell ref="BA32:BD32"/>
    <mergeCell ref="BE32:BH32"/>
    <mergeCell ref="BI32:BK32"/>
    <mergeCell ref="C33:M33"/>
    <mergeCell ref="N33:O33"/>
    <mergeCell ref="S33:U33"/>
    <mergeCell ref="Y33:AB33"/>
    <mergeCell ref="AC33:AF33"/>
    <mergeCell ref="AG33:AJ33"/>
    <mergeCell ref="Y32:AB32"/>
    <mergeCell ref="AC32:AF32"/>
    <mergeCell ref="AG32:AJ32"/>
    <mergeCell ref="AK32:AN32"/>
    <mergeCell ref="AO32:AR32"/>
    <mergeCell ref="AS32:AV32"/>
    <mergeCell ref="BI33:BK33"/>
    <mergeCell ref="AK33:AN33"/>
    <mergeCell ref="AO33:AR33"/>
    <mergeCell ref="AS33:AV33"/>
    <mergeCell ref="AW33:AZ33"/>
    <mergeCell ref="BA33:BD33"/>
    <mergeCell ref="BE33:BH33"/>
    <mergeCell ref="AW34:AZ34"/>
    <mergeCell ref="BA34:BD34"/>
    <mergeCell ref="BE34:BH34"/>
    <mergeCell ref="BI34:BK34"/>
    <mergeCell ref="C35:M35"/>
    <mergeCell ref="N35:O35"/>
    <mergeCell ref="S35:U35"/>
    <mergeCell ref="Y35:AB35"/>
    <mergeCell ref="AC35:AF35"/>
    <mergeCell ref="AG35:AJ35"/>
    <mergeCell ref="BI35:BK35"/>
    <mergeCell ref="AW35:AZ35"/>
    <mergeCell ref="BA35:BD35"/>
    <mergeCell ref="BE35:BH35"/>
    <mergeCell ref="C34:M34"/>
    <mergeCell ref="N34:O34"/>
    <mergeCell ref="S34:U34"/>
    <mergeCell ref="Y34:AB34"/>
    <mergeCell ref="AC34:AF34"/>
    <mergeCell ref="AG34:AJ34"/>
    <mergeCell ref="AK34:AN34"/>
    <mergeCell ref="AO34:AR34"/>
    <mergeCell ref="AS34:AV34"/>
    <mergeCell ref="C36:M36"/>
    <mergeCell ref="N36:O36"/>
    <mergeCell ref="S36:U36"/>
    <mergeCell ref="C37:M37"/>
    <mergeCell ref="N37:O37"/>
    <mergeCell ref="S37:U37"/>
    <mergeCell ref="AK35:AN35"/>
    <mergeCell ref="AO35:AR35"/>
    <mergeCell ref="AS35:AV35"/>
    <mergeCell ref="C40:M40"/>
    <mergeCell ref="N40:O40"/>
    <mergeCell ref="S40:U40"/>
    <mergeCell ref="C41:M41"/>
    <mergeCell ref="N41:O41"/>
    <mergeCell ref="S41:U41"/>
    <mergeCell ref="C38:M38"/>
    <mergeCell ref="N38:O38"/>
    <mergeCell ref="S38:U38"/>
    <mergeCell ref="C39:M39"/>
    <mergeCell ref="N39:O39"/>
    <mergeCell ref="S39:U39"/>
    <mergeCell ref="Y43:AB43"/>
    <mergeCell ref="AD43:AF43"/>
    <mergeCell ref="C44:M44"/>
    <mergeCell ref="N44:O44"/>
    <mergeCell ref="S44:U44"/>
    <mergeCell ref="Y44:AB44"/>
    <mergeCell ref="AD44:AF44"/>
    <mergeCell ref="C42:M42"/>
    <mergeCell ref="N42:O42"/>
    <mergeCell ref="S42:U42"/>
    <mergeCell ref="C43:M43"/>
    <mergeCell ref="N43:O43"/>
    <mergeCell ref="S43:U43"/>
    <mergeCell ref="C45:M45"/>
    <mergeCell ref="N45:O45"/>
    <mergeCell ref="S45:U45"/>
    <mergeCell ref="Y45:AB45"/>
    <mergeCell ref="AD45:AF45"/>
    <mergeCell ref="C46:M46"/>
    <mergeCell ref="N46:O46"/>
    <mergeCell ref="S46:U46"/>
    <mergeCell ref="Y46:AB46"/>
    <mergeCell ref="AD46:AF46"/>
    <mergeCell ref="C47:M47"/>
    <mergeCell ref="N47:O47"/>
    <mergeCell ref="S47:U47"/>
    <mergeCell ref="Y47:AB47"/>
    <mergeCell ref="AD47:AF47"/>
    <mergeCell ref="C48:H48"/>
    <mergeCell ref="I48:M48"/>
    <mergeCell ref="N48:O48"/>
    <mergeCell ref="S48:U48"/>
    <mergeCell ref="Y48:AB48"/>
    <mergeCell ref="C50:M50"/>
    <mergeCell ref="N50:O50"/>
    <mergeCell ref="S50:U50"/>
    <mergeCell ref="Y50:AB50"/>
    <mergeCell ref="AD50:AF50"/>
    <mergeCell ref="C51:M51"/>
    <mergeCell ref="N51:O51"/>
    <mergeCell ref="S51:U51"/>
    <mergeCell ref="AD48:AF48"/>
    <mergeCell ref="C49:H49"/>
    <mergeCell ref="I49:M49"/>
    <mergeCell ref="N49:O49"/>
    <mergeCell ref="S49:U49"/>
    <mergeCell ref="Y49:AB49"/>
    <mergeCell ref="AD49:AF49"/>
    <mergeCell ref="D54:L54"/>
    <mergeCell ref="N54:O54"/>
    <mergeCell ref="S54:U54"/>
    <mergeCell ref="C55:M55"/>
    <mergeCell ref="N55:O55"/>
    <mergeCell ref="S55:U55"/>
    <mergeCell ref="C52:M52"/>
    <mergeCell ref="N52:O52"/>
    <mergeCell ref="S52:U52"/>
    <mergeCell ref="D53:L53"/>
    <mergeCell ref="N53:O53"/>
    <mergeCell ref="S53:U53"/>
    <mergeCell ref="C58:M58"/>
    <mergeCell ref="N58:O58"/>
    <mergeCell ref="S58:U58"/>
    <mergeCell ref="C59:M59"/>
    <mergeCell ref="N59:O59"/>
    <mergeCell ref="S59:U59"/>
    <mergeCell ref="C56:M56"/>
    <mergeCell ref="N56:O56"/>
    <mergeCell ref="S56:U56"/>
    <mergeCell ref="C57:M57"/>
    <mergeCell ref="N57:O57"/>
    <mergeCell ref="S57:U57"/>
    <mergeCell ref="C62:M62"/>
    <mergeCell ref="N62:O62"/>
    <mergeCell ref="S62:U62"/>
    <mergeCell ref="C63:G63"/>
    <mergeCell ref="H63:M63"/>
    <mergeCell ref="N63:O63"/>
    <mergeCell ref="S63:U63"/>
    <mergeCell ref="C60:M60"/>
    <mergeCell ref="N60:O60"/>
    <mergeCell ref="S60:U60"/>
    <mergeCell ref="C61:M61"/>
    <mergeCell ref="N61:O61"/>
    <mergeCell ref="S61:U61"/>
    <mergeCell ref="C67:G67"/>
    <mergeCell ref="H67:P67"/>
    <mergeCell ref="Q67:R67"/>
    <mergeCell ref="S67:U67"/>
    <mergeCell ref="C74:U74"/>
    <mergeCell ref="F75:U75"/>
    <mergeCell ref="C64:R64"/>
    <mergeCell ref="S64:U64"/>
    <mergeCell ref="C65:U65"/>
    <mergeCell ref="C66:D66"/>
    <mergeCell ref="E66:P66"/>
    <mergeCell ref="Q66:R66"/>
    <mergeCell ref="S66:U66"/>
    <mergeCell ref="C81:E81"/>
    <mergeCell ref="G81:U81"/>
    <mergeCell ref="J82:K82"/>
    <mergeCell ref="M82:N82"/>
    <mergeCell ref="Y82:AB82"/>
    <mergeCell ref="F76:U76"/>
    <mergeCell ref="F77:M77"/>
    <mergeCell ref="N77:U77"/>
    <mergeCell ref="C78:U78"/>
    <mergeCell ref="C79:U79"/>
    <mergeCell ref="C80:D80"/>
    <mergeCell ref="E80:P80"/>
    <mergeCell ref="Q80:R80"/>
    <mergeCell ref="S80:U80"/>
    <mergeCell ref="C84:H84"/>
    <mergeCell ref="I84:K84"/>
    <mergeCell ref="L84:Q84"/>
    <mergeCell ref="R84:T84"/>
    <mergeCell ref="Y84:AB84"/>
    <mergeCell ref="AC84:AF84"/>
    <mergeCell ref="AC82:AF82"/>
    <mergeCell ref="C83:F83"/>
    <mergeCell ref="G83:H83"/>
    <mergeCell ref="J83:L83"/>
    <mergeCell ref="N83:P83"/>
    <mergeCell ref="R83:T83"/>
    <mergeCell ref="Y83:AF83"/>
    <mergeCell ref="C82:E82"/>
    <mergeCell ref="F82:G82"/>
    <mergeCell ref="H82:I82"/>
    <mergeCell ref="O82:P82"/>
    <mergeCell ref="AO85:AR85"/>
    <mergeCell ref="AS85:AV85"/>
    <mergeCell ref="BE85:BH85"/>
    <mergeCell ref="C86:K86"/>
    <mergeCell ref="N86:O86"/>
    <mergeCell ref="Q86:R86"/>
    <mergeCell ref="S86:U86"/>
    <mergeCell ref="Y86:AB86"/>
    <mergeCell ref="AC86:AF86"/>
    <mergeCell ref="AK86:AN86"/>
    <mergeCell ref="C85:P85"/>
    <mergeCell ref="Q85:R85"/>
    <mergeCell ref="S85:U85"/>
    <mergeCell ref="Y85:AB85"/>
    <mergeCell ref="AC85:AF85"/>
    <mergeCell ref="AK85:AN85"/>
    <mergeCell ref="AO86:AR86"/>
    <mergeCell ref="AS86:AV86"/>
    <mergeCell ref="BE86:BH86"/>
    <mergeCell ref="AO87:AR87"/>
    <mergeCell ref="BE87:BH87"/>
    <mergeCell ref="C88:K88"/>
    <mergeCell ref="N88:O88"/>
    <mergeCell ref="Q88:R88"/>
    <mergeCell ref="S88:U88"/>
    <mergeCell ref="Y88:AB88"/>
    <mergeCell ref="AC88:AF88"/>
    <mergeCell ref="C90:M90"/>
    <mergeCell ref="N90:O90"/>
    <mergeCell ref="Q90:R90"/>
    <mergeCell ref="S90:U90"/>
    <mergeCell ref="C87:K87"/>
    <mergeCell ref="N87:O87"/>
    <mergeCell ref="Q87:R87"/>
    <mergeCell ref="S87:U87"/>
    <mergeCell ref="Y87:AB87"/>
    <mergeCell ref="AC87:AF87"/>
    <mergeCell ref="AK87:AN87"/>
    <mergeCell ref="Y89:AB89"/>
    <mergeCell ref="AC89:AF89"/>
    <mergeCell ref="C91:M91"/>
    <mergeCell ref="N91:O91"/>
    <mergeCell ref="Q91:R91"/>
    <mergeCell ref="S91:U91"/>
    <mergeCell ref="C89:K89"/>
    <mergeCell ref="N89:O89"/>
    <mergeCell ref="Q89:R89"/>
    <mergeCell ref="S89:U89"/>
    <mergeCell ref="BI93:BK93"/>
    <mergeCell ref="BE92:BH92"/>
    <mergeCell ref="BI92:BK92"/>
    <mergeCell ref="C93:M93"/>
    <mergeCell ref="N93:O93"/>
    <mergeCell ref="Q93:R93"/>
    <mergeCell ref="S93:U93"/>
    <mergeCell ref="Y93:AB93"/>
    <mergeCell ref="AC93:AF93"/>
    <mergeCell ref="AG93:AJ93"/>
    <mergeCell ref="AK93:AN93"/>
    <mergeCell ref="AG92:AJ92"/>
    <mergeCell ref="AK92:AN92"/>
    <mergeCell ref="AO92:AR92"/>
    <mergeCell ref="AS92:AV92"/>
    <mergeCell ref="AW92:AZ92"/>
    <mergeCell ref="BA92:BD92"/>
    <mergeCell ref="C92:M92"/>
    <mergeCell ref="N92:O92"/>
    <mergeCell ref="Q92:R92"/>
    <mergeCell ref="S92:U92"/>
    <mergeCell ref="Y92:AB92"/>
    <mergeCell ref="AC92:AF92"/>
    <mergeCell ref="Q94:R94"/>
    <mergeCell ref="S94:U94"/>
    <mergeCell ref="Y94:AB94"/>
    <mergeCell ref="AC94:AF94"/>
    <mergeCell ref="AO93:AR93"/>
    <mergeCell ref="AS93:AV93"/>
    <mergeCell ref="AW93:AZ93"/>
    <mergeCell ref="BA93:BD93"/>
    <mergeCell ref="BE93:BH93"/>
    <mergeCell ref="AO95:AR95"/>
    <mergeCell ref="AS95:AV95"/>
    <mergeCell ref="AW95:AZ95"/>
    <mergeCell ref="BA95:BD95"/>
    <mergeCell ref="BE95:BH95"/>
    <mergeCell ref="BI95:BK95"/>
    <mergeCell ref="BE94:BH94"/>
    <mergeCell ref="BI94:BK94"/>
    <mergeCell ref="AO94:AR94"/>
    <mergeCell ref="AS94:AV94"/>
    <mergeCell ref="AW94:AZ94"/>
    <mergeCell ref="BA94:BD94"/>
    <mergeCell ref="C95:M95"/>
    <mergeCell ref="N95:O95"/>
    <mergeCell ref="Q95:R95"/>
    <mergeCell ref="S95:U95"/>
    <mergeCell ref="Y95:AB95"/>
    <mergeCell ref="AC95:AF95"/>
    <mergeCell ref="AG95:AJ95"/>
    <mergeCell ref="AK95:AN95"/>
    <mergeCell ref="AG94:AJ94"/>
    <mergeCell ref="AK94:AN94"/>
    <mergeCell ref="C94:M94"/>
    <mergeCell ref="N94:O94"/>
    <mergeCell ref="C98:M98"/>
    <mergeCell ref="N98:O98"/>
    <mergeCell ref="Q98:R98"/>
    <mergeCell ref="S98:U98"/>
    <mergeCell ref="C99:M99"/>
    <mergeCell ref="N99:O99"/>
    <mergeCell ref="Q99:R99"/>
    <mergeCell ref="S99:U99"/>
    <mergeCell ref="C96:M96"/>
    <mergeCell ref="N96:O96"/>
    <mergeCell ref="Q96:R96"/>
    <mergeCell ref="S96:U96"/>
    <mergeCell ref="C97:M97"/>
    <mergeCell ref="N97:O97"/>
    <mergeCell ref="Q97:R97"/>
    <mergeCell ref="S97:U97"/>
    <mergeCell ref="C102:M102"/>
    <mergeCell ref="N102:O102"/>
    <mergeCell ref="Q102:R102"/>
    <mergeCell ref="S102:U102"/>
    <mergeCell ref="C103:M103"/>
    <mergeCell ref="N103:O103"/>
    <mergeCell ref="Q103:R103"/>
    <mergeCell ref="S103:U103"/>
    <mergeCell ref="C100:M100"/>
    <mergeCell ref="N100:O100"/>
    <mergeCell ref="Q100:R100"/>
    <mergeCell ref="S100:U100"/>
    <mergeCell ref="C101:M101"/>
    <mergeCell ref="N101:O101"/>
    <mergeCell ref="Q101:R101"/>
    <mergeCell ref="S101:U101"/>
    <mergeCell ref="C105:M105"/>
    <mergeCell ref="N105:O105"/>
    <mergeCell ref="Q105:R105"/>
    <mergeCell ref="S105:U105"/>
    <mergeCell ref="Y105:AB105"/>
    <mergeCell ref="AD105:AF105"/>
    <mergeCell ref="Y103:AB103"/>
    <mergeCell ref="AD103:AF103"/>
    <mergeCell ref="C104:M104"/>
    <mergeCell ref="N104:O104"/>
    <mergeCell ref="Q104:R104"/>
    <mergeCell ref="S104:U104"/>
    <mergeCell ref="Y104:AB104"/>
    <mergeCell ref="AD104:AF104"/>
    <mergeCell ref="C107:M107"/>
    <mergeCell ref="N107:O107"/>
    <mergeCell ref="Q107:R107"/>
    <mergeCell ref="S107:U107"/>
    <mergeCell ref="Y107:AB107"/>
    <mergeCell ref="AD107:AF107"/>
    <mergeCell ref="C106:M106"/>
    <mergeCell ref="N106:O106"/>
    <mergeCell ref="Q106:R106"/>
    <mergeCell ref="S106:U106"/>
    <mergeCell ref="Y106:AB106"/>
    <mergeCell ref="AD106:AF106"/>
    <mergeCell ref="C110:M110"/>
    <mergeCell ref="N110:O110"/>
    <mergeCell ref="Q110:R110"/>
    <mergeCell ref="S110:U110"/>
    <mergeCell ref="Y110:AB110"/>
    <mergeCell ref="AD110:AF110"/>
    <mergeCell ref="AD108:AF108"/>
    <mergeCell ref="C109:H109"/>
    <mergeCell ref="I109:M109"/>
    <mergeCell ref="N109:O109"/>
    <mergeCell ref="Q109:R109"/>
    <mergeCell ref="S109:U109"/>
    <mergeCell ref="Y109:AB109"/>
    <mergeCell ref="AD109:AF109"/>
    <mergeCell ref="C108:H108"/>
    <mergeCell ref="I108:M108"/>
    <mergeCell ref="N108:O108"/>
    <mergeCell ref="Q108:R108"/>
    <mergeCell ref="S108:U108"/>
    <mergeCell ref="Y108:AB108"/>
    <mergeCell ref="D113:L113"/>
    <mergeCell ref="N113:O113"/>
    <mergeCell ref="Q113:R113"/>
    <mergeCell ref="S113:U113"/>
    <mergeCell ref="D114:L114"/>
    <mergeCell ref="N114:O114"/>
    <mergeCell ref="Q114:R114"/>
    <mergeCell ref="S114:U114"/>
    <mergeCell ref="C111:M111"/>
    <mergeCell ref="N111:O111"/>
    <mergeCell ref="Q111:R111"/>
    <mergeCell ref="S111:U111"/>
    <mergeCell ref="C112:M112"/>
    <mergeCell ref="N112:O112"/>
    <mergeCell ref="Q112:R112"/>
    <mergeCell ref="S112:U112"/>
    <mergeCell ref="C117:M117"/>
    <mergeCell ref="N117:O117"/>
    <mergeCell ref="Q117:R117"/>
    <mergeCell ref="S117:U117"/>
    <mergeCell ref="C118:M118"/>
    <mergeCell ref="N118:O118"/>
    <mergeCell ref="Q118:R118"/>
    <mergeCell ref="S118:U118"/>
    <mergeCell ref="C115:M115"/>
    <mergeCell ref="N115:O115"/>
    <mergeCell ref="Q115:R115"/>
    <mergeCell ref="S115:U115"/>
    <mergeCell ref="C116:M116"/>
    <mergeCell ref="N116:O116"/>
    <mergeCell ref="Q116:R116"/>
    <mergeCell ref="S116:U116"/>
    <mergeCell ref="C127:G127"/>
    <mergeCell ref="H127:P127"/>
    <mergeCell ref="Q127:R127"/>
    <mergeCell ref="S127:U127"/>
    <mergeCell ref="C123:G123"/>
    <mergeCell ref="H123:M123"/>
    <mergeCell ref="N123:O123"/>
    <mergeCell ref="Q123:R123"/>
    <mergeCell ref="S123:U123"/>
    <mergeCell ref="C124:R124"/>
    <mergeCell ref="S124:U124"/>
    <mergeCell ref="C125:U125"/>
    <mergeCell ref="C126:D126"/>
    <mergeCell ref="E126:P126"/>
    <mergeCell ref="Q126:R126"/>
    <mergeCell ref="S126:U126"/>
    <mergeCell ref="C121:M121"/>
    <mergeCell ref="N121:O121"/>
    <mergeCell ref="Q121:R121"/>
    <mergeCell ref="S121:U121"/>
    <mergeCell ref="C122:M122"/>
    <mergeCell ref="N122:O122"/>
    <mergeCell ref="Q122:R122"/>
    <mergeCell ref="S122:U122"/>
    <mergeCell ref="C119:M119"/>
    <mergeCell ref="N119:O119"/>
    <mergeCell ref="Q119:R119"/>
    <mergeCell ref="S119:U119"/>
    <mergeCell ref="C120:M120"/>
    <mergeCell ref="N120:O120"/>
    <mergeCell ref="Q120:R120"/>
    <mergeCell ref="S120:U120"/>
  </mergeCells>
  <conditionalFormatting sqref="P18:U18">
    <cfRule type="expression" dxfId="84" priority="1">
      <formula>IF($L$19="EEB",1,0)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4" name="Group Box 4">
              <controlPr defaultSize="0" autoFill="0" autoPict="0">
                <anchor moveWithCells="1">
                  <from>
                    <xdr:col>9</xdr:col>
                    <xdr:colOff>133350</xdr:colOff>
                    <xdr:row>41</xdr:row>
                    <xdr:rowOff>104775</xdr:rowOff>
                  </from>
                  <to>
                    <xdr:col>12</xdr:col>
                    <xdr:colOff>295275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5" name="Option Button 5">
              <controlPr defaultSize="0" autoFill="0" autoLine="0" autoPict="0">
                <anchor>
                  <from>
                    <xdr:col>9</xdr:col>
                    <xdr:colOff>190500</xdr:colOff>
                    <xdr:row>42</xdr:row>
                    <xdr:rowOff>28575</xdr:rowOff>
                  </from>
                  <to>
                    <xdr:col>11</xdr:col>
                    <xdr:colOff>19050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6" name="Option Button 6">
              <controlPr defaultSize="0" autoFill="0" autoLine="0" autoPict="0">
                <anchor>
                  <from>
                    <xdr:col>11</xdr:col>
                    <xdr:colOff>85725</xdr:colOff>
                    <xdr:row>42</xdr:row>
                    <xdr:rowOff>28575</xdr:rowOff>
                  </from>
                  <to>
                    <xdr:col>12</xdr:col>
                    <xdr:colOff>238125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7" name="Group Box 10">
              <controlPr defaultSize="0" autoFill="0" autoPict="0">
                <anchor moveWithCells="1">
                  <from>
                    <xdr:col>9</xdr:col>
                    <xdr:colOff>247650</xdr:colOff>
                    <xdr:row>45</xdr:row>
                    <xdr:rowOff>19050</xdr:rowOff>
                  </from>
                  <to>
                    <xdr:col>13</xdr:col>
                    <xdr:colOff>66675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8" name="Group Box 13">
              <controlPr defaultSize="0" autoFill="0" autoPict="0">
                <anchor moveWithCells="1">
                  <from>
                    <xdr:col>14</xdr:col>
                    <xdr:colOff>304800</xdr:colOff>
                    <xdr:row>17</xdr:row>
                    <xdr:rowOff>28575</xdr:rowOff>
                  </from>
                  <to>
                    <xdr:col>20</xdr:col>
                    <xdr:colOff>295275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9" name="Option Button 14">
              <controlPr defaultSize="0" autoFill="0" autoLine="0" autoPict="0">
                <anchor>
                  <from>
                    <xdr:col>16</xdr:col>
                    <xdr:colOff>76200</xdr:colOff>
                    <xdr:row>18</xdr:row>
                    <xdr:rowOff>47625</xdr:rowOff>
                  </from>
                  <to>
                    <xdr:col>18</xdr:col>
                    <xdr:colOff>133350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0" name="Option Button 15">
              <controlPr defaultSize="0" autoFill="0" autoLine="0" autoPict="0">
                <anchor>
                  <from>
                    <xdr:col>18</xdr:col>
                    <xdr:colOff>190500</xdr:colOff>
                    <xdr:row>18</xdr:row>
                    <xdr:rowOff>47625</xdr:rowOff>
                  </from>
                  <to>
                    <xdr:col>20</xdr:col>
                    <xdr:colOff>228600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1" name="Option Button 16">
              <controlPr defaultSize="0" autoFill="0" autoLine="0" autoPict="0">
                <anchor>
                  <from>
                    <xdr:col>9</xdr:col>
                    <xdr:colOff>295275</xdr:colOff>
                    <xdr:row>49</xdr:row>
                    <xdr:rowOff>19050</xdr:rowOff>
                  </from>
                  <to>
                    <xdr:col>11</xdr:col>
                    <xdr:colOff>104775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2" name="Option Button 17">
              <controlPr defaultSize="0" autoFill="0" autoLine="0" autoPict="0">
                <anchor>
                  <from>
                    <xdr:col>11</xdr:col>
                    <xdr:colOff>161925</xdr:colOff>
                    <xdr:row>49</xdr:row>
                    <xdr:rowOff>19050</xdr:rowOff>
                  </from>
                  <to>
                    <xdr:col>13</xdr:col>
                    <xdr:colOff>19050</xdr:colOff>
                    <xdr:row>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BA252"/>
  <sheetViews>
    <sheetView showGridLines="0" topLeftCell="A7" zoomScale="133" zoomScaleNormal="133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4" width="3.7109375" style="2" customWidth="1"/>
    <col min="5" max="36" width="3.7109375" style="1" customWidth="1"/>
    <col min="37" max="37" width="2.7109375" style="1" customWidth="1"/>
    <col min="38" max="52" width="2.7109375" style="1"/>
    <col min="53" max="53" width="2.7109375" style="844"/>
    <col min="54" max="16384" width="2.7109375" style="1"/>
  </cols>
  <sheetData>
    <row r="1" spans="2:53" ht="9.9499999999999993" customHeight="1" x14ac:dyDescent="0.4"/>
    <row r="2" spans="2:53" ht="9.9499999999999993" customHeight="1" thickBot="1" x14ac:dyDescent="0.45"/>
    <row r="3" spans="2:53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0"/>
      <c r="W3" s="1720"/>
      <c r="X3" s="1720"/>
      <c r="Y3" s="1720"/>
      <c r="Z3" s="1720"/>
      <c r="AA3" s="1720"/>
      <c r="AB3" s="1720"/>
      <c r="AC3" s="1720"/>
      <c r="AD3" s="1720"/>
      <c r="AE3" s="1720"/>
      <c r="AF3" s="1720"/>
      <c r="AG3" s="1720"/>
      <c r="AH3" s="1720"/>
      <c r="AI3" s="1720"/>
      <c r="AJ3" s="1720"/>
      <c r="AK3" s="1721"/>
    </row>
    <row r="4" spans="2:53" ht="21.95" customHeight="1" thickBot="1" x14ac:dyDescent="0.45">
      <c r="B4" s="859"/>
      <c r="C4" s="3778" t="s">
        <v>9389</v>
      </c>
      <c r="D4" s="3779"/>
      <c r="E4" s="3779"/>
      <c r="F4" s="3779"/>
      <c r="G4" s="3779"/>
      <c r="H4" s="3779"/>
      <c r="I4" s="3779"/>
      <c r="J4" s="3779"/>
      <c r="K4" s="3779"/>
      <c r="L4" s="3779"/>
      <c r="M4" s="3779"/>
      <c r="N4" s="3779"/>
      <c r="O4" s="3779"/>
      <c r="P4" s="3779"/>
      <c r="Q4" s="3777" t="s">
        <v>9199</v>
      </c>
      <c r="R4" s="3777"/>
      <c r="S4" s="3777"/>
      <c r="T4" s="3777"/>
      <c r="U4" s="3777"/>
      <c r="V4" s="3777"/>
      <c r="W4" s="3777"/>
      <c r="X4" s="3777"/>
      <c r="Y4" s="3777"/>
      <c r="Z4" s="3777"/>
      <c r="AA4" s="3780">
        <v>5</v>
      </c>
      <c r="AB4" s="3780"/>
      <c r="AC4" s="815" t="s">
        <v>339</v>
      </c>
      <c r="AD4" s="3780">
        <v>8</v>
      </c>
      <c r="AE4" s="3780"/>
      <c r="AF4" s="816" t="s">
        <v>339</v>
      </c>
      <c r="AG4" s="3775">
        <v>2016</v>
      </c>
      <c r="AH4" s="3775"/>
      <c r="AI4" s="3775"/>
      <c r="AJ4" s="3776"/>
      <c r="AK4" s="1729"/>
    </row>
    <row r="5" spans="2:53" ht="3" customHeight="1" thickBot="1" x14ac:dyDescent="0.45">
      <c r="B5" s="860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6"/>
      <c r="V5" s="1626"/>
      <c r="W5" s="1626"/>
      <c r="X5" s="1626"/>
      <c r="Y5" s="1626"/>
      <c r="Z5" s="1626"/>
      <c r="AA5" s="1626"/>
      <c r="AB5" s="1626"/>
      <c r="AC5" s="1626"/>
      <c r="AD5" s="1626"/>
      <c r="AE5" s="1626"/>
      <c r="AF5" s="1626"/>
      <c r="AG5" s="1626"/>
      <c r="AH5" s="1626"/>
      <c r="AI5" s="1626"/>
      <c r="AJ5" s="1627"/>
      <c r="AK5" s="1730"/>
    </row>
    <row r="6" spans="2:53" ht="20.100000000000001" customHeight="1" x14ac:dyDescent="0.4">
      <c r="B6" s="860"/>
      <c r="C6" s="3791" t="s">
        <v>3</v>
      </c>
      <c r="D6" s="3792"/>
      <c r="E6" s="3792"/>
      <c r="F6" s="3792"/>
      <c r="G6" s="3792"/>
      <c r="H6" s="3792"/>
      <c r="I6" s="3792"/>
      <c r="J6" s="3808" t="s">
        <v>9403</v>
      </c>
      <c r="K6" s="3808"/>
      <c r="L6" s="3808"/>
      <c r="M6" s="3808"/>
      <c r="N6" s="3808"/>
      <c r="O6" s="3808"/>
      <c r="P6" s="3808"/>
      <c r="Q6" s="3808"/>
      <c r="R6" s="3808"/>
      <c r="S6" s="3808"/>
      <c r="T6" s="3808"/>
      <c r="U6" s="3808"/>
      <c r="V6" s="3808"/>
      <c r="W6" s="3808"/>
      <c r="X6" s="3808"/>
      <c r="Y6" s="3808"/>
      <c r="Z6" s="3808"/>
      <c r="AA6" s="3808"/>
      <c r="AB6" s="3808"/>
      <c r="AC6" s="3808"/>
      <c r="AD6" s="3797" t="s">
        <v>1</v>
      </c>
      <c r="AE6" s="3797"/>
      <c r="AF6" s="3797"/>
      <c r="AG6" s="3795">
        <v>8067126</v>
      </c>
      <c r="AH6" s="3795"/>
      <c r="AI6" s="3795"/>
      <c r="AJ6" s="3796"/>
      <c r="AK6" s="1730"/>
    </row>
    <row r="7" spans="2:53" ht="20.100000000000001" customHeight="1" thickBot="1" x14ac:dyDescent="0.45">
      <c r="B7" s="860"/>
      <c r="C7" s="3793" t="s">
        <v>361</v>
      </c>
      <c r="D7" s="3794"/>
      <c r="E7" s="3794"/>
      <c r="F7" s="3794"/>
      <c r="G7" s="3794"/>
      <c r="H7" s="3794"/>
      <c r="I7" s="3794"/>
      <c r="J7" s="896">
        <v>1</v>
      </c>
      <c r="K7" s="3814" t="s">
        <v>4</v>
      </c>
      <c r="L7" s="3815"/>
      <c r="M7" s="3816"/>
      <c r="N7" s="3815"/>
      <c r="O7" s="3816"/>
      <c r="P7" s="3816"/>
      <c r="Q7" s="3816"/>
      <c r="R7" s="3815"/>
      <c r="S7" s="812"/>
      <c r="T7" s="818">
        <f>IF(U7&lt;100,4,5)</f>
        <v>5</v>
      </c>
      <c r="U7" s="3798">
        <v>159182</v>
      </c>
      <c r="V7" s="3798"/>
      <c r="W7" s="3798"/>
      <c r="X7" s="3798"/>
      <c r="Y7" s="3798"/>
      <c r="Z7" s="779"/>
      <c r="AA7" s="780"/>
      <c r="AB7" s="814"/>
      <c r="AC7" s="781"/>
      <c r="AD7" s="813"/>
      <c r="AE7" s="781"/>
      <c r="AF7" s="782"/>
      <c r="AG7" s="811"/>
      <c r="AH7" s="781"/>
      <c r="AI7" s="813"/>
      <c r="AJ7" s="783"/>
      <c r="AK7" s="1730"/>
    </row>
    <row r="8" spans="2:53" ht="20.100000000000001" customHeight="1" thickBot="1" x14ac:dyDescent="0.45">
      <c r="B8" s="817"/>
      <c r="C8" s="3799" t="s">
        <v>9388</v>
      </c>
      <c r="D8" s="3800"/>
      <c r="E8" s="3800"/>
      <c r="F8" s="3800"/>
      <c r="G8" s="3800"/>
      <c r="H8" s="3800"/>
      <c r="I8" s="3800"/>
      <c r="J8" s="3801"/>
      <c r="K8" s="3828" t="s">
        <v>276</v>
      </c>
      <c r="L8" s="3829"/>
      <c r="M8" s="3829"/>
      <c r="N8" s="3829"/>
      <c r="O8" s="3829"/>
      <c r="P8" s="3829"/>
      <c r="Q8" s="3829"/>
      <c r="R8" s="3829"/>
      <c r="S8" s="3829"/>
      <c r="T8" s="3829"/>
      <c r="U8" s="3829"/>
      <c r="V8" s="3829"/>
      <c r="W8" s="3829"/>
      <c r="X8" s="3829"/>
      <c r="Y8" s="3829"/>
      <c r="Z8" s="3829"/>
      <c r="AA8" s="3829"/>
      <c r="AB8" s="869"/>
      <c r="AC8" s="3829" t="s">
        <v>399</v>
      </c>
      <c r="AD8" s="3829"/>
      <c r="AE8" s="3829"/>
      <c r="AF8" s="3829"/>
      <c r="AG8" s="3829"/>
      <c r="AH8" s="3829"/>
      <c r="AI8" s="3829"/>
      <c r="AJ8" s="3833"/>
      <c r="AK8" s="1730"/>
      <c r="BA8" s="844">
        <v>1</v>
      </c>
    </row>
    <row r="9" spans="2:53" ht="3" customHeight="1" thickBot="1" x14ac:dyDescent="0.45">
      <c r="B9" s="860"/>
      <c r="C9" s="1549"/>
      <c r="D9" s="1550"/>
      <c r="E9" s="1550"/>
      <c r="F9" s="1550"/>
      <c r="G9" s="1550"/>
      <c r="H9" s="1550"/>
      <c r="I9" s="1550"/>
      <c r="J9" s="1550"/>
      <c r="K9" s="1550"/>
      <c r="L9" s="1550"/>
      <c r="M9" s="1550"/>
      <c r="N9" s="1550"/>
      <c r="O9" s="1550"/>
      <c r="P9" s="1550"/>
      <c r="Q9" s="1550"/>
      <c r="R9" s="1550"/>
      <c r="S9" s="1550"/>
      <c r="T9" s="1550"/>
      <c r="U9" s="1550"/>
      <c r="V9" s="1550"/>
      <c r="W9" s="1550"/>
      <c r="X9" s="1550"/>
      <c r="Y9" s="1550"/>
      <c r="Z9" s="1550"/>
      <c r="AA9" s="1550"/>
      <c r="AB9" s="1550"/>
      <c r="AC9" s="1550"/>
      <c r="AD9" s="1550"/>
      <c r="AE9" s="1550"/>
      <c r="AF9" s="1550"/>
      <c r="AG9" s="1550"/>
      <c r="AH9" s="1550"/>
      <c r="AI9" s="1550"/>
      <c r="AJ9" s="1687"/>
      <c r="AK9" s="1730"/>
    </row>
    <row r="10" spans="2:53" ht="21.95" customHeight="1" thickBot="1" x14ac:dyDescent="0.45">
      <c r="B10" s="860"/>
      <c r="C10" s="3809" t="s">
        <v>7954</v>
      </c>
      <c r="D10" s="3810"/>
      <c r="E10" s="3810"/>
      <c r="F10" s="3810"/>
      <c r="G10" s="3811"/>
      <c r="H10" s="3812" t="s">
        <v>7955</v>
      </c>
      <c r="I10" s="3813"/>
      <c r="J10" s="3813"/>
      <c r="K10" s="3848">
        <v>2910</v>
      </c>
      <c r="L10" s="3788"/>
      <c r="M10" s="3787">
        <v>2926</v>
      </c>
      <c r="N10" s="3788"/>
      <c r="O10" s="3787">
        <v>2965</v>
      </c>
      <c r="P10" s="3788"/>
      <c r="Q10" s="3787">
        <v>2151</v>
      </c>
      <c r="R10" s="3788"/>
      <c r="S10" s="3787"/>
      <c r="T10" s="3788"/>
      <c r="U10" s="3787"/>
      <c r="V10" s="3788"/>
      <c r="W10" s="3783"/>
      <c r="X10" s="3784"/>
      <c r="Y10" s="3783"/>
      <c r="Z10" s="3784"/>
      <c r="AA10" s="3783"/>
      <c r="AB10" s="3784"/>
      <c r="AC10" s="3783"/>
      <c r="AD10" s="3784"/>
      <c r="AE10" s="3783"/>
      <c r="AF10" s="3784"/>
      <c r="AG10" s="3783"/>
      <c r="AH10" s="3784"/>
      <c r="AI10" s="3787"/>
      <c r="AJ10" s="3802"/>
      <c r="AK10" s="1730"/>
    </row>
    <row r="11" spans="2:53" ht="27.75" hidden="1" customHeight="1" thickBot="1" x14ac:dyDescent="0.45">
      <c r="B11" s="860"/>
      <c r="C11" s="798"/>
      <c r="D11" s="809"/>
      <c r="E11" s="799"/>
      <c r="F11" s="809"/>
      <c r="G11" s="800"/>
      <c r="H11" s="663"/>
      <c r="I11" s="664"/>
      <c r="J11" s="664"/>
      <c r="K11" s="3849">
        <f>IF(K10="","",K10)</f>
        <v>2910</v>
      </c>
      <c r="L11" s="3850"/>
      <c r="M11" s="3789" t="str">
        <f>IF(M10="",""," - "&amp;M10)</f>
        <v xml:space="preserve"> - 2926</v>
      </c>
      <c r="N11" s="3790"/>
      <c r="O11" s="3789" t="str">
        <f>IF(O10="",""," - "&amp;O10)</f>
        <v xml:space="preserve"> - 2965</v>
      </c>
      <c r="P11" s="3790"/>
      <c r="Q11" s="3789" t="str">
        <f>IF(Q10="",""," - "&amp;Q10)</f>
        <v xml:space="preserve"> - 2151</v>
      </c>
      <c r="R11" s="3790"/>
      <c r="S11" s="3789" t="str">
        <f>IF(S10="",""," - "&amp;S10)</f>
        <v/>
      </c>
      <c r="T11" s="3790"/>
      <c r="U11" s="3789" t="str">
        <f t="shared" ref="U11:AI11" si="0">IF(U10="",""," - "&amp;U10)</f>
        <v/>
      </c>
      <c r="V11" s="3790"/>
      <c r="W11" s="3789" t="str">
        <f t="shared" si="0"/>
        <v/>
      </c>
      <c r="X11" s="3790"/>
      <c r="Y11" s="3789" t="str">
        <f t="shared" si="0"/>
        <v/>
      </c>
      <c r="Z11" s="3790"/>
      <c r="AA11" s="3789" t="str">
        <f t="shared" si="0"/>
        <v/>
      </c>
      <c r="AB11" s="3790"/>
      <c r="AC11" s="3789" t="str">
        <f t="shared" si="0"/>
        <v/>
      </c>
      <c r="AD11" s="3790"/>
      <c r="AE11" s="3789" t="str">
        <f t="shared" si="0"/>
        <v/>
      </c>
      <c r="AF11" s="3790"/>
      <c r="AG11" s="3789" t="str">
        <f t="shared" si="0"/>
        <v/>
      </c>
      <c r="AH11" s="3790"/>
      <c r="AI11" s="3789" t="str">
        <f t="shared" si="0"/>
        <v/>
      </c>
      <c r="AJ11" s="3803"/>
      <c r="AK11" s="1731"/>
    </row>
    <row r="12" spans="2:53" s="2" customFormat="1" ht="18" customHeight="1" thickBot="1" x14ac:dyDescent="0.45">
      <c r="B12" s="860"/>
      <c r="C12" s="3830">
        <v>197853.33</v>
      </c>
      <c r="D12" s="3831"/>
      <c r="E12" s="3831"/>
      <c r="F12" s="3831"/>
      <c r="G12" s="3832"/>
      <c r="H12" s="3817" t="str">
        <f>IF(C12="Aguard. Dados","",IF(Extenso!N14="","","(" &amp; Extenso!N14 &amp; ")"))</f>
        <v>(cento e noventa e sete mil oitocentos e cinquenta e três reais e trinta e três centavos)</v>
      </c>
      <c r="I12" s="3818"/>
      <c r="J12" s="3818"/>
      <c r="K12" s="3818"/>
      <c r="L12" s="3818"/>
      <c r="M12" s="3818"/>
      <c r="N12" s="3818"/>
      <c r="O12" s="3818"/>
      <c r="P12" s="3818"/>
      <c r="Q12" s="3818"/>
      <c r="R12" s="3818"/>
      <c r="S12" s="3818"/>
      <c r="T12" s="3818"/>
      <c r="U12" s="3818"/>
      <c r="V12" s="3818"/>
      <c r="W12" s="3818"/>
      <c r="X12" s="3818"/>
      <c r="Y12" s="3818"/>
      <c r="Z12" s="3818"/>
      <c r="AA12" s="3818"/>
      <c r="AB12" s="3818"/>
      <c r="AC12" s="3818"/>
      <c r="AD12" s="3818"/>
      <c r="AE12" s="3818"/>
      <c r="AF12" s="3818"/>
      <c r="AG12" s="3818"/>
      <c r="AH12" s="3818"/>
      <c r="AI12" s="3818"/>
      <c r="AJ12" s="3819"/>
      <c r="AK12" s="1731"/>
      <c r="BA12" s="845"/>
    </row>
    <row r="13" spans="2:53" s="2" customFormat="1" ht="18" customHeight="1" thickBot="1" x14ac:dyDescent="0.45">
      <c r="B13" s="860"/>
      <c r="C13" s="3834" t="s">
        <v>7957</v>
      </c>
      <c r="D13" s="3835"/>
      <c r="E13" s="3835"/>
      <c r="F13" s="3835"/>
      <c r="G13" s="3836"/>
      <c r="H13" s="3845" t="s">
        <v>9404</v>
      </c>
      <c r="I13" s="3846"/>
      <c r="J13" s="3846"/>
      <c r="K13" s="3846"/>
      <c r="L13" s="3846"/>
      <c r="M13" s="3846"/>
      <c r="N13" s="3846"/>
      <c r="O13" s="3846"/>
      <c r="P13" s="3846"/>
      <c r="Q13" s="3846"/>
      <c r="R13" s="3846"/>
      <c r="S13" s="3846"/>
      <c r="T13" s="3846"/>
      <c r="U13" s="3846"/>
      <c r="V13" s="3846"/>
      <c r="W13" s="3846"/>
      <c r="X13" s="3846"/>
      <c r="Y13" s="3846"/>
      <c r="Z13" s="3846"/>
      <c r="AA13" s="3846"/>
      <c r="AB13" s="3846"/>
      <c r="AC13" s="3846"/>
      <c r="AD13" s="3846"/>
      <c r="AE13" s="3846"/>
      <c r="AF13" s="3846"/>
      <c r="AG13" s="3846"/>
      <c r="AH13" s="3846"/>
      <c r="AI13" s="3846"/>
      <c r="AJ13" s="3847"/>
      <c r="AK13" s="1731"/>
      <c r="BA13" s="845"/>
    </row>
    <row r="14" spans="2:53" s="2" customFormat="1" ht="15.95" customHeight="1" x14ac:dyDescent="0.4">
      <c r="B14" s="860"/>
      <c r="C14" s="3785" t="s">
        <v>7959</v>
      </c>
      <c r="D14" s="3786"/>
      <c r="E14" s="3837"/>
      <c r="F14" s="3837"/>
      <c r="G14" s="3837"/>
      <c r="H14" s="3838" t="s">
        <v>7960</v>
      </c>
      <c r="I14" s="3838"/>
      <c r="J14" s="3838"/>
      <c r="K14" s="3839"/>
      <c r="L14" s="3824" t="s">
        <v>8077</v>
      </c>
      <c r="M14" s="3825"/>
      <c r="N14" s="3825"/>
      <c r="O14" s="3825"/>
      <c r="P14" s="3825"/>
      <c r="Q14" s="3825"/>
      <c r="R14" s="3825"/>
      <c r="S14" s="3825"/>
      <c r="T14" s="3825"/>
      <c r="U14" s="3825"/>
      <c r="V14" s="3825"/>
      <c r="W14" s="3825"/>
      <c r="X14" s="3825"/>
      <c r="Y14" s="3825"/>
      <c r="Z14" s="3825"/>
      <c r="AA14" s="3825"/>
      <c r="AB14" s="3825"/>
      <c r="AC14" s="3825"/>
      <c r="AD14" s="3825"/>
      <c r="AE14" s="3825"/>
      <c r="AF14" s="3820">
        <v>10000.01</v>
      </c>
      <c r="AG14" s="3820"/>
      <c r="AH14" s="3820"/>
      <c r="AI14" s="3820"/>
      <c r="AJ14" s="3821"/>
      <c r="AK14" s="1731"/>
      <c r="BA14" s="845"/>
    </row>
    <row r="15" spans="2:53" s="2" customFormat="1" ht="15.95" customHeight="1" thickBot="1" x14ac:dyDescent="0.45">
      <c r="B15" s="860"/>
      <c r="C15" s="3842" t="str">
        <f>IF(E14&lt;&gt;0,DATEVALUE( TEXT( E14, "##""/""##""/""##" ) &amp; "" ),"")</f>
        <v/>
      </c>
      <c r="D15" s="3843"/>
      <c r="E15" s="3844"/>
      <c r="F15" s="3844"/>
      <c r="G15" s="3844"/>
      <c r="H15" s="3840"/>
      <c r="I15" s="3840"/>
      <c r="J15" s="3840"/>
      <c r="K15" s="3841"/>
      <c r="L15" s="3826"/>
      <c r="M15" s="3827"/>
      <c r="N15" s="3827"/>
      <c r="O15" s="3827"/>
      <c r="P15" s="3827"/>
      <c r="Q15" s="3827"/>
      <c r="R15" s="3827"/>
      <c r="S15" s="3827"/>
      <c r="T15" s="3827"/>
      <c r="U15" s="3827"/>
      <c r="V15" s="3827"/>
      <c r="W15" s="3827"/>
      <c r="X15" s="3827"/>
      <c r="Y15" s="3827"/>
      <c r="Z15" s="3827"/>
      <c r="AA15" s="3827"/>
      <c r="AB15" s="3827"/>
      <c r="AC15" s="3827"/>
      <c r="AD15" s="3827"/>
      <c r="AE15" s="3827"/>
      <c r="AF15" s="3822"/>
      <c r="AG15" s="3822"/>
      <c r="AH15" s="3822"/>
      <c r="AI15" s="3822"/>
      <c r="AJ15" s="3823"/>
      <c r="AK15" s="1731"/>
      <c r="BA15" s="845"/>
    </row>
    <row r="16" spans="2:53" ht="15.95" customHeight="1" thickBot="1" x14ac:dyDescent="0.45">
      <c r="B16" s="2238"/>
      <c r="C16" s="2239"/>
      <c r="D16" s="2239"/>
      <c r="E16" s="2239"/>
      <c r="F16" s="2239"/>
      <c r="G16" s="2239"/>
      <c r="H16" s="2239"/>
      <c r="I16" s="2239"/>
      <c r="J16" s="2239"/>
      <c r="K16" s="2239"/>
      <c r="L16" s="2239"/>
      <c r="M16" s="2239"/>
      <c r="N16" s="2239"/>
      <c r="O16" s="2239"/>
      <c r="P16" s="2239"/>
      <c r="Q16" s="2239"/>
      <c r="R16" s="2239"/>
      <c r="S16" s="2239"/>
      <c r="T16" s="2239"/>
      <c r="U16" s="2239"/>
      <c r="V16" s="2239"/>
      <c r="W16" s="2239"/>
      <c r="X16" s="2239"/>
      <c r="Y16" s="2239"/>
      <c r="Z16" s="2239"/>
      <c r="AA16" s="2239"/>
      <c r="AB16" s="2239"/>
      <c r="AC16" s="2239"/>
      <c r="AD16" s="2239"/>
      <c r="AE16" s="2239"/>
      <c r="AF16" s="2239"/>
      <c r="AG16" s="2239"/>
      <c r="AH16" s="2239"/>
      <c r="AI16" s="2239"/>
      <c r="AJ16" s="2239"/>
      <c r="AK16" s="2240"/>
    </row>
    <row r="17" spans="2:53" ht="5.0999999999999996" customHeight="1" thickTop="1" thickBot="1" x14ac:dyDescent="0.45"/>
    <row r="18" spans="2:53" ht="15.95" customHeight="1" thickTop="1" thickBot="1" x14ac:dyDescent="0.45">
      <c r="B18" s="4073"/>
      <c r="C18" s="4074"/>
      <c r="D18" s="4074"/>
      <c r="E18" s="4074"/>
      <c r="F18" s="4074"/>
      <c r="G18" s="4074"/>
      <c r="H18" s="4074"/>
      <c r="I18" s="4074"/>
      <c r="J18" s="4074"/>
      <c r="K18" s="4074"/>
      <c r="L18" s="4074"/>
      <c r="M18" s="4074"/>
      <c r="N18" s="4074"/>
      <c r="O18" s="4074"/>
      <c r="P18" s="4074"/>
      <c r="Q18" s="4074"/>
      <c r="R18" s="4074"/>
      <c r="S18" s="4074"/>
      <c r="T18" s="4074"/>
      <c r="U18" s="4074"/>
      <c r="V18" s="4074"/>
      <c r="W18" s="4074"/>
      <c r="X18" s="4074"/>
      <c r="Y18" s="4074"/>
      <c r="Z18" s="4074"/>
      <c r="AA18" s="4074"/>
      <c r="AB18" s="4074"/>
      <c r="AC18" s="4074"/>
      <c r="AD18" s="4074"/>
      <c r="AE18" s="4074"/>
      <c r="AF18" s="4074"/>
      <c r="AG18" s="4074"/>
      <c r="AH18" s="4074"/>
      <c r="AI18" s="4074"/>
      <c r="AJ18" s="4074"/>
      <c r="AK18" s="4075"/>
    </row>
    <row r="19" spans="2:53" ht="15.95" customHeight="1" thickBot="1" x14ac:dyDescent="0.45">
      <c r="B19" s="581"/>
      <c r="C19" s="3852" t="s">
        <v>9390</v>
      </c>
      <c r="D19" s="3853"/>
      <c r="E19" s="3853"/>
      <c r="F19" s="3853"/>
      <c r="G19" s="3853"/>
      <c r="H19" s="3853"/>
      <c r="I19" s="3853"/>
      <c r="J19" s="3853"/>
      <c r="K19" s="3853"/>
      <c r="L19" s="3853"/>
      <c r="M19" s="3853"/>
      <c r="N19" s="3853"/>
      <c r="O19" s="3853"/>
      <c r="P19" s="3853"/>
      <c r="Q19" s="3853"/>
      <c r="R19" s="3853"/>
      <c r="S19" s="3853"/>
      <c r="T19" s="3853"/>
      <c r="U19" s="3853"/>
      <c r="V19" s="3853"/>
      <c r="W19" s="3853"/>
      <c r="X19" s="3853"/>
      <c r="Y19" s="3853"/>
      <c r="Z19" s="3853"/>
      <c r="AA19" s="3853"/>
      <c r="AB19" s="3853"/>
      <c r="AC19" s="3853"/>
      <c r="AD19" s="3853"/>
      <c r="AE19" s="3853"/>
      <c r="AF19" s="3853"/>
      <c r="AG19" s="3853"/>
      <c r="AH19" s="3853"/>
      <c r="AI19" s="3853"/>
      <c r="AJ19" s="3854"/>
      <c r="AK19" s="582"/>
    </row>
    <row r="20" spans="2:53" ht="5.0999999999999996" customHeight="1" thickBot="1" x14ac:dyDescent="0.45">
      <c r="B20" s="581"/>
      <c r="C20" s="3856"/>
      <c r="D20" s="3857"/>
      <c r="E20" s="3857"/>
      <c r="F20" s="3857"/>
      <c r="G20" s="3857"/>
      <c r="H20" s="3857"/>
      <c r="I20" s="3857"/>
      <c r="J20" s="3857"/>
      <c r="K20" s="3857"/>
      <c r="L20" s="3857"/>
      <c r="M20" s="3857"/>
      <c r="N20" s="3857"/>
      <c r="O20" s="3857"/>
      <c r="P20" s="3857"/>
      <c r="Q20" s="3857"/>
      <c r="R20" s="3857"/>
      <c r="S20" s="3857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AD20" s="3857"/>
      <c r="AE20" s="3857"/>
      <c r="AF20" s="3857"/>
      <c r="AG20" s="3857"/>
      <c r="AH20" s="3857"/>
      <c r="AI20" s="3857"/>
      <c r="AJ20" s="3858"/>
      <c r="AK20" s="582"/>
    </row>
    <row r="21" spans="2:53" ht="15.95" customHeight="1" x14ac:dyDescent="0.4">
      <c r="B21" s="581"/>
      <c r="C21" s="3937" t="s">
        <v>8187</v>
      </c>
      <c r="D21" s="3938"/>
      <c r="E21" s="3938"/>
      <c r="F21" s="897">
        <v>1</v>
      </c>
      <c r="G21" s="819" t="s">
        <v>339</v>
      </c>
      <c r="H21" s="897">
        <v>1</v>
      </c>
      <c r="I21" s="819" t="s">
        <v>339</v>
      </c>
      <c r="J21" s="3935">
        <v>2016</v>
      </c>
      <c r="K21" s="3936"/>
      <c r="L21" s="3931" t="s">
        <v>9392</v>
      </c>
      <c r="M21" s="3932"/>
      <c r="N21" s="897">
        <v>31</v>
      </c>
      <c r="O21" s="819" t="s">
        <v>339</v>
      </c>
      <c r="P21" s="897">
        <v>12</v>
      </c>
      <c r="Q21" s="819" t="s">
        <v>339</v>
      </c>
      <c r="R21" s="3935">
        <v>2016</v>
      </c>
      <c r="S21" s="3936"/>
      <c r="T21" s="898"/>
      <c r="U21" s="898"/>
      <c r="V21" s="898"/>
      <c r="W21" s="837"/>
      <c r="X21" s="837"/>
      <c r="Y21" s="838" t="s">
        <v>8138</v>
      </c>
      <c r="Z21" s="837"/>
      <c r="AA21" s="899"/>
      <c r="AB21" s="899"/>
      <c r="AC21" s="900"/>
      <c r="AD21" s="901"/>
      <c r="AE21" s="839"/>
      <c r="AF21" s="839"/>
      <c r="AG21" s="840"/>
      <c r="AH21" s="840"/>
      <c r="AI21" s="840"/>
      <c r="AJ21" s="841"/>
      <c r="AK21" s="582"/>
      <c r="BA21" s="844">
        <v>1</v>
      </c>
    </row>
    <row r="22" spans="2:53" ht="5.0999999999999996" customHeight="1" thickBot="1" x14ac:dyDescent="0.45">
      <c r="B22" s="581"/>
      <c r="C22" s="3939"/>
      <c r="D22" s="3940"/>
      <c r="E22" s="3940"/>
      <c r="F22" s="3940"/>
      <c r="G22" s="3940"/>
      <c r="H22" s="3940"/>
      <c r="I22" s="3940"/>
      <c r="J22" s="3940"/>
      <c r="K22" s="3940"/>
      <c r="L22" s="3940"/>
      <c r="M22" s="3940"/>
      <c r="N22" s="3940"/>
      <c r="O22" s="3940"/>
      <c r="P22" s="3940"/>
      <c r="Q22" s="3940"/>
      <c r="R22" s="3940"/>
      <c r="S22" s="3940"/>
      <c r="T22" s="3940"/>
      <c r="U22" s="3940"/>
      <c r="V22" s="3940"/>
      <c r="W22" s="3940"/>
      <c r="X22" s="3940"/>
      <c r="Y22" s="3940"/>
      <c r="Z22" s="3940"/>
      <c r="AA22" s="3940"/>
      <c r="AB22" s="3940"/>
      <c r="AC22" s="3940"/>
      <c r="AD22" s="3940"/>
      <c r="AE22" s="3940"/>
      <c r="AF22" s="3940"/>
      <c r="AG22" s="3940"/>
      <c r="AH22" s="3940"/>
      <c r="AI22" s="3940"/>
      <c r="AJ22" s="3941"/>
      <c r="AK22" s="582"/>
    </row>
    <row r="23" spans="2:53" ht="15.95" customHeight="1" x14ac:dyDescent="0.4">
      <c r="B23" s="581"/>
      <c r="C23" s="3942" t="str">
        <f>IF(BA21=1,"CRÉDITO","DÉBITO")</f>
        <v>CRÉDITO</v>
      </c>
      <c r="D23" s="3945"/>
      <c r="E23" s="3921" t="s">
        <v>391</v>
      </c>
      <c r="F23" s="3922"/>
      <c r="G23" s="3925" t="s">
        <v>9391</v>
      </c>
      <c r="H23" s="3926"/>
      <c r="I23" s="3927"/>
      <c r="J23" s="3806" t="str">
        <f>IF(H21=1,"01/"&amp;J21,"")</f>
        <v>01/2016</v>
      </c>
      <c r="K23" s="3807"/>
      <c r="L23" s="3806" t="str">
        <f>IF(F21="","",IF(H21=2,"02/"&amp;J21,IF(AND(J23&lt;&gt;"",P21&gt;1),"02/"&amp;J21,IF(AND(H21=1,P21=1),"",IF(H21&gt;2,"")))))</f>
        <v>02/2016</v>
      </c>
      <c r="M23" s="3807"/>
      <c r="N23" s="3806" t="str">
        <f>IF(F21="","",IF(H21=3,"03/"&amp;J21,IF(OR(H21&gt;3,P21&lt;3),"",IF(AND(L23&lt;&gt;"",P21&gt;2),"03/"&amp;J21,IF(AND(H21=2,P21=2),"")))))</f>
        <v>03/2016</v>
      </c>
      <c r="O23" s="3807"/>
      <c r="P23" s="3806" t="str">
        <f>IF(F21="","",IF(H21=4,"04/"&amp;J21,IF(OR(H21&gt;4,P21&lt;4),"",IF(AND(N23&lt;&gt;"",P21&gt;3),"04/"&amp;J21,IF(AND(H21=3,P21=3),"")))))</f>
        <v>04/2016</v>
      </c>
      <c r="Q23" s="3807"/>
      <c r="R23" s="3806" t="str">
        <f>IF(F21="","",IF(H21=5,"05/"&amp;J21,IF(OR(H21&gt;5,P21&lt;5),"",IF(AND(P23&lt;&gt;"",P21&gt;4),"05/"&amp;J21,IF(AND(H21=4,P21=4),"")))))</f>
        <v>05/2016</v>
      </c>
      <c r="S23" s="3807"/>
      <c r="T23" s="3806" t="str">
        <f>IF(F21="","",IF(H21=6,"06/"&amp;J21,IF(OR(H21&gt;6,P21&lt;6),"",IF(AND(R23&lt;&gt;"",P21&gt;5),"06/"&amp;J21,IF(AND(H21=5,P21=5),"")))))</f>
        <v>06/2016</v>
      </c>
      <c r="U23" s="3807"/>
      <c r="V23" s="3806" t="str">
        <f>IF(F21="","",IF(H21=7,"07/"&amp;J21,IF(OR(H21&gt;7,P21&lt;7),"",IF(AND(T23&lt;&gt;"",P21&gt;6),"07/"&amp;J21,IF(AND(H21=6,P21=6),"")))))</f>
        <v>07/2016</v>
      </c>
      <c r="W23" s="3807"/>
      <c r="X23" s="3806" t="str">
        <f>IF(F21="","",IF(H21=8,"08/"&amp;J21,IF(OR(H21&gt;8,P21&lt;8),"",IF(AND(V23&lt;&gt;"",P21&gt;7),"08/"&amp;J21,IF(AND(H21=7,P21=7),"")))))</f>
        <v>08/2016</v>
      </c>
      <c r="Y23" s="3807"/>
      <c r="Z23" s="3806" t="str">
        <f>IF(F21="","",IF(H21=9,"09/"&amp;J21,IF(OR(H21&gt;9,P21&lt;9),"",IF(AND(X23&lt;&gt;"",P21&gt;8),"09/"&amp;J21,IF(AND(H21=8,P21=8),"")))))</f>
        <v>09/2016</v>
      </c>
      <c r="AA23" s="3807"/>
      <c r="AB23" s="3806" t="str">
        <f>IF(F21="","",IF(H21=10,"10/"&amp;J21,IF(OR(H21&gt;10,P21&lt;10),"",IF(AND(Z23&lt;&gt;"",P21&gt;9),"10/"&amp;J21,IF(AND(H21=9,P21=9),"")))))</f>
        <v>10/2016</v>
      </c>
      <c r="AC23" s="3807"/>
      <c r="AD23" s="3806" t="str">
        <f>IF(F21="","",IF(H21=11,"11/"&amp;J21,IF(OR(H21&gt;11,P21&lt;11),"",IF(AND(AB23&lt;&gt;"",P21&gt;10),"11/"&amp;J21,IF(AND(H21=10,P21=10),"")))))</f>
        <v>11/2016</v>
      </c>
      <c r="AE23" s="3807"/>
      <c r="AF23" s="3806" t="str">
        <f>IF(F21="","",IF(H21=12,"12/"&amp;J21,IF(OR(H21&gt;12,P21&lt;12),"",IF(AND(AD23&lt;&gt;"",P21&gt;11),"12/"&amp;J21,IF(AND(H21=11,P21=11),"")))))</f>
        <v>12/2016</v>
      </c>
      <c r="AG23" s="3807"/>
      <c r="AH23" s="3859" t="s">
        <v>7968</v>
      </c>
      <c r="AI23" s="3860"/>
      <c r="AJ23" s="3861"/>
      <c r="AK23" s="582"/>
    </row>
    <row r="24" spans="2:53" ht="15.95" customHeight="1" thickBot="1" x14ac:dyDescent="0.45">
      <c r="B24" s="581"/>
      <c r="C24" s="3943"/>
      <c r="D24" s="3946"/>
      <c r="E24" s="3923"/>
      <c r="F24" s="3924"/>
      <c r="G24" s="3928"/>
      <c r="H24" s="3929"/>
      <c r="I24" s="3930"/>
      <c r="J24" s="823">
        <f>IF(J23="","",IF(AND(H21=1,F21=31),1,IF(AND(H21&lt;1,P21=1),N21,IF(AND(H21=1,P21=1,N21=31),31-F21,IF(AND(H21=1,P21=1,N21&lt;&gt;31),N21-F21+1,IF(AND(H21=1,P21&gt;1),31-F21,IF(AND(H21&lt;1,P21&gt;1),30,)))))))</f>
        <v>30</v>
      </c>
      <c r="K24" s="593" t="str">
        <f>IF(J24="","","dias")</f>
        <v>dias</v>
      </c>
      <c r="L24" s="823">
        <f>IF(L23="","",IF(AND(H21&lt;2,P21&gt;2),30,IF(AND(P21&gt;2,H21=2),31-F21,IF(AND(H21&lt;2,P21=2),N21,IF(AND(H21=2,P21=2),N21-F21+1,IF(AND(H21=2,F21=28),1,IF(AND(H21=2,F21=29),1,IF(AND(H21=2,P21=2,N21=28),31-F21,IF(AND(H21=2,P21=2,N21=29),31-F21,IF(AND(H21=2,P21=2,N21&lt;28),N21-F21+1))))))))))</f>
        <v>30</v>
      </c>
      <c r="M24" s="593" t="str">
        <f>IF(L24="","","dias")</f>
        <v>dias</v>
      </c>
      <c r="N24" s="823">
        <f>IF(N23="","",IF(AND(H21=3,F21=31),1,IF(AND(H21&lt;3,P21=3,N21=31),30,IF(AND(H21&lt;3,P21=3,N21&lt;31),N21,IF(AND(H21=3,P21=3,N21=31),31-F21,IF(AND(H21=3,P21=3,N21&lt;&gt;31),N21-F21+1,IF(AND(H21=3,P21&gt;3),31-F21,IF(AND(H21&lt;3,P21&gt;3),30,))))))))</f>
        <v>30</v>
      </c>
      <c r="O24" s="593" t="str">
        <f>IF(N24="","","dias")</f>
        <v>dias</v>
      </c>
      <c r="P24" s="823">
        <f>IF(P23="","",IF(AND(H21=4,F21=30),1,IF(AND(H21&lt;4,P21=4,N21=31),30,IF(AND(H21&lt;4,P21=4,N21&lt;31),N21,IF(AND(H21=4,P21=4,N21=31),31-F21,IF(AND(H21=4,P21=4,N21&lt;&gt;31),N21-F21+1,IF(AND(H21=4,P21&gt;4),31-F21,IF(AND(H21&lt;4,P21&gt;4),30,))))))))</f>
        <v>30</v>
      </c>
      <c r="Q24" s="593" t="str">
        <f>IF(P24="","","dias")</f>
        <v>dias</v>
      </c>
      <c r="R24" s="823">
        <f>IF(R23="","",IF(AND(H21=5,F21=31),1,IF(AND(H21&lt;5,P21=5,N21=31),30,IF(AND(H21&lt;5,P21=5,N21&lt;31),N21,IF(AND(H21=5,P21=5,N21=31),31-F21,IF(AND(H21=5,P21=5,N21&lt;&gt;31),N21-F21+1,IF(AND(H21=5,P21&gt;5),31-F21,IF(AND(H21&lt;5,P21&gt;5),30,))))))))</f>
        <v>30</v>
      </c>
      <c r="S24" s="593" t="str">
        <f>IF(R24="","","dias")</f>
        <v>dias</v>
      </c>
      <c r="T24" s="823">
        <f>IF(T23="","",IF(AND(H21=6,F21=30),1,IF(AND(H21&lt;6,P21=6,N21=31),30,IF(AND(H21&lt;6,P21=6,N21&lt;31),N21,IF(AND(H21=6,P21=6,N21=31),31-F21,IF(AND(H21=6,P21=6,N21&lt;&gt;31),N21-F21+1,IF(AND(H21=6,P21&gt;6),31-F21,IF(AND(H21&lt;6,P21&gt;6),30,))))))))</f>
        <v>30</v>
      </c>
      <c r="U24" s="593" t="str">
        <f>IF(T24="","","dias")</f>
        <v>dias</v>
      </c>
      <c r="V24" s="823">
        <f>IF(V23="","",IF(AND(H21=6,F21=31),1,IF(AND(H21&lt;7,P21=7,N21=31),30,IF(AND(H21&lt;7,P21=7,N21&lt;31),N21,IF(AND(H21=7,P21=7,N21=31),31-F21,IF(AND(H21=7,P21=7,N21&lt;&gt;31),N21-F21+1,IF(AND(H21=7,P21&gt;7),31-F21,IF(AND(H21&lt;7,P21&gt;7),30,))))))))</f>
        <v>30</v>
      </c>
      <c r="W24" s="593" t="str">
        <f>IF(V24="","","dias")</f>
        <v>dias</v>
      </c>
      <c r="X24" s="823">
        <f>IF(X23="","",IF(AND(H21=8,F21=31),1,IF(AND(H21&lt;8,P21=8,N21=31),30,IF(AND(H21&lt;8,P21=8,N21&lt;31),N21,IF(AND(H21=8,P21=8,N21=31),31-F21,IF(AND(H21=8,P21=8,N21&lt;&gt;31),N21-F21+1,IF(AND(H21=8,P21&gt;8),31-F21,IF(AND(H21&lt;8,P21&gt;8),30,))))))))</f>
        <v>30</v>
      </c>
      <c r="Y24" s="593" t="str">
        <f>IF(X24="","","dias")</f>
        <v>dias</v>
      </c>
      <c r="Z24" s="823">
        <f>IF(Z23="","",IF(AND(H21=9,F21=30),1,IF(AND(H21&lt;9,P21=9,N21=31),30,IF(AND(H21&lt;9,P21=9,N21&lt;31),N21,IF(AND(H21=9,P21=9,N21=31),31-F21,IF(AND(H21=9,P21=9,N21&lt;&gt;31),N21-F21+1,IF(AND(H21=9,P21&gt;9),31-F21,IF(AND(H21&lt;9,P21&gt;9),30,))))))))</f>
        <v>30</v>
      </c>
      <c r="AA24" s="593" t="str">
        <f>IF(Z24="","","dias")</f>
        <v>dias</v>
      </c>
      <c r="AB24" s="823">
        <f>IF(AB23="","",IF(AND(H21=10,F21=31),1,IF(AND(H21&lt;10,P21=10,N21=31),30,IF(AND(H21&lt;10,P21=10,N21&lt;31),N21,IF(AND(H21=10,P21=10,N21=31),31-F21,IF(AND(H21=10,P21=10,N21&lt;&gt;31),N21-F21+1,IF(AND(H21=10,P21&gt;10),31-F21,IF(AND(H21&lt;10,P21&gt;10),30,))))))))</f>
        <v>30</v>
      </c>
      <c r="AC24" s="593" t="str">
        <f>IF(AB24="","","dias")</f>
        <v>dias</v>
      </c>
      <c r="AD24" s="823">
        <f>IF(AD23="","",IF(AND(H21=11,F21=30),1,IF(AND(H21&lt;11,P21=11,N21=31),30,IF(AND(H21&lt;11,P21=11,N21&lt;31),N21,IF(AND(H21=11,P21=11,N21=31),31-F21,IF(AND(H21=11,P21=11,N21&lt;&gt;31),N21-F21+1,IF(AND(H21=11,P21&gt;11),31-F21,IF(AND(H21&lt;11,P21&gt;11),30,))))))))</f>
        <v>30</v>
      </c>
      <c r="AE24" s="593" t="str">
        <f>IF(AD24="","","dias")</f>
        <v>dias</v>
      </c>
      <c r="AF24" s="823">
        <f>IF(AF23="","",IF(AND(H21=12,F21=31),1,IF(AND(H21&lt;12,P21=12,N21=31),30,IF(AND(H21&lt;12,P21=12,N21&lt;31),N21,IF(AND(H21=12,P21=12,N21=31),31-F21,IF(AND(H21=12,P21=12,N21&lt;&gt;31),N21-F21+1,IF(AND(H21=12,P21&gt;12),31-F21,IF(AND(H21&lt;12,P21&gt;12),30,))))))))</f>
        <v>30</v>
      </c>
      <c r="AG24" s="593" t="str">
        <f>IF(AF24="","","dias")</f>
        <v>dias</v>
      </c>
      <c r="AH24" s="3862" t="s">
        <v>8186</v>
      </c>
      <c r="AI24" s="3863"/>
      <c r="AJ24" s="3864"/>
      <c r="AK24" s="582"/>
    </row>
    <row r="25" spans="2:53" ht="15.95" customHeight="1" x14ac:dyDescent="0.4">
      <c r="B25" s="581"/>
      <c r="C25" s="3943"/>
      <c r="D25" s="3946"/>
      <c r="E25" s="3869">
        <v>2910</v>
      </c>
      <c r="F25" s="3870"/>
      <c r="G25" s="3804">
        <v>1982.54</v>
      </c>
      <c r="H25" s="3805"/>
      <c r="I25" s="3805"/>
      <c r="J25" s="3781">
        <f>IF(OR(J23="",G25=""),"",(G25/30)*J24)</f>
        <v>1982.54</v>
      </c>
      <c r="K25" s="3782"/>
      <c r="L25" s="3781">
        <f>IF(OR(L23="",G25=""),"",(G25/30)*L24)</f>
        <v>1982.54</v>
      </c>
      <c r="M25" s="3782"/>
      <c r="N25" s="3781">
        <f>IF(OR(N23="",G25=""),"",(G25/30)*N24)</f>
        <v>1982.54</v>
      </c>
      <c r="O25" s="3782"/>
      <c r="P25" s="3781">
        <f>IF(OR(P23="",G25=""),"",(G25/30)*P24)</f>
        <v>1982.54</v>
      </c>
      <c r="Q25" s="3782"/>
      <c r="R25" s="3781">
        <f>IF(OR(R23="",G25=""),"",(G25/30)*R24)</f>
        <v>1982.54</v>
      </c>
      <c r="S25" s="3782"/>
      <c r="T25" s="3781">
        <f>IF(OR(T23="",G25=""),"",(G25/30)*T24)</f>
        <v>1982.54</v>
      </c>
      <c r="U25" s="3782"/>
      <c r="V25" s="3781">
        <f>IF(OR(V23="",G25=""),"",(G25/30)*V24)</f>
        <v>1982.54</v>
      </c>
      <c r="W25" s="3782"/>
      <c r="X25" s="3781"/>
      <c r="Y25" s="3782"/>
      <c r="Z25" s="3781"/>
      <c r="AA25" s="3782"/>
      <c r="AB25" s="3781"/>
      <c r="AC25" s="3782"/>
      <c r="AD25" s="3781"/>
      <c r="AE25" s="3782"/>
      <c r="AF25" s="3781"/>
      <c r="AG25" s="3782"/>
      <c r="AH25" s="3918">
        <f>IF(G25="","-",SUM(J25:AG25))</f>
        <v>13877.780000000002</v>
      </c>
      <c r="AI25" s="3919"/>
      <c r="AJ25" s="3920"/>
      <c r="AK25" s="615">
        <f>IF(AH25="",0,ROUND(AH25,2))</f>
        <v>13877.78</v>
      </c>
    </row>
    <row r="26" spans="2:53" ht="15.95" customHeight="1" x14ac:dyDescent="0.4">
      <c r="B26" s="581"/>
      <c r="C26" s="3943"/>
      <c r="D26" s="3946"/>
      <c r="E26" s="3892">
        <v>2926</v>
      </c>
      <c r="F26" s="3893"/>
      <c r="G26" s="3865">
        <v>71.239999999999995</v>
      </c>
      <c r="H26" s="3866"/>
      <c r="I26" s="3866"/>
      <c r="J26" s="3867">
        <f>IF(OR(J23="",G26=""),"",(G26/30)*J24)</f>
        <v>71.239999999999995</v>
      </c>
      <c r="K26" s="3868"/>
      <c r="L26" s="3867">
        <f>IF(OR(L23="",G26=""),"",(G26/30)*L24)</f>
        <v>71.239999999999995</v>
      </c>
      <c r="M26" s="3868"/>
      <c r="N26" s="3867">
        <f>IF(OR(N23="",G26=""),"",(G26/30)*N24)</f>
        <v>71.239999999999995</v>
      </c>
      <c r="O26" s="3868"/>
      <c r="P26" s="3867">
        <f>IF(OR(P23="",G26=""),"",(G26/30)*P24)</f>
        <v>71.239999999999995</v>
      </c>
      <c r="Q26" s="3868"/>
      <c r="R26" s="3867">
        <f>IF(OR(R23="",G26=""),"",(G26/30)*R24)</f>
        <v>71.239999999999995</v>
      </c>
      <c r="S26" s="3868"/>
      <c r="T26" s="3867">
        <f>IF(OR(T23="",G26=""),"",(G26/30)*T24)</f>
        <v>71.239999999999995</v>
      </c>
      <c r="U26" s="3868"/>
      <c r="V26" s="3867">
        <f>IF(OR(V23="",G26=""),"",(G26/30)*V24)</f>
        <v>71.239999999999995</v>
      </c>
      <c r="W26" s="3868"/>
      <c r="X26" s="3867"/>
      <c r="Y26" s="3868"/>
      <c r="Z26" s="3867"/>
      <c r="AA26" s="3868"/>
      <c r="AB26" s="3867"/>
      <c r="AC26" s="3868"/>
      <c r="AD26" s="3867"/>
      <c r="AE26" s="3868"/>
      <c r="AF26" s="3867"/>
      <c r="AG26" s="3868"/>
      <c r="AH26" s="3918">
        <f>IF(G26="","-",SUM(J26:AG26))</f>
        <v>498.68</v>
      </c>
      <c r="AI26" s="3919"/>
      <c r="AJ26" s="3920"/>
      <c r="AK26" s="615">
        <f>IF(AH26="",0,ROUND(AH26,2))</f>
        <v>498.68</v>
      </c>
    </row>
    <row r="27" spans="2:53" ht="15.95" customHeight="1" thickBot="1" x14ac:dyDescent="0.45">
      <c r="B27" s="581"/>
      <c r="C27" s="3943"/>
      <c r="D27" s="3946"/>
      <c r="E27" s="3892">
        <v>2965</v>
      </c>
      <c r="F27" s="3893"/>
      <c r="G27" s="3865">
        <v>201.92</v>
      </c>
      <c r="H27" s="3866"/>
      <c r="I27" s="3866"/>
      <c r="J27" s="3933">
        <f>IF(OR(J23="",G27=""),"",(G27/30)*J24)</f>
        <v>201.92</v>
      </c>
      <c r="K27" s="3934"/>
      <c r="L27" s="3933">
        <f>IF(OR(L23="",G27=""),"",(G27/30)*L24)</f>
        <v>201.92</v>
      </c>
      <c r="M27" s="3934"/>
      <c r="N27" s="3933">
        <f>IF(OR(N23="",G27=""),"",(G27/30)*N24)</f>
        <v>201.92</v>
      </c>
      <c r="O27" s="3934"/>
      <c r="P27" s="3933">
        <f>IF(OR(P23="",G27=""),"",(G27/30)*P24)</f>
        <v>201.92</v>
      </c>
      <c r="Q27" s="3934"/>
      <c r="R27" s="3933">
        <f>IF(OR(R23="",G27=""),"",(G27/30)*R24)</f>
        <v>201.92</v>
      </c>
      <c r="S27" s="3934"/>
      <c r="T27" s="3933">
        <f>IF(OR(T23="",G27=""),"",(G27/30)*T24)</f>
        <v>201.92</v>
      </c>
      <c r="U27" s="3934"/>
      <c r="V27" s="3933">
        <f>IF(OR(V23="",G27=""),"",(G27/30)*V24)</f>
        <v>201.92</v>
      </c>
      <c r="W27" s="3934"/>
      <c r="X27" s="3933">
        <f>IF(OR(X23="",G27=""),"",(G27/30)*X24)</f>
        <v>201.92</v>
      </c>
      <c r="Y27" s="3934"/>
      <c r="Z27" s="3933">
        <f>IF(OR(Z23="",G27=""),"",(G27/30)*Z24)</f>
        <v>201.92</v>
      </c>
      <c r="AA27" s="3934"/>
      <c r="AB27" s="3933">
        <f>IF(OR(AB23="",G27=""),"",(G27/30)*AB24)</f>
        <v>201.92</v>
      </c>
      <c r="AC27" s="3934"/>
      <c r="AD27" s="3933">
        <f>IF(OR(AD23="",G27=""),"",(G27/30)*AD24)</f>
        <v>201.92</v>
      </c>
      <c r="AE27" s="3934"/>
      <c r="AF27" s="3933">
        <f>IF(OR(AF23="",G27=""),"",(G27/30)*AF24)</f>
        <v>201.92</v>
      </c>
      <c r="AG27" s="3934"/>
      <c r="AH27" s="3918">
        <f>IF(G27="","-",SUM(J27:AG27))</f>
        <v>2423.0400000000004</v>
      </c>
      <c r="AI27" s="3919"/>
      <c r="AJ27" s="3920"/>
      <c r="AK27" s="615"/>
    </row>
    <row r="28" spans="2:53" ht="15.95" customHeight="1" thickBot="1" x14ac:dyDescent="0.45">
      <c r="B28" s="581"/>
      <c r="C28" s="3943"/>
      <c r="D28" s="850"/>
      <c r="E28" s="3908" t="s">
        <v>8185</v>
      </c>
      <c r="F28" s="3909"/>
      <c r="G28" s="3913">
        <f>SUM(G25:I27)</f>
        <v>2255.6999999999998</v>
      </c>
      <c r="H28" s="3914"/>
      <c r="I28" s="3915"/>
      <c r="J28" s="851"/>
      <c r="K28" s="851"/>
      <c r="L28" s="851"/>
      <c r="M28" s="851"/>
      <c r="N28" s="851"/>
      <c r="O28" s="851"/>
      <c r="P28" s="851"/>
      <c r="Q28" s="851"/>
      <c r="R28" s="851"/>
      <c r="S28" s="851"/>
      <c r="T28" s="851"/>
      <c r="U28" s="851"/>
      <c r="V28" s="851"/>
      <c r="W28" s="851"/>
      <c r="X28" s="851"/>
      <c r="Y28" s="851"/>
      <c r="Z28" s="851"/>
      <c r="AA28" s="851"/>
      <c r="AB28" s="851"/>
      <c r="AC28" s="851"/>
      <c r="AD28" s="851"/>
      <c r="AE28" s="851"/>
      <c r="AF28" s="851"/>
      <c r="AG28" s="851"/>
      <c r="AH28" s="3905" t="str">
        <f>IF(AND(E29="",E30=""),SUM(AH25:AJ27),"-")</f>
        <v>-</v>
      </c>
      <c r="AI28" s="3906"/>
      <c r="AJ28" s="3907"/>
      <c r="AK28" s="615"/>
    </row>
    <row r="29" spans="2:53" ht="15.95" customHeight="1" thickBot="1" x14ac:dyDescent="0.45">
      <c r="B29" s="581"/>
      <c r="C29" s="3943"/>
      <c r="D29" s="842" t="str">
        <f>IF(E29="","","13º")</f>
        <v>13º</v>
      </c>
      <c r="E29" s="3894" t="str">
        <f>IF(OR(N21&lt;&gt;31,P21&lt;&gt;12),"",IF(BA21=1,"2151","7151"))</f>
        <v>2151</v>
      </c>
      <c r="F29" s="3895"/>
      <c r="G29" s="3896">
        <f>J27</f>
        <v>201.92</v>
      </c>
      <c r="H29" s="3897"/>
      <c r="I29" s="3898"/>
      <c r="J29" s="3899"/>
      <c r="K29" s="3900"/>
      <c r="L29" s="3900"/>
      <c r="M29" s="3900"/>
      <c r="N29" s="3900"/>
      <c r="O29" s="3900"/>
      <c r="P29" s="3900"/>
      <c r="Q29" s="3900"/>
      <c r="R29" s="3900"/>
      <c r="S29" s="3900"/>
      <c r="T29" s="3900"/>
      <c r="U29" s="3900"/>
      <c r="V29" s="3900"/>
      <c r="W29" s="3900"/>
      <c r="X29" s="3900"/>
      <c r="Y29" s="3900"/>
      <c r="Z29" s="3900"/>
      <c r="AA29" s="3900"/>
      <c r="AB29" s="3900"/>
      <c r="AC29" s="3900"/>
      <c r="AD29" s="3900"/>
      <c r="AE29" s="3900"/>
      <c r="AF29" s="3900"/>
      <c r="AG29" s="3901"/>
      <c r="AH29" s="3902">
        <f>IF(E29&lt;&gt;"",G29,IF(AND(E29="",E30&lt;&gt;""),"-",IF(AND(E29="",E30=""),SUM(AH25:AJ27))))</f>
        <v>201.92</v>
      </c>
      <c r="AI29" s="3903"/>
      <c r="AJ29" s="3904"/>
      <c r="AK29" s="582"/>
    </row>
    <row r="30" spans="2:53" ht="15.95" customHeight="1" thickBot="1" x14ac:dyDescent="0.45">
      <c r="B30" s="581"/>
      <c r="C30" s="3944"/>
      <c r="D30" s="847"/>
      <c r="E30" s="3947"/>
      <c r="F30" s="3948"/>
      <c r="G30" s="3910"/>
      <c r="H30" s="3911"/>
      <c r="I30" s="3912"/>
      <c r="J30" s="3949"/>
      <c r="K30" s="3950"/>
      <c r="L30" s="3950"/>
      <c r="M30" s="3950"/>
      <c r="N30" s="3950"/>
      <c r="O30" s="3950"/>
      <c r="P30" s="3950"/>
      <c r="Q30" s="3950"/>
      <c r="R30" s="3950"/>
      <c r="S30" s="3950"/>
      <c r="T30" s="895"/>
      <c r="U30" s="895"/>
      <c r="V30" s="895"/>
      <c r="W30" s="895"/>
      <c r="X30" s="843"/>
      <c r="Y30" s="895"/>
      <c r="Z30" s="895"/>
      <c r="AA30" s="895"/>
      <c r="AB30" s="895"/>
      <c r="AC30" s="895"/>
      <c r="AD30" s="895"/>
      <c r="AE30" s="895"/>
      <c r="AF30" s="895"/>
      <c r="AG30" s="895"/>
      <c r="AH30" s="3902">
        <f>IF(E30&lt;&gt;"",G30,IF(AND(E29="",E30=""),"",IF(AND(E29="",E30&lt;&gt;""),G30,IF(AND(E29&lt;&gt;"",E30=""),SUM(AH25:AJ29)))))</f>
        <v>17001.420000000002</v>
      </c>
      <c r="AI30" s="3903"/>
      <c r="AJ30" s="3904"/>
      <c r="AK30" s="582"/>
      <c r="BA30" s="844">
        <v>1</v>
      </c>
    </row>
    <row r="31" spans="2:53" ht="15.95" customHeight="1" thickBot="1" x14ac:dyDescent="0.45">
      <c r="B31" s="581"/>
      <c r="C31" s="849"/>
      <c r="D31" s="848"/>
      <c r="E31" s="848"/>
      <c r="F31" s="848"/>
      <c r="G31" s="848"/>
      <c r="H31" s="848"/>
      <c r="I31" s="848"/>
      <c r="J31" s="848"/>
      <c r="K31" s="848"/>
      <c r="L31" s="848"/>
      <c r="M31" s="848"/>
      <c r="N31" s="848"/>
      <c r="O31" s="848"/>
      <c r="P31" s="848"/>
      <c r="Q31" s="848"/>
      <c r="R31" s="848"/>
      <c r="S31" s="848"/>
      <c r="T31" s="848"/>
      <c r="U31" s="848"/>
      <c r="V31" s="848"/>
      <c r="W31" s="848"/>
      <c r="X31" s="848"/>
      <c r="Y31" s="848"/>
      <c r="Z31" s="848"/>
      <c r="AA31" s="848"/>
      <c r="AB31" s="848"/>
      <c r="AC31" s="848"/>
      <c r="AD31" s="848"/>
      <c r="AE31" s="848"/>
      <c r="AF31" s="848"/>
      <c r="AG31" s="848"/>
      <c r="AH31" s="3902" t="str">
        <f>IF(AND(G29&lt;&gt;"",G30=""),"",IF(AND(G29="",G30=""),"",SUM(AH25:AJ30)))</f>
        <v/>
      </c>
      <c r="AI31" s="3903"/>
      <c r="AJ31" s="3904"/>
      <c r="AK31" s="582"/>
    </row>
    <row r="32" spans="2:53" ht="5.0999999999999996" customHeight="1" thickBot="1" x14ac:dyDescent="0.45">
      <c r="B32" s="581"/>
      <c r="C32" s="3939"/>
      <c r="D32" s="3940"/>
      <c r="E32" s="3940"/>
      <c r="F32" s="3940"/>
      <c r="G32" s="3940"/>
      <c r="H32" s="3940"/>
      <c r="I32" s="3940"/>
      <c r="J32" s="3940"/>
      <c r="K32" s="3940"/>
      <c r="L32" s="3940"/>
      <c r="M32" s="3940"/>
      <c r="N32" s="3940"/>
      <c r="O32" s="3940"/>
      <c r="P32" s="3940"/>
      <c r="Q32" s="3940"/>
      <c r="R32" s="3940"/>
      <c r="S32" s="3940"/>
      <c r="T32" s="3940"/>
      <c r="U32" s="3940"/>
      <c r="V32" s="3940"/>
      <c r="W32" s="3940"/>
      <c r="X32" s="3940"/>
      <c r="Y32" s="3940"/>
      <c r="Z32" s="3940"/>
      <c r="AA32" s="3940"/>
      <c r="AB32" s="3940"/>
      <c r="AC32" s="3940"/>
      <c r="AD32" s="3940"/>
      <c r="AE32" s="3940"/>
      <c r="AF32" s="3940"/>
      <c r="AG32" s="3940"/>
      <c r="AH32" s="3940"/>
      <c r="AI32" s="3940"/>
      <c r="AJ32" s="3941"/>
      <c r="AK32" s="582"/>
    </row>
    <row r="33" spans="2:37" ht="15.95" customHeight="1" x14ac:dyDescent="0.4">
      <c r="B33" s="581"/>
      <c r="C33" s="4076" t="str">
        <f>IF(BA21=1,"DÉBITO","CRÉDITO")</f>
        <v>DÉBITO</v>
      </c>
      <c r="D33" s="3945"/>
      <c r="E33" s="3921" t="s">
        <v>391</v>
      </c>
      <c r="F33" s="3922"/>
      <c r="G33" s="3925" t="s">
        <v>9391</v>
      </c>
      <c r="H33" s="3926"/>
      <c r="I33" s="3927"/>
      <c r="J33" s="3806" t="str">
        <f>J23</f>
        <v>01/2016</v>
      </c>
      <c r="K33" s="3807"/>
      <c r="L33" s="3806" t="str">
        <f>L23</f>
        <v>02/2016</v>
      </c>
      <c r="M33" s="3807"/>
      <c r="N33" s="3806" t="str">
        <f>N23</f>
        <v>03/2016</v>
      </c>
      <c r="O33" s="3807"/>
      <c r="P33" s="3806" t="str">
        <f>P23</f>
        <v>04/2016</v>
      </c>
      <c r="Q33" s="3807"/>
      <c r="R33" s="3806" t="str">
        <f>R23</f>
        <v>05/2016</v>
      </c>
      <c r="S33" s="3807"/>
      <c r="T33" s="3806" t="str">
        <f>T23</f>
        <v>06/2016</v>
      </c>
      <c r="U33" s="3807"/>
      <c r="V33" s="3806" t="str">
        <f>V23</f>
        <v>07/2016</v>
      </c>
      <c r="W33" s="3807"/>
      <c r="X33" s="3806" t="str">
        <f>X23</f>
        <v>08/2016</v>
      </c>
      <c r="Y33" s="3807"/>
      <c r="Z33" s="3806" t="str">
        <f>Z23</f>
        <v>09/2016</v>
      </c>
      <c r="AA33" s="3807"/>
      <c r="AB33" s="3806" t="str">
        <f>AB23</f>
        <v>10/2016</v>
      </c>
      <c r="AC33" s="3807"/>
      <c r="AD33" s="3806" t="str">
        <f>AD23</f>
        <v>11/2016</v>
      </c>
      <c r="AE33" s="3807"/>
      <c r="AF33" s="3806" t="str">
        <f>AF23</f>
        <v>12/2016</v>
      </c>
      <c r="AG33" s="3807"/>
      <c r="AH33" s="3859" t="s">
        <v>7968</v>
      </c>
      <c r="AI33" s="3860"/>
      <c r="AJ33" s="3861"/>
      <c r="AK33" s="582"/>
    </row>
    <row r="34" spans="2:37" ht="15.95" customHeight="1" thickBot="1" x14ac:dyDescent="0.45">
      <c r="B34" s="581"/>
      <c r="C34" s="4077"/>
      <c r="D34" s="3946"/>
      <c r="E34" s="3923"/>
      <c r="F34" s="3924"/>
      <c r="G34" s="3928"/>
      <c r="H34" s="3929"/>
      <c r="I34" s="3930"/>
      <c r="J34" s="823">
        <f>J24</f>
        <v>30</v>
      </c>
      <c r="K34" s="852" t="str">
        <f>K24</f>
        <v>dias</v>
      </c>
      <c r="L34" s="823">
        <f>L24</f>
        <v>30</v>
      </c>
      <c r="M34" s="852" t="str">
        <f>M24</f>
        <v>dias</v>
      </c>
      <c r="N34" s="823">
        <f>N24</f>
        <v>30</v>
      </c>
      <c r="O34" s="852" t="str">
        <f>O24</f>
        <v>dias</v>
      </c>
      <c r="P34" s="823">
        <f>P24</f>
        <v>30</v>
      </c>
      <c r="Q34" s="852" t="str">
        <f>Q24</f>
        <v>dias</v>
      </c>
      <c r="R34" s="823">
        <f>R24</f>
        <v>30</v>
      </c>
      <c r="S34" s="852" t="str">
        <f>S24</f>
        <v>dias</v>
      </c>
      <c r="T34" s="823">
        <f>T24</f>
        <v>30</v>
      </c>
      <c r="U34" s="852" t="str">
        <f>U24</f>
        <v>dias</v>
      </c>
      <c r="V34" s="823">
        <f>V24</f>
        <v>30</v>
      </c>
      <c r="W34" s="852" t="str">
        <f>W24</f>
        <v>dias</v>
      </c>
      <c r="X34" s="823">
        <f>X24</f>
        <v>30</v>
      </c>
      <c r="Y34" s="852" t="str">
        <f>Y24</f>
        <v>dias</v>
      </c>
      <c r="Z34" s="823">
        <f>Z24</f>
        <v>30</v>
      </c>
      <c r="AA34" s="852" t="str">
        <f>AA24</f>
        <v>dias</v>
      </c>
      <c r="AB34" s="823">
        <f>AB24</f>
        <v>30</v>
      </c>
      <c r="AC34" s="852" t="str">
        <f>AC24</f>
        <v>dias</v>
      </c>
      <c r="AD34" s="823">
        <f>AD24</f>
        <v>30</v>
      </c>
      <c r="AE34" s="852" t="str">
        <f>AE24</f>
        <v>dias</v>
      </c>
      <c r="AF34" s="823">
        <f>AF24</f>
        <v>30</v>
      </c>
      <c r="AG34" s="852" t="str">
        <f>AG24</f>
        <v>dias</v>
      </c>
      <c r="AH34" s="3862" t="s">
        <v>8186</v>
      </c>
      <c r="AI34" s="3863"/>
      <c r="AJ34" s="3864"/>
      <c r="AK34" s="582"/>
    </row>
    <row r="35" spans="2:37" ht="15.95" customHeight="1" x14ac:dyDescent="0.4">
      <c r="B35" s="581"/>
      <c r="C35" s="4077"/>
      <c r="D35" s="3946"/>
      <c r="E35" s="3869">
        <v>7832</v>
      </c>
      <c r="F35" s="3870"/>
      <c r="G35" s="3804" t="s">
        <v>8057</v>
      </c>
      <c r="H35" s="3805"/>
      <c r="I35" s="3805"/>
      <c r="J35" s="3781">
        <v>42.18</v>
      </c>
      <c r="K35" s="3782"/>
      <c r="L35" s="3781">
        <v>42.18</v>
      </c>
      <c r="M35" s="3782"/>
      <c r="N35" s="3781">
        <v>42.18</v>
      </c>
      <c r="O35" s="3782"/>
      <c r="P35" s="3781">
        <v>39.53</v>
      </c>
      <c r="Q35" s="3782"/>
      <c r="R35" s="3781">
        <v>36.65</v>
      </c>
      <c r="S35" s="3782"/>
      <c r="T35" s="3781">
        <v>36.65</v>
      </c>
      <c r="U35" s="3782"/>
      <c r="V35" s="3781">
        <v>36.65</v>
      </c>
      <c r="W35" s="3782"/>
      <c r="X35" s="3781">
        <v>18.04</v>
      </c>
      <c r="Y35" s="3782"/>
      <c r="Z35" s="3781">
        <v>18.04</v>
      </c>
      <c r="AA35" s="3782"/>
      <c r="AB35" s="3781">
        <v>18.04</v>
      </c>
      <c r="AC35" s="3782"/>
      <c r="AD35" s="3781">
        <v>18.04</v>
      </c>
      <c r="AE35" s="3782"/>
      <c r="AF35" s="3781">
        <v>18.04</v>
      </c>
      <c r="AG35" s="3782"/>
      <c r="AH35" s="3918">
        <f>IF(G35="","-",SUM(J35:AG35))</f>
        <v>366.22000000000008</v>
      </c>
      <c r="AI35" s="3919"/>
      <c r="AJ35" s="3920"/>
      <c r="AK35" s="582"/>
    </row>
    <row r="36" spans="2:37" ht="15.95" customHeight="1" x14ac:dyDescent="0.4">
      <c r="B36" s="581"/>
      <c r="C36" s="4077"/>
      <c r="D36" s="3946"/>
      <c r="E36" s="3892"/>
      <c r="F36" s="3893"/>
      <c r="G36" s="3865"/>
      <c r="H36" s="3866"/>
      <c r="I36" s="3866"/>
      <c r="J36" s="3867"/>
      <c r="K36" s="3868"/>
      <c r="L36" s="3867"/>
      <c r="M36" s="3868"/>
      <c r="N36" s="3867"/>
      <c r="O36" s="3868"/>
      <c r="P36" s="3867"/>
      <c r="Q36" s="3868"/>
      <c r="R36" s="3867"/>
      <c r="S36" s="3868"/>
      <c r="T36" s="3867"/>
      <c r="U36" s="3868"/>
      <c r="V36" s="3867"/>
      <c r="W36" s="3868"/>
      <c r="X36" s="3867"/>
      <c r="Y36" s="3868"/>
      <c r="Z36" s="3867"/>
      <c r="AA36" s="3868"/>
      <c r="AB36" s="3867"/>
      <c r="AC36" s="3868"/>
      <c r="AD36" s="3867"/>
      <c r="AE36" s="3868"/>
      <c r="AF36" s="3867"/>
      <c r="AG36" s="3868"/>
      <c r="AH36" s="3918" t="str">
        <f>IF(G36="","-",SUM(J36:AG36))</f>
        <v>-</v>
      </c>
      <c r="AI36" s="3919"/>
      <c r="AJ36" s="3920"/>
      <c r="AK36" s="582"/>
    </row>
    <row r="37" spans="2:37" ht="15.95" customHeight="1" thickBot="1" x14ac:dyDescent="0.45">
      <c r="B37" s="581"/>
      <c r="C37" s="4077"/>
      <c r="D37" s="4079"/>
      <c r="E37" s="3892"/>
      <c r="F37" s="3893"/>
      <c r="G37" s="3916"/>
      <c r="H37" s="3917"/>
      <c r="I37" s="3917"/>
      <c r="J37" s="3867" t="str">
        <f>IF(OR(J33="",G37=""),"",(G37/30)*J34)</f>
        <v/>
      </c>
      <c r="K37" s="3868"/>
      <c r="L37" s="3867" t="str">
        <f>IF(OR(L33="",G37=""),"",(G37/30)*L34)</f>
        <v/>
      </c>
      <c r="M37" s="3868"/>
      <c r="N37" s="3867" t="str">
        <f>IF(OR(N33="",G37=""),"",(G37/30)*N34)</f>
        <v/>
      </c>
      <c r="O37" s="3868"/>
      <c r="P37" s="3867" t="str">
        <f>IF(OR(P33="",G37=""),"",(G37/30)*P34)</f>
        <v/>
      </c>
      <c r="Q37" s="3868"/>
      <c r="R37" s="3867" t="str">
        <f>IF(OR(R33="",G37=""),"",(G37/30)*R34)</f>
        <v/>
      </c>
      <c r="S37" s="3868"/>
      <c r="T37" s="3867" t="str">
        <f>IF(OR(T33="",G37=""),"",(G37/30)*T34)</f>
        <v/>
      </c>
      <c r="U37" s="3868"/>
      <c r="V37" s="3867" t="str">
        <f>IF(OR(V33="",G37=""),"",(G37/30)*V34)</f>
        <v/>
      </c>
      <c r="W37" s="3868"/>
      <c r="X37" s="3867" t="str">
        <f>IF(OR(X33="",G37=""),"",(G37/30)*X34)</f>
        <v/>
      </c>
      <c r="Y37" s="3868"/>
      <c r="Z37" s="3867" t="str">
        <f>IF(OR(Z33="",G37=""),"",(G37/30)*Z34)</f>
        <v/>
      </c>
      <c r="AA37" s="3868"/>
      <c r="AB37" s="3867" t="str">
        <f>IF(OR(AB33="",G37=""),"",(G37/30)*AB34)</f>
        <v/>
      </c>
      <c r="AC37" s="3868"/>
      <c r="AD37" s="3867" t="str">
        <f>IF(OR(AD33="",G37=""),"",(G37/30)*AD34)</f>
        <v/>
      </c>
      <c r="AE37" s="3868"/>
      <c r="AF37" s="3867" t="str">
        <f>IF(OR(AF33="",G37=""),"",(G37/30)*AF34)</f>
        <v/>
      </c>
      <c r="AG37" s="3868"/>
      <c r="AH37" s="3918" t="str">
        <f>IF(G37="","-",SUM(J37:AG37))</f>
        <v>-</v>
      </c>
      <c r="AI37" s="3919"/>
      <c r="AJ37" s="3920"/>
      <c r="AK37" s="615" t="e">
        <f>IF(AH37="",0,ROUND(AH37,2))</f>
        <v>#VALUE!</v>
      </c>
    </row>
    <row r="38" spans="2:37" ht="15.95" customHeight="1" thickBot="1" x14ac:dyDescent="0.45">
      <c r="B38" s="581"/>
      <c r="C38" s="4077"/>
      <c r="D38" s="850"/>
      <c r="E38" s="3908"/>
      <c r="F38" s="3909"/>
      <c r="G38" s="3913"/>
      <c r="H38" s="3914"/>
      <c r="I38" s="3915"/>
      <c r="J38" s="851"/>
      <c r="K38" s="851"/>
      <c r="L38" s="851"/>
      <c r="M38" s="851"/>
      <c r="N38" s="851"/>
      <c r="O38" s="851"/>
      <c r="P38" s="851"/>
      <c r="Q38" s="851"/>
      <c r="R38" s="851"/>
      <c r="S38" s="851"/>
      <c r="T38" s="851"/>
      <c r="U38" s="851"/>
      <c r="V38" s="851"/>
      <c r="W38" s="851"/>
      <c r="X38" s="851"/>
      <c r="Y38" s="851"/>
      <c r="Z38" s="851"/>
      <c r="AA38" s="851"/>
      <c r="AB38" s="851"/>
      <c r="AC38" s="851"/>
      <c r="AD38" s="851"/>
      <c r="AE38" s="851"/>
      <c r="AF38" s="851"/>
      <c r="AG38" s="851"/>
      <c r="AH38" s="3905" t="str">
        <f>IF(AND(E39="",E40=""),SUM(AH35:AJ37),"-")</f>
        <v>-</v>
      </c>
      <c r="AI38" s="3906"/>
      <c r="AJ38" s="3907"/>
      <c r="AK38" s="582"/>
    </row>
    <row r="39" spans="2:37" ht="15.95" customHeight="1" thickBot="1" x14ac:dyDescent="0.45">
      <c r="B39" s="581"/>
      <c r="C39" s="4077"/>
      <c r="D39" s="842" t="s">
        <v>9405</v>
      </c>
      <c r="E39" s="3894">
        <v>7932</v>
      </c>
      <c r="F39" s="3895"/>
      <c r="G39" s="3902">
        <v>18.04</v>
      </c>
      <c r="H39" s="3903"/>
      <c r="I39" s="3904"/>
      <c r="J39" s="3899"/>
      <c r="K39" s="3900"/>
      <c r="L39" s="3900"/>
      <c r="M39" s="3900"/>
      <c r="N39" s="3900"/>
      <c r="O39" s="3900"/>
      <c r="P39" s="3900"/>
      <c r="Q39" s="3900"/>
      <c r="R39" s="3900"/>
      <c r="S39" s="3900"/>
      <c r="T39" s="3900"/>
      <c r="U39" s="3900"/>
      <c r="V39" s="3900"/>
      <c r="W39" s="3900"/>
      <c r="X39" s="3900"/>
      <c r="Y39" s="3900"/>
      <c r="Z39" s="3900"/>
      <c r="AA39" s="3900"/>
      <c r="AB39" s="3900"/>
      <c r="AC39" s="3900"/>
      <c r="AD39" s="3900"/>
      <c r="AE39" s="3900"/>
      <c r="AF39" s="3900"/>
      <c r="AG39" s="3901"/>
      <c r="AH39" s="3902">
        <f>IF(E39&lt;&gt;"",G39,IF(AND(E39="",E40&lt;&gt;""),"-",IF(AND(E39="",E40=""),SUM(AH35:AJ37))))</f>
        <v>18.04</v>
      </c>
      <c r="AI39" s="3903"/>
      <c r="AJ39" s="3904"/>
      <c r="AK39" s="582"/>
    </row>
    <row r="40" spans="2:37" ht="15.95" customHeight="1" thickBot="1" x14ac:dyDescent="0.45">
      <c r="B40" s="581"/>
      <c r="C40" s="4078"/>
      <c r="D40" s="847"/>
      <c r="E40" s="4080"/>
      <c r="F40" s="4081"/>
      <c r="G40" s="4082" t="str">
        <f>IF(E40="","",G38/3)</f>
        <v/>
      </c>
      <c r="H40" s="4083"/>
      <c r="I40" s="4084"/>
      <c r="J40" s="3949"/>
      <c r="K40" s="3950"/>
      <c r="L40" s="3950"/>
      <c r="M40" s="3950"/>
      <c r="N40" s="3950"/>
      <c r="O40" s="3950"/>
      <c r="P40" s="3950"/>
      <c r="Q40" s="3950"/>
      <c r="R40" s="3950"/>
      <c r="S40" s="3950"/>
      <c r="T40" s="895"/>
      <c r="U40" s="895"/>
      <c r="V40" s="895"/>
      <c r="W40" s="895"/>
      <c r="X40" s="843"/>
      <c r="Y40" s="895"/>
      <c r="Z40" s="895"/>
      <c r="AA40" s="895"/>
      <c r="AB40" s="895"/>
      <c r="AC40" s="895"/>
      <c r="AD40" s="895"/>
      <c r="AE40" s="895"/>
      <c r="AF40" s="895"/>
      <c r="AG40" s="895"/>
      <c r="AH40" s="3902">
        <f>IF(E40&lt;&gt;"",G40,IF(AND(E39="",E40=""),"",IF(AND(E39="",E40&lt;&gt;""),G40,IF(AND(E39&lt;&gt;"",E40=""),SUM(AH35:AJ39)))))</f>
        <v>384.2600000000001</v>
      </c>
      <c r="AI40" s="3903"/>
      <c r="AJ40" s="3904"/>
      <c r="AK40" s="582"/>
    </row>
    <row r="41" spans="2:37" ht="15.95" customHeight="1" thickBot="1" x14ac:dyDescent="0.45">
      <c r="B41" s="581"/>
      <c r="C41" s="849"/>
      <c r="D41" s="848"/>
      <c r="E41" s="848"/>
      <c r="F41" s="848"/>
      <c r="G41" s="848"/>
      <c r="H41" s="848"/>
      <c r="I41" s="848"/>
      <c r="J41" s="848"/>
      <c r="K41" s="848"/>
      <c r="L41" s="848"/>
      <c r="M41" s="848"/>
      <c r="N41" s="848"/>
      <c r="O41" s="848"/>
      <c r="P41" s="848"/>
      <c r="Q41" s="848"/>
      <c r="R41" s="848"/>
      <c r="S41" s="848"/>
      <c r="T41" s="848"/>
      <c r="U41" s="848"/>
      <c r="V41" s="848"/>
      <c r="W41" s="848"/>
      <c r="X41" s="848"/>
      <c r="Y41" s="848"/>
      <c r="Z41" s="848"/>
      <c r="AA41" s="848"/>
      <c r="AB41" s="848"/>
      <c r="AC41" s="848"/>
      <c r="AD41" s="848"/>
      <c r="AE41" s="848"/>
      <c r="AF41" s="848"/>
      <c r="AG41" s="848"/>
      <c r="AH41" s="3902" t="str">
        <f>IF(AND(G39&lt;&gt;"",G40=""),"",IF(AND(G39="",G40=""),"",SUM(AH35:AJ40)))</f>
        <v/>
      </c>
      <c r="AI41" s="3903"/>
      <c r="AJ41" s="3904"/>
      <c r="AK41" s="582"/>
    </row>
    <row r="42" spans="2:37" ht="15.95" customHeight="1" thickBot="1" x14ac:dyDescent="0.45">
      <c r="B42" s="581"/>
      <c r="C42" s="3965" t="str">
        <f>IF(F35&lt;1,"",IF(OR(F36&lt;&gt;31,H36&lt;&gt;12),"",IF(AI36=2,"0632","7932")))</f>
        <v/>
      </c>
      <c r="D42" s="3966"/>
      <c r="E42" s="825"/>
      <c r="F42" s="826" t="str">
        <f>IF(C42="","",3.2%)</f>
        <v/>
      </c>
      <c r="G42" s="3967" t="str">
        <f>IF(C42="","",G39*F42)</f>
        <v/>
      </c>
      <c r="H42" s="3967"/>
      <c r="I42" s="3967"/>
      <c r="J42" s="3968">
        <f>IF(G42="",0,ROUND(G42,2))</f>
        <v>0</v>
      </c>
      <c r="K42" s="3969"/>
      <c r="L42" s="3969"/>
      <c r="M42" s="3969"/>
      <c r="N42" s="3969"/>
      <c r="O42" s="3969"/>
      <c r="P42" s="3969"/>
      <c r="Q42" s="3969"/>
      <c r="R42" s="3969"/>
      <c r="S42" s="3969"/>
      <c r="T42" s="3969"/>
      <c r="U42" s="3969"/>
      <c r="V42" s="3969"/>
      <c r="W42" s="3969"/>
      <c r="X42" s="3969"/>
      <c r="Y42" s="3969"/>
      <c r="Z42" s="3969"/>
      <c r="AA42" s="3969"/>
      <c r="AB42" s="3969"/>
      <c r="AC42" s="3969"/>
      <c r="AD42" s="3969"/>
      <c r="AE42" s="3969"/>
      <c r="AF42" s="3969"/>
      <c r="AG42" s="3969"/>
      <c r="AH42" s="3969"/>
      <c r="AI42" s="3969"/>
      <c r="AJ42" s="3970"/>
      <c r="AK42" s="582"/>
    </row>
    <row r="43" spans="2:37" ht="15.95" customHeight="1" thickBot="1" x14ac:dyDescent="0.45">
      <c r="B43" s="581"/>
      <c r="C43" s="3971"/>
      <c r="D43" s="3972"/>
      <c r="E43" s="3972"/>
      <c r="F43" s="3972"/>
      <c r="G43" s="3972"/>
      <c r="H43" s="3972"/>
      <c r="I43" s="3972"/>
      <c r="J43" s="3972"/>
      <c r="K43" s="3972"/>
      <c r="L43" s="3972"/>
      <c r="M43" s="3972"/>
      <c r="N43" s="3972"/>
      <c r="O43" s="3972"/>
      <c r="P43" s="3972"/>
      <c r="Q43" s="3972"/>
      <c r="R43" s="3972"/>
      <c r="S43" s="3972"/>
      <c r="T43" s="3972"/>
      <c r="U43" s="3972"/>
      <c r="V43" s="3972"/>
      <c r="W43" s="3972"/>
      <c r="X43" s="3972"/>
      <c r="Y43" s="3972"/>
      <c r="Z43" s="3972"/>
      <c r="AA43" s="3972"/>
      <c r="AB43" s="3972"/>
      <c r="AC43" s="3972"/>
      <c r="AD43" s="3972"/>
      <c r="AE43" s="3972"/>
      <c r="AF43" s="3972"/>
      <c r="AG43" s="3972"/>
      <c r="AH43" s="3972"/>
      <c r="AI43" s="3972"/>
      <c r="AJ43" s="3973"/>
      <c r="AK43" s="582"/>
    </row>
    <row r="44" spans="2:37" ht="15.95" customHeight="1" x14ac:dyDescent="0.4">
      <c r="B44" s="581"/>
      <c r="C44" s="3974" t="s">
        <v>8187</v>
      </c>
      <c r="D44" s="3975"/>
      <c r="E44" s="3975"/>
      <c r="F44" s="902">
        <v>30</v>
      </c>
      <c r="G44" s="819" t="s">
        <v>339</v>
      </c>
      <c r="H44" s="903">
        <v>6</v>
      </c>
      <c r="I44" s="819" t="s">
        <v>339</v>
      </c>
      <c r="J44" s="3976">
        <v>2010</v>
      </c>
      <c r="K44" s="3977"/>
      <c r="L44" s="820" t="s">
        <v>8174</v>
      </c>
      <c r="M44" s="827" t="str">
        <f>IF(F44&gt;0,L21,"")</f>
        <v>até</v>
      </c>
      <c r="N44" s="3978" t="s">
        <v>8175</v>
      </c>
      <c r="O44" s="3978"/>
      <c r="P44" s="3979" t="s">
        <v>8176</v>
      </c>
      <c r="Q44" s="3979"/>
      <c r="R44" s="3979"/>
      <c r="S44" s="3979"/>
      <c r="T44" s="3980" t="s">
        <v>8194</v>
      </c>
      <c r="U44" s="3980"/>
      <c r="V44" s="3980"/>
      <c r="W44" s="3981" t="s">
        <v>407</v>
      </c>
      <c r="X44" s="3981"/>
      <c r="Y44" s="3981"/>
      <c r="Z44" s="3981"/>
      <c r="AA44" s="3982">
        <v>733.93</v>
      </c>
      <c r="AB44" s="3982"/>
      <c r="AC44" s="3982"/>
      <c r="AD44" s="3983"/>
      <c r="AE44" s="3984" t="s">
        <v>8177</v>
      </c>
      <c r="AF44" s="3985"/>
      <c r="AG44" s="3986" t="e">
        <f>IF(F44&gt;0,AA44/L45,"")</f>
        <v>#REF!</v>
      </c>
      <c r="AH44" s="3987"/>
      <c r="AI44" s="3987"/>
      <c r="AJ44" s="3988"/>
      <c r="AK44" s="582"/>
    </row>
    <row r="45" spans="2:37" ht="15.95" customHeight="1" x14ac:dyDescent="0.4">
      <c r="B45" s="581"/>
      <c r="C45" s="3951" t="s">
        <v>8180</v>
      </c>
      <c r="D45" s="3952"/>
      <c r="E45" s="3952"/>
      <c r="F45" s="904">
        <v>31</v>
      </c>
      <c r="G45" s="821" t="s">
        <v>339</v>
      </c>
      <c r="H45" s="905">
        <v>12</v>
      </c>
      <c r="I45" s="821" t="s">
        <v>339</v>
      </c>
      <c r="J45" s="3953">
        <v>2010</v>
      </c>
      <c r="K45" s="3954"/>
      <c r="L45" s="3955" t="e">
        <f>IF(F44&gt;0,#REF!,"")</f>
        <v>#REF!</v>
      </c>
      <c r="M45" s="3956"/>
      <c r="N45" s="3957" t="s">
        <v>8181</v>
      </c>
      <c r="O45" s="3958"/>
      <c r="P45" s="3959" t="s">
        <v>8182</v>
      </c>
      <c r="Q45" s="3959"/>
      <c r="R45" s="3959"/>
      <c r="S45" s="3959"/>
      <c r="T45" s="3959"/>
      <c r="U45" s="3959"/>
      <c r="V45" s="3959"/>
      <c r="W45" s="3960"/>
      <c r="X45" s="3961" t="e">
        <f>IF(F44&gt;0,#REF!,"")</f>
        <v>#REF!</v>
      </c>
      <c r="Y45" s="3962"/>
      <c r="Z45" s="3963"/>
      <c r="AA45" s="3964"/>
      <c r="AB45" s="3964"/>
      <c r="AC45" s="3964"/>
      <c r="AD45" s="3964"/>
      <c r="AE45" s="3964"/>
      <c r="AF45" s="3964"/>
      <c r="AG45" s="3964"/>
      <c r="AH45" s="3964"/>
      <c r="AI45" s="822" t="e">
        <f>IF(F44&gt;0,#REF!,"")</f>
        <v>#REF!</v>
      </c>
      <c r="AJ45" s="828"/>
      <c r="AK45" s="582"/>
    </row>
    <row r="46" spans="2:37" ht="15.95" customHeight="1" thickBot="1" x14ac:dyDescent="0.45">
      <c r="B46" s="581"/>
      <c r="C46" s="3939"/>
      <c r="D46" s="3940"/>
      <c r="E46" s="3940"/>
      <c r="F46" s="3940"/>
      <c r="G46" s="3940"/>
      <c r="H46" s="3940"/>
      <c r="I46" s="3940"/>
      <c r="J46" s="3940"/>
      <c r="K46" s="3940"/>
      <c r="L46" s="3940"/>
      <c r="M46" s="3940"/>
      <c r="N46" s="3940"/>
      <c r="O46" s="3940"/>
      <c r="P46" s="3940"/>
      <c r="Q46" s="3940"/>
      <c r="R46" s="3940"/>
      <c r="S46" s="3940"/>
      <c r="T46" s="3940"/>
      <c r="U46" s="3940"/>
      <c r="V46" s="3940"/>
      <c r="W46" s="3940"/>
      <c r="X46" s="3940"/>
      <c r="Y46" s="3940"/>
      <c r="Z46" s="3940"/>
      <c r="AA46" s="3940"/>
      <c r="AB46" s="3940"/>
      <c r="AC46" s="3940"/>
      <c r="AD46" s="3940"/>
      <c r="AE46" s="3940"/>
      <c r="AF46" s="3940"/>
      <c r="AG46" s="3940"/>
      <c r="AH46" s="3940"/>
      <c r="AI46" s="3940"/>
      <c r="AJ46" s="3941"/>
      <c r="AK46" s="582"/>
    </row>
    <row r="47" spans="2:37" ht="15.95" customHeight="1" x14ac:dyDescent="0.4">
      <c r="B47" s="581"/>
      <c r="C47" s="3098" t="s">
        <v>391</v>
      </c>
      <c r="D47" s="3099"/>
      <c r="E47" s="3102" t="s">
        <v>8183</v>
      </c>
      <c r="F47" s="3102" t="s">
        <v>8055</v>
      </c>
      <c r="G47" s="3989" t="s">
        <v>8184</v>
      </c>
      <c r="H47" s="3990"/>
      <c r="I47" s="3990"/>
      <c r="J47" s="3806" t="str">
        <f>IF(H44=1,"01/"&amp;J44,"")</f>
        <v/>
      </c>
      <c r="K47" s="3807"/>
      <c r="L47" s="3806" t="str">
        <f>IF(F44="","",IF(H44=2,"02/"&amp;J44,IF(AND(J47&lt;&gt;"",H45&gt;1),"02/"&amp;J44,IF(AND(H44=1,H45=1),"",IF(H44&gt;2,"")))))</f>
        <v/>
      </c>
      <c r="M47" s="3807"/>
      <c r="N47" s="3806" t="str">
        <f>IF(F44="","",IF(H44=3,"03/"&amp;J44,IF(OR(H44&gt;3,H45&lt;3),"",IF(AND(L47&lt;&gt;"",H45&gt;2),"03/"&amp;J44,IF(AND(H44=2,H45=2),"")))))</f>
        <v/>
      </c>
      <c r="O47" s="3807"/>
      <c r="P47" s="3806" t="str">
        <f>IF(F44="","",IF(H44=4,"04/"&amp;J44,IF(OR(H44&gt;4,H45&lt;4),"",IF(AND(N47&lt;&gt;"",H45&gt;3),"04/"&amp;J44,IF(AND(H44=3,H45=3),"")))))</f>
        <v/>
      </c>
      <c r="Q47" s="3807"/>
      <c r="R47" s="3806" t="str">
        <f>IF(F44="","",IF(H44=5,"05/"&amp;J44,IF(OR(H44&gt;5,H45&lt;5),"",IF(AND(P47&lt;&gt;"",H45&gt;4),"05/"&amp;J44,IF(AND(H44=4,H45=4),"")))))</f>
        <v/>
      </c>
      <c r="S47" s="3807"/>
      <c r="T47" s="3806" t="str">
        <f>IF(F44="","",IF(H44=6,"06/"&amp;J44,IF(OR(H44&gt;6,H45&lt;6),"",IF(AND(R47&lt;&gt;"",H45&gt;5),"06/"&amp;J44,IF(AND(H44=5,H45=5),"")))))</f>
        <v>06/2010</v>
      </c>
      <c r="U47" s="3807"/>
      <c r="V47" s="3806" t="str">
        <f>IF(F44="","",IF(H44=7,"07/"&amp;J44,IF(OR(H44&gt;7,H45&lt;7),"",IF(AND(T47&lt;&gt;"",H45&gt;6),"07/"&amp;J44,IF(AND(H44=6,H45=6),"")))))</f>
        <v>07/2010</v>
      </c>
      <c r="W47" s="3807"/>
      <c r="X47" s="3806" t="str">
        <f>IF(F44="","",IF(H44=8,"08/"&amp;J44,IF(OR(H44&gt;8,H45&lt;8),"",IF(AND(V47&lt;&gt;"",H45&gt;7),"08/"&amp;J44,IF(AND(H44=7,H45=7),"")))))</f>
        <v>08/2010</v>
      </c>
      <c r="Y47" s="3807"/>
      <c r="Z47" s="3806" t="str">
        <f>IF(F44="","",IF(H44=9,"09/"&amp;J44,IF(OR(H44&gt;9,H45&lt;9),"",IF(AND(X47&lt;&gt;"",H45&gt;8),"09/"&amp;J44,IF(AND(H44=8,H45=8),"")))))</f>
        <v>09/2010</v>
      </c>
      <c r="AA47" s="3807"/>
      <c r="AB47" s="3806" t="str">
        <f>IF(F44="","",IF(H44=10,"10/"&amp;J44,IF(OR(H44&gt;10,H45&lt;10),"",IF(AND(Z47&lt;&gt;"",H45&gt;9),"10/"&amp;J44,IF(AND(H44=9,H45=9),"")))))</f>
        <v>10/2010</v>
      </c>
      <c r="AC47" s="3807"/>
      <c r="AD47" s="3806" t="str">
        <f>IF(F44="","",IF(H44=11,"11/"&amp;J44,IF(OR(H44&gt;11,H45&lt;11),"",IF(AND(AB47&lt;&gt;"",H45&gt;10),"11/"&amp;J44,IF(AND(H44=10,H45=10),"")))))</f>
        <v>11/2010</v>
      </c>
      <c r="AE47" s="3807"/>
      <c r="AF47" s="3806" t="str">
        <f>IF(F44="","",IF(H44=12,"12/"&amp;J44,IF(OR(H44&gt;12,H45&lt;12),"",IF(AND(AD47&lt;&gt;"",H45&gt;11),"12/"&amp;J44,IF(AND(H44=11,H45=11),"")))))</f>
        <v>12/2010</v>
      </c>
      <c r="AG47" s="3807"/>
      <c r="AH47" s="3859" t="s">
        <v>7968</v>
      </c>
      <c r="AI47" s="3860"/>
      <c r="AJ47" s="3861"/>
      <c r="AK47" s="582"/>
    </row>
    <row r="48" spans="2:37" ht="15.95" customHeight="1" thickBot="1" x14ac:dyDescent="0.45">
      <c r="B48" s="581"/>
      <c r="C48" s="3100"/>
      <c r="D48" s="3101"/>
      <c r="E48" s="3103"/>
      <c r="F48" s="3103"/>
      <c r="G48" s="3991" t="s">
        <v>8185</v>
      </c>
      <c r="H48" s="3992"/>
      <c r="I48" s="3992"/>
      <c r="J48" s="823" t="str">
        <f>IF(J47="","",IF(AND(H44=1,F44=31),1,IF(AND(H44&lt;1,H45=1),F45,IF(AND(H44=1,H45=1,F45=31),31-F44,IF(AND(H44=1,H45=1,F45&lt;&gt;31),F45-F44+1,IF(AND(H44=1,H45&gt;1),31-F44,IF(AND(H44&lt;1,H45&gt;1),30,)))))))</f>
        <v/>
      </c>
      <c r="K48" s="593" t="str">
        <f>IF(J48="","","dias")</f>
        <v/>
      </c>
      <c r="L48" s="823" t="str">
        <f>IF(L47="","",IF(AND(H44&lt;2,H45&gt;2),30,IF(AND(H45&gt;2,H44=2),31-F44,IF(AND(H44&lt;2,H45=2),F45,IF(AND(H44=2,H45=2),F45-F44+1,IF(AND(H44=2,F44=28),1,IF(AND(H44=2,F44=29),1,IF(AND(H44=2,H45=2,F45=28),31-F44,IF(AND(H44=2,H45=2,F45=29),31-F44,IF(AND(H44=2,H45=2,F45&lt;28),F45-F44+1))))))))))</f>
        <v/>
      </c>
      <c r="M48" s="593" t="str">
        <f>IF(L48="","","dias")</f>
        <v/>
      </c>
      <c r="N48" s="823" t="str">
        <f>IF(N47="","",IF(AND(H44=3,F44=31),1,IF(AND(H44&lt;3,H45=3,F45=31),30,IF(AND(H44&lt;3,H45=3,F45&lt;31),F45,IF(AND(H44=3,H45=3,F45=31),31-F44,IF(AND(H44=3,H45=3,F45&lt;&gt;31),F45-F44+1,IF(AND(H44=3,H45&gt;3),31-F44,IF(AND(H44&lt;3,H45&gt;3),30,))))))))</f>
        <v/>
      </c>
      <c r="O48" s="593" t="str">
        <f>IF(N48="","","dias")</f>
        <v/>
      </c>
      <c r="P48" s="823" t="str">
        <f>IF(P47="","",IF(AND(H44=4,F44=30),1,IF(AND(H44&lt;4,H45=4,F45=31),30,IF(AND(H44&lt;4,H45=4,F45&lt;31),F45,IF(AND(H44=4,H45=4,F45=31),31-F44,IF(AND(H44=4,H45=4,F45&lt;&gt;31),F45-F44+1,IF(AND(H44=4,H45&gt;4),31-F44,IF(AND(H44&lt;4,H45&gt;4),30,))))))))</f>
        <v/>
      </c>
      <c r="Q48" s="593" t="str">
        <f>IF(P48="","","dias")</f>
        <v/>
      </c>
      <c r="R48" s="823" t="str">
        <f>IF(R47="","",IF(AND(H44=5,F44=31),1,IF(AND(H44&lt;5,H45=5,F45=31),30,IF(AND(H44&lt;5,H45=5,F45&lt;31),F45,IF(AND(H44=5,H45=5,F45=31),31-F44,IF(AND(H44=5,H45=5,F45&lt;&gt;31),F45-F44+1,IF(AND(H44=5,H45&gt;5),31-F44,IF(AND(H44&lt;5,H45&gt;5),30,))))))))</f>
        <v/>
      </c>
      <c r="S48" s="593" t="str">
        <f>IF(R48="","","dias")</f>
        <v/>
      </c>
      <c r="T48" s="823">
        <f>IF(T47="","",IF(AND(H44=6,F44=30),1,IF(AND(H44&lt;6,H45=6,F45=31),30,IF(AND(H44&lt;6,H45=6,F45&lt;31),F45,IF(AND(H44=6,H45=6,F45=31),31-F44,IF(AND(H44=6,H45=6,F45&lt;&gt;31),F45-F44+1,IF(AND(H44=6,H45&gt;6),31-F44,IF(AND(H44&lt;6,H45&gt;6),30,))))))))</f>
        <v>1</v>
      </c>
      <c r="U48" s="593" t="str">
        <f>IF(T48="","","dias")</f>
        <v>dias</v>
      </c>
      <c r="V48" s="823">
        <f>IF(V47="","",IF(AND(H44=6,F44=31),1,IF(AND(H44&lt;7,H45=7,F45=31),30,IF(AND(H44&lt;7,H45=7,F45&lt;31),F45,IF(AND(H44=7,H45=7,F45=31),31-F44,IF(AND(H44=7,H45=7,F45&lt;&gt;31),F45-F44+1,IF(AND(H44=7,H45&gt;7),31-F44,IF(AND(H44&lt;7,H45&gt;7),30,))))))))</f>
        <v>30</v>
      </c>
      <c r="W48" s="593" t="str">
        <f>IF(V48="","","dias")</f>
        <v>dias</v>
      </c>
      <c r="X48" s="823">
        <f>IF(X47="","",IF(AND(H44=8,F44=31),1,IF(AND(H44&lt;8,H45=8,F45=31),30,IF(AND(H44&lt;8,H45=8,F45&lt;31),F45,IF(AND(H44=8,H45=8,F45=31),31-F44,IF(AND(H44=8,H45=8,F45&lt;&gt;31),F45-F44+1,IF(AND(H44=8,H45&gt;8),31-F44,IF(AND(H44&lt;8,H45&gt;8),30,))))))))</f>
        <v>30</v>
      </c>
      <c r="Y48" s="593" t="str">
        <f>IF(X48="","","dias")</f>
        <v>dias</v>
      </c>
      <c r="Z48" s="823">
        <f>IF(Z47="","",IF(AND(H44=9,F44=30),1,IF(AND(H44&lt;9,H45=9,F45=31),30,IF(AND(H44&lt;9,H45=9,F45&lt;31),F45,IF(AND(H44=9,H45=9,F45=31),31-F44,IF(AND(H44=9,H45=9,F45&lt;&gt;31),F45-F44+1,IF(AND(H44=9,H45&gt;9),31-F44,IF(AND(H44&lt;9,H45&gt;9),30,))))))))</f>
        <v>30</v>
      </c>
      <c r="AA48" s="593" t="str">
        <f>IF(Z48="","","dias")</f>
        <v>dias</v>
      </c>
      <c r="AB48" s="823">
        <f>IF(AB47="","",IF(AND(H44=10,F44=31),1,IF(AND(H44&lt;10,H45=10,F45=31),30,IF(AND(H44&lt;10,H45=10,F45&lt;31),F45,IF(AND(H44=10,H45=10,F45=31),31-F44,IF(AND(H44=10,H45=10,F45&lt;&gt;31),F45-F44+1,IF(AND(H44=10,H45&gt;10),31-F44,IF(AND(H44&lt;10,H45&gt;10),30,))))))))</f>
        <v>30</v>
      </c>
      <c r="AC48" s="593" t="str">
        <f>IF(AB48="","","dias")</f>
        <v>dias</v>
      </c>
      <c r="AD48" s="823">
        <f>IF(AD47="","",IF(AND(H44=11,F44=30),1,IF(AND(H44&lt;11,H45=11,F45=31),30,IF(AND(H44&lt;11,H45=11,F45&lt;31),F45,IF(AND(H44=11,H45=11,F45=31),31-F44,IF(AND(H44=11,H45=11,F45&lt;&gt;31),F45-F44+1,IF(AND(H44=11,H45&gt;11),31-F44,IF(AND(H44&lt;11,H45&gt;11),30,))))))))</f>
        <v>30</v>
      </c>
      <c r="AE48" s="593" t="str">
        <f>IF(AD48="","","dias")</f>
        <v>dias</v>
      </c>
      <c r="AF48" s="823">
        <f>IF(AF47="","",IF(AND(H44=12,F44=31),1,IF(AND(H44&lt;12,H45=12,F45=31),30,IF(AND(H44&lt;12,H45=12,F45&lt;31),F45,IF(AND(H44=12,H45=12,F45=31),31-F44,IF(AND(H44=12,H45=12,F45&lt;&gt;31),F45-F44+1,IF(AND(H44=12,H45&gt;12),31-F44,IF(AND(H44&lt;12,H45&gt;12),30,))))))))</f>
        <v>30</v>
      </c>
      <c r="AG48" s="593" t="str">
        <f>IF(AF48="","","dias")</f>
        <v>dias</v>
      </c>
      <c r="AH48" s="3862" t="s">
        <v>8186</v>
      </c>
      <c r="AI48" s="3863"/>
      <c r="AJ48" s="3864"/>
      <c r="AK48" s="582"/>
    </row>
    <row r="49" spans="2:37" ht="15.95" customHeight="1" x14ac:dyDescent="0.4">
      <c r="B49" s="581"/>
      <c r="C49" s="3998" t="e">
        <f>IF(F44&lt;1,"",IF(AI45=1,"2135","7135"))</f>
        <v>#REF!</v>
      </c>
      <c r="D49" s="3999"/>
      <c r="E49" s="4000">
        <f>IF(F44&lt;1,"",E25)</f>
        <v>2910</v>
      </c>
      <c r="F49" s="4001"/>
      <c r="G49" s="3995" t="e">
        <f>IF(F44&lt;1,"",AG44*X45)</f>
        <v>#REF!</v>
      </c>
      <c r="H49" s="3996"/>
      <c r="I49" s="3996"/>
      <c r="J49" s="4002" t="str">
        <f>IF(J47="","",(G49/30)*J48)</f>
        <v/>
      </c>
      <c r="K49" s="4003"/>
      <c r="L49" s="4002" t="str">
        <f>IF(L47="","",(G49/30)*L48)</f>
        <v/>
      </c>
      <c r="M49" s="4003"/>
      <c r="N49" s="4002" t="str">
        <f>IF(N47="","",(G49/30)*N48)</f>
        <v/>
      </c>
      <c r="O49" s="4003"/>
      <c r="P49" s="4002" t="str">
        <f>IF(P47="","",(G49/30)*P48)</f>
        <v/>
      </c>
      <c r="Q49" s="4003"/>
      <c r="R49" s="4002" t="str">
        <f>IF(R47="","",(G49/30)*R48)</f>
        <v/>
      </c>
      <c r="S49" s="4003"/>
      <c r="T49" s="4002" t="e">
        <f>IF(T47="","",(G49/30)*T48)</f>
        <v>#REF!</v>
      </c>
      <c r="U49" s="4003"/>
      <c r="V49" s="4002" t="e">
        <f>IF(V47="","",(G49/30)*V48)</f>
        <v>#REF!</v>
      </c>
      <c r="W49" s="4003"/>
      <c r="X49" s="4002" t="e">
        <f>IF(X47="","",(G49/30)*X48)</f>
        <v>#REF!</v>
      </c>
      <c r="Y49" s="4003"/>
      <c r="Z49" s="4002" t="e">
        <f>IF(Z47="","",(G49/30)*Z48)</f>
        <v>#REF!</v>
      </c>
      <c r="AA49" s="4003"/>
      <c r="AB49" s="4002" t="e">
        <f>IF(AB47="","",(G49/30)*AB48)</f>
        <v>#REF!</v>
      </c>
      <c r="AC49" s="4003"/>
      <c r="AD49" s="4002" t="e">
        <f>IF(AD47="","",(G49/30)*AD48)</f>
        <v>#REF!</v>
      </c>
      <c r="AE49" s="4003"/>
      <c r="AF49" s="4002" t="e">
        <f>IF(AF47="","",(G49/30)*AF48)</f>
        <v>#REF!</v>
      </c>
      <c r="AG49" s="4003"/>
      <c r="AH49" s="3995" t="e">
        <f>IF(F44&lt;1,"",SUM(J49:AF49))</f>
        <v>#REF!</v>
      </c>
      <c r="AI49" s="3996"/>
      <c r="AJ49" s="3997"/>
      <c r="AK49" s="615" t="e">
        <f>IF(AH49="",0,ROUND(AH49,2))</f>
        <v>#REF!</v>
      </c>
    </row>
    <row r="50" spans="2:37" ht="15.95" customHeight="1" x14ac:dyDescent="0.4">
      <c r="B50" s="581"/>
      <c r="C50" s="4007" t="e">
        <f>IF(F44&lt;1,"",IF(AI45=1,"2144","7144"))</f>
        <v>#REF!</v>
      </c>
      <c r="D50" s="4008"/>
      <c r="E50" s="830">
        <f>IF(F44&lt;1,"",E26)</f>
        <v>2926</v>
      </c>
      <c r="F50" s="831">
        <f>IF(F44&lt;1,"",F26)</f>
        <v>0</v>
      </c>
      <c r="G50" s="4009" t="e">
        <f>IF(F44&lt;1,"",G49*F50)</f>
        <v>#REF!</v>
      </c>
      <c r="H50" s="4010"/>
      <c r="I50" s="4010"/>
      <c r="J50" s="3993" t="str">
        <f>IF(J47="","",(G50/30)*J48)</f>
        <v/>
      </c>
      <c r="K50" s="3994"/>
      <c r="L50" s="3993" t="str">
        <f>IF(L47="","",(G50/30)*L48)</f>
        <v/>
      </c>
      <c r="M50" s="3994"/>
      <c r="N50" s="3993" t="str">
        <f>IF(N47="","",(G50/30)*N48)</f>
        <v/>
      </c>
      <c r="O50" s="3994"/>
      <c r="P50" s="3993" t="str">
        <f>IF(P47="","",(G50/30)*P48)</f>
        <v/>
      </c>
      <c r="Q50" s="3994"/>
      <c r="R50" s="3993" t="str">
        <f>IF(R47="","",(G50/30)*R48)</f>
        <v/>
      </c>
      <c r="S50" s="3994"/>
      <c r="T50" s="3993" t="e">
        <f>IF(T47="","",(G50/30)*T48)</f>
        <v>#REF!</v>
      </c>
      <c r="U50" s="3994"/>
      <c r="V50" s="3993" t="e">
        <f>IF(V47="","",(G50/30)*V48)</f>
        <v>#REF!</v>
      </c>
      <c r="W50" s="3994"/>
      <c r="X50" s="3993" t="e">
        <f>IF(X47="","",(G50/30)*X48)</f>
        <v>#REF!</v>
      </c>
      <c r="Y50" s="3994"/>
      <c r="Z50" s="3993" t="e">
        <f>IF(Z47="","",(G50/30)*Z48)</f>
        <v>#REF!</v>
      </c>
      <c r="AA50" s="3994"/>
      <c r="AB50" s="3993" t="e">
        <f>IF(AB47="","",(G50/30)*AB48)</f>
        <v>#REF!</v>
      </c>
      <c r="AC50" s="3994"/>
      <c r="AD50" s="3993" t="e">
        <f>IF(AD47="","",(G50/30)*AD48)</f>
        <v>#REF!</v>
      </c>
      <c r="AE50" s="3994"/>
      <c r="AF50" s="3993" t="e">
        <f>IF(AF47="","",(G50/30)*AF48)</f>
        <v>#REF!</v>
      </c>
      <c r="AG50" s="3994"/>
      <c r="AH50" s="3995" t="e">
        <f>IF(F44&lt;1,"",SUM(J50:AF50))</f>
        <v>#REF!</v>
      </c>
      <c r="AI50" s="3996"/>
      <c r="AJ50" s="3997"/>
      <c r="AK50" s="615" t="e">
        <f>IF(AH50="",0,ROUND(AH50,2))</f>
        <v>#REF!</v>
      </c>
    </row>
    <row r="51" spans="2:37" ht="15.95" customHeight="1" thickBot="1" x14ac:dyDescent="0.45">
      <c r="B51" s="581"/>
      <c r="C51" s="4007" t="e">
        <f>IF(F44&lt;1,"",IF(AI45=1,"2042","7042"))</f>
        <v>#REF!</v>
      </c>
      <c r="D51" s="4008"/>
      <c r="E51" s="830" t="e">
        <f>IF(F44&lt;1,"",#REF!)</f>
        <v>#REF!</v>
      </c>
      <c r="F51" s="831" t="e">
        <f>IF(F44&lt;1,"",#REF!)</f>
        <v>#REF!</v>
      </c>
      <c r="G51" s="4011" t="e">
        <f>IF(F44&lt;1,"",(G49+G50)*F51)</f>
        <v>#REF!</v>
      </c>
      <c r="H51" s="4012"/>
      <c r="I51" s="4012"/>
      <c r="J51" s="3993" t="str">
        <f>IF(J47="","",(G51/30)*J48)</f>
        <v/>
      </c>
      <c r="K51" s="3994"/>
      <c r="L51" s="3993" t="str">
        <f>IF(L47="","",(G51/30)*L48)</f>
        <v/>
      </c>
      <c r="M51" s="3994"/>
      <c r="N51" s="3993" t="str">
        <f>IF(N47="","",(G51/30)*N48)</f>
        <v/>
      </c>
      <c r="O51" s="3994"/>
      <c r="P51" s="3993" t="str">
        <f>IF(P47="","",(G51/30)*P48)</f>
        <v/>
      </c>
      <c r="Q51" s="3994"/>
      <c r="R51" s="3993" t="str">
        <f>IF(R47="","",(G51/30)*R48)</f>
        <v/>
      </c>
      <c r="S51" s="3994"/>
      <c r="T51" s="3993" t="e">
        <f>IF(T47="","",(G51/30)*T48)</f>
        <v>#REF!</v>
      </c>
      <c r="U51" s="3994"/>
      <c r="V51" s="3993" t="e">
        <f>IF(V47="","",(G51/30)*V48)</f>
        <v>#REF!</v>
      </c>
      <c r="W51" s="3994"/>
      <c r="X51" s="3993" t="e">
        <f>IF(X47="","",(G51/30)*X48)</f>
        <v>#REF!</v>
      </c>
      <c r="Y51" s="3994"/>
      <c r="Z51" s="3993" t="e">
        <f>IF(Z47="","",(G51/30)*Z48)</f>
        <v>#REF!</v>
      </c>
      <c r="AA51" s="3994"/>
      <c r="AB51" s="3993" t="e">
        <f>IF(AB47="","",(G51/30)*AB48)</f>
        <v>#REF!</v>
      </c>
      <c r="AC51" s="3994"/>
      <c r="AD51" s="3993" t="e">
        <f>IF(AD47="","",(G51/30)*AD48)</f>
        <v>#REF!</v>
      </c>
      <c r="AE51" s="3994"/>
      <c r="AF51" s="3993" t="e">
        <f>IF(AF47="","",(G51/30)*AF48)</f>
        <v>#REF!</v>
      </c>
      <c r="AG51" s="3994"/>
      <c r="AH51" s="4004" t="e">
        <f>IF(F44&lt;1,"",SUM(J51:AF51))</f>
        <v>#REF!</v>
      </c>
      <c r="AI51" s="4005"/>
      <c r="AJ51" s="4006"/>
      <c r="AK51" s="615" t="e">
        <f>IF(AH51="",0,ROUND(AH51,2))</f>
        <v>#REF!</v>
      </c>
    </row>
    <row r="52" spans="2:37" ht="15.95" customHeight="1" thickBot="1" x14ac:dyDescent="0.45">
      <c r="B52" s="581"/>
      <c r="C52" s="4007"/>
      <c r="D52" s="4008"/>
      <c r="E52" s="4013"/>
      <c r="F52" s="4014"/>
      <c r="G52" s="4015" t="e">
        <f>IF(F44&lt;1,"",G49+G50+G51)</f>
        <v>#REF!</v>
      </c>
      <c r="H52" s="4016"/>
      <c r="I52" s="4017"/>
      <c r="J52" s="3899"/>
      <c r="K52" s="3900"/>
      <c r="L52" s="3900"/>
      <c r="M52" s="3900"/>
      <c r="N52" s="3900"/>
      <c r="O52" s="3900"/>
      <c r="P52" s="3900"/>
      <c r="Q52" s="3900"/>
      <c r="R52" s="3900"/>
      <c r="S52" s="3900"/>
      <c r="T52" s="3900"/>
      <c r="U52" s="3900"/>
      <c r="V52" s="3900"/>
      <c r="W52" s="3900"/>
      <c r="X52" s="3900"/>
      <c r="Y52" s="3900"/>
      <c r="Z52" s="3900"/>
      <c r="AA52" s="3900"/>
      <c r="AB52" s="3900"/>
      <c r="AC52" s="3900"/>
      <c r="AD52" s="3900"/>
      <c r="AE52" s="3900"/>
      <c r="AF52" s="3900"/>
      <c r="AG52" s="3901"/>
      <c r="AH52" s="4015" t="e">
        <f>IF(F44&lt;1,"",AK49+AK50+AK51)</f>
        <v>#REF!</v>
      </c>
      <c r="AI52" s="4016"/>
      <c r="AJ52" s="4017"/>
      <c r="AK52" s="582"/>
    </row>
    <row r="53" spans="2:37" ht="15.95" customHeight="1" x14ac:dyDescent="0.4">
      <c r="B53" s="581"/>
      <c r="C53" s="4018" t="e">
        <f>IF(F44&lt;1,"",IF(OR(F45&lt;&gt;31,H45&lt;&gt;12),"",IF(AI45=1,"2151","7151")))</f>
        <v>#REF!</v>
      </c>
      <c r="D53" s="4019"/>
      <c r="E53" s="4020" t="e">
        <f>IF(C53="","","13º")</f>
        <v>#REF!</v>
      </c>
      <c r="F53" s="4021"/>
      <c r="G53" s="4022" t="e">
        <f>IF(C53="","",G52)</f>
        <v>#REF!</v>
      </c>
      <c r="H53" s="4023"/>
      <c r="I53" s="4024"/>
      <c r="J53" s="4025" t="e">
        <f>IF(G53="",0,ROUND(G53,2))</f>
        <v>#REF!</v>
      </c>
      <c r="K53" s="4026"/>
      <c r="L53" s="4026"/>
      <c r="M53" s="4026"/>
      <c r="N53" s="4026"/>
      <c r="O53" s="4026"/>
      <c r="P53" s="4026"/>
      <c r="Q53" s="4026"/>
      <c r="R53" s="4026"/>
      <c r="S53" s="4026"/>
      <c r="T53" s="4026"/>
      <c r="U53" s="4026"/>
      <c r="V53" s="4026"/>
      <c r="W53" s="4026"/>
      <c r="X53" s="4026"/>
      <c r="Y53" s="4026"/>
      <c r="Z53" s="4026"/>
      <c r="AA53" s="4026"/>
      <c r="AB53" s="4026"/>
      <c r="AC53" s="4026"/>
      <c r="AD53" s="4026"/>
      <c r="AE53" s="4026"/>
      <c r="AF53" s="4026"/>
      <c r="AG53" s="4026"/>
      <c r="AH53" s="4026"/>
      <c r="AI53" s="4026"/>
      <c r="AJ53" s="4027"/>
      <c r="AK53" s="582"/>
    </row>
    <row r="54" spans="2:37" ht="15.95" customHeight="1" x14ac:dyDescent="0.4">
      <c r="B54" s="581"/>
      <c r="C54" s="4048"/>
      <c r="D54" s="4049"/>
      <c r="E54" s="4049"/>
      <c r="F54" s="4049"/>
      <c r="G54" s="4049"/>
      <c r="H54" s="4049"/>
      <c r="I54" s="4049"/>
      <c r="J54" s="4049"/>
      <c r="K54" s="4049"/>
      <c r="L54" s="4049"/>
      <c r="M54" s="4049"/>
      <c r="N54" s="4049"/>
      <c r="O54" s="4049"/>
      <c r="P54" s="4049"/>
      <c r="Q54" s="4049"/>
      <c r="R54" s="4049"/>
      <c r="S54" s="4049"/>
      <c r="T54" s="4049"/>
      <c r="U54" s="4049"/>
      <c r="V54" s="4049"/>
      <c r="W54" s="4049"/>
      <c r="X54" s="4049"/>
      <c r="Y54" s="4049"/>
      <c r="Z54" s="4049"/>
      <c r="AA54" s="4049"/>
      <c r="AB54" s="4049"/>
      <c r="AC54" s="4049"/>
      <c r="AD54" s="4049"/>
      <c r="AE54" s="4049"/>
      <c r="AF54" s="4049"/>
      <c r="AG54" s="4049"/>
      <c r="AH54" s="4049"/>
      <c r="AI54" s="4049"/>
      <c r="AJ54" s="4050"/>
      <c r="AK54" s="582"/>
    </row>
    <row r="55" spans="2:37" ht="15.95" customHeight="1" x14ac:dyDescent="0.4">
      <c r="B55" s="581"/>
      <c r="C55" s="3998" t="e">
        <f>IF(F44&lt;1,"",IF(AI45=2,"0532","7832"))</f>
        <v>#REF!</v>
      </c>
      <c r="D55" s="3999"/>
      <c r="E55" s="824"/>
      <c r="F55" s="829">
        <f>IF(F44&lt;1,"",F32)</f>
        <v>0</v>
      </c>
      <c r="G55" s="4051" t="e">
        <f>IF(F44&lt;1,"",AH52*F55)</f>
        <v>#REF!</v>
      </c>
      <c r="H55" s="4051"/>
      <c r="I55" s="4051"/>
      <c r="J55" s="4052" t="e">
        <f>IF(G55="",0,ROUND(G55,2))</f>
        <v>#REF!</v>
      </c>
      <c r="K55" s="4053"/>
      <c r="L55" s="4053"/>
      <c r="M55" s="4053"/>
      <c r="N55" s="4053"/>
      <c r="O55" s="4053"/>
      <c r="P55" s="4053"/>
      <c r="Q55" s="4053"/>
      <c r="R55" s="4053"/>
      <c r="S55" s="4053"/>
      <c r="T55" s="4053"/>
      <c r="U55" s="4053"/>
      <c r="V55" s="4053"/>
      <c r="W55" s="4053"/>
      <c r="X55" s="4053"/>
      <c r="Y55" s="4053"/>
      <c r="Z55" s="4053"/>
      <c r="AA55" s="4053"/>
      <c r="AB55" s="4053"/>
      <c r="AC55" s="4053"/>
      <c r="AD55" s="4053"/>
      <c r="AE55" s="4053"/>
      <c r="AF55" s="4053"/>
      <c r="AG55" s="4053"/>
      <c r="AH55" s="4053"/>
      <c r="AI55" s="4053"/>
      <c r="AJ55" s="4054"/>
      <c r="AK55" s="582"/>
    </row>
    <row r="56" spans="2:37" ht="15.95" customHeight="1" thickBot="1" x14ac:dyDescent="0.45">
      <c r="B56" s="581"/>
      <c r="C56" s="4055" t="e">
        <f>IF(F44&lt;1,"",IF(OR(F45&lt;&gt;31,H45&lt;&gt;12),"",IF(AI45=2,"0632","7932")))</f>
        <v>#REF!</v>
      </c>
      <c r="D56" s="4056"/>
      <c r="E56" s="832"/>
      <c r="F56" s="833" t="e">
        <f>IF(C56="","",3.2%)</f>
        <v>#REF!</v>
      </c>
      <c r="G56" s="4057" t="e">
        <f>IF(C56="","",G53*F56)</f>
        <v>#REF!</v>
      </c>
      <c r="H56" s="4057"/>
      <c r="I56" s="4057"/>
      <c r="J56" s="4058" t="e">
        <f>IF(G56="",0,ROUND(G56,2))</f>
        <v>#REF!</v>
      </c>
      <c r="K56" s="4059"/>
      <c r="L56" s="4059"/>
      <c r="M56" s="4059"/>
      <c r="N56" s="4059"/>
      <c r="O56" s="4059"/>
      <c r="P56" s="4059"/>
      <c r="Q56" s="4059"/>
      <c r="R56" s="4059"/>
      <c r="S56" s="4059"/>
      <c r="T56" s="4059"/>
      <c r="U56" s="4059"/>
      <c r="V56" s="4059"/>
      <c r="W56" s="4059"/>
      <c r="X56" s="4059"/>
      <c r="Y56" s="4059"/>
      <c r="Z56" s="4059"/>
      <c r="AA56" s="4059"/>
      <c r="AB56" s="4059"/>
      <c r="AC56" s="4059"/>
      <c r="AD56" s="4059"/>
      <c r="AE56" s="4059"/>
      <c r="AF56" s="4059"/>
      <c r="AG56" s="4059"/>
      <c r="AH56" s="4059"/>
      <c r="AI56" s="4059"/>
      <c r="AJ56" s="4060"/>
      <c r="AK56" s="582"/>
    </row>
    <row r="57" spans="2:37" ht="15.95" customHeight="1" thickBot="1" x14ac:dyDescent="0.45">
      <c r="B57" s="581"/>
      <c r="C57" s="4034"/>
      <c r="D57" s="4035"/>
      <c r="E57" s="4035"/>
      <c r="F57" s="4035"/>
      <c r="G57" s="4035"/>
      <c r="H57" s="4035"/>
      <c r="I57" s="4035"/>
      <c r="J57" s="4035"/>
      <c r="K57" s="4035"/>
      <c r="L57" s="4035"/>
      <c r="M57" s="4035"/>
      <c r="N57" s="4035"/>
      <c r="O57" s="4035"/>
      <c r="P57" s="4035"/>
      <c r="Q57" s="4035"/>
      <c r="R57" s="4035"/>
      <c r="S57" s="4035"/>
      <c r="T57" s="4035"/>
      <c r="U57" s="4035"/>
      <c r="V57" s="4035"/>
      <c r="W57" s="4035"/>
      <c r="X57" s="4035"/>
      <c r="Y57" s="4035"/>
      <c r="Z57" s="4035"/>
      <c r="AA57" s="4035"/>
      <c r="AB57" s="4035"/>
      <c r="AC57" s="4035"/>
      <c r="AD57" s="4035"/>
      <c r="AE57" s="4035"/>
      <c r="AF57" s="4035"/>
      <c r="AG57" s="4035"/>
      <c r="AH57" s="4035"/>
      <c r="AI57" s="4035"/>
      <c r="AJ57" s="4036"/>
      <c r="AK57" s="582"/>
    </row>
    <row r="58" spans="2:37" ht="15.95" customHeight="1" x14ac:dyDescent="0.4">
      <c r="B58" s="581"/>
      <c r="C58" s="4061" t="s">
        <v>8187</v>
      </c>
      <c r="D58" s="4062"/>
      <c r="E58" s="4062"/>
      <c r="F58" s="906"/>
      <c r="G58" s="834" t="s">
        <v>339</v>
      </c>
      <c r="H58" s="907"/>
      <c r="I58" s="834" t="s">
        <v>339</v>
      </c>
      <c r="J58" s="4063"/>
      <c r="K58" s="4064"/>
      <c r="L58" s="835" t="s">
        <v>8174</v>
      </c>
      <c r="M58" s="836" t="str">
        <f>IF(F58&gt;0,L21,"")</f>
        <v/>
      </c>
      <c r="N58" s="4065" t="s">
        <v>8175</v>
      </c>
      <c r="O58" s="4065"/>
      <c r="P58" s="4066" t="s">
        <v>8176</v>
      </c>
      <c r="Q58" s="4066"/>
      <c r="R58" s="4066"/>
      <c r="S58" s="4066"/>
      <c r="T58" s="4067"/>
      <c r="U58" s="4067"/>
      <c r="V58" s="4067"/>
      <c r="W58" s="4068" t="s">
        <v>407</v>
      </c>
      <c r="X58" s="4068"/>
      <c r="Y58" s="4068"/>
      <c r="Z58" s="4068"/>
      <c r="AA58" s="4069"/>
      <c r="AB58" s="4069"/>
      <c r="AC58" s="4069"/>
      <c r="AD58" s="4070"/>
      <c r="AE58" s="4071" t="s">
        <v>8177</v>
      </c>
      <c r="AF58" s="4072"/>
      <c r="AG58" s="4028" t="str">
        <f>IF(F58&gt;0,AA58/L59,"")</f>
        <v/>
      </c>
      <c r="AH58" s="4029"/>
      <c r="AI58" s="4029"/>
      <c r="AJ58" s="4030"/>
      <c r="AK58" s="582"/>
    </row>
    <row r="59" spans="2:37" ht="15.95" customHeight="1" x14ac:dyDescent="0.4">
      <c r="B59" s="581"/>
      <c r="C59" s="3951" t="s">
        <v>8180</v>
      </c>
      <c r="D59" s="3952"/>
      <c r="E59" s="3952"/>
      <c r="F59" s="904"/>
      <c r="G59" s="821" t="s">
        <v>339</v>
      </c>
      <c r="H59" s="905"/>
      <c r="I59" s="821" t="s">
        <v>339</v>
      </c>
      <c r="J59" s="3953"/>
      <c r="K59" s="3954"/>
      <c r="L59" s="3955" t="str">
        <f>IF(F58&gt;0,#REF!,"")</f>
        <v/>
      </c>
      <c r="M59" s="3956"/>
      <c r="N59" s="3957" t="s">
        <v>8181</v>
      </c>
      <c r="O59" s="3958"/>
      <c r="P59" s="3959" t="s">
        <v>8182</v>
      </c>
      <c r="Q59" s="3959"/>
      <c r="R59" s="3959"/>
      <c r="S59" s="3959"/>
      <c r="T59" s="3959"/>
      <c r="U59" s="3959"/>
      <c r="V59" s="3959"/>
      <c r="W59" s="3960"/>
      <c r="X59" s="3961" t="str">
        <f>IF(F58&gt;0,#REF!,"")</f>
        <v/>
      </c>
      <c r="Y59" s="3962"/>
      <c r="Z59" s="3963"/>
      <c r="AA59" s="3964"/>
      <c r="AB59" s="3964"/>
      <c r="AC59" s="3964"/>
      <c r="AD59" s="3964"/>
      <c r="AE59" s="3964"/>
      <c r="AF59" s="3964"/>
      <c r="AG59" s="3964"/>
      <c r="AH59" s="3964"/>
      <c r="AI59" s="822" t="str">
        <f>IF(F58&gt;0,#REF!,"")</f>
        <v/>
      </c>
      <c r="AJ59" s="828"/>
      <c r="AK59" s="582"/>
    </row>
    <row r="60" spans="2:37" ht="15.95" customHeight="1" thickBot="1" x14ac:dyDescent="0.45">
      <c r="B60" s="581"/>
      <c r="C60" s="4031"/>
      <c r="D60" s="4032"/>
      <c r="E60" s="4032"/>
      <c r="F60" s="4032"/>
      <c r="G60" s="4032"/>
      <c r="H60" s="4032"/>
      <c r="I60" s="4032"/>
      <c r="J60" s="4032"/>
      <c r="K60" s="4032"/>
      <c r="L60" s="4032"/>
      <c r="M60" s="4032"/>
      <c r="N60" s="4032"/>
      <c r="O60" s="4032"/>
      <c r="P60" s="4032"/>
      <c r="Q60" s="4032"/>
      <c r="R60" s="4032"/>
      <c r="S60" s="4032"/>
      <c r="T60" s="4032"/>
      <c r="U60" s="4032"/>
      <c r="V60" s="4032"/>
      <c r="W60" s="4032"/>
      <c r="X60" s="4032"/>
      <c r="Y60" s="4032"/>
      <c r="Z60" s="4032"/>
      <c r="AA60" s="4032"/>
      <c r="AB60" s="4032"/>
      <c r="AC60" s="4032"/>
      <c r="AD60" s="4032"/>
      <c r="AE60" s="4032"/>
      <c r="AF60" s="4032"/>
      <c r="AG60" s="4032"/>
      <c r="AH60" s="4032"/>
      <c r="AI60" s="4032"/>
      <c r="AJ60" s="4033"/>
      <c r="AK60" s="582"/>
    </row>
    <row r="61" spans="2:37" ht="15.95" customHeight="1" x14ac:dyDescent="0.4">
      <c r="B61" s="581"/>
      <c r="C61" s="3098" t="s">
        <v>391</v>
      </c>
      <c r="D61" s="3099"/>
      <c r="E61" s="3102" t="s">
        <v>8183</v>
      </c>
      <c r="F61" s="3102" t="s">
        <v>8055</v>
      </c>
      <c r="G61" s="3989" t="s">
        <v>8184</v>
      </c>
      <c r="H61" s="3990"/>
      <c r="I61" s="3990"/>
      <c r="J61" s="3806" t="str">
        <f>IF(H58=1,"01/"&amp;J58,"")</f>
        <v/>
      </c>
      <c r="K61" s="3807"/>
      <c r="L61" s="3806" t="str">
        <f>IF(F58="","",IF(H58=2,"02/"&amp;J58,IF(AND(J61&lt;&gt;"",H59&gt;1),"02/"&amp;J58,IF(AND(H58=1,H59=1),"",IF(H58&gt;2,"")))))</f>
        <v/>
      </c>
      <c r="M61" s="3807"/>
      <c r="N61" s="3806" t="str">
        <f>IF(F58="","",IF(H58=3,"03/"&amp;J58,IF(OR(H58&gt;3,H59&lt;3),"",IF(AND(L61&lt;&gt;"",H59&gt;2),"03/"&amp;J58,IF(AND(H58=2,H59=2),"")))))</f>
        <v/>
      </c>
      <c r="O61" s="3807"/>
      <c r="P61" s="3806" t="str">
        <f>IF(F58="","",IF(H58=4,"04/"&amp;J58,IF(OR(H58&gt;4,H59&lt;4),"",IF(AND(N61&lt;&gt;"",H59&gt;3),"04/"&amp;J58,IF(AND(H58=3,H59=3),"")))))</f>
        <v/>
      </c>
      <c r="Q61" s="3807"/>
      <c r="R61" s="3806" t="str">
        <f>IF(F58="","",IF(H58=5,"05/"&amp;J58,IF(OR(H58&gt;5,H59&lt;5),"",IF(AND(P61&lt;&gt;"",H59&gt;4),"05/"&amp;J58,IF(AND(H58=4,H59=4),"")))))</f>
        <v/>
      </c>
      <c r="S61" s="3807"/>
      <c r="T61" s="3806" t="str">
        <f>IF(F58="","",IF(H58=6,"06/"&amp;J58,IF(OR(H58&gt;6,H59&lt;6),"",IF(AND(R61&lt;&gt;"",H59&gt;5),"06/"&amp;J58,IF(AND(H58=5,H59=5),"")))))</f>
        <v/>
      </c>
      <c r="U61" s="3807"/>
      <c r="V61" s="3806" t="str">
        <f>IF(F58="","",IF(H58=7,"07/"&amp;J58,IF(OR(H58&gt;7,H59&lt;7),"",IF(AND(T61&lt;&gt;"",H59&gt;6),"07/"&amp;J58,IF(AND(H58=6,H59=6),"")))))</f>
        <v/>
      </c>
      <c r="W61" s="3807"/>
      <c r="X61" s="3806" t="str">
        <f>IF(F58="","",IF(H58=8,"08/"&amp;J58,IF(OR(H58&gt;8,H59&lt;8),"",IF(AND(V61&lt;&gt;"",H59&gt;7),"08/"&amp;J58,IF(AND(H58=7,H59=7),"")))))</f>
        <v/>
      </c>
      <c r="Y61" s="3807"/>
      <c r="Z61" s="3806" t="str">
        <f>IF(F58="","",IF(H58=9,"09/"&amp;J58,IF(OR(H58&gt;9,H59&lt;9),"",IF(AND(X61&lt;&gt;"",H59&gt;8),"09/"&amp;J58,IF(AND(H58=8,H59=8),"")))))</f>
        <v/>
      </c>
      <c r="AA61" s="3807"/>
      <c r="AB61" s="3806" t="str">
        <f>IF(F58="","",IF(H58=10,"10/"&amp;J58,IF(OR(H58&gt;10,H59&lt;10),"",IF(AND(Z61&lt;&gt;"",H59&gt;9),"10/"&amp;J58,IF(AND(H58=9,H59=9),"")))))</f>
        <v/>
      </c>
      <c r="AC61" s="3807"/>
      <c r="AD61" s="3806" t="str">
        <f>IF(F58="","",IF(H58=11,"11/"&amp;J58,IF(OR(H58&gt;11,H59&lt;11),"",IF(AND(AB61&lt;&gt;"",H59&gt;10),"11/"&amp;J58,IF(AND(H58=10,H59=10),"")))))</f>
        <v/>
      </c>
      <c r="AE61" s="3807"/>
      <c r="AF61" s="3806" t="str">
        <f>IF(F58="","",IF(H58=12,"12/"&amp;J58,IF(OR(H58&gt;12,H59&lt;12),"",IF(AND(AD61&lt;&gt;"",H59&gt;11),"12/"&amp;J58,IF(AND(H58=11,H59=11),"")))))</f>
        <v/>
      </c>
      <c r="AG61" s="3807"/>
      <c r="AH61" s="3859" t="s">
        <v>7968</v>
      </c>
      <c r="AI61" s="3860"/>
      <c r="AJ61" s="3861"/>
      <c r="AK61" s="582"/>
    </row>
    <row r="62" spans="2:37" ht="15.95" customHeight="1" thickBot="1" x14ac:dyDescent="0.45">
      <c r="B62" s="581"/>
      <c r="C62" s="3100"/>
      <c r="D62" s="3101"/>
      <c r="E62" s="3103"/>
      <c r="F62" s="3103"/>
      <c r="G62" s="3991" t="s">
        <v>8185</v>
      </c>
      <c r="H62" s="3992"/>
      <c r="I62" s="3992"/>
      <c r="J62" s="823" t="str">
        <f>IF(J61="","",IF(AND(H58=1,F58=31),1,IF(AND(H58&lt;1,H59=1),F59,IF(AND(H58=1,H59=1,F59=31),31-F58,IF(AND(H58=1,H59=1,F59&lt;&gt;31),F59-F58+1,IF(AND(H58=1,H59&gt;1),31-F58,IF(AND(H58&lt;1,H59&gt;1),30,)))))))</f>
        <v/>
      </c>
      <c r="K62" s="593" t="str">
        <f>IF(J62="","","dias")</f>
        <v/>
      </c>
      <c r="L62" s="823" t="str">
        <f>IF(L61="","",IF(AND(H58&lt;2,H59&gt;2),30,IF(AND(H59&gt;2,H58=2),31-F58,IF(AND(H58&lt;2,H59=2),F59,IF(AND(H58=2,H59=2),F59-F58+1,IF(AND(H58=2,F58=28),1,IF(AND(H58=2,F58=29),1,IF(AND(H58=2,H59=2,F59=28),31-F58,IF(AND(H58=2,H59=2,F59=29),31-F58,IF(AND(H58=2,H59=2,F59&lt;28),F59-F58+1))))))))))</f>
        <v/>
      </c>
      <c r="M62" s="593" t="str">
        <f>IF(L62="","","dias")</f>
        <v/>
      </c>
      <c r="N62" s="823" t="str">
        <f>IF(N61="","",IF(AND(H58=3,F58=31),1,IF(AND(H58&lt;3,H59=3,F59=31),30,IF(AND(H58&lt;3,H59=3,F59&lt;31),F59,IF(AND(H58=3,H59=3,F59=31),31-F58,IF(AND(H58=3,H59=3,F59&lt;&gt;31),F59-F58+1,IF(AND(H58=3,H59&gt;3),31-F58,IF(AND(H58&lt;3,H59&gt;3),30,))))))))</f>
        <v/>
      </c>
      <c r="O62" s="593" t="str">
        <f>IF(N62="","","dias")</f>
        <v/>
      </c>
      <c r="P62" s="823" t="str">
        <f>IF(P61="","",IF(AND(H58=4,F58=30),1,IF(AND(H58&lt;4,H59=4,F59=31),30,IF(AND(H58&lt;4,H59=4,F59&lt;31),F59,IF(AND(H58=4,H59=4,F59=31),31-F58,IF(AND(H58=4,H59=4,F59&lt;&gt;31),F59-F58+1,IF(AND(H58=4,H59&gt;4),31-F58,IF(AND(H58&lt;4,H59&gt;4),30,))))))))</f>
        <v/>
      </c>
      <c r="Q62" s="593" t="str">
        <f>IF(P62="","","dias")</f>
        <v/>
      </c>
      <c r="R62" s="823" t="str">
        <f>IF(R61="","",IF(AND(H58=5,F58=31),1,IF(AND(H58&lt;5,H59=5,F59=31),30,IF(AND(H58&lt;5,H59=5,F59&lt;31),F59,IF(AND(H58=5,H59=5,F59=31),31-F58,IF(AND(H58=5,H59=5,F59&lt;&gt;31),F59-F58+1,IF(AND(H58=5,H59&gt;5),31-F58,IF(AND(H58&lt;5,H59&gt;5),30,))))))))</f>
        <v/>
      </c>
      <c r="S62" s="593" t="str">
        <f>IF(R62="","","dias")</f>
        <v/>
      </c>
      <c r="T62" s="823" t="str">
        <f>IF(T61="","",IF(AND(H58=6,F58=30),1,IF(AND(H58&lt;6,H59=6,F59=31),30,IF(AND(H58&lt;6,H59=6,F59&lt;31),F59,IF(AND(H58=6,H59=6,F59=31),31-F58,IF(AND(H58=6,H59=6,F59&lt;&gt;31),F59-F58+1,IF(AND(H58=6,H59&gt;6),31-F58,IF(AND(H58&lt;6,H59&gt;6),30,))))))))</f>
        <v/>
      </c>
      <c r="U62" s="593" t="str">
        <f>IF(T62="","","dias")</f>
        <v/>
      </c>
      <c r="V62" s="823" t="str">
        <f>IF(V61="","",IF(AND(H58=6,F58=31),1,IF(AND(H58&lt;7,H59=7,F59=31),30,IF(AND(H58&lt;7,H59=7,F59&lt;31),F59,IF(AND(H58=7,H59=7,F59=31),31-F58,IF(AND(H58=7,H59=7,F59&lt;&gt;31),F59-F58+1,IF(AND(H58=7,H59&gt;7),31-F58,IF(AND(H58&lt;7,H59&gt;7),30,))))))))</f>
        <v/>
      </c>
      <c r="W62" s="593" t="str">
        <f>IF(V62="","","dias")</f>
        <v/>
      </c>
      <c r="X62" s="823" t="str">
        <f>IF(X61="","",IF(AND(H58=8,F58=31),1,IF(AND(H58&lt;8,H59=8,F59=31),30,IF(AND(H58&lt;8,H59=8,F59&lt;31),F59,IF(AND(H58=8,H59=8,F59=31),31-F58,IF(AND(H58=8,H59=8,F59&lt;&gt;31),F59-F58+1,IF(AND(H58=8,H59&gt;8),31-F58,IF(AND(H58&lt;8,H59&gt;8),30,))))))))</f>
        <v/>
      </c>
      <c r="Y62" s="593" t="str">
        <f>IF(X62="","","dias")</f>
        <v/>
      </c>
      <c r="Z62" s="823" t="str">
        <f>IF(Z61="","",IF(AND(H58=9,F58=30),1,IF(AND(H58&lt;9,H59=9,F59=31),30,IF(AND(H58&lt;9,H59=9,F59&lt;31),F59,IF(AND(H58=9,H59=9,F59=31),31-F58,IF(AND(H58=9,H59=9,F59&lt;&gt;31),F59-F58+1,IF(AND(H58=9,H59&gt;9),31-F58,IF(AND(H58&lt;9,H59&gt;9),30,))))))))</f>
        <v/>
      </c>
      <c r="AA62" s="593" t="str">
        <f>IF(Z62="","","dias")</f>
        <v/>
      </c>
      <c r="AB62" s="823" t="str">
        <f>IF(AB61="","",IF(AND(H58=10,F58=31),1,IF(AND(H58&lt;10,H59=10,F59=31),30,IF(AND(H58&lt;10,H59=10,F59&lt;31),F59,IF(AND(H58=10,H59=10,F59=31),31-F58,IF(AND(H58=10,H59=10,F59&lt;&gt;31),F59-F58+1,IF(AND(H58=10,H59&gt;10),31-F58,IF(AND(H58&lt;10,H59&gt;10),30,))))))))</f>
        <v/>
      </c>
      <c r="AC62" s="593" t="str">
        <f>IF(AB62="","","dias")</f>
        <v/>
      </c>
      <c r="AD62" s="823" t="str">
        <f>IF(AD61="","",IF(AND(H58=11,F58=30),1,IF(AND(H58&lt;11,H59=11,F59=31),30,IF(AND(H58&lt;11,H59=11,F59&lt;31),F59,IF(AND(H58=11,H59=11,F59=31),31-F58,IF(AND(H58=11,H59=11,F59&lt;&gt;31),F59-F58+1,IF(AND(H58=11,H59&gt;11),31-F58,IF(AND(H58&lt;11,H59&gt;11),30,))))))))</f>
        <v/>
      </c>
      <c r="AE62" s="593" t="str">
        <f>IF(AD62="","","dias")</f>
        <v/>
      </c>
      <c r="AF62" s="823" t="str">
        <f>IF(AF61="","",IF(AND(H58=12,F58=31),1,IF(AND(H58&lt;12,H59=12,F59=31),30,IF(AND(H58&lt;12,H59=12,F59&lt;31),F59,IF(AND(H58=12,H59=12,F59=31),31-F58,IF(AND(H58=12,H59=12,F59&lt;&gt;31),F59-F58+1,IF(AND(H58=12,H59&gt;12),31-F58,IF(AND(H58&lt;12,H59&gt;12),30,))))))))</f>
        <v/>
      </c>
      <c r="AG62" s="593" t="str">
        <f>IF(AF62="","","dias")</f>
        <v/>
      </c>
      <c r="AH62" s="3862" t="s">
        <v>8186</v>
      </c>
      <c r="AI62" s="3863"/>
      <c r="AJ62" s="3864"/>
      <c r="AK62" s="582"/>
    </row>
    <row r="63" spans="2:37" ht="15.95" customHeight="1" x14ac:dyDescent="0.4">
      <c r="B63" s="581"/>
      <c r="C63" s="3998" t="str">
        <f>IF(F58&lt;1,"",IF(AI59=1,"2135","7135"))</f>
        <v/>
      </c>
      <c r="D63" s="3999"/>
      <c r="E63" s="4000" t="str">
        <f>IF(F58&lt;1,"",E25)</f>
        <v/>
      </c>
      <c r="F63" s="4001"/>
      <c r="G63" s="3995" t="str">
        <f>IF(F58&lt;1,"",AG58*X59)</f>
        <v/>
      </c>
      <c r="H63" s="3996"/>
      <c r="I63" s="3996"/>
      <c r="J63" s="4002" t="str">
        <f>IF(J61="","",(G63/30)*J62)</f>
        <v/>
      </c>
      <c r="K63" s="4003"/>
      <c r="L63" s="4002" t="str">
        <f>IF(L61="","",(G63/30)*L62)</f>
        <v/>
      </c>
      <c r="M63" s="4003"/>
      <c r="N63" s="4002" t="str">
        <f>IF(N61="","",(G63/30)*N62)</f>
        <v/>
      </c>
      <c r="O63" s="4003"/>
      <c r="P63" s="4002" t="str">
        <f>IF(P61="","",(G63/30)*P62)</f>
        <v/>
      </c>
      <c r="Q63" s="4003"/>
      <c r="R63" s="4002" t="str">
        <f>IF(R61="","",(G63/30)*R62)</f>
        <v/>
      </c>
      <c r="S63" s="4003"/>
      <c r="T63" s="4002" t="str">
        <f>IF(T61="","",(G63/30)*T62)</f>
        <v/>
      </c>
      <c r="U63" s="4003"/>
      <c r="V63" s="4002" t="str">
        <f>IF(V61="","",(G63/30)*V62)</f>
        <v/>
      </c>
      <c r="W63" s="4003"/>
      <c r="X63" s="4002" t="str">
        <f>IF(X61="","",(G63/30)*X62)</f>
        <v/>
      </c>
      <c r="Y63" s="4003"/>
      <c r="Z63" s="4002" t="str">
        <f>IF(Z61="","",(G63/30)*Z62)</f>
        <v/>
      </c>
      <c r="AA63" s="4003"/>
      <c r="AB63" s="4002" t="str">
        <f>IF(AB61="","",(G63/30)*AB62)</f>
        <v/>
      </c>
      <c r="AC63" s="4003"/>
      <c r="AD63" s="4002" t="str">
        <f>IF(AD61="","",(G63/30)*AD62)</f>
        <v/>
      </c>
      <c r="AE63" s="4003"/>
      <c r="AF63" s="4002" t="str">
        <f>IF(AF61="","",(G63/30)*AF62)</f>
        <v/>
      </c>
      <c r="AG63" s="4003"/>
      <c r="AH63" s="3995" t="str">
        <f>IF(F58&lt;1,"",SUM(J63:AF63))</f>
        <v/>
      </c>
      <c r="AI63" s="3996"/>
      <c r="AJ63" s="3997"/>
      <c r="AK63" s="615">
        <f>IF(AH63="",0,ROUND(AH63,2))</f>
        <v>0</v>
      </c>
    </row>
    <row r="64" spans="2:37" ht="15.95" customHeight="1" x14ac:dyDescent="0.4">
      <c r="B64" s="581"/>
      <c r="C64" s="4007" t="str">
        <f>IF(F58&lt;1,"",IF(AI59=1,"2144","7144"))</f>
        <v/>
      </c>
      <c r="D64" s="4008"/>
      <c r="E64" s="830" t="str">
        <f>IF(F58&lt;1,"",E26)</f>
        <v/>
      </c>
      <c r="F64" s="831" t="str">
        <f>IF(F58&lt;1,"",F26)</f>
        <v/>
      </c>
      <c r="G64" s="4009" t="str">
        <f>IF(F58&lt;1,"",G63*F64)</f>
        <v/>
      </c>
      <c r="H64" s="4010"/>
      <c r="I64" s="4010"/>
      <c r="J64" s="3993" t="str">
        <f>IF(J61="","",(G64/30)*J62)</f>
        <v/>
      </c>
      <c r="K64" s="3994"/>
      <c r="L64" s="3993" t="str">
        <f>IF(L61="","",(G64/30)*L62)</f>
        <v/>
      </c>
      <c r="M64" s="3994"/>
      <c r="N64" s="3993" t="str">
        <f>IF(N61="","",(G64/30)*N62)</f>
        <v/>
      </c>
      <c r="O64" s="3994"/>
      <c r="P64" s="3993" t="str">
        <f>IF(P61="","",(G64/30)*P62)</f>
        <v/>
      </c>
      <c r="Q64" s="3994"/>
      <c r="R64" s="3993" t="str">
        <f>IF(R61="","",(G64/30)*R62)</f>
        <v/>
      </c>
      <c r="S64" s="3994"/>
      <c r="T64" s="3993" t="str">
        <f>IF(T61="","",(G64/30)*T62)</f>
        <v/>
      </c>
      <c r="U64" s="3994"/>
      <c r="V64" s="3993" t="str">
        <f>IF(V61="","",(G64/30)*V62)</f>
        <v/>
      </c>
      <c r="W64" s="3994"/>
      <c r="X64" s="3993" t="str">
        <f>IF(X61="","",(G64/30)*X62)</f>
        <v/>
      </c>
      <c r="Y64" s="3994"/>
      <c r="Z64" s="3993" t="str">
        <f>IF(Z61="","",(G64/30)*Z62)</f>
        <v/>
      </c>
      <c r="AA64" s="3994"/>
      <c r="AB64" s="3993" t="str">
        <f>IF(AB61="","",(G64/30)*AB62)</f>
        <v/>
      </c>
      <c r="AC64" s="3994"/>
      <c r="AD64" s="3993" t="str">
        <f>IF(AD61="","",(G64/30)*AD62)</f>
        <v/>
      </c>
      <c r="AE64" s="3994"/>
      <c r="AF64" s="3993" t="str">
        <f>IF(AF61="","",(G64/30)*AF62)</f>
        <v/>
      </c>
      <c r="AG64" s="3994"/>
      <c r="AH64" s="3995" t="str">
        <f>IF(F58&lt;1,"",SUM(J64:AF64))</f>
        <v/>
      </c>
      <c r="AI64" s="3996"/>
      <c r="AJ64" s="3997"/>
      <c r="AK64" s="615">
        <f>IF(AH64="",0,ROUND(AH64,2))</f>
        <v>0</v>
      </c>
    </row>
    <row r="65" spans="2:37" ht="15.95" customHeight="1" thickBot="1" x14ac:dyDescent="0.45">
      <c r="B65" s="581"/>
      <c r="C65" s="4007" t="str">
        <f>IF(F58&lt;1,"",IF(AI59=1,"2042","7042"))</f>
        <v/>
      </c>
      <c r="D65" s="4008"/>
      <c r="E65" s="830" t="str">
        <f>IF(F58&lt;1,"",#REF!)</f>
        <v/>
      </c>
      <c r="F65" s="831" t="str">
        <f>IF(F58&lt;1,"",#REF!)</f>
        <v/>
      </c>
      <c r="G65" s="4011" t="str">
        <f>IF(F58&lt;1,"",(G63+G64)*F65)</f>
        <v/>
      </c>
      <c r="H65" s="4012"/>
      <c r="I65" s="4012"/>
      <c r="J65" s="3993" t="str">
        <f>IF(J61="","",(G65/30)*J62)</f>
        <v/>
      </c>
      <c r="K65" s="3994"/>
      <c r="L65" s="3993" t="str">
        <f>IF(L61="","",(G65/30)*L62)</f>
        <v/>
      </c>
      <c r="M65" s="3994"/>
      <c r="N65" s="3993" t="str">
        <f>IF(N61="","",(G65/30)*N62)</f>
        <v/>
      </c>
      <c r="O65" s="3994"/>
      <c r="P65" s="3993" t="str">
        <f>IF(P61="","",(G65/30)*P62)</f>
        <v/>
      </c>
      <c r="Q65" s="3994"/>
      <c r="R65" s="3993" t="str">
        <f>IF(R61="","",(G65/30)*R62)</f>
        <v/>
      </c>
      <c r="S65" s="3994"/>
      <c r="T65" s="3993" t="str">
        <f>IF(T61="","",(G65/30)*T62)</f>
        <v/>
      </c>
      <c r="U65" s="3994"/>
      <c r="V65" s="3993" t="str">
        <f>IF(V61="","",(G65/30)*V62)</f>
        <v/>
      </c>
      <c r="W65" s="3994"/>
      <c r="X65" s="3993" t="str">
        <f>IF(X61="","",(G65/30)*X62)</f>
        <v/>
      </c>
      <c r="Y65" s="3994"/>
      <c r="Z65" s="3993" t="str">
        <f>IF(Z61="","",(G65/30)*Z62)</f>
        <v/>
      </c>
      <c r="AA65" s="3994"/>
      <c r="AB65" s="3993" t="str">
        <f>IF(AB61="","",(G65/30)*AB62)</f>
        <v/>
      </c>
      <c r="AC65" s="3994"/>
      <c r="AD65" s="3993" t="str">
        <f>IF(AD61="","",(G65/30)*AD62)</f>
        <v/>
      </c>
      <c r="AE65" s="3994"/>
      <c r="AF65" s="3993" t="str">
        <f>IF(AF61="","",(G65/30)*AF62)</f>
        <v/>
      </c>
      <c r="AG65" s="3994"/>
      <c r="AH65" s="4004" t="str">
        <f>IF(F58&lt;1,"",SUM(J65:AF65))</f>
        <v/>
      </c>
      <c r="AI65" s="4005"/>
      <c r="AJ65" s="4006"/>
      <c r="AK65" s="615">
        <f>IF(AH65="",0,ROUND(AH65,2))</f>
        <v>0</v>
      </c>
    </row>
    <row r="66" spans="2:37" ht="15.95" customHeight="1" thickBot="1" x14ac:dyDescent="0.45">
      <c r="B66" s="581"/>
      <c r="C66" s="4007"/>
      <c r="D66" s="4008"/>
      <c r="E66" s="4013"/>
      <c r="F66" s="4014"/>
      <c r="G66" s="4015" t="str">
        <f>IF(F58&lt;1,"",G63+G64+G65)</f>
        <v/>
      </c>
      <c r="H66" s="4016"/>
      <c r="I66" s="4017"/>
      <c r="J66" s="3899"/>
      <c r="K66" s="3900"/>
      <c r="L66" s="3900"/>
      <c r="M66" s="3900"/>
      <c r="N66" s="3900"/>
      <c r="O66" s="3900"/>
      <c r="P66" s="3900"/>
      <c r="Q66" s="3900"/>
      <c r="R66" s="3900"/>
      <c r="S66" s="3900"/>
      <c r="T66" s="3900"/>
      <c r="U66" s="3900"/>
      <c r="V66" s="3900"/>
      <c r="W66" s="3900"/>
      <c r="X66" s="3900"/>
      <c r="Y66" s="3900"/>
      <c r="Z66" s="3900"/>
      <c r="AA66" s="3900"/>
      <c r="AB66" s="3900"/>
      <c r="AC66" s="3900"/>
      <c r="AD66" s="3900"/>
      <c r="AE66" s="3900"/>
      <c r="AF66" s="3900"/>
      <c r="AG66" s="3901"/>
      <c r="AH66" s="4015" t="str">
        <f>IF(F58&lt;1,"",AK63+AK64+AK65)</f>
        <v/>
      </c>
      <c r="AI66" s="4016"/>
      <c r="AJ66" s="4017"/>
      <c r="AK66" s="582"/>
    </row>
    <row r="67" spans="2:37" ht="15.95" customHeight="1" x14ac:dyDescent="0.4">
      <c r="B67" s="581"/>
      <c r="C67" s="4018" t="str">
        <f>IF(F58&lt;1,"",IF(OR(F59&lt;&gt;31,H59&lt;&gt;12),"",IF(AI59=1,"2151","7151")))</f>
        <v/>
      </c>
      <c r="D67" s="4019"/>
      <c r="E67" s="4020" t="str">
        <f>IF(C67="","","13º")</f>
        <v/>
      </c>
      <c r="F67" s="4021"/>
      <c r="G67" s="4022" t="str">
        <f>IF(C67="","",G66)</f>
        <v/>
      </c>
      <c r="H67" s="4023"/>
      <c r="I67" s="4024"/>
      <c r="J67" s="4025">
        <f>IF(G67="",0,ROUND(G67,2))</f>
        <v>0</v>
      </c>
      <c r="K67" s="4026"/>
      <c r="L67" s="4026"/>
      <c r="M67" s="4026"/>
      <c r="N67" s="4026"/>
      <c r="O67" s="4026"/>
      <c r="P67" s="4026"/>
      <c r="Q67" s="4026"/>
      <c r="R67" s="4026"/>
      <c r="S67" s="4026"/>
      <c r="T67" s="4026"/>
      <c r="U67" s="4026"/>
      <c r="V67" s="4026"/>
      <c r="W67" s="4026"/>
      <c r="X67" s="4026"/>
      <c r="Y67" s="4026"/>
      <c r="Z67" s="4026"/>
      <c r="AA67" s="4026"/>
      <c r="AB67" s="4026"/>
      <c r="AC67" s="4026"/>
      <c r="AD67" s="4026"/>
      <c r="AE67" s="4026"/>
      <c r="AF67" s="4026"/>
      <c r="AG67" s="4026"/>
      <c r="AH67" s="4026"/>
      <c r="AI67" s="4026"/>
      <c r="AJ67" s="4027"/>
      <c r="AK67" s="582"/>
    </row>
    <row r="68" spans="2:37" ht="15.95" customHeight="1" x14ac:dyDescent="0.4">
      <c r="B68" s="581"/>
      <c r="C68" s="4048"/>
      <c r="D68" s="4049"/>
      <c r="E68" s="4049"/>
      <c r="F68" s="4049"/>
      <c r="G68" s="4049"/>
      <c r="H68" s="4049"/>
      <c r="I68" s="4049"/>
      <c r="J68" s="4049"/>
      <c r="K68" s="4049"/>
      <c r="L68" s="4049"/>
      <c r="M68" s="4049"/>
      <c r="N68" s="4049"/>
      <c r="O68" s="4049"/>
      <c r="P68" s="4049"/>
      <c r="Q68" s="4049"/>
      <c r="R68" s="4049"/>
      <c r="S68" s="4049"/>
      <c r="T68" s="4049"/>
      <c r="U68" s="4049"/>
      <c r="V68" s="4049"/>
      <c r="W68" s="4049"/>
      <c r="X68" s="4049"/>
      <c r="Y68" s="4049"/>
      <c r="Z68" s="4049"/>
      <c r="AA68" s="4049"/>
      <c r="AB68" s="4049"/>
      <c r="AC68" s="4049"/>
      <c r="AD68" s="4049"/>
      <c r="AE68" s="4049"/>
      <c r="AF68" s="4049"/>
      <c r="AG68" s="4049"/>
      <c r="AH68" s="4049"/>
      <c r="AI68" s="4049"/>
      <c r="AJ68" s="4050"/>
      <c r="AK68" s="582"/>
    </row>
    <row r="69" spans="2:37" ht="15.95" customHeight="1" x14ac:dyDescent="0.4">
      <c r="B69" s="581"/>
      <c r="C69" s="3998" t="str">
        <f>IF(F58&lt;1,"",IF(AI59=2,"0532","7832"))</f>
        <v/>
      </c>
      <c r="D69" s="3999"/>
      <c r="E69" s="824"/>
      <c r="F69" s="829" t="str">
        <f>IF(F58&lt;1,"",F32)</f>
        <v/>
      </c>
      <c r="G69" s="4051" t="str">
        <f>IF(F58&lt;1,"",AH66*F69)</f>
        <v/>
      </c>
      <c r="H69" s="4051"/>
      <c r="I69" s="4051"/>
      <c r="J69" s="4052">
        <f>IF(G69="",0,ROUND(G69,2))</f>
        <v>0</v>
      </c>
      <c r="K69" s="4053"/>
      <c r="L69" s="4053"/>
      <c r="M69" s="4053"/>
      <c r="N69" s="4053"/>
      <c r="O69" s="4053"/>
      <c r="P69" s="4053"/>
      <c r="Q69" s="4053"/>
      <c r="R69" s="4053"/>
      <c r="S69" s="4053"/>
      <c r="T69" s="4053"/>
      <c r="U69" s="4053"/>
      <c r="V69" s="4053"/>
      <c r="W69" s="4053"/>
      <c r="X69" s="4053"/>
      <c r="Y69" s="4053"/>
      <c r="Z69" s="4053"/>
      <c r="AA69" s="4053"/>
      <c r="AB69" s="4053"/>
      <c r="AC69" s="4053"/>
      <c r="AD69" s="4053"/>
      <c r="AE69" s="4053"/>
      <c r="AF69" s="4053"/>
      <c r="AG69" s="4053"/>
      <c r="AH69" s="4053"/>
      <c r="AI69" s="4053"/>
      <c r="AJ69" s="4054"/>
      <c r="AK69" s="582"/>
    </row>
    <row r="70" spans="2:37" ht="15.95" customHeight="1" thickBot="1" x14ac:dyDescent="0.45">
      <c r="B70" s="581"/>
      <c r="C70" s="4055" t="str">
        <f>IF(F58&lt;1,"",IF(OR(F59&lt;&gt;31,H59&lt;&gt;12),"",IF(AI59=2,"0632","7932")))</f>
        <v/>
      </c>
      <c r="D70" s="4056"/>
      <c r="E70" s="832"/>
      <c r="F70" s="833" t="str">
        <f>IF(C70="","",3.2%)</f>
        <v/>
      </c>
      <c r="G70" s="4057" t="str">
        <f>IF(C70="","",G67*F70)</f>
        <v/>
      </c>
      <c r="H70" s="4057"/>
      <c r="I70" s="4057"/>
      <c r="J70" s="4058">
        <f>IF(G70="",0,ROUND(G70,2))</f>
        <v>0</v>
      </c>
      <c r="K70" s="4059"/>
      <c r="L70" s="4059"/>
      <c r="M70" s="4059"/>
      <c r="N70" s="4059"/>
      <c r="O70" s="4059"/>
      <c r="P70" s="4059"/>
      <c r="Q70" s="4059"/>
      <c r="R70" s="4059"/>
      <c r="S70" s="4059"/>
      <c r="T70" s="4059"/>
      <c r="U70" s="4059"/>
      <c r="V70" s="4059"/>
      <c r="W70" s="4059"/>
      <c r="X70" s="4059"/>
      <c r="Y70" s="4059"/>
      <c r="Z70" s="4059"/>
      <c r="AA70" s="4059"/>
      <c r="AB70" s="4059"/>
      <c r="AC70" s="4059"/>
      <c r="AD70" s="4059"/>
      <c r="AE70" s="4059"/>
      <c r="AF70" s="4059"/>
      <c r="AG70" s="4059"/>
      <c r="AH70" s="4059"/>
      <c r="AI70" s="4059"/>
      <c r="AJ70" s="4060"/>
      <c r="AK70" s="582"/>
    </row>
    <row r="71" spans="2:37" ht="15.95" customHeight="1" thickBot="1" x14ac:dyDescent="0.45">
      <c r="B71" s="581"/>
      <c r="C71" s="4034"/>
      <c r="D71" s="4035"/>
      <c r="E71" s="4035"/>
      <c r="F71" s="4035"/>
      <c r="G71" s="4035"/>
      <c r="H71" s="4035"/>
      <c r="I71" s="4035"/>
      <c r="J71" s="4035"/>
      <c r="K71" s="4035"/>
      <c r="L71" s="4035"/>
      <c r="M71" s="4035"/>
      <c r="N71" s="4035"/>
      <c r="O71" s="4035"/>
      <c r="P71" s="4035"/>
      <c r="Q71" s="4035"/>
      <c r="R71" s="4035"/>
      <c r="S71" s="4035"/>
      <c r="T71" s="4035"/>
      <c r="U71" s="4035"/>
      <c r="V71" s="4035"/>
      <c r="W71" s="4035"/>
      <c r="X71" s="4035"/>
      <c r="Y71" s="4035"/>
      <c r="Z71" s="4035"/>
      <c r="AA71" s="4035"/>
      <c r="AB71" s="4035"/>
      <c r="AC71" s="4035"/>
      <c r="AD71" s="4035"/>
      <c r="AE71" s="4035"/>
      <c r="AF71" s="4035"/>
      <c r="AG71" s="4035"/>
      <c r="AH71" s="4035"/>
      <c r="AI71" s="4035"/>
      <c r="AJ71" s="4036"/>
      <c r="AK71" s="582"/>
    </row>
    <row r="72" spans="2:37" ht="15.95" customHeight="1" x14ac:dyDescent="0.4">
      <c r="B72" s="581"/>
      <c r="C72" s="3028" t="s">
        <v>8188</v>
      </c>
      <c r="D72" s="3029"/>
      <c r="E72" s="3032" t="e">
        <f>IF(#REF!=1,"Crédito","Débito")</f>
        <v>#REF!</v>
      </c>
      <c r="F72" s="3033"/>
      <c r="G72" s="4037">
        <f>C25</f>
        <v>0</v>
      </c>
      <c r="H72" s="4038"/>
      <c r="I72" s="4038"/>
      <c r="J72" s="4037">
        <f>C26</f>
        <v>0</v>
      </c>
      <c r="K72" s="4038"/>
      <c r="L72" s="4038"/>
      <c r="M72" s="4037" t="e">
        <f>#REF!</f>
        <v>#REF!</v>
      </c>
      <c r="N72" s="4038"/>
      <c r="O72" s="4039"/>
      <c r="P72" s="4037" t="e">
        <f>IF(C30&lt;&gt;"",C30,IF(C39&lt;&gt;"",C39,IF(C53&lt;&gt;"",C53,IF(C67&lt;&gt;"",C67))))</f>
        <v>#REF!</v>
      </c>
      <c r="Q72" s="4038"/>
      <c r="R72" s="4039"/>
      <c r="S72" s="3038" t="e">
        <f>IF(#REF!=1,"Débito","Restituição")</f>
        <v>#REF!</v>
      </c>
      <c r="T72" s="3039"/>
      <c r="U72" s="3040"/>
      <c r="V72" s="4037">
        <f>C32</f>
        <v>0</v>
      </c>
      <c r="W72" s="4038"/>
      <c r="X72" s="4039"/>
      <c r="Y72" s="4037" t="str">
        <f>IF(C33&lt;&gt;"",C33,IF(C42&lt;&gt;"",C42,IF(C56&lt;&gt;"",C56,IF(C70&lt;&gt;"",C70))))</f>
        <v>DÉBITO</v>
      </c>
      <c r="Z72" s="4038"/>
      <c r="AA72" s="4039"/>
      <c r="AB72" s="4040"/>
      <c r="AC72" s="4041"/>
      <c r="AD72" s="4041"/>
      <c r="AE72" s="4041"/>
      <c r="AF72" s="4041"/>
      <c r="AG72" s="4041"/>
      <c r="AH72" s="4041"/>
      <c r="AI72" s="4041"/>
      <c r="AJ72" s="4042"/>
      <c r="AK72" s="582"/>
    </row>
    <row r="73" spans="2:37" ht="15.95" customHeight="1" thickBot="1" x14ac:dyDescent="0.45">
      <c r="B73" s="581"/>
      <c r="C73" s="3030"/>
      <c r="D73" s="3031"/>
      <c r="E73" s="3034"/>
      <c r="F73" s="3035"/>
      <c r="G73" s="4046" t="e">
        <f>AK25+#REF!+AK49+AK63</f>
        <v>#REF!</v>
      </c>
      <c r="H73" s="4046"/>
      <c r="I73" s="4046"/>
      <c r="J73" s="4046" t="e">
        <f>AK26+#REF!+AK50+AK64</f>
        <v>#REF!</v>
      </c>
      <c r="K73" s="4046"/>
      <c r="L73" s="4046"/>
      <c r="M73" s="4046" t="e">
        <f>#REF!+AK37+AK51+AK65</f>
        <v>#REF!</v>
      </c>
      <c r="N73" s="4046"/>
      <c r="O73" s="4047"/>
      <c r="P73" s="4046" t="e">
        <f>J30+J39+J53+J67</f>
        <v>#REF!</v>
      </c>
      <c r="Q73" s="4046"/>
      <c r="R73" s="4047"/>
      <c r="S73" s="3041"/>
      <c r="T73" s="3042"/>
      <c r="U73" s="3043"/>
      <c r="V73" s="4046" t="e">
        <f>J32+J41+J55+J69</f>
        <v>#REF!</v>
      </c>
      <c r="W73" s="4046"/>
      <c r="X73" s="4047"/>
      <c r="Y73" s="4046" t="e">
        <f>J33+J42+J56+J70</f>
        <v>#REF!</v>
      </c>
      <c r="Z73" s="4046"/>
      <c r="AA73" s="4047"/>
      <c r="AB73" s="4043"/>
      <c r="AC73" s="4044"/>
      <c r="AD73" s="4044"/>
      <c r="AE73" s="4044"/>
      <c r="AF73" s="4044"/>
      <c r="AG73" s="4044"/>
      <c r="AH73" s="4044"/>
      <c r="AI73" s="4044"/>
      <c r="AJ73" s="4045"/>
      <c r="AK73" s="582"/>
    </row>
    <row r="74" spans="2:37" ht="15.95" customHeight="1" thickBot="1" x14ac:dyDescent="0.45">
      <c r="B74" s="603"/>
      <c r="C74" s="604"/>
      <c r="D74" s="604"/>
      <c r="E74" s="604"/>
      <c r="F74" s="604"/>
      <c r="G74" s="604"/>
      <c r="H74" s="604"/>
      <c r="I74" s="604"/>
      <c r="J74" s="604"/>
      <c r="K74" s="604"/>
      <c r="L74" s="604"/>
      <c r="M74" s="604"/>
      <c r="N74" s="604"/>
      <c r="O74" s="604"/>
      <c r="P74" s="604"/>
      <c r="Q74" s="604"/>
      <c r="R74" s="604"/>
      <c r="S74" s="605"/>
      <c r="T74" s="605"/>
      <c r="U74" s="605"/>
      <c r="V74" s="605"/>
      <c r="W74" s="605"/>
      <c r="X74" s="605"/>
      <c r="Y74" s="605"/>
      <c r="Z74" s="605"/>
      <c r="AA74" s="605"/>
      <c r="AB74" s="605"/>
      <c r="AC74" s="605"/>
      <c r="AD74" s="605"/>
      <c r="AE74" s="605"/>
      <c r="AF74" s="605"/>
      <c r="AG74" s="605"/>
      <c r="AH74" s="605"/>
      <c r="AI74" s="605"/>
      <c r="AJ74" s="604"/>
      <c r="AK74" s="606"/>
    </row>
    <row r="75" spans="2:37" ht="15.95" customHeight="1" thickTop="1" x14ac:dyDescent="0.4">
      <c r="B75" s="44"/>
      <c r="C75" s="807"/>
      <c r="D75" s="266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  <c r="AF75" s="339"/>
      <c r="AG75" s="339"/>
      <c r="AH75" s="339"/>
      <c r="AI75" s="339"/>
      <c r="AJ75" s="804"/>
      <c r="AK75" s="131"/>
    </row>
    <row r="76" spans="2:37" ht="15.95" customHeight="1" x14ac:dyDescent="0.4">
      <c r="B76" s="44"/>
      <c r="C76" s="807"/>
      <c r="D76" s="266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/>
      <c r="T76" s="339"/>
      <c r="U76" s="339"/>
      <c r="V76" s="339"/>
      <c r="W76" s="339"/>
      <c r="X76" s="339"/>
      <c r="Y76" s="339"/>
      <c r="Z76" s="339"/>
      <c r="AA76" s="339"/>
      <c r="AB76" s="339"/>
      <c r="AC76" s="339"/>
      <c r="AD76" s="339"/>
      <c r="AE76" s="339"/>
      <c r="AF76" s="339"/>
      <c r="AG76" s="339"/>
      <c r="AH76" s="339"/>
      <c r="AI76" s="339"/>
      <c r="AJ76" s="804"/>
      <c r="AK76" s="131"/>
    </row>
    <row r="77" spans="2:37" ht="15.95" customHeight="1" x14ac:dyDescent="0.4">
      <c r="B77" s="44"/>
      <c r="C77" s="807"/>
      <c r="D77" s="266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/>
      <c r="T77" s="339"/>
      <c r="U77" s="339"/>
      <c r="V77" s="339"/>
      <c r="W77" s="339"/>
      <c r="X77" s="339"/>
      <c r="Y77" s="339"/>
      <c r="Z77" s="339"/>
      <c r="AA77" s="339"/>
      <c r="AB77" s="339"/>
      <c r="AC77" s="339"/>
      <c r="AD77" s="339"/>
      <c r="AE77" s="339"/>
      <c r="AF77" s="339"/>
      <c r="AG77" s="339"/>
      <c r="AH77" s="339"/>
      <c r="AI77" s="339"/>
      <c r="AJ77" s="804"/>
      <c r="AK77" s="131"/>
    </row>
    <row r="78" spans="2:37" ht="15.95" customHeight="1" x14ac:dyDescent="0.4">
      <c r="B78" s="44"/>
      <c r="C78" s="807"/>
      <c r="D78" s="266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/>
      <c r="T78" s="339"/>
      <c r="U78" s="339"/>
      <c r="V78" s="339"/>
      <c r="W78" s="339"/>
      <c r="X78" s="339"/>
      <c r="Y78" s="339"/>
      <c r="Z78" s="339"/>
      <c r="AA78" s="339"/>
      <c r="AB78" s="339"/>
      <c r="AC78" s="339"/>
      <c r="AD78" s="339"/>
      <c r="AE78" s="339"/>
      <c r="AF78" s="339"/>
      <c r="AG78" s="339"/>
      <c r="AH78" s="339"/>
      <c r="AI78" s="339"/>
      <c r="AJ78" s="804"/>
      <c r="AK78" s="131"/>
    </row>
    <row r="79" spans="2:37" ht="15.95" customHeight="1" x14ac:dyDescent="0.4">
      <c r="B79" s="44"/>
      <c r="C79" s="807"/>
      <c r="D79" s="266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/>
      <c r="T79" s="339"/>
      <c r="U79" s="339"/>
      <c r="V79" s="339"/>
      <c r="W79" s="339"/>
      <c r="X79" s="339"/>
      <c r="Y79" s="339"/>
      <c r="Z79" s="339"/>
      <c r="AA79" s="339"/>
      <c r="AB79" s="339"/>
      <c r="AC79" s="339"/>
      <c r="AD79" s="339"/>
      <c r="AE79" s="339"/>
      <c r="AF79" s="339"/>
      <c r="AG79" s="339"/>
      <c r="AH79" s="339"/>
      <c r="AI79" s="339"/>
      <c r="AJ79" s="804"/>
      <c r="AK79" s="131"/>
    </row>
    <row r="80" spans="2:37" ht="15.95" customHeight="1" x14ac:dyDescent="0.4">
      <c r="B80" s="44"/>
      <c r="C80" s="807"/>
      <c r="D80" s="266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/>
      <c r="T80" s="339"/>
      <c r="U80" s="339"/>
      <c r="V80" s="339"/>
      <c r="W80" s="339"/>
      <c r="X80" s="339"/>
      <c r="Y80" s="339"/>
      <c r="Z80" s="339"/>
      <c r="AA80" s="339"/>
      <c r="AB80" s="339"/>
      <c r="AC80" s="339"/>
      <c r="AD80" s="339"/>
      <c r="AE80" s="339"/>
      <c r="AF80" s="339"/>
      <c r="AG80" s="339"/>
      <c r="AH80" s="339"/>
      <c r="AI80" s="339"/>
      <c r="AJ80" s="804"/>
      <c r="AK80" s="131"/>
    </row>
    <row r="81" spans="2:53" ht="15.95" customHeight="1" x14ac:dyDescent="0.4">
      <c r="B81" s="44"/>
      <c r="C81" s="807"/>
      <c r="D81" s="266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/>
      <c r="T81" s="339"/>
      <c r="U81" s="339"/>
      <c r="V81" s="339"/>
      <c r="W81" s="339"/>
      <c r="X81" s="339"/>
      <c r="Y81" s="339"/>
      <c r="Z81" s="339"/>
      <c r="AA81" s="339"/>
      <c r="AB81" s="339"/>
      <c r="AC81" s="339"/>
      <c r="AD81" s="339"/>
      <c r="AE81" s="339"/>
      <c r="AF81" s="339"/>
      <c r="AG81" s="339"/>
      <c r="AH81" s="339"/>
      <c r="AI81" s="339"/>
      <c r="AJ81" s="804"/>
      <c r="AK81" s="131"/>
    </row>
    <row r="82" spans="2:53" ht="15.95" customHeight="1" x14ac:dyDescent="0.4">
      <c r="B82" s="44"/>
      <c r="C82" s="807"/>
      <c r="D82" s="266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 s="339"/>
      <c r="T82" s="339"/>
      <c r="U82" s="339"/>
      <c r="V82" s="339"/>
      <c r="W82" s="339"/>
      <c r="X82" s="339"/>
      <c r="Y82" s="339"/>
      <c r="Z82" s="339"/>
      <c r="AA82" s="339"/>
      <c r="AB82" s="339"/>
      <c r="AC82" s="339"/>
      <c r="AD82" s="339"/>
      <c r="AE82" s="339"/>
      <c r="AF82" s="339"/>
      <c r="AG82" s="339"/>
      <c r="AH82" s="339"/>
      <c r="AI82" s="339"/>
      <c r="AJ82" s="804"/>
      <c r="AK82" s="131"/>
    </row>
    <row r="83" spans="2:53" ht="15.95" customHeight="1" x14ac:dyDescent="0.4">
      <c r="B83" s="44"/>
      <c r="C83" s="807"/>
      <c r="D83" s="266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39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804"/>
      <c r="AK83" s="131"/>
    </row>
    <row r="84" spans="2:53" ht="15.95" customHeight="1" x14ac:dyDescent="0.4">
      <c r="B84" s="44"/>
      <c r="C84" s="807"/>
      <c r="D84" s="266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804"/>
      <c r="AK84" s="131"/>
    </row>
    <row r="85" spans="2:53" ht="15.95" customHeight="1" x14ac:dyDescent="0.4">
      <c r="B85" s="44"/>
      <c r="C85" s="807"/>
      <c r="D85" s="266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39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804"/>
      <c r="AK85" s="131"/>
    </row>
    <row r="86" spans="2:53" ht="15.95" customHeight="1" thickBot="1" x14ac:dyDescent="0.45">
      <c r="B86" s="44"/>
      <c r="C86" s="808"/>
      <c r="D86" s="810"/>
      <c r="E86" s="805"/>
      <c r="F86" s="805"/>
      <c r="G86" s="805"/>
      <c r="H86" s="805"/>
      <c r="I86" s="805"/>
      <c r="J86" s="805"/>
      <c r="K86" s="805"/>
      <c r="L86" s="805"/>
      <c r="M86" s="805"/>
      <c r="N86" s="805"/>
      <c r="O86" s="805"/>
      <c r="P86" s="805"/>
      <c r="Q86" s="805"/>
      <c r="R86" s="805"/>
      <c r="S86" s="805"/>
      <c r="T86" s="805"/>
      <c r="U86" s="805"/>
      <c r="V86" s="805"/>
      <c r="W86" s="805"/>
      <c r="X86" s="805"/>
      <c r="Y86" s="805"/>
      <c r="Z86" s="805"/>
      <c r="AA86" s="805"/>
      <c r="AB86" s="805"/>
      <c r="AC86" s="805"/>
      <c r="AD86" s="805"/>
      <c r="AE86" s="805"/>
      <c r="AF86" s="805"/>
      <c r="AG86" s="805"/>
      <c r="AH86" s="805"/>
      <c r="AI86" s="805"/>
      <c r="AJ86" s="806"/>
      <c r="AK86" s="131"/>
    </row>
    <row r="87" spans="2:53" ht="15.95" customHeight="1" thickBot="1" x14ac:dyDescent="0.45">
      <c r="B87" s="50"/>
      <c r="C87" s="132"/>
      <c r="D87" s="132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4"/>
    </row>
    <row r="88" spans="2:53" ht="5.0999999999999996" customHeight="1" thickTop="1" thickBot="1" x14ac:dyDescent="0.45"/>
    <row r="89" spans="2:53" ht="15.95" customHeight="1" thickTop="1" thickBot="1" x14ac:dyDescent="0.45">
      <c r="B89" s="52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5"/>
    </row>
    <row r="90" spans="2:53" s="3" customFormat="1" ht="12.95" customHeight="1" x14ac:dyDescent="0.25">
      <c r="B90" s="56"/>
      <c r="C90" s="874"/>
      <c r="D90" s="875"/>
      <c r="E90" s="875"/>
      <c r="F90" s="875"/>
      <c r="G90" s="870"/>
      <c r="H90" s="2598" t="s">
        <v>7925</v>
      </c>
      <c r="I90" s="2598"/>
      <c r="J90" s="2598"/>
      <c r="K90" s="2598"/>
      <c r="L90" s="2598"/>
      <c r="M90" s="2598"/>
      <c r="N90" s="2598"/>
      <c r="O90" s="2598"/>
      <c r="P90" s="2598"/>
      <c r="Q90" s="2598"/>
      <c r="R90" s="2598"/>
      <c r="S90" s="2598"/>
      <c r="T90" s="2598"/>
      <c r="U90" s="2598"/>
      <c r="V90" s="2598"/>
      <c r="W90" s="2598"/>
      <c r="X90" s="2598"/>
      <c r="Y90" s="2598"/>
      <c r="Z90" s="2598"/>
      <c r="AA90" s="2598"/>
      <c r="AB90" s="2598"/>
      <c r="AC90" s="2598"/>
      <c r="AD90" s="2598"/>
      <c r="AE90" s="2598"/>
      <c r="AF90" s="2598"/>
      <c r="AG90" s="2598"/>
      <c r="AH90" s="2598"/>
      <c r="AI90" s="2598"/>
      <c r="AJ90" s="2599"/>
      <c r="AK90" s="57"/>
      <c r="BA90" s="846"/>
    </row>
    <row r="91" spans="2:53" ht="12.95" customHeight="1" x14ac:dyDescent="0.4">
      <c r="B91" s="58"/>
      <c r="C91" s="445"/>
      <c r="D91" s="855"/>
      <c r="E91" s="854"/>
      <c r="F91" s="854"/>
      <c r="G91" s="857"/>
      <c r="H91" s="1433" t="s">
        <v>7926</v>
      </c>
      <c r="I91" s="1433"/>
      <c r="J91" s="1433"/>
      <c r="K91" s="1433"/>
      <c r="L91" s="1433"/>
      <c r="M91" s="1433"/>
      <c r="N91" s="1433"/>
      <c r="O91" s="1433"/>
      <c r="P91" s="1433"/>
      <c r="Q91" s="1433"/>
      <c r="R91" s="1433"/>
      <c r="S91" s="1433"/>
      <c r="T91" s="1433"/>
      <c r="U91" s="1433"/>
      <c r="V91" s="1433"/>
      <c r="W91" s="1433"/>
      <c r="X91" s="1433"/>
      <c r="Y91" s="1433"/>
      <c r="Z91" s="1433"/>
      <c r="AA91" s="1433"/>
      <c r="AB91" s="1433"/>
      <c r="AC91" s="1433"/>
      <c r="AD91" s="1433"/>
      <c r="AE91" s="1433"/>
      <c r="AF91" s="1433"/>
      <c r="AG91" s="1433"/>
      <c r="AH91" s="1433"/>
      <c r="AI91" s="1433"/>
      <c r="AJ91" s="2244"/>
      <c r="AK91" s="59"/>
    </row>
    <row r="92" spans="2:53" ht="12.95" customHeight="1" x14ac:dyDescent="0.4">
      <c r="B92" s="58"/>
      <c r="C92" s="871"/>
      <c r="D92" s="857"/>
      <c r="E92" s="857"/>
      <c r="F92" s="857"/>
      <c r="G92" s="856"/>
      <c r="H92" s="2291" t="s">
        <v>8079</v>
      </c>
      <c r="I92" s="2291"/>
      <c r="J92" s="2291"/>
      <c r="K92" s="2291"/>
      <c r="L92" s="2291"/>
      <c r="M92" s="2291"/>
      <c r="N92" s="2291"/>
      <c r="O92" s="2291"/>
      <c r="P92" s="2291"/>
      <c r="Q92" s="2291"/>
      <c r="R92" s="2291"/>
      <c r="S92" s="2291"/>
      <c r="T92" s="2291"/>
      <c r="U92" s="2291"/>
      <c r="V92" s="1435" t="s">
        <v>149</v>
      </c>
      <c r="W92" s="1435"/>
      <c r="X92" s="1435"/>
      <c r="Y92" s="1435"/>
      <c r="Z92" s="1435"/>
      <c r="AA92" s="1435"/>
      <c r="AB92" s="1435"/>
      <c r="AC92" s="1435"/>
      <c r="AD92" s="1435"/>
      <c r="AE92" s="1435"/>
      <c r="AF92" s="1435"/>
      <c r="AG92" s="1435"/>
      <c r="AH92" s="1435"/>
      <c r="AI92" s="1435"/>
      <c r="AJ92" s="2292"/>
      <c r="AK92" s="59"/>
    </row>
    <row r="93" spans="2:53" ht="12.95" customHeight="1" thickBot="1" x14ac:dyDescent="0.45">
      <c r="B93" s="58"/>
      <c r="C93" s="721"/>
      <c r="D93" s="722"/>
      <c r="E93" s="722"/>
      <c r="F93" s="722"/>
      <c r="G93" s="723"/>
      <c r="H93" s="2600" t="s">
        <v>8070</v>
      </c>
      <c r="I93" s="2600"/>
      <c r="J93" s="2600"/>
      <c r="K93" s="2600"/>
      <c r="L93" s="2600"/>
      <c r="M93" s="2600"/>
      <c r="N93" s="2600"/>
      <c r="O93" s="2600"/>
      <c r="P93" s="2600"/>
      <c r="Q93" s="2600"/>
      <c r="R93" s="2600"/>
      <c r="S93" s="2600"/>
      <c r="T93" s="2600"/>
      <c r="U93" s="2600"/>
      <c r="V93" s="2600"/>
      <c r="W93" s="2600"/>
      <c r="X93" s="2600"/>
      <c r="Y93" s="2600"/>
      <c r="Z93" s="2600"/>
      <c r="AA93" s="2600"/>
      <c r="AB93" s="2600"/>
      <c r="AC93" s="2600"/>
      <c r="AD93" s="2600"/>
      <c r="AE93" s="2600"/>
      <c r="AF93" s="2600"/>
      <c r="AG93" s="2600"/>
      <c r="AH93" s="2600"/>
      <c r="AI93" s="2600"/>
      <c r="AJ93" s="2601"/>
      <c r="AK93" s="59"/>
    </row>
    <row r="94" spans="2:53" ht="15.95" customHeight="1" x14ac:dyDescent="0.4">
      <c r="B94" s="58"/>
      <c r="C94" s="2602" t="s">
        <v>9213</v>
      </c>
      <c r="D94" s="2603"/>
      <c r="E94" s="2603"/>
      <c r="F94" s="2603"/>
      <c r="G94" s="2603"/>
      <c r="H94" s="2603"/>
      <c r="I94" s="2603"/>
      <c r="J94" s="2603"/>
      <c r="K94" s="2603"/>
      <c r="L94" s="2603"/>
      <c r="M94" s="2603"/>
      <c r="N94" s="2603"/>
      <c r="O94" s="2603"/>
      <c r="P94" s="2603"/>
      <c r="Q94" s="2603"/>
      <c r="R94" s="2603"/>
      <c r="S94" s="2603"/>
      <c r="T94" s="2603"/>
      <c r="U94" s="2603"/>
      <c r="V94" s="2603"/>
      <c r="W94" s="2603"/>
      <c r="X94" s="2603"/>
      <c r="Y94" s="2603"/>
      <c r="Z94" s="2603"/>
      <c r="AA94" s="2603"/>
      <c r="AB94" s="2603"/>
      <c r="AC94" s="2603"/>
      <c r="AD94" s="2603"/>
      <c r="AE94" s="2603"/>
      <c r="AF94" s="2603"/>
      <c r="AG94" s="2603"/>
      <c r="AH94" s="2603"/>
      <c r="AI94" s="2603"/>
      <c r="AJ94" s="2604"/>
      <c r="AK94" s="59"/>
    </row>
    <row r="95" spans="2:53" ht="15.95" customHeight="1" x14ac:dyDescent="0.4">
      <c r="B95" s="58"/>
      <c r="C95" s="2605"/>
      <c r="D95" s="2606"/>
      <c r="E95" s="2606"/>
      <c r="F95" s="2606"/>
      <c r="G95" s="2606"/>
      <c r="H95" s="2606"/>
      <c r="I95" s="2606"/>
      <c r="J95" s="2606"/>
      <c r="K95" s="2606"/>
      <c r="L95" s="2606"/>
      <c r="M95" s="2606"/>
      <c r="N95" s="2606"/>
      <c r="O95" s="2606"/>
      <c r="P95" s="2606"/>
      <c r="Q95" s="2606"/>
      <c r="R95" s="2606"/>
      <c r="S95" s="2606"/>
      <c r="T95" s="2606"/>
      <c r="U95" s="2606"/>
      <c r="V95" s="2606"/>
      <c r="W95" s="2606"/>
      <c r="X95" s="2606"/>
      <c r="Y95" s="2606"/>
      <c r="Z95" s="2606"/>
      <c r="AA95" s="2606"/>
      <c r="AB95" s="2606"/>
      <c r="AC95" s="2606"/>
      <c r="AD95" s="2606"/>
      <c r="AE95" s="2606"/>
      <c r="AF95" s="2606"/>
      <c r="AG95" s="2606"/>
      <c r="AH95" s="2606"/>
      <c r="AI95" s="2606"/>
      <c r="AJ95" s="2607"/>
      <c r="AK95" s="59"/>
    </row>
    <row r="96" spans="2:53" ht="15.95" customHeight="1" x14ac:dyDescent="0.4">
      <c r="B96" s="58"/>
      <c r="C96" s="2605"/>
      <c r="D96" s="2606"/>
      <c r="E96" s="2606"/>
      <c r="F96" s="2606"/>
      <c r="G96" s="2606"/>
      <c r="H96" s="2606"/>
      <c r="I96" s="2606"/>
      <c r="J96" s="2606"/>
      <c r="K96" s="2606"/>
      <c r="L96" s="2606"/>
      <c r="M96" s="2606"/>
      <c r="N96" s="2606"/>
      <c r="O96" s="2606"/>
      <c r="P96" s="2606"/>
      <c r="Q96" s="2606"/>
      <c r="R96" s="2606"/>
      <c r="S96" s="2606"/>
      <c r="T96" s="2606"/>
      <c r="U96" s="2606"/>
      <c r="V96" s="2606"/>
      <c r="W96" s="2606"/>
      <c r="X96" s="2606"/>
      <c r="Y96" s="2606"/>
      <c r="Z96" s="2606"/>
      <c r="AA96" s="2606"/>
      <c r="AB96" s="2606"/>
      <c r="AC96" s="2606"/>
      <c r="AD96" s="2606"/>
      <c r="AE96" s="2606"/>
      <c r="AF96" s="2606"/>
      <c r="AG96" s="2606"/>
      <c r="AH96" s="2606"/>
      <c r="AI96" s="2606"/>
      <c r="AJ96" s="2607"/>
      <c r="AK96" s="59"/>
    </row>
    <row r="97" spans="2:37" ht="15.95" customHeight="1" x14ac:dyDescent="0.4">
      <c r="B97" s="58"/>
      <c r="C97" s="2605"/>
      <c r="D97" s="2606"/>
      <c r="E97" s="2606"/>
      <c r="F97" s="2606"/>
      <c r="G97" s="2606"/>
      <c r="H97" s="2606"/>
      <c r="I97" s="2606"/>
      <c r="J97" s="2606"/>
      <c r="K97" s="2606"/>
      <c r="L97" s="2606"/>
      <c r="M97" s="2606"/>
      <c r="N97" s="2606"/>
      <c r="O97" s="2606"/>
      <c r="P97" s="2606"/>
      <c r="Q97" s="2606"/>
      <c r="R97" s="2606"/>
      <c r="S97" s="2606"/>
      <c r="T97" s="2606"/>
      <c r="U97" s="2606"/>
      <c r="V97" s="2606"/>
      <c r="W97" s="2606"/>
      <c r="X97" s="2606"/>
      <c r="Y97" s="2606"/>
      <c r="Z97" s="2606"/>
      <c r="AA97" s="2606"/>
      <c r="AB97" s="2606"/>
      <c r="AC97" s="2606"/>
      <c r="AD97" s="2606"/>
      <c r="AE97" s="2606"/>
      <c r="AF97" s="2606"/>
      <c r="AG97" s="2606"/>
      <c r="AH97" s="2606"/>
      <c r="AI97" s="2606"/>
      <c r="AJ97" s="2607"/>
      <c r="AK97" s="59"/>
    </row>
    <row r="98" spans="2:37" ht="24.95" customHeight="1" thickBot="1" x14ac:dyDescent="0.45">
      <c r="B98" s="58"/>
      <c r="C98" s="2608"/>
      <c r="D98" s="2609"/>
      <c r="E98" s="2609"/>
      <c r="F98" s="2609"/>
      <c r="G98" s="2609"/>
      <c r="H98" s="2609"/>
      <c r="I98" s="2609"/>
      <c r="J98" s="2609"/>
      <c r="K98" s="2609"/>
      <c r="L98" s="2609"/>
      <c r="M98" s="2609"/>
      <c r="N98" s="2609"/>
      <c r="O98" s="2609"/>
      <c r="P98" s="2609"/>
      <c r="Q98" s="2609"/>
      <c r="R98" s="2609"/>
      <c r="S98" s="2609"/>
      <c r="T98" s="2609"/>
      <c r="U98" s="2609"/>
      <c r="V98" s="2609"/>
      <c r="W98" s="2609"/>
      <c r="X98" s="2609"/>
      <c r="Y98" s="2609"/>
      <c r="Z98" s="2609"/>
      <c r="AA98" s="2609"/>
      <c r="AB98" s="2609"/>
      <c r="AC98" s="2609"/>
      <c r="AD98" s="2609"/>
      <c r="AE98" s="2609"/>
      <c r="AF98" s="2609"/>
      <c r="AG98" s="2609"/>
      <c r="AH98" s="2609"/>
      <c r="AI98" s="2609"/>
      <c r="AJ98" s="2610"/>
      <c r="AK98" s="59"/>
    </row>
    <row r="99" spans="2:37" ht="24.95" customHeight="1" x14ac:dyDescent="0.4">
      <c r="B99" s="58"/>
      <c r="C99" s="713"/>
      <c r="D99" s="708"/>
      <c r="E99" s="708"/>
      <c r="F99" s="708"/>
      <c r="G99" s="708"/>
      <c r="H99" s="708"/>
      <c r="I99" s="708"/>
      <c r="J99" s="708"/>
      <c r="K99" s="708"/>
      <c r="L99" s="708"/>
      <c r="M99" s="708"/>
      <c r="N99" s="708"/>
      <c r="O99" s="708"/>
      <c r="P99" s="708"/>
      <c r="Q99" s="708"/>
      <c r="R99" s="708"/>
      <c r="S99" s="708"/>
      <c r="T99" s="708"/>
      <c r="U99" s="708"/>
      <c r="V99" s="708"/>
      <c r="W99" s="708"/>
      <c r="X99" s="708"/>
      <c r="Y99" s="708"/>
      <c r="Z99" s="708"/>
      <c r="AA99" s="708"/>
      <c r="AB99" s="708"/>
      <c r="AC99" s="708"/>
      <c r="AD99" s="708"/>
      <c r="AE99" s="708"/>
      <c r="AF99" s="708"/>
      <c r="AG99" s="708"/>
      <c r="AH99" s="708"/>
      <c r="AI99" s="708"/>
      <c r="AJ99" s="714"/>
      <c r="AK99" s="59"/>
    </row>
    <row r="100" spans="2:37" ht="24.95" customHeight="1" x14ac:dyDescent="0.4">
      <c r="B100" s="58"/>
      <c r="C100" s="715"/>
      <c r="D100" s="434"/>
      <c r="E100" s="434"/>
      <c r="F100" s="434"/>
      <c r="G100" s="434"/>
      <c r="H100" s="891"/>
      <c r="I100" s="891"/>
      <c r="J100" s="891"/>
      <c r="K100" s="891"/>
      <c r="L100" s="891"/>
      <c r="M100" s="891"/>
      <c r="N100" s="891"/>
      <c r="O100" s="891"/>
      <c r="P100" s="891"/>
      <c r="Q100" s="891"/>
      <c r="R100" s="891"/>
      <c r="S100" s="891"/>
      <c r="T100" s="891"/>
      <c r="U100" s="891"/>
      <c r="V100" s="881"/>
      <c r="W100" s="881"/>
      <c r="X100" s="881"/>
      <c r="Y100" s="881"/>
      <c r="Z100" s="881"/>
      <c r="AA100" s="881"/>
      <c r="AB100" s="881"/>
      <c r="AC100" s="881"/>
      <c r="AD100" s="881"/>
      <c r="AE100" s="881"/>
      <c r="AF100" s="881"/>
      <c r="AG100" s="881"/>
      <c r="AH100" s="881"/>
      <c r="AI100" s="881"/>
      <c r="AJ100" s="716"/>
      <c r="AK100" s="59"/>
    </row>
    <row r="101" spans="2:37" ht="24.95" customHeight="1" x14ac:dyDescent="0.4">
      <c r="B101" s="58"/>
      <c r="C101" s="2585"/>
      <c r="D101" s="3855"/>
      <c r="E101" s="2586"/>
      <c r="F101" s="2586"/>
      <c r="G101" s="2586"/>
      <c r="H101" s="2586"/>
      <c r="I101" s="2586"/>
      <c r="J101" s="2586"/>
      <c r="K101" s="2586"/>
      <c r="L101" s="2586"/>
      <c r="M101" s="2586"/>
      <c r="N101" s="2586"/>
      <c r="O101" s="2586"/>
      <c r="P101" s="2586"/>
      <c r="Q101" s="2586"/>
      <c r="R101" s="2586"/>
      <c r="S101" s="2586"/>
      <c r="T101" s="2586"/>
      <c r="U101" s="2586"/>
      <c r="V101" s="2586"/>
      <c r="W101" s="2586"/>
      <c r="X101" s="2586"/>
      <c r="Y101" s="2586"/>
      <c r="Z101" s="2586"/>
      <c r="AA101" s="2586"/>
      <c r="AB101" s="2586"/>
      <c r="AC101" s="2586"/>
      <c r="AD101" s="2586"/>
      <c r="AE101" s="2586"/>
      <c r="AF101" s="2586"/>
      <c r="AG101" s="2586"/>
      <c r="AH101" s="2586"/>
      <c r="AI101" s="2586"/>
      <c r="AJ101" s="2587"/>
      <c r="AK101" s="59"/>
    </row>
    <row r="102" spans="2:37" ht="24.95" customHeight="1" x14ac:dyDescent="0.4">
      <c r="B102" s="58"/>
      <c r="C102" s="2588" t="s">
        <v>9216</v>
      </c>
      <c r="D102" s="2589"/>
      <c r="E102" s="2589"/>
      <c r="F102" s="2589"/>
      <c r="G102" s="2589"/>
      <c r="H102" s="2589"/>
      <c r="I102" s="2589"/>
      <c r="J102" s="2589"/>
      <c r="K102" s="2589"/>
      <c r="L102" s="2589"/>
      <c r="M102" s="878"/>
      <c r="N102" s="878"/>
      <c r="O102" s="878"/>
      <c r="P102" s="878"/>
      <c r="Q102" s="878"/>
      <c r="R102" s="2590" t="str">
        <f>J6</f>
        <v>Arlete de Fátima Soares</v>
      </c>
      <c r="S102" s="2590"/>
      <c r="T102" s="2590"/>
      <c r="U102" s="2590"/>
      <c r="V102" s="2590"/>
      <c r="W102" s="2590"/>
      <c r="X102" s="2590"/>
      <c r="Y102" s="2590"/>
      <c r="Z102" s="2590"/>
      <c r="AA102" s="2590"/>
      <c r="AB102" s="2590"/>
      <c r="AC102" s="2590"/>
      <c r="AD102" s="2590"/>
      <c r="AE102" s="2590"/>
      <c r="AF102" s="2590"/>
      <c r="AG102" s="2590"/>
      <c r="AH102" s="2590"/>
      <c r="AI102" s="2590"/>
      <c r="AJ102" s="2591"/>
      <c r="AK102" s="59"/>
    </row>
    <row r="103" spans="2:37" ht="24.95" customHeight="1" x14ac:dyDescent="0.4">
      <c r="B103" s="58"/>
      <c r="C103" s="2592"/>
      <c r="D103" s="2593"/>
      <c r="E103" s="2593"/>
      <c r="F103" s="2593"/>
      <c r="G103" s="2593"/>
      <c r="H103" s="2593"/>
      <c r="I103" s="2593"/>
      <c r="J103" s="2593"/>
      <c r="K103" s="2593"/>
      <c r="L103" s="2593"/>
      <c r="M103" s="2593"/>
      <c r="N103" s="2593"/>
      <c r="O103" s="877"/>
      <c r="P103" s="877"/>
      <c r="Q103" s="877"/>
      <c r="R103" s="2590"/>
      <c r="S103" s="2590"/>
      <c r="T103" s="2590"/>
      <c r="U103" s="2590"/>
      <c r="V103" s="2590"/>
      <c r="W103" s="2590"/>
      <c r="X103" s="2590"/>
      <c r="Y103" s="2590"/>
      <c r="Z103" s="2590"/>
      <c r="AA103" s="2590"/>
      <c r="AB103" s="2590"/>
      <c r="AC103" s="2590"/>
      <c r="AD103" s="2590"/>
      <c r="AE103" s="2590"/>
      <c r="AF103" s="2590"/>
      <c r="AG103" s="2590"/>
      <c r="AH103" s="2590"/>
      <c r="AI103" s="2590"/>
      <c r="AJ103" s="2591"/>
      <c r="AK103" s="59"/>
    </row>
    <row r="104" spans="2:37" ht="24.95" customHeight="1" x14ac:dyDescent="0.4">
      <c r="B104" s="58"/>
      <c r="C104" s="2594" t="s">
        <v>9214</v>
      </c>
      <c r="D104" s="2595"/>
      <c r="E104" s="2595"/>
      <c r="F104" s="2595"/>
      <c r="G104" s="2595"/>
      <c r="H104" s="2595"/>
      <c r="I104" s="2595"/>
      <c r="J104" s="2595"/>
      <c r="K104" s="2595"/>
      <c r="L104" s="2595"/>
      <c r="M104" s="879"/>
      <c r="N104" s="877"/>
      <c r="O104" s="877"/>
      <c r="P104" s="877"/>
      <c r="Q104" s="877"/>
      <c r="R104" s="2596">
        <f>AG6</f>
        <v>8067126</v>
      </c>
      <c r="S104" s="2596"/>
      <c r="T104" s="2596"/>
      <c r="U104" s="2596"/>
      <c r="V104" s="2596"/>
      <c r="W104" s="880"/>
      <c r="X104" s="880"/>
      <c r="Y104" s="880"/>
      <c r="Z104" s="2595" t="s">
        <v>8170</v>
      </c>
      <c r="AA104" s="2595"/>
      <c r="AB104" s="2595"/>
      <c r="AC104" s="2595"/>
      <c r="AD104" s="2595"/>
      <c r="AE104" s="2595"/>
      <c r="AF104" s="2595"/>
      <c r="AG104" s="879"/>
      <c r="AH104" s="2597">
        <f>J7</f>
        <v>1</v>
      </c>
      <c r="AI104" s="2597"/>
      <c r="AJ104" s="2591"/>
      <c r="AK104" s="59"/>
    </row>
    <row r="105" spans="2:37" ht="24.95" customHeight="1" x14ac:dyDescent="0.4">
      <c r="B105" s="58"/>
      <c r="C105" s="2592"/>
      <c r="D105" s="2593"/>
      <c r="E105" s="2593"/>
      <c r="F105" s="2593"/>
      <c r="G105" s="2593"/>
      <c r="H105" s="2593"/>
      <c r="I105" s="2593"/>
      <c r="J105" s="2593"/>
      <c r="K105" s="2593"/>
      <c r="L105" s="2593"/>
      <c r="M105" s="877"/>
      <c r="N105" s="724"/>
      <c r="O105" s="724"/>
      <c r="P105" s="724"/>
      <c r="Q105" s="724"/>
      <c r="R105" s="724"/>
      <c r="S105" s="724"/>
      <c r="T105" s="724"/>
      <c r="U105" s="724"/>
      <c r="V105" s="724"/>
      <c r="W105" s="724"/>
      <c r="X105" s="724"/>
      <c r="Y105" s="724"/>
      <c r="Z105" s="724"/>
      <c r="AA105" s="724"/>
      <c r="AB105" s="724"/>
      <c r="AC105" s="724"/>
      <c r="AD105" s="724"/>
      <c r="AE105" s="724"/>
      <c r="AF105" s="724"/>
      <c r="AG105" s="724"/>
      <c r="AH105" s="724"/>
      <c r="AI105" s="724"/>
      <c r="AJ105" s="725"/>
      <c r="AK105" s="59"/>
    </row>
    <row r="106" spans="2:37" ht="24.95" customHeight="1" x14ac:dyDescent="0.4">
      <c r="B106" s="58"/>
      <c r="C106" s="2592" t="s">
        <v>9215</v>
      </c>
      <c r="D106" s="2593"/>
      <c r="E106" s="2593"/>
      <c r="F106" s="2593"/>
      <c r="G106" s="2593"/>
      <c r="H106" s="2593"/>
      <c r="I106" s="2593"/>
      <c r="J106" s="2593"/>
      <c r="K106" s="2593"/>
      <c r="L106" s="2593"/>
      <c r="M106" s="877"/>
      <c r="N106" s="888"/>
      <c r="O106" s="888"/>
      <c r="P106" s="888"/>
      <c r="Q106" s="888"/>
      <c r="R106" s="2596" t="s">
        <v>9386</v>
      </c>
      <c r="S106" s="2596"/>
      <c r="T106" s="2596"/>
      <c r="U106" s="2596"/>
      <c r="V106" s="2596"/>
      <c r="W106" s="2596"/>
      <c r="X106" s="2596"/>
      <c r="Y106" s="2596"/>
      <c r="Z106" s="2596"/>
      <c r="AA106" s="2596"/>
      <c r="AB106" s="2596"/>
      <c r="AC106" s="2596"/>
      <c r="AD106" s="2596"/>
      <c r="AE106" s="2596"/>
      <c r="AF106" s="2596"/>
      <c r="AG106" s="2596"/>
      <c r="AH106" s="2596"/>
      <c r="AI106" s="2596"/>
      <c r="AJ106" s="3884"/>
      <c r="AK106" s="59"/>
    </row>
    <row r="107" spans="2:37" ht="24.95" customHeight="1" x14ac:dyDescent="0.4">
      <c r="B107" s="58"/>
      <c r="C107" s="876"/>
      <c r="D107" s="877"/>
      <c r="E107" s="877"/>
      <c r="F107" s="877"/>
      <c r="G107" s="877"/>
      <c r="H107" s="877"/>
      <c r="I107" s="877"/>
      <c r="J107" s="877"/>
      <c r="K107" s="877"/>
      <c r="L107" s="877"/>
      <c r="M107" s="877"/>
      <c r="N107" s="888"/>
      <c r="O107" s="888"/>
      <c r="P107" s="888"/>
      <c r="Q107" s="888"/>
      <c r="R107" s="2596"/>
      <c r="S107" s="2596"/>
      <c r="T107" s="2596"/>
      <c r="U107" s="2596"/>
      <c r="V107" s="2596"/>
      <c r="W107" s="2596"/>
      <c r="X107" s="2596"/>
      <c r="Y107" s="2596"/>
      <c r="Z107" s="2596"/>
      <c r="AA107" s="2596"/>
      <c r="AB107" s="2596"/>
      <c r="AC107" s="2596"/>
      <c r="AD107" s="2596"/>
      <c r="AE107" s="2596"/>
      <c r="AF107" s="2596"/>
      <c r="AG107" s="2596"/>
      <c r="AH107" s="2596"/>
      <c r="AI107" s="2596"/>
      <c r="AJ107" s="3884"/>
      <c r="AK107" s="59"/>
    </row>
    <row r="108" spans="2:37" ht="24.95" customHeight="1" x14ac:dyDescent="0.4">
      <c r="B108" s="58"/>
      <c r="C108" s="876"/>
      <c r="D108" s="877"/>
      <c r="E108" s="877"/>
      <c r="F108" s="877"/>
      <c r="G108" s="877"/>
      <c r="H108" s="877"/>
      <c r="I108" s="877"/>
      <c r="J108" s="877"/>
      <c r="K108" s="877"/>
      <c r="L108" s="877"/>
      <c r="M108" s="877"/>
      <c r="N108" s="888"/>
      <c r="O108" s="888"/>
      <c r="P108" s="888"/>
      <c r="Q108" s="888"/>
      <c r="R108" s="2596" t="str">
        <f>H13&amp;"."</f>
        <v>Publicação atrasada de Afastamento Preliminar Aposentadoria ex-Lei 100..</v>
      </c>
      <c r="S108" s="2596"/>
      <c r="T108" s="2596"/>
      <c r="U108" s="2596"/>
      <c r="V108" s="2596"/>
      <c r="W108" s="2596"/>
      <c r="X108" s="2596"/>
      <c r="Y108" s="2596"/>
      <c r="Z108" s="2596"/>
      <c r="AA108" s="2596"/>
      <c r="AB108" s="2596"/>
      <c r="AC108" s="2596"/>
      <c r="AD108" s="2596"/>
      <c r="AE108" s="2596"/>
      <c r="AF108" s="2596"/>
      <c r="AG108" s="2596"/>
      <c r="AH108" s="2596"/>
      <c r="AI108" s="2596"/>
      <c r="AJ108" s="3884"/>
      <c r="AK108" s="59"/>
    </row>
    <row r="109" spans="2:37" ht="24.95" customHeight="1" x14ac:dyDescent="0.4">
      <c r="B109" s="58"/>
      <c r="C109" s="445"/>
      <c r="D109" s="855"/>
      <c r="E109" s="855"/>
      <c r="F109" s="855"/>
      <c r="G109" s="855"/>
      <c r="H109" s="855"/>
      <c r="I109" s="855"/>
      <c r="J109" s="855"/>
      <c r="K109" s="855"/>
      <c r="L109" s="855"/>
      <c r="M109" s="855"/>
      <c r="N109" s="855"/>
      <c r="O109" s="855"/>
      <c r="P109" s="855"/>
      <c r="Q109" s="855"/>
      <c r="R109" s="2596"/>
      <c r="S109" s="2596"/>
      <c r="T109" s="2596"/>
      <c r="U109" s="2596"/>
      <c r="V109" s="2596"/>
      <c r="W109" s="2596"/>
      <c r="X109" s="2596"/>
      <c r="Y109" s="2596"/>
      <c r="Z109" s="2596"/>
      <c r="AA109" s="2596"/>
      <c r="AB109" s="2596"/>
      <c r="AC109" s="2596"/>
      <c r="AD109" s="2596"/>
      <c r="AE109" s="2596"/>
      <c r="AF109" s="2596"/>
      <c r="AG109" s="2596"/>
      <c r="AH109" s="2596"/>
      <c r="AI109" s="2596"/>
      <c r="AJ109" s="3884"/>
      <c r="AK109" s="59"/>
    </row>
    <row r="110" spans="2:37" ht="24.95" customHeight="1" x14ac:dyDescent="0.4">
      <c r="B110" s="58"/>
      <c r="C110" s="445"/>
      <c r="D110" s="855"/>
      <c r="E110" s="855"/>
      <c r="F110" s="855"/>
      <c r="G110" s="855"/>
      <c r="H110" s="855"/>
      <c r="I110" s="855"/>
      <c r="J110" s="855"/>
      <c r="K110" s="855"/>
      <c r="L110" s="855"/>
      <c r="M110" s="855"/>
      <c r="N110" s="855"/>
      <c r="O110" s="855"/>
      <c r="P110" s="855"/>
      <c r="Q110" s="855"/>
      <c r="R110" s="2596"/>
      <c r="S110" s="2596"/>
      <c r="T110" s="2596"/>
      <c r="U110" s="2596"/>
      <c r="V110" s="2596"/>
      <c r="W110" s="2596"/>
      <c r="X110" s="2596"/>
      <c r="Y110" s="2596"/>
      <c r="Z110" s="2596"/>
      <c r="AA110" s="2596"/>
      <c r="AB110" s="2596"/>
      <c r="AC110" s="2596"/>
      <c r="AD110" s="2596"/>
      <c r="AE110" s="2596"/>
      <c r="AF110" s="2596"/>
      <c r="AG110" s="2596"/>
      <c r="AH110" s="2596"/>
      <c r="AI110" s="2596"/>
      <c r="AJ110" s="3884"/>
      <c r="AK110" s="59"/>
    </row>
    <row r="111" spans="2:37" ht="24.95" customHeight="1" x14ac:dyDescent="0.4">
      <c r="B111" s="58"/>
      <c r="C111" s="445"/>
      <c r="D111" s="855"/>
      <c r="E111" s="855"/>
      <c r="F111" s="855"/>
      <c r="G111" s="855"/>
      <c r="H111" s="855"/>
      <c r="I111" s="855"/>
      <c r="J111" s="855"/>
      <c r="K111" s="855"/>
      <c r="L111" s="855"/>
      <c r="M111" s="855"/>
      <c r="N111" s="855"/>
      <c r="O111" s="855"/>
      <c r="P111" s="855"/>
      <c r="Q111" s="855"/>
      <c r="R111" s="884"/>
      <c r="S111" s="884"/>
      <c r="T111" s="884"/>
      <c r="U111" s="884"/>
      <c r="V111" s="884"/>
      <c r="W111" s="884"/>
      <c r="X111" s="884"/>
      <c r="Y111" s="884"/>
      <c r="Z111" s="884"/>
      <c r="AA111" s="884"/>
      <c r="AB111" s="884"/>
      <c r="AC111" s="884"/>
      <c r="AD111" s="884"/>
      <c r="AE111" s="884"/>
      <c r="AF111" s="884"/>
      <c r="AG111" s="884"/>
      <c r="AH111" s="884"/>
      <c r="AI111" s="884"/>
      <c r="AJ111" s="885"/>
      <c r="AK111" s="59"/>
    </row>
    <row r="112" spans="2:37" ht="24.95" customHeight="1" x14ac:dyDescent="0.4">
      <c r="B112" s="58"/>
      <c r="C112" s="445"/>
      <c r="D112" s="855"/>
      <c r="E112" s="855"/>
      <c r="F112" s="855"/>
      <c r="G112" s="855"/>
      <c r="H112" s="855"/>
      <c r="I112" s="855"/>
      <c r="J112" s="855"/>
      <c r="K112" s="855"/>
      <c r="L112" s="855"/>
      <c r="M112" s="855"/>
      <c r="N112" s="855"/>
      <c r="O112" s="855"/>
      <c r="P112" s="855"/>
      <c r="Q112" s="855"/>
      <c r="R112" s="884"/>
      <c r="S112" s="884"/>
      <c r="T112" s="884"/>
      <c r="U112" s="884"/>
      <c r="V112" s="884"/>
      <c r="W112" s="884"/>
      <c r="X112" s="884"/>
      <c r="Y112" s="884"/>
      <c r="Z112" s="884"/>
      <c r="AA112" s="884"/>
      <c r="AB112" s="884"/>
      <c r="AC112" s="884"/>
      <c r="AD112" s="884"/>
      <c r="AE112" s="884"/>
      <c r="AF112" s="884"/>
      <c r="AG112" s="884"/>
      <c r="AH112" s="884"/>
      <c r="AI112" s="884"/>
      <c r="AJ112" s="885"/>
      <c r="AK112" s="59"/>
    </row>
    <row r="113" spans="2:37" ht="24.95" customHeight="1" x14ac:dyDescent="0.4">
      <c r="B113" s="58"/>
      <c r="C113" s="445"/>
      <c r="D113" s="855"/>
      <c r="E113" s="855"/>
      <c r="F113" s="855"/>
      <c r="G113" s="855"/>
      <c r="H113" s="855"/>
      <c r="I113" s="855"/>
      <c r="J113" s="855"/>
      <c r="K113" s="855"/>
      <c r="L113" s="855"/>
      <c r="M113" s="855"/>
      <c r="N113" s="855"/>
      <c r="O113" s="855"/>
      <c r="P113" s="855"/>
      <c r="Q113" s="855"/>
      <c r="R113" s="884"/>
      <c r="S113" s="884"/>
      <c r="T113" s="884"/>
      <c r="U113" s="884"/>
      <c r="V113" s="884"/>
      <c r="W113" s="884"/>
      <c r="X113" s="884"/>
      <c r="Y113" s="884"/>
      <c r="Z113" s="884"/>
      <c r="AA113" s="884"/>
      <c r="AB113" s="884"/>
      <c r="AC113" s="884"/>
      <c r="AD113" s="884"/>
      <c r="AE113" s="884"/>
      <c r="AF113" s="884"/>
      <c r="AG113" s="884"/>
      <c r="AH113" s="884"/>
      <c r="AI113" s="884"/>
      <c r="AJ113" s="885"/>
      <c r="AK113" s="59"/>
    </row>
    <row r="114" spans="2:37" ht="27.75" customHeight="1" x14ac:dyDescent="0.4">
      <c r="B114" s="58"/>
      <c r="C114" s="445"/>
      <c r="D114" s="855"/>
      <c r="E114" s="855"/>
      <c r="F114" s="855"/>
      <c r="G114" s="855"/>
      <c r="H114" s="855"/>
      <c r="I114" s="855"/>
      <c r="J114" s="855"/>
      <c r="K114" s="855"/>
      <c r="L114" s="855"/>
      <c r="M114" s="855"/>
      <c r="N114" s="855"/>
      <c r="O114" s="855"/>
      <c r="P114" s="855"/>
      <c r="Q114" s="855"/>
      <c r="R114" s="884"/>
      <c r="S114" s="884"/>
      <c r="T114" s="884"/>
      <c r="U114" s="884"/>
      <c r="V114" s="884"/>
      <c r="W114" s="884"/>
      <c r="X114" s="884"/>
      <c r="Y114" s="884"/>
      <c r="Z114" s="884"/>
      <c r="AA114" s="884"/>
      <c r="AB114" s="884"/>
      <c r="AC114" s="884"/>
      <c r="AD114" s="884"/>
      <c r="AE114" s="884"/>
      <c r="AF114" s="884"/>
      <c r="AG114" s="884"/>
      <c r="AH114" s="884"/>
      <c r="AI114" s="884"/>
      <c r="AJ114" s="885"/>
      <c r="AK114" s="59"/>
    </row>
    <row r="115" spans="2:37" ht="24.95" customHeight="1" x14ac:dyDescent="0.4">
      <c r="B115" s="58"/>
      <c r="C115" s="445"/>
      <c r="D115" s="855"/>
      <c r="E115" s="855"/>
      <c r="F115" s="855"/>
      <c r="G115" s="855"/>
      <c r="H115" s="855"/>
      <c r="I115" s="855"/>
      <c r="J115" s="855"/>
      <c r="K115" s="855"/>
      <c r="L115" s="855"/>
      <c r="M115" s="855"/>
      <c r="N115" s="855"/>
      <c r="O115" s="855"/>
      <c r="P115" s="855"/>
      <c r="Q115" s="855"/>
      <c r="R115" s="884"/>
      <c r="S115" s="884"/>
      <c r="T115" s="884"/>
      <c r="U115" s="884"/>
      <c r="V115" s="884"/>
      <c r="W115" s="884"/>
      <c r="X115" s="884"/>
      <c r="Y115" s="884"/>
      <c r="Z115" s="884"/>
      <c r="AA115" s="884"/>
      <c r="AB115" s="884"/>
      <c r="AC115" s="884"/>
      <c r="AD115" s="884"/>
      <c r="AE115" s="884"/>
      <c r="AF115" s="884"/>
      <c r="AG115" s="884"/>
      <c r="AH115" s="884"/>
      <c r="AI115" s="884"/>
      <c r="AJ115" s="885"/>
      <c r="AK115" s="59"/>
    </row>
    <row r="116" spans="2:37" ht="19.5" customHeight="1" x14ac:dyDescent="0.4">
      <c r="B116" s="58"/>
      <c r="C116" s="445"/>
      <c r="D116" s="855"/>
      <c r="E116" s="855"/>
      <c r="F116" s="855"/>
      <c r="G116" s="855"/>
      <c r="H116" s="855"/>
      <c r="I116" s="855"/>
      <c r="J116" s="855"/>
      <c r="K116" s="855"/>
      <c r="L116" s="855"/>
      <c r="M116" s="855"/>
      <c r="N116" s="855"/>
      <c r="O116" s="855"/>
      <c r="P116" s="855"/>
      <c r="Q116" s="855"/>
      <c r="R116" s="884"/>
      <c r="S116" s="884"/>
      <c r="T116" s="884"/>
      <c r="U116" s="884"/>
      <c r="V116" s="884"/>
      <c r="W116" s="884"/>
      <c r="X116" s="884"/>
      <c r="Y116" s="884"/>
      <c r="Z116" s="884"/>
      <c r="AA116" s="884"/>
      <c r="AB116" s="884"/>
      <c r="AC116" s="884"/>
      <c r="AD116" s="884"/>
      <c r="AE116" s="884"/>
      <c r="AF116" s="884"/>
      <c r="AG116" s="884"/>
      <c r="AH116" s="884"/>
      <c r="AI116" s="884"/>
      <c r="AJ116" s="885"/>
      <c r="AK116" s="59"/>
    </row>
    <row r="117" spans="2:37" ht="24.95" customHeight="1" x14ac:dyDescent="0.4">
      <c r="B117" s="58"/>
      <c r="C117" s="445"/>
      <c r="D117" s="855"/>
      <c r="E117" s="855"/>
      <c r="F117" s="855"/>
      <c r="G117" s="855"/>
      <c r="H117" s="855"/>
      <c r="I117" s="855"/>
      <c r="J117" s="855"/>
      <c r="K117" s="855"/>
      <c r="L117" s="855"/>
      <c r="M117" s="855"/>
      <c r="N117" s="855"/>
      <c r="O117" s="855"/>
      <c r="P117" s="855"/>
      <c r="Q117" s="855"/>
      <c r="R117" s="884"/>
      <c r="S117" s="884"/>
      <c r="T117" s="884"/>
      <c r="U117" s="884"/>
      <c r="V117" s="884"/>
      <c r="W117" s="884"/>
      <c r="X117" s="884"/>
      <c r="Y117" s="884"/>
      <c r="Z117" s="884"/>
      <c r="AA117" s="884"/>
      <c r="AB117" s="884"/>
      <c r="AC117" s="884"/>
      <c r="AD117" s="884"/>
      <c r="AE117" s="884"/>
      <c r="AF117" s="884"/>
      <c r="AG117" s="884"/>
      <c r="AH117" s="884"/>
      <c r="AI117" s="884"/>
      <c r="AJ117" s="885"/>
      <c r="AK117" s="59"/>
    </row>
    <row r="118" spans="2:37" ht="15.95" customHeight="1" x14ac:dyDescent="0.4">
      <c r="B118" s="58"/>
      <c r="C118" s="871"/>
      <c r="D118" s="857"/>
      <c r="E118" s="857"/>
      <c r="F118" s="857"/>
      <c r="G118" s="857"/>
      <c r="H118" s="857"/>
      <c r="I118" s="857"/>
      <c r="J118" s="857"/>
      <c r="K118" s="857"/>
      <c r="L118" s="857"/>
      <c r="M118" s="857"/>
      <c r="N118" s="857"/>
      <c r="O118" s="857"/>
      <c r="P118" s="857"/>
      <c r="Q118" s="857"/>
      <c r="R118" s="857"/>
      <c r="S118" s="857"/>
      <c r="T118" s="857"/>
      <c r="U118" s="857"/>
      <c r="V118" s="857"/>
      <c r="W118" s="857"/>
      <c r="X118" s="857"/>
      <c r="Y118" s="857"/>
      <c r="Z118" s="857"/>
      <c r="AA118" s="857"/>
      <c r="AB118" s="857"/>
      <c r="AC118" s="857"/>
      <c r="AD118" s="857"/>
      <c r="AE118" s="857"/>
      <c r="AF118" s="857"/>
      <c r="AG118" s="857"/>
      <c r="AH118" s="857"/>
      <c r="AI118" s="857"/>
      <c r="AJ118" s="873"/>
      <c r="AK118" s="59"/>
    </row>
    <row r="119" spans="2:37" ht="24.95" customHeight="1" thickBot="1" x14ac:dyDescent="0.45">
      <c r="B119" s="58"/>
      <c r="C119" s="871"/>
      <c r="D119" s="857"/>
      <c r="E119" s="857"/>
      <c r="F119" s="857"/>
      <c r="G119" s="857"/>
      <c r="H119" s="857"/>
      <c r="I119" s="857"/>
      <c r="J119" s="857"/>
      <c r="K119" s="857"/>
      <c r="L119" s="857"/>
      <c r="M119" s="857"/>
      <c r="N119" s="2615" t="s">
        <v>9218</v>
      </c>
      <c r="O119" s="2615"/>
      <c r="P119" s="2615"/>
      <c r="Q119" s="2615"/>
      <c r="R119" s="2615"/>
      <c r="S119" s="2615"/>
      <c r="T119" s="2615"/>
      <c r="U119" s="2615"/>
      <c r="V119" s="2615"/>
      <c r="W119" s="2615"/>
      <c r="X119" s="2615"/>
      <c r="Y119" s="2615"/>
      <c r="Z119" s="2615"/>
      <c r="AA119" s="857"/>
      <c r="AB119" s="857"/>
      <c r="AC119" s="857"/>
      <c r="AD119" s="857"/>
      <c r="AE119" s="857"/>
      <c r="AF119" s="857"/>
      <c r="AG119" s="857"/>
      <c r="AH119" s="857"/>
      <c r="AI119" s="857"/>
      <c r="AJ119" s="873"/>
      <c r="AK119" s="59"/>
    </row>
    <row r="120" spans="2:37" ht="15.95" customHeight="1" x14ac:dyDescent="0.4">
      <c r="B120" s="58"/>
      <c r="C120" s="871"/>
      <c r="D120" s="857"/>
      <c r="E120" s="857"/>
      <c r="F120" s="857"/>
      <c r="G120" s="857"/>
      <c r="H120" s="857"/>
      <c r="I120" s="857"/>
      <c r="J120" s="857"/>
      <c r="K120" s="857"/>
      <c r="L120" s="857"/>
      <c r="M120" s="857"/>
      <c r="N120" s="2616"/>
      <c r="O120" s="3871"/>
      <c r="P120" s="3871"/>
      <c r="Q120" s="3871"/>
      <c r="R120" s="2617"/>
      <c r="S120" s="2617"/>
      <c r="T120" s="2617"/>
      <c r="U120" s="2617"/>
      <c r="V120" s="2617"/>
      <c r="W120" s="3872"/>
      <c r="X120" s="3872"/>
      <c r="Y120" s="3872"/>
      <c r="Z120" s="2618"/>
      <c r="AA120" s="857"/>
      <c r="AB120" s="857"/>
      <c r="AC120" s="857"/>
      <c r="AD120" s="857"/>
      <c r="AE120" s="857"/>
      <c r="AF120" s="857"/>
      <c r="AG120" s="857"/>
      <c r="AH120" s="857"/>
      <c r="AI120" s="857"/>
      <c r="AJ120" s="873"/>
      <c r="AK120" s="59"/>
    </row>
    <row r="121" spans="2:37" ht="15.95" customHeight="1" x14ac:dyDescent="0.4">
      <c r="B121" s="58"/>
      <c r="C121" s="871"/>
      <c r="D121" s="857"/>
      <c r="E121" s="857"/>
      <c r="F121" s="857"/>
      <c r="G121" s="857"/>
      <c r="H121" s="857"/>
      <c r="I121" s="857"/>
      <c r="J121" s="857"/>
      <c r="K121" s="857"/>
      <c r="L121" s="857"/>
      <c r="M121" s="857"/>
      <c r="N121" s="2619"/>
      <c r="O121" s="3873"/>
      <c r="P121" s="3873"/>
      <c r="Q121" s="3873"/>
      <c r="R121" s="2620"/>
      <c r="S121" s="2620"/>
      <c r="T121" s="2620"/>
      <c r="U121" s="2620"/>
      <c r="V121" s="2620"/>
      <c r="W121" s="3874"/>
      <c r="X121" s="3874"/>
      <c r="Y121" s="3874"/>
      <c r="Z121" s="2621"/>
      <c r="AA121" s="857"/>
      <c r="AB121" s="857"/>
      <c r="AC121" s="857"/>
      <c r="AD121" s="857"/>
      <c r="AE121" s="857"/>
      <c r="AF121" s="857"/>
      <c r="AG121" s="857"/>
      <c r="AH121" s="857"/>
      <c r="AI121" s="857"/>
      <c r="AJ121" s="873"/>
      <c r="AK121" s="59"/>
    </row>
    <row r="122" spans="2:37" ht="15.95" customHeight="1" x14ac:dyDescent="0.4">
      <c r="B122" s="58"/>
      <c r="C122" s="871"/>
      <c r="D122" s="857"/>
      <c r="E122" s="857"/>
      <c r="F122" s="857"/>
      <c r="G122" s="857"/>
      <c r="H122" s="857"/>
      <c r="I122" s="857"/>
      <c r="J122" s="857"/>
      <c r="K122" s="857"/>
      <c r="L122" s="857"/>
      <c r="M122" s="857"/>
      <c r="N122" s="2619"/>
      <c r="O122" s="3873"/>
      <c r="P122" s="3873"/>
      <c r="Q122" s="3873"/>
      <c r="R122" s="2620"/>
      <c r="S122" s="2620"/>
      <c r="T122" s="2620"/>
      <c r="U122" s="2620"/>
      <c r="V122" s="2620"/>
      <c r="W122" s="3874"/>
      <c r="X122" s="3874"/>
      <c r="Y122" s="3874"/>
      <c r="Z122" s="2621"/>
      <c r="AA122" s="857"/>
      <c r="AB122" s="857"/>
      <c r="AC122" s="857"/>
      <c r="AD122" s="857"/>
      <c r="AE122" s="857"/>
      <c r="AF122" s="857"/>
      <c r="AG122" s="857"/>
      <c r="AH122" s="857"/>
      <c r="AI122" s="857"/>
      <c r="AJ122" s="873"/>
      <c r="AK122" s="59"/>
    </row>
    <row r="123" spans="2:37" ht="15.95" customHeight="1" x14ac:dyDescent="0.4">
      <c r="B123" s="58"/>
      <c r="C123" s="727"/>
      <c r="D123" s="891"/>
      <c r="E123" s="891"/>
      <c r="F123" s="891"/>
      <c r="G123" s="891"/>
      <c r="H123" s="891"/>
      <c r="I123" s="891"/>
      <c r="J123" s="891"/>
      <c r="K123" s="891"/>
      <c r="L123" s="891"/>
      <c r="M123" s="891"/>
      <c r="N123" s="3875"/>
      <c r="O123" s="3876"/>
      <c r="P123" s="3876"/>
      <c r="Q123" s="3876"/>
      <c r="R123" s="3851"/>
      <c r="S123" s="3851"/>
      <c r="T123" s="3851"/>
      <c r="U123" s="3851"/>
      <c r="V123" s="3851"/>
      <c r="W123" s="3877"/>
      <c r="X123" s="3877"/>
      <c r="Y123" s="3877"/>
      <c r="Z123" s="3878"/>
      <c r="AA123" s="890"/>
      <c r="AB123" s="890"/>
      <c r="AC123" s="890"/>
      <c r="AD123" s="890"/>
      <c r="AE123" s="890"/>
      <c r="AF123" s="890"/>
      <c r="AG123" s="890"/>
      <c r="AH123" s="890"/>
      <c r="AI123" s="890"/>
      <c r="AJ123" s="728"/>
      <c r="AK123" s="59"/>
    </row>
    <row r="124" spans="2:37" ht="15.95" customHeight="1" x14ac:dyDescent="0.4">
      <c r="B124" s="58"/>
      <c r="C124" s="445"/>
      <c r="D124" s="855"/>
      <c r="E124" s="855"/>
      <c r="F124" s="855"/>
      <c r="G124" s="855"/>
      <c r="H124" s="855"/>
      <c r="I124" s="855"/>
      <c r="J124" s="855"/>
      <c r="K124" s="855"/>
      <c r="L124" s="855"/>
      <c r="M124" s="855"/>
      <c r="N124" s="3875"/>
      <c r="O124" s="3876"/>
      <c r="P124" s="3876"/>
      <c r="Q124" s="3876"/>
      <c r="R124" s="3851"/>
      <c r="S124" s="3851"/>
      <c r="T124" s="3851"/>
      <c r="U124" s="3851"/>
      <c r="V124" s="3851"/>
      <c r="W124" s="3877"/>
      <c r="X124" s="3877"/>
      <c r="Y124" s="3877"/>
      <c r="Z124" s="3878"/>
      <c r="AA124" s="855"/>
      <c r="AB124" s="855"/>
      <c r="AC124" s="855"/>
      <c r="AD124" s="855"/>
      <c r="AE124" s="855"/>
      <c r="AF124" s="855"/>
      <c r="AG124" s="855"/>
      <c r="AH124" s="855"/>
      <c r="AI124" s="855"/>
      <c r="AJ124" s="872"/>
      <c r="AK124" s="59"/>
    </row>
    <row r="125" spans="2:37" ht="15.95" customHeight="1" thickBot="1" x14ac:dyDescent="0.45">
      <c r="B125" s="58"/>
      <c r="C125" s="717"/>
      <c r="D125" s="881"/>
      <c r="E125" s="881"/>
      <c r="F125" s="881"/>
      <c r="G125" s="881"/>
      <c r="H125" s="881"/>
      <c r="I125" s="881"/>
      <c r="J125" s="881"/>
      <c r="K125" s="881"/>
      <c r="L125" s="881"/>
      <c r="M125" s="881"/>
      <c r="N125" s="3879"/>
      <c r="O125" s="3880"/>
      <c r="P125" s="3880"/>
      <c r="Q125" s="3880"/>
      <c r="R125" s="3881"/>
      <c r="S125" s="3881"/>
      <c r="T125" s="3881"/>
      <c r="U125" s="3881"/>
      <c r="V125" s="3881"/>
      <c r="W125" s="3882"/>
      <c r="X125" s="3882"/>
      <c r="Y125" s="3882"/>
      <c r="Z125" s="3883"/>
      <c r="AA125" s="881"/>
      <c r="AB125" s="881"/>
      <c r="AC125" s="881"/>
      <c r="AD125" s="881"/>
      <c r="AE125" s="881"/>
      <c r="AF125" s="881"/>
      <c r="AG125" s="881"/>
      <c r="AH125" s="881"/>
      <c r="AI125" s="881"/>
      <c r="AJ125" s="716"/>
      <c r="AK125" s="59"/>
    </row>
    <row r="126" spans="2:37" ht="15.95" customHeight="1" x14ac:dyDescent="0.4">
      <c r="B126" s="58"/>
      <c r="C126" s="726"/>
      <c r="D126" s="709"/>
      <c r="E126" s="709"/>
      <c r="F126" s="709"/>
      <c r="G126" s="709"/>
      <c r="H126" s="709"/>
      <c r="I126" s="709"/>
      <c r="J126" s="881"/>
      <c r="K126" s="881"/>
      <c r="L126" s="881"/>
      <c r="M126" s="881"/>
      <c r="N126" s="881"/>
      <c r="O126" s="881"/>
      <c r="P126" s="881"/>
      <c r="Q126" s="881"/>
      <c r="R126" s="881"/>
      <c r="S126" s="881"/>
      <c r="T126" s="881"/>
      <c r="U126" s="881"/>
      <c r="V126" s="881"/>
      <c r="W126" s="881"/>
      <c r="X126" s="881"/>
      <c r="Y126" s="881"/>
      <c r="Z126" s="881"/>
      <c r="AA126" s="881"/>
      <c r="AB126" s="881"/>
      <c r="AC126" s="881"/>
      <c r="AD126" s="881"/>
      <c r="AE126" s="881"/>
      <c r="AF126" s="881"/>
      <c r="AG126" s="881"/>
      <c r="AH126" s="881"/>
      <c r="AI126" s="881"/>
      <c r="AJ126" s="716"/>
      <c r="AK126" s="59"/>
    </row>
    <row r="127" spans="2:37" ht="24.95" customHeight="1" x14ac:dyDescent="0.4">
      <c r="B127" s="58"/>
      <c r="C127" s="729"/>
      <c r="D127" s="730"/>
      <c r="E127" s="730"/>
      <c r="F127" s="730"/>
      <c r="G127" s="730"/>
      <c r="H127" s="730"/>
      <c r="I127" s="730"/>
      <c r="J127" s="730"/>
      <c r="K127" s="730"/>
      <c r="L127" s="730"/>
      <c r="M127" s="730"/>
      <c r="N127" s="2626" t="s">
        <v>9217</v>
      </c>
      <c r="O127" s="2626"/>
      <c r="P127" s="2626"/>
      <c r="Q127" s="2626"/>
      <c r="R127" s="2626"/>
      <c r="S127" s="2626"/>
      <c r="T127" s="2626"/>
      <c r="U127" s="2626"/>
      <c r="V127" s="2626"/>
      <c r="W127" s="2626"/>
      <c r="X127" s="2626"/>
      <c r="Y127" s="2626"/>
      <c r="Z127" s="2626"/>
      <c r="AA127" s="730"/>
      <c r="AB127" s="730"/>
      <c r="AC127" s="730"/>
      <c r="AD127" s="730"/>
      <c r="AE127" s="730"/>
      <c r="AF127" s="730"/>
      <c r="AG127" s="730"/>
      <c r="AH127" s="730"/>
      <c r="AI127" s="730"/>
      <c r="AJ127" s="731"/>
      <c r="AK127" s="59"/>
    </row>
    <row r="128" spans="2:37" ht="15.95" customHeight="1" x14ac:dyDescent="0.4">
      <c r="B128" s="58"/>
      <c r="C128" s="3875"/>
      <c r="D128" s="892"/>
      <c r="E128" s="3851"/>
      <c r="F128" s="893"/>
      <c r="G128" s="3851"/>
      <c r="H128" s="3851"/>
      <c r="I128" s="893"/>
      <c r="J128" s="3851"/>
      <c r="K128" s="3851"/>
      <c r="L128" s="3851"/>
      <c r="M128" s="893"/>
      <c r="N128" s="3851" t="s">
        <v>8057</v>
      </c>
      <c r="O128" s="893"/>
      <c r="P128" s="893"/>
      <c r="Q128" s="893"/>
      <c r="R128" s="3851"/>
      <c r="S128" s="893"/>
      <c r="T128" s="3851"/>
      <c r="U128" s="3851"/>
      <c r="V128" s="3851"/>
      <c r="W128" s="893"/>
      <c r="X128" s="893"/>
      <c r="Y128" s="893"/>
      <c r="Z128" s="3851" t="s">
        <v>8057</v>
      </c>
      <c r="AA128" s="3851"/>
      <c r="AB128" s="893"/>
      <c r="AC128" s="3851"/>
      <c r="AD128" s="893"/>
      <c r="AE128" s="3851"/>
      <c r="AF128" s="3851"/>
      <c r="AG128" s="893"/>
      <c r="AH128" s="3851" t="s">
        <v>8057</v>
      </c>
      <c r="AI128" s="894"/>
      <c r="AJ128" s="3878"/>
      <c r="AK128" s="59"/>
    </row>
    <row r="129" spans="2:53" ht="15.95" customHeight="1" x14ac:dyDescent="0.4">
      <c r="B129" s="58"/>
      <c r="C129" s="3875"/>
      <c r="D129" s="892"/>
      <c r="E129" s="3851"/>
      <c r="F129" s="893"/>
      <c r="G129" s="3851"/>
      <c r="H129" s="3851"/>
      <c r="I129" s="893"/>
      <c r="J129" s="3851"/>
      <c r="K129" s="3851"/>
      <c r="L129" s="3851"/>
      <c r="M129" s="893"/>
      <c r="N129" s="3851"/>
      <c r="O129" s="893"/>
      <c r="P129" s="893"/>
      <c r="Q129" s="893"/>
      <c r="R129" s="3851"/>
      <c r="S129" s="893"/>
      <c r="T129" s="3851"/>
      <c r="U129" s="3851"/>
      <c r="V129" s="3851"/>
      <c r="W129" s="893"/>
      <c r="X129" s="893"/>
      <c r="Y129" s="893"/>
      <c r="Z129" s="3851"/>
      <c r="AA129" s="3851"/>
      <c r="AB129" s="893"/>
      <c r="AC129" s="3851"/>
      <c r="AD129" s="893"/>
      <c r="AE129" s="3851"/>
      <c r="AF129" s="3851"/>
      <c r="AG129" s="893"/>
      <c r="AH129" s="3851"/>
      <c r="AI129" s="894"/>
      <c r="AJ129" s="3878"/>
      <c r="AK129" s="59"/>
    </row>
    <row r="130" spans="2:53" ht="15.95" customHeight="1" thickBot="1" x14ac:dyDescent="0.45">
      <c r="B130" s="58"/>
      <c r="C130" s="718"/>
      <c r="D130" s="719"/>
      <c r="E130" s="719"/>
      <c r="F130" s="719"/>
      <c r="G130" s="719"/>
      <c r="H130" s="719"/>
      <c r="I130" s="719"/>
      <c r="J130" s="719"/>
      <c r="K130" s="719"/>
      <c r="L130" s="719"/>
      <c r="M130" s="719"/>
      <c r="N130" s="719"/>
      <c r="O130" s="719"/>
      <c r="P130" s="719"/>
      <c r="Q130" s="719"/>
      <c r="R130" s="719"/>
      <c r="S130" s="719"/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19"/>
      <c r="AH130" s="719"/>
      <c r="AI130" s="719"/>
      <c r="AJ130" s="720"/>
      <c r="AK130" s="59"/>
    </row>
    <row r="131" spans="2:53" ht="15.95" customHeight="1" thickBot="1" x14ac:dyDescent="0.45">
      <c r="B131" s="60"/>
      <c r="C131" s="61"/>
      <c r="D131" s="61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3"/>
    </row>
    <row r="132" spans="2:53" ht="5.0999999999999996" customHeight="1" thickTop="1" thickBot="1" x14ac:dyDescent="0.45"/>
    <row r="133" spans="2:53" ht="15.95" customHeight="1" thickTop="1" x14ac:dyDescent="0.4">
      <c r="B133" s="52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5"/>
    </row>
    <row r="134" spans="2:53" ht="6" customHeight="1" x14ac:dyDescent="0.4">
      <c r="B134" s="58"/>
      <c r="C134" s="266"/>
      <c r="D134" s="266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9"/>
      <c r="W134" s="339"/>
      <c r="X134" s="339"/>
      <c r="Y134" s="339"/>
      <c r="Z134" s="339"/>
      <c r="AA134" s="339"/>
      <c r="AB134" s="339"/>
      <c r="AC134" s="339"/>
      <c r="AD134" s="339"/>
      <c r="AE134" s="339"/>
      <c r="AF134" s="339"/>
      <c r="AG134" s="339"/>
      <c r="AH134" s="339"/>
      <c r="AI134" s="339"/>
      <c r="AJ134" s="339"/>
      <c r="AK134" s="59"/>
    </row>
    <row r="135" spans="2:53" s="3" customFormat="1" ht="12.95" customHeight="1" x14ac:dyDescent="0.25">
      <c r="B135" s="56"/>
      <c r="C135" s="856"/>
      <c r="D135" s="856"/>
      <c r="E135" s="856"/>
      <c r="F135" s="856"/>
      <c r="G135" s="857"/>
      <c r="H135" s="1433" t="s">
        <v>7925</v>
      </c>
      <c r="I135" s="1433"/>
      <c r="J135" s="1433"/>
      <c r="K135" s="1433"/>
      <c r="L135" s="1433"/>
      <c r="M135" s="1433"/>
      <c r="N135" s="1433"/>
      <c r="O135" s="1433"/>
      <c r="P135" s="1433"/>
      <c r="Q135" s="1433"/>
      <c r="R135" s="1433"/>
      <c r="S135" s="1433"/>
      <c r="T135" s="1433"/>
      <c r="U135" s="1433"/>
      <c r="V135" s="1433"/>
      <c r="W135" s="1433"/>
      <c r="X135" s="1433"/>
      <c r="Y135" s="1433"/>
      <c r="Z135" s="1433"/>
      <c r="AA135" s="1433"/>
      <c r="AB135" s="1433"/>
      <c r="AC135" s="1433"/>
      <c r="AD135" s="1433"/>
      <c r="AE135" s="1433"/>
      <c r="AF135" s="1433"/>
      <c r="AG135" s="1433"/>
      <c r="AH135" s="1433"/>
      <c r="AI135" s="1433"/>
      <c r="AJ135" s="1433"/>
      <c r="AK135" s="57"/>
      <c r="BA135" s="846"/>
    </row>
    <row r="136" spans="2:53" ht="12.95" customHeight="1" x14ac:dyDescent="0.4">
      <c r="B136" s="58"/>
      <c r="C136" s="855"/>
      <c r="D136" s="855"/>
      <c r="E136" s="854"/>
      <c r="F136" s="854"/>
      <c r="G136" s="857"/>
      <c r="H136" s="1433" t="s">
        <v>7926</v>
      </c>
      <c r="I136" s="1433"/>
      <c r="J136" s="1433"/>
      <c r="K136" s="1433"/>
      <c r="L136" s="1433"/>
      <c r="M136" s="1433"/>
      <c r="N136" s="1433"/>
      <c r="O136" s="1433"/>
      <c r="P136" s="1433"/>
      <c r="Q136" s="1433"/>
      <c r="R136" s="1433"/>
      <c r="S136" s="1433"/>
      <c r="T136" s="1433"/>
      <c r="U136" s="1433"/>
      <c r="V136" s="1433"/>
      <c r="W136" s="1433"/>
      <c r="X136" s="1433"/>
      <c r="Y136" s="1433"/>
      <c r="Z136" s="1433"/>
      <c r="AA136" s="1433"/>
      <c r="AB136" s="1433"/>
      <c r="AC136" s="1433"/>
      <c r="AD136" s="1433"/>
      <c r="AE136" s="1433"/>
      <c r="AF136" s="1433"/>
      <c r="AG136" s="1433"/>
      <c r="AH136" s="1433"/>
      <c r="AI136" s="1433"/>
      <c r="AJ136" s="1433"/>
      <c r="AK136" s="59"/>
    </row>
    <row r="137" spans="2:53" ht="12.95" customHeight="1" x14ac:dyDescent="0.4">
      <c r="B137" s="58"/>
      <c r="C137" s="857"/>
      <c r="D137" s="857"/>
      <c r="E137" s="857"/>
      <c r="F137" s="857"/>
      <c r="G137" s="856"/>
      <c r="H137" s="2291" t="s">
        <v>8079</v>
      </c>
      <c r="I137" s="2291"/>
      <c r="J137" s="2291"/>
      <c r="K137" s="2291"/>
      <c r="L137" s="2291"/>
      <c r="M137" s="2291"/>
      <c r="N137" s="2291"/>
      <c r="O137" s="2291"/>
      <c r="P137" s="2291"/>
      <c r="Q137" s="2291"/>
      <c r="R137" s="2291"/>
      <c r="S137" s="2291"/>
      <c r="T137" s="2291"/>
      <c r="U137" s="2291"/>
      <c r="V137" s="1435" t="s">
        <v>149</v>
      </c>
      <c r="W137" s="1435"/>
      <c r="X137" s="1435"/>
      <c r="Y137" s="1435"/>
      <c r="Z137" s="1435"/>
      <c r="AA137" s="1435"/>
      <c r="AB137" s="1435"/>
      <c r="AC137" s="1435"/>
      <c r="AD137" s="1435"/>
      <c r="AE137" s="1435"/>
      <c r="AF137" s="1435"/>
      <c r="AG137" s="1435"/>
      <c r="AH137" s="1435"/>
      <c r="AI137" s="1435"/>
      <c r="AJ137" s="1435"/>
      <c r="AK137" s="59"/>
    </row>
    <row r="138" spans="2:53" ht="12.95" customHeight="1" x14ac:dyDescent="0.4">
      <c r="B138" s="58"/>
      <c r="C138" s="853"/>
      <c r="D138" s="853"/>
      <c r="E138" s="853"/>
      <c r="F138" s="853"/>
      <c r="G138" s="1434"/>
      <c r="H138" s="1434"/>
      <c r="I138" s="1434"/>
      <c r="J138" s="1434"/>
      <c r="K138" s="1434"/>
      <c r="L138" s="1434"/>
      <c r="M138" s="1434"/>
      <c r="N138" s="1434"/>
      <c r="O138" s="1434"/>
      <c r="P138" s="1434"/>
      <c r="Q138" s="1434"/>
      <c r="R138" s="1434"/>
      <c r="S138" s="1434"/>
      <c r="T138" s="1434"/>
      <c r="U138" s="1434"/>
      <c r="V138" s="1434"/>
      <c r="W138" s="1434"/>
      <c r="X138" s="1434"/>
      <c r="Y138" s="1434"/>
      <c r="Z138" s="1434"/>
      <c r="AA138" s="1434"/>
      <c r="AB138" s="1434"/>
      <c r="AC138" s="1434"/>
      <c r="AD138" s="1434"/>
      <c r="AE138" s="1434"/>
      <c r="AF138" s="1434"/>
      <c r="AG138" s="1434"/>
      <c r="AH138" s="1434"/>
      <c r="AI138" s="1434"/>
      <c r="AJ138" s="1434"/>
      <c r="AK138" s="59"/>
    </row>
    <row r="139" spans="2:53" ht="12.95" customHeight="1" x14ac:dyDescent="0.4">
      <c r="B139" s="58"/>
      <c r="C139" s="853"/>
      <c r="D139" s="853"/>
      <c r="E139" s="853"/>
      <c r="F139" s="853"/>
      <c r="G139" s="857"/>
      <c r="H139" s="857"/>
      <c r="I139" s="857"/>
      <c r="J139" s="857"/>
      <c r="K139" s="857"/>
      <c r="L139" s="857"/>
      <c r="M139" s="857"/>
      <c r="N139" s="857"/>
      <c r="O139" s="857"/>
      <c r="P139" s="857"/>
      <c r="Q139" s="857"/>
      <c r="R139" s="857"/>
      <c r="S139" s="857"/>
      <c r="T139" s="857"/>
      <c r="U139" s="857"/>
      <c r="V139" s="857"/>
      <c r="W139" s="857"/>
      <c r="X139" s="857"/>
      <c r="Y139" s="857"/>
      <c r="Z139" s="857"/>
      <c r="AA139" s="857"/>
      <c r="AB139" s="857"/>
      <c r="AC139" s="857"/>
      <c r="AD139" s="857"/>
      <c r="AE139" s="857"/>
      <c r="AF139" s="857"/>
      <c r="AG139" s="857"/>
      <c r="AH139" s="857"/>
      <c r="AI139" s="857"/>
      <c r="AJ139" s="857"/>
      <c r="AK139" s="59"/>
    </row>
    <row r="140" spans="2:53" ht="12.95" customHeight="1" x14ac:dyDescent="0.4">
      <c r="B140" s="58"/>
      <c r="C140" s="853"/>
      <c r="D140" s="853"/>
      <c r="E140" s="853"/>
      <c r="F140" s="853"/>
      <c r="G140" s="857"/>
      <c r="H140" s="857"/>
      <c r="I140" s="857"/>
      <c r="J140" s="857"/>
      <c r="K140" s="857"/>
      <c r="L140" s="857"/>
      <c r="M140" s="857"/>
      <c r="N140" s="857"/>
      <c r="O140" s="857"/>
      <c r="P140" s="857"/>
      <c r="Q140" s="857"/>
      <c r="R140" s="857"/>
      <c r="S140" s="857"/>
      <c r="T140" s="857"/>
      <c r="U140" s="857"/>
      <c r="V140" s="857"/>
      <c r="W140" s="857"/>
      <c r="X140" s="857"/>
      <c r="Y140" s="857"/>
      <c r="Z140" s="857"/>
      <c r="AA140" s="857"/>
      <c r="AB140" s="857"/>
      <c r="AC140" s="857"/>
      <c r="AD140" s="857"/>
      <c r="AE140" s="857"/>
      <c r="AF140" s="857"/>
      <c r="AG140" s="857"/>
      <c r="AH140" s="857"/>
      <c r="AI140" s="857"/>
      <c r="AJ140" s="857"/>
      <c r="AK140" s="59"/>
    </row>
    <row r="141" spans="2:53" ht="12.95" customHeight="1" x14ac:dyDescent="0.4">
      <c r="B141" s="58"/>
      <c r="C141" s="853"/>
      <c r="D141" s="853"/>
      <c r="E141" s="853"/>
      <c r="F141" s="853"/>
      <c r="G141" s="857"/>
      <c r="H141" s="857"/>
      <c r="I141" s="857"/>
      <c r="J141" s="857"/>
      <c r="K141" s="857"/>
      <c r="L141" s="857"/>
      <c r="M141" s="857"/>
      <c r="N141" s="857"/>
      <c r="O141" s="857"/>
      <c r="P141" s="857"/>
      <c r="Q141" s="857"/>
      <c r="R141" s="857"/>
      <c r="S141" s="857"/>
      <c r="T141" s="857"/>
      <c r="U141" s="857"/>
      <c r="V141" s="857"/>
      <c r="W141" s="857"/>
      <c r="X141" s="857"/>
      <c r="Y141" s="857"/>
      <c r="Z141" s="857"/>
      <c r="AA141" s="857"/>
      <c r="AB141" s="857"/>
      <c r="AC141" s="857"/>
      <c r="AD141" s="857"/>
      <c r="AE141" s="857"/>
      <c r="AF141" s="857"/>
      <c r="AG141" s="857"/>
      <c r="AH141" s="857"/>
      <c r="AI141" s="857"/>
      <c r="AJ141" s="857"/>
      <c r="AK141" s="59"/>
    </row>
    <row r="142" spans="2:53" ht="12.95" customHeight="1" x14ac:dyDescent="0.4">
      <c r="B142" s="58"/>
      <c r="C142" s="853"/>
      <c r="D142" s="853"/>
      <c r="E142" s="853"/>
      <c r="F142" s="853"/>
      <c r="G142" s="857"/>
      <c r="H142" s="857"/>
      <c r="I142" s="857"/>
      <c r="J142" s="857"/>
      <c r="K142" s="857"/>
      <c r="L142" s="857"/>
      <c r="M142" s="857"/>
      <c r="N142" s="857"/>
      <c r="O142" s="857"/>
      <c r="P142" s="857"/>
      <c r="Q142" s="857"/>
      <c r="R142" s="857"/>
      <c r="S142" s="857"/>
      <c r="T142" s="857"/>
      <c r="U142" s="857"/>
      <c r="V142" s="857"/>
      <c r="W142" s="857"/>
      <c r="X142" s="857"/>
      <c r="Y142" s="857"/>
      <c r="Z142" s="857"/>
      <c r="AA142" s="857"/>
      <c r="AB142" s="857"/>
      <c r="AC142" s="857"/>
      <c r="AD142" s="857"/>
      <c r="AE142" s="857"/>
      <c r="AF142" s="857"/>
      <c r="AG142" s="857"/>
      <c r="AH142" s="857"/>
      <c r="AI142" s="857"/>
      <c r="AJ142" s="857"/>
      <c r="AK142" s="59"/>
    </row>
    <row r="143" spans="2:53" ht="15.95" customHeight="1" x14ac:dyDescent="0.4">
      <c r="B143" s="58"/>
      <c r="C143" s="853"/>
      <c r="D143" s="853"/>
      <c r="E143" s="853"/>
      <c r="F143" s="853"/>
      <c r="G143" s="853"/>
      <c r="H143" s="854"/>
      <c r="I143" s="854"/>
      <c r="J143" s="854"/>
      <c r="K143" s="854"/>
      <c r="L143" s="854"/>
      <c r="M143" s="854"/>
      <c r="N143" s="854"/>
      <c r="O143" s="854"/>
      <c r="P143" s="854"/>
      <c r="Q143" s="854"/>
      <c r="R143" s="854"/>
      <c r="S143" s="854"/>
      <c r="T143" s="854"/>
      <c r="U143" s="854"/>
      <c r="V143" s="855"/>
      <c r="W143" s="855"/>
      <c r="X143" s="855"/>
      <c r="Y143" s="855"/>
      <c r="Z143" s="855"/>
      <c r="AA143" s="855"/>
      <c r="AB143" s="855"/>
      <c r="AC143" s="855"/>
      <c r="AD143" s="855"/>
      <c r="AE143" s="855"/>
      <c r="AF143" s="855"/>
      <c r="AG143" s="855"/>
      <c r="AH143" s="855"/>
      <c r="AI143" s="855"/>
      <c r="AJ143" s="855"/>
      <c r="AK143" s="59"/>
    </row>
    <row r="144" spans="2:53" ht="15.95" customHeight="1" x14ac:dyDescent="0.4">
      <c r="B144" s="58"/>
      <c r="C144" s="853"/>
      <c r="D144" s="853"/>
      <c r="E144" s="853"/>
      <c r="F144" s="853"/>
      <c r="G144" s="853"/>
      <c r="H144" s="854"/>
      <c r="I144" s="854"/>
      <c r="J144" s="854"/>
      <c r="K144" s="854"/>
      <c r="L144" s="854"/>
      <c r="M144" s="854"/>
      <c r="N144" s="854"/>
      <c r="O144" s="854"/>
      <c r="P144" s="854"/>
      <c r="Q144" s="854"/>
      <c r="R144" s="854"/>
      <c r="S144" s="854"/>
      <c r="T144" s="854"/>
      <c r="U144" s="854"/>
      <c r="V144" s="855"/>
      <c r="W144" s="855"/>
      <c r="X144" s="855"/>
      <c r="Y144" s="855"/>
      <c r="Z144" s="855"/>
      <c r="AA144" s="855"/>
      <c r="AB144" s="855"/>
      <c r="AC144" s="855"/>
      <c r="AD144" s="855"/>
      <c r="AE144" s="855"/>
      <c r="AF144" s="855"/>
      <c r="AG144" s="855"/>
      <c r="AH144" s="855"/>
      <c r="AI144" s="855"/>
      <c r="AJ144" s="855"/>
      <c r="AK144" s="59"/>
    </row>
    <row r="145" spans="2:37" ht="24.95" customHeight="1" x14ac:dyDescent="0.4">
      <c r="B145" s="58"/>
      <c r="C145" s="2627" t="s">
        <v>9196</v>
      </c>
      <c r="D145" s="2627"/>
      <c r="E145" s="2627"/>
      <c r="F145" s="2627"/>
      <c r="G145" s="2627"/>
      <c r="H145" s="2627"/>
      <c r="I145" s="2627"/>
      <c r="J145" s="2627"/>
      <c r="K145" s="2627"/>
      <c r="L145" s="2627"/>
      <c r="M145" s="2627"/>
      <c r="N145" s="2627"/>
      <c r="O145" s="2627"/>
      <c r="P145" s="2627"/>
      <c r="Q145" s="2627"/>
      <c r="R145" s="2627"/>
      <c r="S145" s="2627"/>
      <c r="T145" s="2627"/>
      <c r="U145" s="2627"/>
      <c r="V145" s="2627"/>
      <c r="W145" s="2627"/>
      <c r="X145" s="2627"/>
      <c r="Y145" s="2627"/>
      <c r="Z145" s="2627"/>
      <c r="AA145" s="2627"/>
      <c r="AB145" s="2627"/>
      <c r="AC145" s="2627"/>
      <c r="AD145" s="2627"/>
      <c r="AE145" s="2627"/>
      <c r="AF145" s="2627"/>
      <c r="AG145" s="2627"/>
      <c r="AH145" s="2627"/>
      <c r="AI145" s="2627"/>
      <c r="AJ145" s="2627"/>
      <c r="AK145" s="59"/>
    </row>
    <row r="146" spans="2:37" ht="24.95" customHeight="1" x14ac:dyDescent="0.4">
      <c r="B146" s="58"/>
      <c r="C146" s="708"/>
      <c r="D146" s="708"/>
      <c r="E146" s="708"/>
      <c r="F146" s="708"/>
      <c r="G146" s="708"/>
      <c r="H146" s="708"/>
      <c r="I146" s="708"/>
      <c r="J146" s="708"/>
      <c r="K146" s="708"/>
      <c r="L146" s="708"/>
      <c r="M146" s="708"/>
      <c r="N146" s="708"/>
      <c r="O146" s="708"/>
      <c r="P146" s="708"/>
      <c r="Q146" s="708"/>
      <c r="R146" s="708"/>
      <c r="S146" s="708"/>
      <c r="T146" s="708"/>
      <c r="U146" s="708"/>
      <c r="V146" s="708"/>
      <c r="W146" s="708"/>
      <c r="X146" s="708"/>
      <c r="Y146" s="708"/>
      <c r="Z146" s="708"/>
      <c r="AA146" s="708"/>
      <c r="AB146" s="708"/>
      <c r="AC146" s="708"/>
      <c r="AD146" s="708"/>
      <c r="AE146" s="708"/>
      <c r="AF146" s="708"/>
      <c r="AG146" s="708"/>
      <c r="AH146" s="708"/>
      <c r="AI146" s="708"/>
      <c r="AJ146" s="708"/>
      <c r="AK146" s="59"/>
    </row>
    <row r="147" spans="2:37" ht="24.95" customHeight="1" x14ac:dyDescent="0.4">
      <c r="B147" s="58"/>
      <c r="C147" s="434"/>
      <c r="D147" s="434"/>
      <c r="E147" s="434"/>
      <c r="F147" s="434"/>
      <c r="G147" s="434"/>
      <c r="H147" s="891"/>
      <c r="I147" s="891"/>
      <c r="J147" s="891"/>
      <c r="K147" s="891"/>
      <c r="L147" s="891"/>
      <c r="M147" s="891"/>
      <c r="N147" s="891"/>
      <c r="O147" s="891"/>
      <c r="P147" s="891"/>
      <c r="Q147" s="891"/>
      <c r="R147" s="891"/>
      <c r="S147" s="891"/>
      <c r="T147" s="891"/>
      <c r="U147" s="891"/>
      <c r="V147" s="881"/>
      <c r="W147" s="881"/>
      <c r="X147" s="881"/>
      <c r="Y147" s="881"/>
      <c r="Z147" s="881"/>
      <c r="AA147" s="881"/>
      <c r="AB147" s="881"/>
      <c r="AC147" s="881"/>
      <c r="AD147" s="881"/>
      <c r="AE147" s="881"/>
      <c r="AF147" s="881"/>
      <c r="AG147" s="881"/>
      <c r="AH147" s="881"/>
      <c r="AI147" s="881"/>
      <c r="AJ147" s="881"/>
      <c r="AK147" s="59"/>
    </row>
    <row r="148" spans="2:37" ht="24.95" customHeight="1" x14ac:dyDescent="0.4">
      <c r="B148" s="58"/>
      <c r="C148" s="2628" t="s">
        <v>9197</v>
      </c>
      <c r="D148" s="2628"/>
      <c r="E148" s="2629"/>
      <c r="F148" s="2629"/>
      <c r="G148" s="2629"/>
      <c r="H148" s="2629"/>
      <c r="I148" s="2629"/>
      <c r="J148" s="2629"/>
      <c r="K148" s="2629"/>
      <c r="L148" s="2629"/>
      <c r="M148" s="2629"/>
      <c r="N148" s="2629"/>
      <c r="O148" s="2629"/>
      <c r="P148" s="2629"/>
      <c r="Q148" s="2629"/>
      <c r="R148" s="2629"/>
      <c r="S148" s="2629"/>
      <c r="T148" s="2629"/>
      <c r="U148" s="2629"/>
      <c r="V148" s="2629"/>
      <c r="W148" s="2629"/>
      <c r="X148" s="2629"/>
      <c r="Y148" s="2629"/>
      <c r="Z148" s="2629"/>
      <c r="AA148" s="2629"/>
      <c r="AB148" s="2629"/>
      <c r="AC148" s="2629"/>
      <c r="AD148" s="2629"/>
      <c r="AE148" s="2629"/>
      <c r="AF148" s="2629"/>
      <c r="AG148" s="2629"/>
      <c r="AH148" s="2629"/>
      <c r="AI148" s="2629"/>
      <c r="AJ148" s="2629"/>
      <c r="AK148" s="59"/>
    </row>
    <row r="149" spans="2:37" ht="24.95" customHeight="1" x14ac:dyDescent="0.4">
      <c r="B149" s="58"/>
      <c r="C149" s="2630" t="str">
        <f>H13&amp;","</f>
        <v>Publicação atrasada de Afastamento Preliminar Aposentadoria ex-Lei 100.,</v>
      </c>
      <c r="D149" s="2630"/>
      <c r="E149" s="2630"/>
      <c r="F149" s="2630"/>
      <c r="G149" s="2630"/>
      <c r="H149" s="2630"/>
      <c r="I149" s="2630"/>
      <c r="J149" s="2630"/>
      <c r="K149" s="2630"/>
      <c r="L149" s="2630"/>
      <c r="M149" s="2630"/>
      <c r="N149" s="2630"/>
      <c r="O149" s="2630"/>
      <c r="P149" s="2630"/>
      <c r="Q149" s="2630"/>
      <c r="R149" s="2630"/>
      <c r="S149" s="2630"/>
      <c r="T149" s="2630"/>
      <c r="U149" s="2630"/>
      <c r="V149" s="2630"/>
      <c r="W149" s="2630"/>
      <c r="X149" s="2630"/>
      <c r="Y149" s="2630"/>
      <c r="Z149" s="2630"/>
      <c r="AA149" s="2630"/>
      <c r="AB149" s="2630"/>
      <c r="AC149" s="2630"/>
      <c r="AD149" s="2630"/>
      <c r="AE149" s="2630"/>
      <c r="AF149" s="2630"/>
      <c r="AG149" s="2630"/>
      <c r="AH149" s="2630"/>
      <c r="AI149" s="2630"/>
      <c r="AJ149" s="2630"/>
      <c r="AK149" s="59"/>
    </row>
    <row r="150" spans="2:37" ht="24.95" customHeight="1" x14ac:dyDescent="0.4">
      <c r="B150" s="58"/>
      <c r="C150" s="2631" t="s">
        <v>9201</v>
      </c>
      <c r="D150" s="2631"/>
      <c r="E150" s="2631"/>
      <c r="F150" s="2631"/>
      <c r="G150" s="2631"/>
      <c r="H150" s="2631"/>
      <c r="I150" s="2631"/>
      <c r="J150" s="2631"/>
      <c r="K150" s="2631"/>
      <c r="L150" s="2631"/>
      <c r="M150" s="2631"/>
      <c r="N150" s="2631"/>
      <c r="O150" s="2631"/>
      <c r="P150" s="2631"/>
      <c r="Q150" s="2631"/>
      <c r="R150" s="2631"/>
      <c r="S150" s="2631"/>
      <c r="T150" s="2631"/>
      <c r="U150" s="2630" t="str">
        <f>AA4&amp;AC4&amp;AD4&amp;AF4&amp;AG4&amp;","</f>
        <v>5/8/2016,</v>
      </c>
      <c r="V150" s="2630"/>
      <c r="W150" s="2630"/>
      <c r="X150" s="2630"/>
      <c r="Y150" s="2630"/>
      <c r="Z150" s="2630"/>
      <c r="AA150" s="2630"/>
      <c r="AB150" s="883"/>
      <c r="AC150" s="2631" t="s">
        <v>9198</v>
      </c>
      <c r="AD150" s="2631"/>
      <c r="AE150" s="2631"/>
      <c r="AF150" s="2631"/>
      <c r="AG150" s="2631"/>
      <c r="AH150" s="2631"/>
      <c r="AI150" s="2631"/>
      <c r="AJ150" s="2631"/>
      <c r="AK150" s="59"/>
    </row>
    <row r="151" spans="2:37" ht="24.95" customHeight="1" x14ac:dyDescent="0.4">
      <c r="B151" s="58"/>
      <c r="C151" s="2637" t="str">
        <f>J6</f>
        <v>Arlete de Fátima Soares</v>
      </c>
      <c r="D151" s="2637"/>
      <c r="E151" s="2637"/>
      <c r="F151" s="2637"/>
      <c r="G151" s="2637"/>
      <c r="H151" s="2637"/>
      <c r="I151" s="2637"/>
      <c r="J151" s="2637"/>
      <c r="K151" s="2637"/>
      <c r="L151" s="2637"/>
      <c r="M151" s="2637"/>
      <c r="N151" s="2637"/>
      <c r="O151" s="2637"/>
      <c r="P151" s="2637"/>
      <c r="Q151" s="2637"/>
      <c r="R151" s="2637"/>
      <c r="S151" s="2637"/>
      <c r="T151" s="2637"/>
      <c r="U151" s="2637"/>
      <c r="V151" s="2637"/>
      <c r="W151" s="889"/>
      <c r="X151" s="889"/>
      <c r="Y151" s="889"/>
      <c r="Z151" s="2638" t="s">
        <v>9202</v>
      </c>
      <c r="AA151" s="2638"/>
      <c r="AB151" s="2638"/>
      <c r="AC151" s="2638"/>
      <c r="AD151" s="888"/>
      <c r="AE151" s="2639">
        <f>IF(AG6="","",AG6)</f>
        <v>8067126</v>
      </c>
      <c r="AF151" s="2639"/>
      <c r="AG151" s="2639"/>
      <c r="AH151" s="2639"/>
      <c r="AI151" s="887"/>
      <c r="AJ151" s="712" t="s">
        <v>365</v>
      </c>
      <c r="AK151" s="59"/>
    </row>
    <row r="152" spans="2:37" ht="24.95" customHeight="1" x14ac:dyDescent="0.4">
      <c r="B152" s="58"/>
      <c r="C152" s="2640" t="s">
        <v>9200</v>
      </c>
      <c r="D152" s="2640"/>
      <c r="E152" s="2640"/>
      <c r="F152" s="2640"/>
      <c r="G152" s="2640"/>
      <c r="H152" s="2640"/>
      <c r="I152" s="2640"/>
      <c r="J152" s="2640"/>
      <c r="K152" s="2640"/>
      <c r="L152" s="2640"/>
      <c r="M152" s="2640"/>
      <c r="N152" s="2640"/>
      <c r="O152" s="2640"/>
      <c r="P152" s="2640"/>
      <c r="Q152" s="2640"/>
      <c r="R152" s="2640"/>
      <c r="S152" s="2640"/>
      <c r="T152" s="2640"/>
      <c r="U152" s="2640"/>
      <c r="V152" s="2640"/>
      <c r="W152" s="2640"/>
      <c r="X152" s="2640"/>
      <c r="Y152" s="2640"/>
      <c r="Z152" s="2640"/>
      <c r="AA152" s="2640"/>
      <c r="AB152" s="2640"/>
      <c r="AC152" s="2640"/>
      <c r="AD152" s="2640"/>
      <c r="AE152" s="2640"/>
      <c r="AF152" s="2640"/>
      <c r="AG152" s="2640"/>
      <c r="AH152" s="2640"/>
      <c r="AI152" s="2640"/>
      <c r="AJ152" s="2640"/>
      <c r="AK152" s="59"/>
    </row>
    <row r="153" spans="2:37" ht="24.95" customHeight="1" x14ac:dyDescent="0.4">
      <c r="B153" s="58"/>
      <c r="C153" s="1433"/>
      <c r="D153" s="1433"/>
      <c r="E153" s="1433"/>
      <c r="F153" s="1433"/>
      <c r="G153" s="1433"/>
      <c r="H153" s="1433"/>
      <c r="I153" s="1433"/>
      <c r="J153" s="1433"/>
      <c r="K153" s="1433"/>
      <c r="L153" s="1433"/>
      <c r="M153" s="1433"/>
      <c r="N153" s="1433"/>
      <c r="O153" s="1433"/>
      <c r="P153" s="1433"/>
      <c r="Q153" s="1433"/>
      <c r="R153" s="1433"/>
      <c r="S153" s="1433"/>
      <c r="T153" s="1433"/>
      <c r="U153" s="1433"/>
      <c r="V153" s="1433"/>
      <c r="W153" s="1433"/>
      <c r="X153" s="1433"/>
      <c r="Y153" s="1433"/>
      <c r="Z153" s="1433"/>
      <c r="AA153" s="1433"/>
      <c r="AB153" s="1433"/>
      <c r="AC153" s="1433"/>
      <c r="AD153" s="1433"/>
      <c r="AE153" s="1433"/>
      <c r="AF153" s="1433"/>
      <c r="AG153" s="1433"/>
      <c r="AH153" s="1433"/>
      <c r="AI153" s="1433"/>
      <c r="AJ153" s="1433"/>
      <c r="AK153" s="59"/>
    </row>
    <row r="154" spans="2:37" ht="15.95" customHeight="1" x14ac:dyDescent="0.4">
      <c r="B154" s="58"/>
      <c r="C154" s="855"/>
      <c r="D154" s="855"/>
      <c r="E154" s="855"/>
      <c r="F154" s="855"/>
      <c r="G154" s="855"/>
      <c r="H154" s="855"/>
      <c r="I154" s="855"/>
      <c r="J154" s="855"/>
      <c r="K154" s="855"/>
      <c r="L154" s="855"/>
      <c r="M154" s="855"/>
      <c r="N154" s="855"/>
      <c r="O154" s="855"/>
      <c r="P154" s="855"/>
      <c r="Q154" s="855"/>
      <c r="R154" s="855"/>
      <c r="S154" s="855"/>
      <c r="T154" s="855"/>
      <c r="U154" s="855"/>
      <c r="V154" s="855"/>
      <c r="W154" s="855"/>
      <c r="X154" s="855"/>
      <c r="Y154" s="855"/>
      <c r="Z154" s="855"/>
      <c r="AA154" s="855"/>
      <c r="AB154" s="855"/>
      <c r="AC154" s="855"/>
      <c r="AD154" s="855"/>
      <c r="AE154" s="855"/>
      <c r="AF154" s="855"/>
      <c r="AG154" s="855"/>
      <c r="AH154" s="855"/>
      <c r="AI154" s="855"/>
      <c r="AJ154" s="855"/>
      <c r="AK154" s="59"/>
    </row>
    <row r="155" spans="2:37" ht="15.95" customHeight="1" x14ac:dyDescent="0.4">
      <c r="B155" s="58"/>
      <c r="C155" s="855"/>
      <c r="D155" s="855"/>
      <c r="E155" s="855"/>
      <c r="F155" s="855"/>
      <c r="G155" s="855"/>
      <c r="H155" s="855"/>
      <c r="I155" s="855"/>
      <c r="J155" s="855"/>
      <c r="K155" s="855"/>
      <c r="L155" s="855"/>
      <c r="M155" s="855"/>
      <c r="N155" s="855"/>
      <c r="O155" s="855"/>
      <c r="P155" s="855"/>
      <c r="Q155" s="855"/>
      <c r="R155" s="855"/>
      <c r="S155" s="855"/>
      <c r="T155" s="855"/>
      <c r="U155" s="855"/>
      <c r="V155" s="855"/>
      <c r="W155" s="855"/>
      <c r="X155" s="855"/>
      <c r="Y155" s="855"/>
      <c r="Z155" s="855"/>
      <c r="AA155" s="855"/>
      <c r="AB155" s="855"/>
      <c r="AC155" s="855"/>
      <c r="AD155" s="855"/>
      <c r="AE155" s="855"/>
      <c r="AF155" s="855"/>
      <c r="AG155" s="855"/>
      <c r="AH155" s="855"/>
      <c r="AI155" s="855"/>
      <c r="AJ155" s="855"/>
      <c r="AK155" s="59"/>
    </row>
    <row r="156" spans="2:37" ht="15.95" customHeight="1" x14ac:dyDescent="0.4">
      <c r="B156" s="58"/>
      <c r="C156" s="1434"/>
      <c r="D156" s="1434"/>
      <c r="E156" s="1434"/>
      <c r="F156" s="1434"/>
      <c r="G156" s="1434"/>
      <c r="H156" s="1434"/>
      <c r="I156" s="1434"/>
      <c r="J156" s="1434"/>
      <c r="K156" s="1434"/>
      <c r="L156" s="1434"/>
      <c r="M156" s="1434"/>
      <c r="N156" s="1434"/>
      <c r="O156" s="1434"/>
      <c r="P156" s="1434"/>
      <c r="Q156" s="1434"/>
      <c r="R156" s="1434"/>
      <c r="S156" s="1434"/>
      <c r="T156" s="1434"/>
      <c r="U156" s="1434"/>
      <c r="V156" s="1434"/>
      <c r="W156" s="1434"/>
      <c r="X156" s="1434"/>
      <c r="Y156" s="1434"/>
      <c r="Z156" s="1434"/>
      <c r="AA156" s="1434"/>
      <c r="AB156" s="1434"/>
      <c r="AC156" s="1434"/>
      <c r="AD156" s="1434"/>
      <c r="AE156" s="1434"/>
      <c r="AF156" s="1434"/>
      <c r="AG156" s="1434"/>
      <c r="AH156" s="1434"/>
      <c r="AI156" s="1434"/>
      <c r="AJ156" s="1434"/>
      <c r="AK156" s="59"/>
    </row>
    <row r="157" spans="2:37" ht="15.95" customHeight="1" x14ac:dyDescent="0.4">
      <c r="B157" s="58"/>
      <c r="C157" s="2632" t="s">
        <v>149</v>
      </c>
      <c r="D157" s="2632"/>
      <c r="E157" s="2632"/>
      <c r="F157" s="2632"/>
      <c r="G157" s="2632"/>
      <c r="H157" s="2632"/>
      <c r="I157" s="2632"/>
      <c r="J157" s="2632"/>
      <c r="K157" s="2632"/>
      <c r="L157" s="2632"/>
      <c r="M157" s="2632"/>
      <c r="N157" s="2632"/>
      <c r="O157" s="2632"/>
      <c r="P157" s="2632"/>
      <c r="Q157" s="2632"/>
      <c r="R157" s="2632"/>
      <c r="S157" s="891"/>
      <c r="T157" s="881" t="s">
        <v>365</v>
      </c>
      <c r="U157" s="2633">
        <f ca="1">IF(E14&lt;&gt;0,C15,TODAY())</f>
        <v>43238</v>
      </c>
      <c r="V157" s="2633"/>
      <c r="W157" s="2633"/>
      <c r="X157" s="2633"/>
      <c r="Y157" s="2633"/>
      <c r="Z157" s="2633"/>
      <c r="AA157" s="2633"/>
      <c r="AB157" s="2633"/>
      <c r="AC157" s="2633"/>
      <c r="AD157" s="2633"/>
      <c r="AE157" s="2633"/>
      <c r="AF157" s="2633"/>
      <c r="AG157" s="2633"/>
      <c r="AH157" s="2633"/>
      <c r="AI157" s="2633"/>
      <c r="AJ157" s="2633"/>
      <c r="AK157" s="59"/>
    </row>
    <row r="158" spans="2:37" ht="15.95" customHeight="1" x14ac:dyDescent="0.4">
      <c r="B158" s="58"/>
      <c r="C158" s="1433"/>
      <c r="D158" s="1433"/>
      <c r="E158" s="1433"/>
      <c r="F158" s="1433"/>
      <c r="G158" s="1433"/>
      <c r="H158" s="1433"/>
      <c r="I158" s="1433"/>
      <c r="J158" s="1433"/>
      <c r="K158" s="1433"/>
      <c r="L158" s="1433"/>
      <c r="M158" s="1433"/>
      <c r="N158" s="1433"/>
      <c r="O158" s="1433"/>
      <c r="P158" s="1433"/>
      <c r="Q158" s="1433"/>
      <c r="R158" s="1433"/>
      <c r="S158" s="1433"/>
      <c r="T158" s="1433"/>
      <c r="U158" s="1433"/>
      <c r="V158" s="1433"/>
      <c r="W158" s="1433"/>
      <c r="X158" s="1433"/>
      <c r="Y158" s="1433"/>
      <c r="Z158" s="1433"/>
      <c r="AA158" s="1433"/>
      <c r="AB158" s="1433"/>
      <c r="AC158" s="1433"/>
      <c r="AD158" s="1433"/>
      <c r="AE158" s="1433"/>
      <c r="AF158" s="1433"/>
      <c r="AG158" s="1433"/>
      <c r="AH158" s="1433"/>
      <c r="AI158" s="1433"/>
      <c r="AJ158" s="1433"/>
      <c r="AK158" s="59"/>
    </row>
    <row r="159" spans="2:37" ht="15.95" customHeight="1" x14ac:dyDescent="0.4">
      <c r="B159" s="58"/>
      <c r="C159" s="855"/>
      <c r="D159" s="855"/>
      <c r="E159" s="855"/>
      <c r="F159" s="855"/>
      <c r="G159" s="855"/>
      <c r="H159" s="855"/>
      <c r="I159" s="855"/>
      <c r="J159" s="855"/>
      <c r="K159" s="855"/>
      <c r="L159" s="855"/>
      <c r="M159" s="855"/>
      <c r="N159" s="855"/>
      <c r="O159" s="855"/>
      <c r="P159" s="855"/>
      <c r="Q159" s="855"/>
      <c r="R159" s="855"/>
      <c r="S159" s="855"/>
      <c r="T159" s="855"/>
      <c r="U159" s="855"/>
      <c r="V159" s="855"/>
      <c r="W159" s="855"/>
      <c r="X159" s="855"/>
      <c r="Y159" s="855"/>
      <c r="Z159" s="855"/>
      <c r="AA159" s="855"/>
      <c r="AB159" s="855"/>
      <c r="AC159" s="855"/>
      <c r="AD159" s="855"/>
      <c r="AE159" s="855"/>
      <c r="AF159" s="855"/>
      <c r="AG159" s="855"/>
      <c r="AH159" s="855"/>
      <c r="AI159" s="855"/>
      <c r="AJ159" s="855"/>
      <c r="AK159" s="59"/>
    </row>
    <row r="160" spans="2:37" ht="15.95" customHeight="1" x14ac:dyDescent="0.4">
      <c r="B160" s="58"/>
      <c r="C160" s="855"/>
      <c r="D160" s="855"/>
      <c r="E160" s="855"/>
      <c r="F160" s="855"/>
      <c r="G160" s="855"/>
      <c r="H160" s="855"/>
      <c r="I160" s="855"/>
      <c r="J160" s="855"/>
      <c r="K160" s="855"/>
      <c r="L160" s="855"/>
      <c r="M160" s="855"/>
      <c r="N160" s="855"/>
      <c r="O160" s="855"/>
      <c r="P160" s="855"/>
      <c r="Q160" s="855"/>
      <c r="R160" s="855"/>
      <c r="S160" s="855"/>
      <c r="T160" s="855"/>
      <c r="U160" s="855"/>
      <c r="V160" s="855"/>
      <c r="W160" s="855"/>
      <c r="X160" s="855"/>
      <c r="Y160" s="855"/>
      <c r="Z160" s="855"/>
      <c r="AA160" s="855"/>
      <c r="AB160" s="855"/>
      <c r="AC160" s="855"/>
      <c r="AD160" s="855"/>
      <c r="AE160" s="855"/>
      <c r="AF160" s="855"/>
      <c r="AG160" s="855"/>
      <c r="AH160" s="855"/>
      <c r="AI160" s="855"/>
      <c r="AJ160" s="855"/>
      <c r="AK160" s="59"/>
    </row>
    <row r="161" spans="2:37" ht="15.95" customHeight="1" x14ac:dyDescent="0.4">
      <c r="B161" s="58"/>
      <c r="C161" s="855"/>
      <c r="D161" s="855"/>
      <c r="E161" s="855"/>
      <c r="F161" s="855"/>
      <c r="G161" s="855"/>
      <c r="H161" s="855"/>
      <c r="I161" s="855"/>
      <c r="J161" s="855"/>
      <c r="K161" s="855"/>
      <c r="L161" s="855"/>
      <c r="M161" s="855"/>
      <c r="N161" s="855"/>
      <c r="O161" s="855"/>
      <c r="P161" s="855"/>
      <c r="Q161" s="855"/>
      <c r="R161" s="855"/>
      <c r="S161" s="855"/>
      <c r="T161" s="855"/>
      <c r="U161" s="855"/>
      <c r="V161" s="855"/>
      <c r="W161" s="855"/>
      <c r="X161" s="855"/>
      <c r="Y161" s="855"/>
      <c r="Z161" s="855"/>
      <c r="AA161" s="855"/>
      <c r="AB161" s="855"/>
      <c r="AC161" s="855"/>
      <c r="AD161" s="855"/>
      <c r="AE161" s="855"/>
      <c r="AF161" s="855"/>
      <c r="AG161" s="855"/>
      <c r="AH161" s="855"/>
      <c r="AI161" s="855"/>
      <c r="AJ161" s="855"/>
      <c r="AK161" s="59"/>
    </row>
    <row r="162" spans="2:37" ht="15.95" customHeight="1" x14ac:dyDescent="0.4">
      <c r="B162" s="58"/>
      <c r="C162" s="855"/>
      <c r="D162" s="855"/>
      <c r="E162" s="855"/>
      <c r="F162" s="855"/>
      <c r="G162" s="855"/>
      <c r="H162" s="855"/>
      <c r="I162" s="855"/>
      <c r="J162" s="855"/>
      <c r="K162" s="855"/>
      <c r="L162" s="855"/>
      <c r="M162" s="855"/>
      <c r="N162" s="855"/>
      <c r="O162" s="855"/>
      <c r="P162" s="855"/>
      <c r="Q162" s="855"/>
      <c r="R162" s="855"/>
      <c r="S162" s="855"/>
      <c r="T162" s="855"/>
      <c r="U162" s="855"/>
      <c r="V162" s="855"/>
      <c r="W162" s="855"/>
      <c r="X162" s="855"/>
      <c r="Y162" s="855"/>
      <c r="Z162" s="855"/>
      <c r="AA162" s="855"/>
      <c r="AB162" s="855"/>
      <c r="AC162" s="855"/>
      <c r="AD162" s="855"/>
      <c r="AE162" s="855"/>
      <c r="AF162" s="855"/>
      <c r="AG162" s="855"/>
      <c r="AH162" s="855"/>
      <c r="AI162" s="855"/>
      <c r="AJ162" s="855"/>
      <c r="AK162" s="59"/>
    </row>
    <row r="163" spans="2:37" ht="15.95" customHeight="1" x14ac:dyDescent="0.4">
      <c r="B163" s="58"/>
      <c r="C163" s="855"/>
      <c r="D163" s="855"/>
      <c r="E163" s="855"/>
      <c r="F163" s="855"/>
      <c r="G163" s="855"/>
      <c r="H163" s="855"/>
      <c r="I163" s="855"/>
      <c r="J163" s="855"/>
      <c r="K163" s="855"/>
      <c r="L163" s="855"/>
      <c r="M163" s="855"/>
      <c r="N163" s="855"/>
      <c r="O163" s="855"/>
      <c r="P163" s="855"/>
      <c r="Q163" s="855"/>
      <c r="R163" s="855"/>
      <c r="S163" s="855"/>
      <c r="T163" s="855"/>
      <c r="U163" s="855"/>
      <c r="V163" s="855"/>
      <c r="W163" s="855"/>
      <c r="X163" s="855"/>
      <c r="Y163" s="855"/>
      <c r="Z163" s="855"/>
      <c r="AA163" s="855"/>
      <c r="AB163" s="855"/>
      <c r="AC163" s="855"/>
      <c r="AD163" s="855"/>
      <c r="AE163" s="855"/>
      <c r="AF163" s="855"/>
      <c r="AG163" s="855"/>
      <c r="AH163" s="855"/>
      <c r="AI163" s="855"/>
      <c r="AJ163" s="855"/>
      <c r="AK163" s="59"/>
    </row>
    <row r="164" spans="2:37" ht="15.95" customHeight="1" x14ac:dyDescent="0.4">
      <c r="B164" s="58"/>
      <c r="C164" s="855"/>
      <c r="D164" s="855"/>
      <c r="E164" s="854"/>
      <c r="F164" s="854"/>
      <c r="G164" s="854"/>
      <c r="H164" s="2634"/>
      <c r="I164" s="2634"/>
      <c r="J164" s="2634"/>
      <c r="K164" s="2634"/>
      <c r="L164" s="2634"/>
      <c r="M164" s="2634"/>
      <c r="N164" s="2634"/>
      <c r="O164" s="2634"/>
      <c r="P164" s="2634"/>
      <c r="Q164" s="2634"/>
      <c r="R164" s="2634"/>
      <c r="S164" s="2634"/>
      <c r="T164" s="2634"/>
      <c r="U164" s="2634"/>
      <c r="V164" s="2634"/>
      <c r="W164" s="2634"/>
      <c r="X164" s="2634"/>
      <c r="Y164" s="2634"/>
      <c r="Z164" s="2634"/>
      <c r="AA164" s="2634"/>
      <c r="AB164" s="2634"/>
      <c r="AC164" s="2634"/>
      <c r="AD164" s="2634"/>
      <c r="AE164" s="2634"/>
      <c r="AF164" s="854"/>
      <c r="AG164" s="854"/>
      <c r="AH164" s="854"/>
      <c r="AI164" s="854"/>
      <c r="AJ164" s="854"/>
      <c r="AK164" s="59"/>
    </row>
    <row r="165" spans="2:37" ht="15.95" customHeight="1" x14ac:dyDescent="0.4">
      <c r="B165" s="58"/>
      <c r="C165" s="2635"/>
      <c r="D165" s="2635"/>
      <c r="E165" s="2635"/>
      <c r="F165" s="2635"/>
      <c r="G165" s="2635"/>
      <c r="H165" s="2635"/>
      <c r="I165" s="2635"/>
      <c r="J165" s="2635"/>
      <c r="K165" s="2636" t="str">
        <f>Geral!I11</f>
        <v>Elizabet das Graças Limido Santos</v>
      </c>
      <c r="L165" s="2636"/>
      <c r="M165" s="2636"/>
      <c r="N165" s="2636"/>
      <c r="O165" s="2636"/>
      <c r="P165" s="2636"/>
      <c r="Q165" s="2636"/>
      <c r="R165" s="2636"/>
      <c r="S165" s="2636"/>
      <c r="T165" s="2636"/>
      <c r="U165" s="2636"/>
      <c r="V165" s="2636"/>
      <c r="W165" s="2636"/>
      <c r="X165" s="2636"/>
      <c r="Y165" s="2636"/>
      <c r="Z165" s="2636"/>
      <c r="AA165" s="2636"/>
      <c r="AB165" s="886"/>
      <c r="AC165" s="2635"/>
      <c r="AD165" s="2635"/>
      <c r="AE165" s="2635"/>
      <c r="AF165" s="2635"/>
      <c r="AG165" s="2635"/>
      <c r="AH165" s="2635"/>
      <c r="AI165" s="2635"/>
      <c r="AJ165" s="2635"/>
      <c r="AK165" s="59"/>
    </row>
    <row r="166" spans="2:37" ht="15.95" customHeight="1" x14ac:dyDescent="0.4">
      <c r="B166" s="58"/>
      <c r="C166" s="881"/>
      <c r="D166" s="881"/>
      <c r="E166" s="881"/>
      <c r="F166" s="881"/>
      <c r="G166" s="881"/>
      <c r="H166" s="881"/>
      <c r="I166" s="881"/>
      <c r="J166" s="881"/>
      <c r="K166" s="2636" t="s">
        <v>9212</v>
      </c>
      <c r="L166" s="2636"/>
      <c r="M166" s="2636"/>
      <c r="N166" s="2636"/>
      <c r="O166" s="2636"/>
      <c r="P166" s="2636"/>
      <c r="Q166" s="2636"/>
      <c r="R166" s="2636"/>
      <c r="S166" s="2636"/>
      <c r="T166" s="2636"/>
      <c r="U166" s="2636"/>
      <c r="V166" s="2636"/>
      <c r="W166" s="2636"/>
      <c r="X166" s="2636"/>
      <c r="Y166" s="2636"/>
      <c r="Z166" s="2636"/>
      <c r="AA166" s="2636"/>
      <c r="AB166" s="886"/>
      <c r="AC166" s="881"/>
      <c r="AD166" s="881"/>
      <c r="AE166" s="881"/>
      <c r="AF166" s="881"/>
      <c r="AG166" s="881"/>
      <c r="AH166" s="881"/>
      <c r="AI166" s="881"/>
      <c r="AJ166" s="881"/>
      <c r="AK166" s="59"/>
    </row>
    <row r="167" spans="2:37" ht="15.95" customHeight="1" x14ac:dyDescent="0.4">
      <c r="B167" s="58"/>
      <c r="C167" s="881"/>
      <c r="D167" s="881"/>
      <c r="E167" s="881"/>
      <c r="F167" s="881"/>
      <c r="G167" s="881"/>
      <c r="H167" s="881"/>
      <c r="I167" s="881"/>
      <c r="J167" s="881"/>
      <c r="K167" s="886"/>
      <c r="L167" s="886"/>
      <c r="M167" s="886"/>
      <c r="N167" s="886"/>
      <c r="O167" s="886"/>
      <c r="P167" s="886"/>
      <c r="Q167" s="886"/>
      <c r="R167" s="886"/>
      <c r="S167" s="886"/>
      <c r="T167" s="886"/>
      <c r="U167" s="886"/>
      <c r="V167" s="886"/>
      <c r="W167" s="886"/>
      <c r="X167" s="886"/>
      <c r="Y167" s="886"/>
      <c r="Z167" s="886"/>
      <c r="AA167" s="886"/>
      <c r="AB167" s="886"/>
      <c r="AC167" s="881"/>
      <c r="AD167" s="881"/>
      <c r="AE167" s="881"/>
      <c r="AF167" s="881"/>
      <c r="AG167" s="881"/>
      <c r="AH167" s="881"/>
      <c r="AI167" s="881"/>
      <c r="AJ167" s="881"/>
      <c r="AK167" s="59"/>
    </row>
    <row r="168" spans="2:37" ht="15.95" customHeight="1" x14ac:dyDescent="0.4">
      <c r="B168" s="58"/>
      <c r="C168" s="881"/>
      <c r="D168" s="881"/>
      <c r="E168" s="881"/>
      <c r="F168" s="881"/>
      <c r="G168" s="881"/>
      <c r="H168" s="881"/>
      <c r="I168" s="881"/>
      <c r="J168" s="881"/>
      <c r="K168" s="886"/>
      <c r="L168" s="886"/>
      <c r="M168" s="886"/>
      <c r="N168" s="886"/>
      <c r="O168" s="886"/>
      <c r="P168" s="886"/>
      <c r="Q168" s="886"/>
      <c r="R168" s="886"/>
      <c r="S168" s="886"/>
      <c r="T168" s="886"/>
      <c r="U168" s="886"/>
      <c r="V168" s="886"/>
      <c r="W168" s="886"/>
      <c r="X168" s="886"/>
      <c r="Y168" s="886"/>
      <c r="Z168" s="886"/>
      <c r="AA168" s="886"/>
      <c r="AB168" s="886"/>
      <c r="AC168" s="881"/>
      <c r="AD168" s="881"/>
      <c r="AE168" s="881"/>
      <c r="AF168" s="881"/>
      <c r="AG168" s="881"/>
      <c r="AH168" s="881"/>
      <c r="AI168" s="881"/>
      <c r="AJ168" s="881"/>
      <c r="AK168" s="59"/>
    </row>
    <row r="169" spans="2:37" ht="15.95" customHeight="1" x14ac:dyDescent="0.4">
      <c r="B169" s="58"/>
      <c r="C169" s="881"/>
      <c r="D169" s="881"/>
      <c r="E169" s="881"/>
      <c r="F169" s="881"/>
      <c r="G169" s="881"/>
      <c r="H169" s="881"/>
      <c r="I169" s="881"/>
      <c r="J169" s="881"/>
      <c r="K169" s="886"/>
      <c r="L169" s="886"/>
      <c r="M169" s="886"/>
      <c r="N169" s="886"/>
      <c r="O169" s="886"/>
      <c r="P169" s="886"/>
      <c r="Q169" s="886"/>
      <c r="R169" s="886"/>
      <c r="S169" s="886"/>
      <c r="T169" s="886"/>
      <c r="U169" s="886"/>
      <c r="V169" s="886"/>
      <c r="W169" s="886"/>
      <c r="X169" s="886"/>
      <c r="Y169" s="886"/>
      <c r="Z169" s="886"/>
      <c r="AA169" s="886"/>
      <c r="AB169" s="886"/>
      <c r="AC169" s="881"/>
      <c r="AD169" s="881"/>
      <c r="AE169" s="881"/>
      <c r="AF169" s="881"/>
      <c r="AG169" s="881"/>
      <c r="AH169" s="881"/>
      <c r="AI169" s="881"/>
      <c r="AJ169" s="881"/>
      <c r="AK169" s="59"/>
    </row>
    <row r="170" spans="2:37" ht="15.95" customHeight="1" x14ac:dyDescent="0.4">
      <c r="B170" s="58"/>
      <c r="C170" s="881"/>
      <c r="D170" s="881"/>
      <c r="E170" s="881"/>
      <c r="F170" s="881"/>
      <c r="G170" s="881"/>
      <c r="H170" s="881"/>
      <c r="I170" s="881"/>
      <c r="J170" s="881"/>
      <c r="K170" s="886"/>
      <c r="L170" s="886"/>
      <c r="M170" s="886"/>
      <c r="N170" s="886"/>
      <c r="O170" s="886"/>
      <c r="P170" s="886"/>
      <c r="Q170" s="886"/>
      <c r="R170" s="886"/>
      <c r="S170" s="886"/>
      <c r="T170" s="886"/>
      <c r="U170" s="886"/>
      <c r="V170" s="886"/>
      <c r="W170" s="886"/>
      <c r="X170" s="886"/>
      <c r="Y170" s="886"/>
      <c r="Z170" s="886"/>
      <c r="AA170" s="886"/>
      <c r="AB170" s="886"/>
      <c r="AC170" s="881"/>
      <c r="AD170" s="881"/>
      <c r="AE170" s="881"/>
      <c r="AF170" s="881"/>
      <c r="AG170" s="881"/>
      <c r="AH170" s="881"/>
      <c r="AI170" s="881"/>
      <c r="AJ170" s="881"/>
      <c r="AK170" s="59"/>
    </row>
    <row r="171" spans="2:37" ht="15.95" customHeight="1" x14ac:dyDescent="0.4">
      <c r="B171" s="58"/>
      <c r="C171" s="881"/>
      <c r="D171" s="881"/>
      <c r="E171" s="881"/>
      <c r="F171" s="881"/>
      <c r="G171" s="881"/>
      <c r="H171" s="881"/>
      <c r="I171" s="881"/>
      <c r="J171" s="881"/>
      <c r="K171" s="886"/>
      <c r="L171" s="886"/>
      <c r="M171" s="886"/>
      <c r="N171" s="886"/>
      <c r="O171" s="886"/>
      <c r="P171" s="886"/>
      <c r="Q171" s="886"/>
      <c r="R171" s="886"/>
      <c r="S171" s="886"/>
      <c r="T171" s="886"/>
      <c r="U171" s="886"/>
      <c r="V171" s="886"/>
      <c r="W171" s="886"/>
      <c r="X171" s="886"/>
      <c r="Y171" s="886"/>
      <c r="Z171" s="886"/>
      <c r="AA171" s="886"/>
      <c r="AB171" s="886"/>
      <c r="AC171" s="881"/>
      <c r="AD171" s="881"/>
      <c r="AE171" s="881"/>
      <c r="AF171" s="881"/>
      <c r="AG171" s="881"/>
      <c r="AH171" s="881"/>
      <c r="AI171" s="881"/>
      <c r="AJ171" s="881"/>
      <c r="AK171" s="59"/>
    </row>
    <row r="172" spans="2:37" ht="15.95" customHeight="1" x14ac:dyDescent="0.4">
      <c r="B172" s="58"/>
      <c r="C172" s="881"/>
      <c r="D172" s="881"/>
      <c r="E172" s="881"/>
      <c r="F172" s="881"/>
      <c r="G172" s="881"/>
      <c r="H172" s="881"/>
      <c r="I172" s="881"/>
      <c r="J172" s="881"/>
      <c r="K172" s="886"/>
      <c r="L172" s="886"/>
      <c r="M172" s="886"/>
      <c r="N172" s="886"/>
      <c r="O172" s="886"/>
      <c r="P172" s="886"/>
      <c r="Q172" s="886"/>
      <c r="R172" s="886"/>
      <c r="S172" s="886"/>
      <c r="T172" s="886"/>
      <c r="U172" s="886"/>
      <c r="V172" s="886"/>
      <c r="W172" s="886"/>
      <c r="X172" s="886"/>
      <c r="Y172" s="886"/>
      <c r="Z172" s="886"/>
      <c r="AA172" s="886"/>
      <c r="AB172" s="886"/>
      <c r="AC172" s="881"/>
      <c r="AD172" s="881"/>
      <c r="AE172" s="881"/>
      <c r="AF172" s="881"/>
      <c r="AG172" s="881"/>
      <c r="AH172" s="881"/>
      <c r="AI172" s="881"/>
      <c r="AJ172" s="881"/>
      <c r="AK172" s="59"/>
    </row>
    <row r="173" spans="2:37" ht="15.95" customHeight="1" x14ac:dyDescent="0.4">
      <c r="B173" s="58"/>
      <c r="C173" s="881"/>
      <c r="D173" s="881"/>
      <c r="E173" s="881"/>
      <c r="F173" s="881"/>
      <c r="G173" s="881"/>
      <c r="H173" s="2641"/>
      <c r="I173" s="2641"/>
      <c r="J173" s="2641"/>
      <c r="K173" s="2641"/>
      <c r="L173" s="2641"/>
      <c r="M173" s="2641"/>
      <c r="N173" s="2641"/>
      <c r="O173" s="2641"/>
      <c r="P173" s="2641"/>
      <c r="Q173" s="2641"/>
      <c r="R173" s="2641"/>
      <c r="S173" s="2641"/>
      <c r="T173" s="2641"/>
      <c r="U173" s="2641"/>
      <c r="V173" s="2641"/>
      <c r="W173" s="2641"/>
      <c r="X173" s="2641"/>
      <c r="Y173" s="2641"/>
      <c r="Z173" s="2641"/>
      <c r="AA173" s="2641"/>
      <c r="AB173" s="2641"/>
      <c r="AC173" s="2641"/>
      <c r="AD173" s="2641"/>
      <c r="AE173" s="2641"/>
      <c r="AF173" s="881"/>
      <c r="AG173" s="881"/>
      <c r="AH173" s="881"/>
      <c r="AI173" s="881"/>
      <c r="AJ173" s="881"/>
      <c r="AK173" s="59"/>
    </row>
    <row r="174" spans="2:37" ht="15.95" customHeight="1" x14ac:dyDescent="0.4">
      <c r="B174" s="58"/>
      <c r="C174" s="881"/>
      <c r="D174" s="881"/>
      <c r="E174" s="881"/>
      <c r="F174" s="881"/>
      <c r="G174" s="881"/>
      <c r="H174" s="881"/>
      <c r="I174" s="881"/>
      <c r="J174" s="784"/>
      <c r="K174" s="3885" t="str">
        <f>Geral!I13</f>
        <v>Marilda Ribeiro Resende</v>
      </c>
      <c r="L174" s="3885"/>
      <c r="M174" s="3886"/>
      <c r="N174" s="3885"/>
      <c r="O174" s="3886"/>
      <c r="P174" s="3886"/>
      <c r="Q174" s="3886"/>
      <c r="R174" s="3885"/>
      <c r="S174" s="3886"/>
      <c r="T174" s="3885"/>
      <c r="U174" s="3885"/>
      <c r="V174" s="3885"/>
      <c r="W174" s="3886"/>
      <c r="X174" s="3886"/>
      <c r="Y174" s="3886"/>
      <c r="Z174" s="3885"/>
      <c r="AA174" s="3885"/>
      <c r="AB174" s="3886"/>
      <c r="AC174" s="3885"/>
      <c r="AD174" s="3886"/>
      <c r="AE174" s="3885"/>
      <c r="AF174" s="881"/>
      <c r="AG174" s="881"/>
      <c r="AH174" s="881"/>
      <c r="AI174" s="881"/>
      <c r="AJ174" s="881"/>
      <c r="AK174" s="59"/>
    </row>
    <row r="175" spans="2:37" ht="15.95" customHeight="1" x14ac:dyDescent="0.4">
      <c r="B175" s="58"/>
      <c r="C175" s="891"/>
      <c r="D175" s="891"/>
      <c r="E175" s="891"/>
      <c r="F175" s="891"/>
      <c r="G175" s="891"/>
      <c r="H175" s="891"/>
      <c r="I175" s="891"/>
      <c r="J175" s="891"/>
      <c r="K175" s="1433" t="str">
        <f>Geral!C13</f>
        <v>Diretor(a) da S.R.E.</v>
      </c>
      <c r="L175" s="1433"/>
      <c r="M175" s="1433"/>
      <c r="N175" s="1433"/>
      <c r="O175" s="1433"/>
      <c r="P175" s="1433"/>
      <c r="Q175" s="1433"/>
      <c r="R175" s="1433"/>
      <c r="S175" s="855"/>
      <c r="T175" s="2635" t="str">
        <f>Geral!I8</f>
        <v>Uberaba</v>
      </c>
      <c r="U175" s="2635"/>
      <c r="V175" s="2635"/>
      <c r="W175" s="2635"/>
      <c r="X175" s="2635"/>
      <c r="Y175" s="2635"/>
      <c r="Z175" s="2635"/>
      <c r="AA175" s="2635"/>
      <c r="AB175" s="2635"/>
      <c r="AC175" s="2635"/>
      <c r="AD175" s="2635"/>
      <c r="AE175" s="2635"/>
      <c r="AF175" s="2635"/>
      <c r="AG175" s="2635"/>
      <c r="AH175" s="2635"/>
      <c r="AI175" s="2635"/>
      <c r="AJ175" s="2635"/>
      <c r="AK175" s="59"/>
    </row>
    <row r="176" spans="2:37" ht="15.95" customHeight="1" x14ac:dyDescent="0.4">
      <c r="B176" s="58"/>
      <c r="C176" s="855"/>
      <c r="D176" s="855"/>
      <c r="E176" s="854"/>
      <c r="F176" s="854"/>
      <c r="G176" s="854"/>
      <c r="H176" s="854"/>
      <c r="I176" s="854"/>
      <c r="J176" s="854"/>
      <c r="K176" s="854"/>
      <c r="L176" s="854"/>
      <c r="M176" s="854"/>
      <c r="N176" s="854"/>
      <c r="O176" s="854"/>
      <c r="P176" s="854"/>
      <c r="Q176" s="854"/>
      <c r="R176" s="854"/>
      <c r="S176" s="854"/>
      <c r="T176" s="854"/>
      <c r="U176" s="854"/>
      <c r="V176" s="854"/>
      <c r="W176" s="854"/>
      <c r="X176" s="854"/>
      <c r="Y176" s="854"/>
      <c r="Z176" s="854"/>
      <c r="AA176" s="854"/>
      <c r="AB176" s="854"/>
      <c r="AC176" s="854"/>
      <c r="AD176" s="854"/>
      <c r="AE176" s="854"/>
      <c r="AF176" s="854"/>
      <c r="AG176" s="854"/>
      <c r="AH176" s="854"/>
      <c r="AI176" s="854"/>
      <c r="AJ176" s="854"/>
      <c r="AK176" s="59"/>
    </row>
    <row r="177" spans="2:53" ht="15.95" customHeight="1" x14ac:dyDescent="0.4">
      <c r="B177" s="58"/>
      <c r="C177" s="855"/>
      <c r="D177" s="855"/>
      <c r="E177" s="854"/>
      <c r="F177" s="854"/>
      <c r="G177" s="854"/>
      <c r="H177" s="854"/>
      <c r="I177" s="854"/>
      <c r="J177" s="854"/>
      <c r="K177" s="854"/>
      <c r="L177" s="854"/>
      <c r="M177" s="854"/>
      <c r="N177" s="854"/>
      <c r="O177" s="854"/>
      <c r="P177" s="854"/>
      <c r="Q177" s="854"/>
      <c r="R177" s="854"/>
      <c r="S177" s="854"/>
      <c r="T177" s="854"/>
      <c r="U177" s="854"/>
      <c r="V177" s="854"/>
      <c r="W177" s="854"/>
      <c r="X177" s="854"/>
      <c r="Y177" s="854"/>
      <c r="Z177" s="854"/>
      <c r="AA177" s="854"/>
      <c r="AB177" s="854"/>
      <c r="AC177" s="854"/>
      <c r="AD177" s="854"/>
      <c r="AE177" s="854"/>
      <c r="AF177" s="854"/>
      <c r="AG177" s="854"/>
      <c r="AH177" s="854"/>
      <c r="AI177" s="854"/>
      <c r="AJ177" s="854"/>
      <c r="AK177" s="59"/>
    </row>
    <row r="178" spans="2:53" ht="15.95" customHeight="1" x14ac:dyDescent="0.4">
      <c r="B178" s="58"/>
      <c r="C178" s="855"/>
      <c r="D178" s="855"/>
      <c r="E178" s="854"/>
      <c r="F178" s="854"/>
      <c r="G178" s="854"/>
      <c r="H178" s="854"/>
      <c r="I178" s="854"/>
      <c r="J178" s="854"/>
      <c r="K178" s="854"/>
      <c r="L178" s="854"/>
      <c r="M178" s="854"/>
      <c r="N178" s="854"/>
      <c r="O178" s="854"/>
      <c r="P178" s="854"/>
      <c r="Q178" s="854"/>
      <c r="R178" s="854"/>
      <c r="S178" s="854"/>
      <c r="T178" s="854"/>
      <c r="U178" s="854"/>
      <c r="V178" s="854"/>
      <c r="W178" s="854"/>
      <c r="X178" s="854"/>
      <c r="Y178" s="854"/>
      <c r="Z178" s="854"/>
      <c r="AA178" s="854"/>
      <c r="AB178" s="854"/>
      <c r="AC178" s="854"/>
      <c r="AD178" s="854"/>
      <c r="AE178" s="854"/>
      <c r="AF178" s="854"/>
      <c r="AG178" s="854"/>
      <c r="AH178" s="854"/>
      <c r="AI178" s="854"/>
      <c r="AJ178" s="854"/>
      <c r="AK178" s="59"/>
    </row>
    <row r="179" spans="2:53" ht="15.95" customHeight="1" x14ac:dyDescent="0.4">
      <c r="B179" s="58"/>
      <c r="C179" s="881"/>
      <c r="D179" s="881"/>
      <c r="E179" s="881"/>
      <c r="F179" s="881"/>
      <c r="G179" s="881"/>
      <c r="H179" s="881"/>
      <c r="I179" s="881"/>
      <c r="J179" s="881"/>
      <c r="K179" s="881"/>
      <c r="L179" s="881"/>
      <c r="M179" s="881"/>
      <c r="N179" s="881"/>
      <c r="O179" s="881"/>
      <c r="P179" s="881"/>
      <c r="Q179" s="881"/>
      <c r="R179" s="881"/>
      <c r="S179" s="881"/>
      <c r="T179" s="881"/>
      <c r="U179" s="881"/>
      <c r="V179" s="881"/>
      <c r="W179" s="881"/>
      <c r="X179" s="881"/>
      <c r="Y179" s="881"/>
      <c r="Z179" s="881"/>
      <c r="AA179" s="881"/>
      <c r="AB179" s="881"/>
      <c r="AC179" s="881"/>
      <c r="AD179" s="881"/>
      <c r="AE179" s="881"/>
      <c r="AF179" s="881"/>
      <c r="AG179" s="881"/>
      <c r="AH179" s="881"/>
      <c r="AI179" s="881"/>
      <c r="AJ179" s="881"/>
      <c r="AK179" s="59"/>
    </row>
    <row r="180" spans="2:53" ht="15.95" customHeight="1" x14ac:dyDescent="0.4">
      <c r="B180" s="58"/>
      <c r="C180" s="881"/>
      <c r="D180" s="881"/>
      <c r="E180" s="881"/>
      <c r="F180" s="881"/>
      <c r="G180" s="881"/>
      <c r="H180" s="881"/>
      <c r="I180" s="881"/>
      <c r="J180" s="881"/>
      <c r="K180" s="881"/>
      <c r="L180" s="881"/>
      <c r="M180" s="881"/>
      <c r="N180" s="881"/>
      <c r="O180" s="881"/>
      <c r="P180" s="881"/>
      <c r="Q180" s="881"/>
      <c r="R180" s="881"/>
      <c r="S180" s="881"/>
      <c r="T180" s="881"/>
      <c r="U180" s="881"/>
      <c r="V180" s="881"/>
      <c r="W180" s="881"/>
      <c r="X180" s="881"/>
      <c r="Y180" s="881"/>
      <c r="Z180" s="881"/>
      <c r="AA180" s="881"/>
      <c r="AB180" s="881"/>
      <c r="AC180" s="881"/>
      <c r="AD180" s="881"/>
      <c r="AE180" s="881"/>
      <c r="AF180" s="881"/>
      <c r="AG180" s="881"/>
      <c r="AH180" s="881"/>
      <c r="AI180" s="881"/>
      <c r="AJ180" s="881"/>
      <c r="AK180" s="59"/>
    </row>
    <row r="181" spans="2:53" ht="15.95" customHeight="1" x14ac:dyDescent="0.4">
      <c r="B181" s="58"/>
      <c r="C181" s="881"/>
      <c r="D181" s="881"/>
      <c r="E181" s="881"/>
      <c r="F181" s="881"/>
      <c r="G181" s="881"/>
      <c r="H181" s="881"/>
      <c r="I181" s="881"/>
      <c r="J181" s="881"/>
      <c r="K181" s="881"/>
      <c r="L181" s="881"/>
      <c r="M181" s="881"/>
      <c r="N181" s="881"/>
      <c r="O181" s="881"/>
      <c r="P181" s="881"/>
      <c r="Q181" s="881"/>
      <c r="R181" s="881"/>
      <c r="S181" s="881"/>
      <c r="T181" s="881"/>
      <c r="U181" s="881"/>
      <c r="V181" s="881"/>
      <c r="W181" s="881"/>
      <c r="X181" s="881"/>
      <c r="Y181" s="881"/>
      <c r="Z181" s="881"/>
      <c r="AA181" s="881"/>
      <c r="AB181" s="881"/>
      <c r="AC181" s="881"/>
      <c r="AD181" s="881"/>
      <c r="AE181" s="881"/>
      <c r="AF181" s="881"/>
      <c r="AG181" s="881"/>
      <c r="AH181" s="881"/>
      <c r="AI181" s="881"/>
      <c r="AJ181" s="881"/>
      <c r="AK181" s="59"/>
    </row>
    <row r="182" spans="2:53" ht="15.95" customHeight="1" x14ac:dyDescent="0.4">
      <c r="B182" s="58"/>
      <c r="C182" s="881"/>
      <c r="D182" s="881"/>
      <c r="E182" s="881"/>
      <c r="F182" s="881"/>
      <c r="G182" s="881"/>
      <c r="H182" s="881"/>
      <c r="I182" s="881"/>
      <c r="J182" s="881"/>
      <c r="K182" s="881"/>
      <c r="L182" s="881"/>
      <c r="M182" s="881"/>
      <c r="N182" s="881"/>
      <c r="O182" s="881"/>
      <c r="P182" s="881"/>
      <c r="Q182" s="881"/>
      <c r="R182" s="881"/>
      <c r="S182" s="881"/>
      <c r="T182" s="881"/>
      <c r="U182" s="881"/>
      <c r="V182" s="881"/>
      <c r="W182" s="881"/>
      <c r="X182" s="881"/>
      <c r="Y182" s="881"/>
      <c r="Z182" s="881"/>
      <c r="AA182" s="881"/>
      <c r="AB182" s="881"/>
      <c r="AC182" s="881"/>
      <c r="AD182" s="881"/>
      <c r="AE182" s="881"/>
      <c r="AF182" s="881"/>
      <c r="AG182" s="881"/>
      <c r="AH182" s="881"/>
      <c r="AI182" s="881"/>
      <c r="AJ182" s="881"/>
      <c r="AK182" s="59"/>
    </row>
    <row r="183" spans="2:53" ht="15.95" customHeight="1" thickBot="1" x14ac:dyDescent="0.45">
      <c r="B183" s="60"/>
      <c r="C183" s="61"/>
      <c r="D183" s="61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3"/>
    </row>
    <row r="184" spans="2:53" ht="5.0999999999999996" customHeight="1" thickTop="1" thickBot="1" x14ac:dyDescent="0.45"/>
    <row r="185" spans="2:53" ht="15.95" customHeight="1" thickTop="1" x14ac:dyDescent="0.4">
      <c r="B185" s="52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5"/>
    </row>
    <row r="186" spans="2:53" s="3" customFormat="1" ht="15.95" customHeight="1" x14ac:dyDescent="0.25">
      <c r="B186" s="56"/>
      <c r="C186" s="856"/>
      <c r="D186" s="856"/>
      <c r="E186" s="856"/>
      <c r="F186" s="856"/>
      <c r="G186" s="1438" t="s">
        <v>352</v>
      </c>
      <c r="H186" s="1438"/>
      <c r="I186" s="1438"/>
      <c r="J186" s="1438"/>
      <c r="K186" s="1438"/>
      <c r="L186" s="1438"/>
      <c r="M186" s="1438"/>
      <c r="N186" s="1438"/>
      <c r="O186" s="1438"/>
      <c r="P186" s="1438"/>
      <c r="Q186" s="1438"/>
      <c r="R186" s="1438"/>
      <c r="S186" s="1438"/>
      <c r="T186" s="1438"/>
      <c r="U186" s="1438"/>
      <c r="V186" s="1438"/>
      <c r="W186" s="1438"/>
      <c r="X186" s="1438"/>
      <c r="Y186" s="1438"/>
      <c r="Z186" s="1438"/>
      <c r="AA186" s="1438"/>
      <c r="AB186" s="1438"/>
      <c r="AC186" s="1438"/>
      <c r="AD186" s="1438"/>
      <c r="AE186" s="1438"/>
      <c r="AF186" s="1438"/>
      <c r="AG186" s="1438"/>
      <c r="AH186" s="1438"/>
      <c r="AI186" s="1438"/>
      <c r="AJ186" s="1438"/>
      <c r="AK186" s="57"/>
      <c r="BA186" s="846"/>
    </row>
    <row r="187" spans="2:53" ht="15.95" customHeight="1" x14ac:dyDescent="0.4">
      <c r="B187" s="58"/>
      <c r="C187" s="855"/>
      <c r="D187" s="855"/>
      <c r="E187" s="854"/>
      <c r="F187" s="854"/>
      <c r="G187" s="1482" t="s">
        <v>9209</v>
      </c>
      <c r="H187" s="1482"/>
      <c r="I187" s="1482"/>
      <c r="J187" s="1482"/>
      <c r="K187" s="1482"/>
      <c r="L187" s="1482"/>
      <c r="M187" s="1482"/>
      <c r="N187" s="1482"/>
      <c r="O187" s="1482"/>
      <c r="P187" s="1482"/>
      <c r="Q187" s="1482"/>
      <c r="R187" s="1482"/>
      <c r="S187" s="1482"/>
      <c r="T187" s="1482"/>
      <c r="U187" s="1482"/>
      <c r="V187" s="1482"/>
      <c r="W187" s="1482"/>
      <c r="X187" s="1482"/>
      <c r="Y187" s="1482"/>
      <c r="Z187" s="1482"/>
      <c r="AA187" s="1482"/>
      <c r="AB187" s="1482"/>
      <c r="AC187" s="1482"/>
      <c r="AD187" s="1482"/>
      <c r="AE187" s="1482"/>
      <c r="AF187" s="1482"/>
      <c r="AG187" s="1482"/>
      <c r="AH187" s="1482"/>
      <c r="AI187" s="1482"/>
      <c r="AJ187" s="1482"/>
      <c r="AK187" s="59"/>
    </row>
    <row r="188" spans="2:53" ht="15.95" customHeight="1" x14ac:dyDescent="0.4">
      <c r="B188" s="58"/>
      <c r="C188" s="1434"/>
      <c r="D188" s="1434"/>
      <c r="E188" s="1434"/>
      <c r="F188" s="1434"/>
      <c r="G188" s="1434"/>
      <c r="H188" s="1434"/>
      <c r="I188" s="1434"/>
      <c r="J188" s="1434"/>
      <c r="K188" s="1434"/>
      <c r="L188" s="1434"/>
      <c r="M188" s="1434"/>
      <c r="N188" s="1434"/>
      <c r="O188" s="1434"/>
      <c r="P188" s="1434"/>
      <c r="Q188" s="1434"/>
      <c r="R188" s="1434"/>
      <c r="S188" s="1434"/>
      <c r="T188" s="1434"/>
      <c r="U188" s="1434"/>
      <c r="V188" s="1434"/>
      <c r="W188" s="1434"/>
      <c r="X188" s="1434"/>
      <c r="Y188" s="1434"/>
      <c r="Z188" s="1434"/>
      <c r="AA188" s="1434"/>
      <c r="AB188" s="1434"/>
      <c r="AC188" s="1434"/>
      <c r="AD188" s="1434"/>
      <c r="AE188" s="1434"/>
      <c r="AF188" s="1434"/>
      <c r="AG188" s="1434"/>
      <c r="AH188" s="1434"/>
      <c r="AI188" s="1434"/>
      <c r="AJ188" s="1434"/>
      <c r="AK188" s="59"/>
    </row>
    <row r="189" spans="2:53" ht="15.95" customHeight="1" x14ac:dyDescent="0.4">
      <c r="B189" s="58"/>
      <c r="C189" s="1460" t="s">
        <v>354</v>
      </c>
      <c r="D189" s="1460"/>
      <c r="E189" s="1460"/>
      <c r="F189" s="1460"/>
      <c r="G189" s="1460"/>
      <c r="H189" s="1460"/>
      <c r="I189" s="1460"/>
      <c r="J189" s="1460"/>
      <c r="K189" s="1460"/>
      <c r="L189" s="1433" t="str">
        <f>Geral!C6</f>
        <v>SECRETARIA DE ESTADO DE EDUCAÇÃO - MG</v>
      </c>
      <c r="M189" s="1433"/>
      <c r="N189" s="1433"/>
      <c r="O189" s="1433"/>
      <c r="P189" s="1433"/>
      <c r="Q189" s="1433"/>
      <c r="R189" s="1433"/>
      <c r="S189" s="1433"/>
      <c r="T189" s="1433"/>
      <c r="U189" s="1433"/>
      <c r="V189" s="1433"/>
      <c r="W189" s="1433"/>
      <c r="X189" s="1433"/>
      <c r="Y189" s="1433"/>
      <c r="Z189" s="1433"/>
      <c r="AA189" s="1433"/>
      <c r="AB189" s="1433"/>
      <c r="AC189" s="1433"/>
      <c r="AD189" s="1433"/>
      <c r="AE189" s="1433"/>
      <c r="AF189" s="1433"/>
      <c r="AG189" s="1433"/>
      <c r="AH189" s="1433"/>
      <c r="AI189" s="1433"/>
      <c r="AJ189" s="1433"/>
      <c r="AK189" s="59"/>
    </row>
    <row r="190" spans="2:53" ht="15.95" customHeight="1" x14ac:dyDescent="0.4">
      <c r="B190" s="58"/>
      <c r="C190" s="1460" t="s">
        <v>356</v>
      </c>
      <c r="D190" s="1460"/>
      <c r="E190" s="1460"/>
      <c r="F190" s="1460"/>
      <c r="G190" s="1460"/>
      <c r="H190" s="1436" t="str">
        <f>Geral!C8</f>
        <v>Superintendência Regional Ensino de</v>
      </c>
      <c r="I190" s="1436"/>
      <c r="J190" s="1436"/>
      <c r="K190" s="1436"/>
      <c r="L190" s="1436"/>
      <c r="M190" s="1436"/>
      <c r="N190" s="1436"/>
      <c r="O190" s="1436"/>
      <c r="P190" s="1436"/>
      <c r="Q190" s="1436"/>
      <c r="R190" s="1436"/>
      <c r="S190" s="1436"/>
      <c r="T190" s="1436"/>
      <c r="U190" s="1436"/>
      <c r="V190" s="1433" t="str">
        <f>Geral!I8</f>
        <v>Uberaba</v>
      </c>
      <c r="W190" s="1433"/>
      <c r="X190" s="1433"/>
      <c r="Y190" s="1433"/>
      <c r="Z190" s="1433"/>
      <c r="AA190" s="1433"/>
      <c r="AB190" s="1433"/>
      <c r="AC190" s="1433"/>
      <c r="AD190" s="1433"/>
      <c r="AE190" s="1433"/>
      <c r="AF190" s="1433"/>
      <c r="AG190" s="1433"/>
      <c r="AH190" s="1433"/>
      <c r="AI190" s="1433"/>
      <c r="AJ190" s="1433"/>
      <c r="AK190" s="59"/>
    </row>
    <row r="191" spans="2:53" ht="15.95" customHeight="1" x14ac:dyDescent="0.4">
      <c r="B191" s="58"/>
      <c r="C191" s="853"/>
      <c r="D191" s="853"/>
      <c r="E191" s="853"/>
      <c r="F191" s="853"/>
      <c r="G191" s="853"/>
      <c r="H191" s="854"/>
      <c r="I191" s="854"/>
      <c r="J191" s="854"/>
      <c r="K191" s="854"/>
      <c r="L191" s="854"/>
      <c r="M191" s="854"/>
      <c r="N191" s="854"/>
      <c r="O191" s="854"/>
      <c r="P191" s="854"/>
      <c r="Q191" s="854"/>
      <c r="R191" s="854"/>
      <c r="S191" s="854"/>
      <c r="T191" s="854"/>
      <c r="U191" s="854"/>
      <c r="V191" s="855"/>
      <c r="W191" s="855"/>
      <c r="X191" s="855"/>
      <c r="Y191" s="855"/>
      <c r="Z191" s="855"/>
      <c r="AA191" s="855"/>
      <c r="AB191" s="855"/>
      <c r="AC191" s="855"/>
      <c r="AD191" s="855"/>
      <c r="AE191" s="855"/>
      <c r="AF191" s="855"/>
      <c r="AG191" s="855"/>
      <c r="AH191" s="855"/>
      <c r="AI191" s="855"/>
      <c r="AJ191" s="855"/>
      <c r="AK191" s="59"/>
    </row>
    <row r="192" spans="2:53" ht="21.95" customHeight="1" x14ac:dyDescent="0.4">
      <c r="B192" s="58"/>
      <c r="C192" s="1433"/>
      <c r="D192" s="1433"/>
      <c r="E192" s="1433"/>
      <c r="F192" s="1433"/>
      <c r="G192" s="1433"/>
      <c r="H192" s="1433"/>
      <c r="I192" s="855"/>
      <c r="J192" s="1456" t="s">
        <v>358</v>
      </c>
      <c r="K192" s="1456"/>
      <c r="L192" s="1456"/>
      <c r="M192" s="1456"/>
      <c r="N192" s="1456"/>
      <c r="O192" s="1456"/>
      <c r="P192" s="1456"/>
      <c r="Q192" s="1456"/>
      <c r="R192" s="1456"/>
      <c r="S192" s="1456"/>
      <c r="T192" s="1456"/>
      <c r="U192" s="1456"/>
      <c r="V192" s="1456"/>
      <c r="W192" s="1456"/>
      <c r="X192" s="1456"/>
      <c r="Y192" s="1456"/>
      <c r="Z192" s="1456"/>
      <c r="AA192" s="1456"/>
      <c r="AB192" s="1456"/>
      <c r="AC192" s="1456"/>
      <c r="AD192" s="1456"/>
      <c r="AE192" s="1456"/>
      <c r="AF192" s="1456"/>
      <c r="AG192" s="1456"/>
      <c r="AH192" s="1456"/>
      <c r="AI192" s="1456"/>
      <c r="AJ192" s="1456"/>
      <c r="AK192" s="59"/>
    </row>
    <row r="193" spans="2:37" ht="21.95" customHeight="1" x14ac:dyDescent="0.4">
      <c r="B193" s="58"/>
      <c r="C193" s="1458" t="str">
        <f>J6</f>
        <v>Arlete de Fátima Soares</v>
      </c>
      <c r="D193" s="1458"/>
      <c r="E193" s="1458"/>
      <c r="F193" s="1458"/>
      <c r="G193" s="1458"/>
      <c r="H193" s="1458"/>
      <c r="I193" s="1458"/>
      <c r="J193" s="1458"/>
      <c r="K193" s="1458"/>
      <c r="L193" s="1458"/>
      <c r="M193" s="1458"/>
      <c r="N193" s="1458"/>
      <c r="O193" s="1458"/>
      <c r="P193" s="1458"/>
      <c r="Q193" s="1458"/>
      <c r="R193" s="1458"/>
      <c r="S193" s="1458"/>
      <c r="T193" s="1458"/>
      <c r="U193" s="1434" t="s">
        <v>360</v>
      </c>
      <c r="V193" s="1434"/>
      <c r="W193" s="857"/>
      <c r="X193" s="857"/>
      <c r="Y193" s="857"/>
      <c r="Z193" s="1459">
        <f>IF(AG6="","",AG6)</f>
        <v>8067126</v>
      </c>
      <c r="AA193" s="1459"/>
      <c r="AB193" s="1459"/>
      <c r="AC193" s="1459"/>
      <c r="AD193" s="858"/>
      <c r="AE193" s="1456" t="s">
        <v>359</v>
      </c>
      <c r="AF193" s="1456"/>
      <c r="AG193" s="1456"/>
      <c r="AH193" s="1456"/>
      <c r="AI193" s="1456"/>
      <c r="AJ193" s="1456"/>
      <c r="AK193" s="59"/>
    </row>
    <row r="194" spans="2:37" ht="21.95" customHeight="1" x14ac:dyDescent="0.4">
      <c r="B194" s="58"/>
      <c r="C194" s="1452">
        <f>IF(C12="","",C12)</f>
        <v>197853.33</v>
      </c>
      <c r="D194" s="1452"/>
      <c r="E194" s="1452"/>
      <c r="F194" s="1452"/>
      <c r="G194" s="1452"/>
      <c r="H194" s="3890" t="str">
        <f>H12</f>
        <v>(cento e noventa e sete mil oitocentos e cinquenta e três reais e trinta e três centavos)</v>
      </c>
      <c r="I194" s="3890"/>
      <c r="J194" s="1453"/>
      <c r="K194" s="1453"/>
      <c r="L194" s="1453"/>
      <c r="M194" s="1453"/>
      <c r="N194" s="1453"/>
      <c r="O194" s="1453"/>
      <c r="P194" s="1453"/>
      <c r="Q194" s="1453"/>
      <c r="R194" s="1453"/>
      <c r="S194" s="1453"/>
      <c r="T194" s="1453"/>
      <c r="U194" s="1453"/>
      <c r="V194" s="1453"/>
      <c r="W194" s="1453"/>
      <c r="X194" s="1453"/>
      <c r="Y194" s="1453"/>
      <c r="Z194" s="1453"/>
      <c r="AA194" s="1453"/>
      <c r="AB194" s="1453"/>
      <c r="AC194" s="1453"/>
      <c r="AD194" s="1453"/>
      <c r="AE194" s="1453"/>
      <c r="AF194" s="1453"/>
      <c r="AG194" s="1453"/>
      <c r="AH194" s="1453"/>
      <c r="AI194" s="1453"/>
      <c r="AJ194" s="1453"/>
      <c r="AK194" s="59"/>
    </row>
    <row r="195" spans="2:37" ht="8.1" customHeight="1" x14ac:dyDescent="0.4">
      <c r="B195" s="58"/>
      <c r="C195" s="863"/>
      <c r="D195" s="863"/>
      <c r="E195" s="863"/>
      <c r="F195" s="863"/>
      <c r="G195" s="863"/>
      <c r="H195" s="862"/>
      <c r="I195" s="862"/>
      <c r="J195" s="862"/>
      <c r="K195" s="862"/>
      <c r="L195" s="862"/>
      <c r="M195" s="862"/>
      <c r="N195" s="862"/>
      <c r="O195" s="862"/>
      <c r="P195" s="862"/>
      <c r="Q195" s="862"/>
      <c r="R195" s="862"/>
      <c r="S195" s="862"/>
      <c r="T195" s="862"/>
      <c r="U195" s="862"/>
      <c r="V195" s="862"/>
      <c r="W195" s="862"/>
      <c r="X195" s="862"/>
      <c r="Y195" s="862"/>
      <c r="Z195" s="862"/>
      <c r="AA195" s="862"/>
      <c r="AB195" s="862"/>
      <c r="AC195" s="862"/>
      <c r="AD195" s="862"/>
      <c r="AE195" s="862"/>
      <c r="AF195" s="862"/>
      <c r="AG195" s="862"/>
      <c r="AH195" s="862"/>
      <c r="AI195" s="862"/>
      <c r="AJ195" s="862"/>
      <c r="AK195" s="59"/>
    </row>
    <row r="196" spans="2:37" ht="15.95" customHeight="1" x14ac:dyDescent="0.4">
      <c r="B196" s="58"/>
      <c r="C196" s="3887" t="str">
        <f>C13</f>
        <v>Referente a:</v>
      </c>
      <c r="D196" s="3887"/>
      <c r="E196" s="3888"/>
      <c r="F196" s="3888"/>
      <c r="G196" s="3888"/>
      <c r="H196" s="3889" t="str">
        <f>C149&amp;" adm. "&amp;J7&amp;"."</f>
        <v>Publicação atrasada de Afastamento Preliminar Aposentadoria ex-Lei 100., adm. 1.</v>
      </c>
      <c r="I196" s="3889"/>
      <c r="J196" s="3889"/>
      <c r="K196" s="3889"/>
      <c r="L196" s="3889"/>
      <c r="M196" s="3889"/>
      <c r="N196" s="3889"/>
      <c r="O196" s="3889"/>
      <c r="P196" s="3889"/>
      <c r="Q196" s="3889"/>
      <c r="R196" s="3889"/>
      <c r="S196" s="3889"/>
      <c r="T196" s="3889"/>
      <c r="U196" s="3889"/>
      <c r="V196" s="3889"/>
      <c r="W196" s="3889"/>
      <c r="X196" s="3889"/>
      <c r="Y196" s="3889"/>
      <c r="Z196" s="3889"/>
      <c r="AA196" s="3889"/>
      <c r="AB196" s="3889"/>
      <c r="AC196" s="3889"/>
      <c r="AD196" s="3889"/>
      <c r="AE196" s="3889"/>
      <c r="AF196" s="3889"/>
      <c r="AG196" s="3889"/>
      <c r="AH196" s="3889"/>
      <c r="AI196" s="3889"/>
      <c r="AJ196" s="3889"/>
      <c r="AK196" s="59"/>
    </row>
    <row r="197" spans="2:37" ht="15.95" customHeight="1" x14ac:dyDescent="0.4">
      <c r="B197" s="58"/>
      <c r="C197" s="882"/>
      <c r="D197" s="882"/>
      <c r="E197" s="882"/>
      <c r="F197" s="882"/>
      <c r="G197" s="882"/>
      <c r="H197" s="3889"/>
      <c r="I197" s="3889"/>
      <c r="J197" s="3889"/>
      <c r="K197" s="3889"/>
      <c r="L197" s="3889"/>
      <c r="M197" s="3889"/>
      <c r="N197" s="3889"/>
      <c r="O197" s="3889"/>
      <c r="P197" s="3889"/>
      <c r="Q197" s="3889"/>
      <c r="R197" s="3889"/>
      <c r="S197" s="3889"/>
      <c r="T197" s="3889"/>
      <c r="U197" s="3889"/>
      <c r="V197" s="3889"/>
      <c r="W197" s="3889"/>
      <c r="X197" s="3889"/>
      <c r="Y197" s="3889"/>
      <c r="Z197" s="3889"/>
      <c r="AA197" s="3889"/>
      <c r="AB197" s="3889"/>
      <c r="AC197" s="3889"/>
      <c r="AD197" s="3889"/>
      <c r="AE197" s="3889"/>
      <c r="AF197" s="3889"/>
      <c r="AG197" s="3889"/>
      <c r="AH197" s="3889"/>
      <c r="AI197" s="3889"/>
      <c r="AJ197" s="3889"/>
      <c r="AK197" s="59"/>
    </row>
    <row r="198" spans="2:37" ht="9.75" customHeight="1" x14ac:dyDescent="0.4">
      <c r="B198" s="58"/>
      <c r="C198" s="1434"/>
      <c r="D198" s="1434"/>
      <c r="E198" s="1434"/>
      <c r="F198" s="1434"/>
      <c r="G198" s="1434"/>
      <c r="H198" s="1434"/>
      <c r="I198" s="1434"/>
      <c r="J198" s="1434"/>
      <c r="K198" s="1434"/>
      <c r="L198" s="1434"/>
      <c r="M198" s="1434"/>
      <c r="N198" s="1434"/>
      <c r="O198" s="1434"/>
      <c r="P198" s="1434"/>
      <c r="Q198" s="1434"/>
      <c r="R198" s="1434"/>
      <c r="S198" s="1434"/>
      <c r="T198" s="1434"/>
      <c r="U198" s="1434"/>
      <c r="V198" s="1434"/>
      <c r="W198" s="1434"/>
      <c r="X198" s="1434"/>
      <c r="Y198" s="1434"/>
      <c r="Z198" s="1434"/>
      <c r="AA198" s="1434"/>
      <c r="AB198" s="1434"/>
      <c r="AC198" s="1434"/>
      <c r="AD198" s="1434"/>
      <c r="AE198" s="1434"/>
      <c r="AF198" s="1434"/>
      <c r="AG198" s="1434"/>
      <c r="AH198" s="1434"/>
      <c r="AI198" s="1434"/>
      <c r="AJ198" s="1434"/>
      <c r="AK198" s="59"/>
    </row>
    <row r="199" spans="2:37" ht="15.95" customHeight="1" x14ac:dyDescent="0.4">
      <c r="B199" s="58"/>
      <c r="C199" s="1928" t="s">
        <v>9385</v>
      </c>
      <c r="D199" s="1928"/>
      <c r="E199" s="1928"/>
      <c r="F199" s="1928"/>
      <c r="G199" s="1928"/>
      <c r="H199" s="3891" t="str">
        <f>K11&amp;L11&amp;M11&amp;O11&amp;Q11&amp;S11&amp;U11&amp;W11&amp;Y11&amp;AA11&amp;AC11&amp;AE11&amp;AG11&amp;AI11</f>
        <v>2910 - 2926 - 2965 - 2151</v>
      </c>
      <c r="I199" s="3891"/>
      <c r="J199" s="3891"/>
      <c r="K199" s="3891"/>
      <c r="L199" s="3891"/>
      <c r="M199" s="3891"/>
      <c r="N199" s="3891"/>
      <c r="O199" s="3891"/>
      <c r="P199" s="3891"/>
      <c r="Q199" s="3891"/>
      <c r="R199" s="3891"/>
      <c r="S199" s="3891"/>
      <c r="T199" s="3891"/>
      <c r="U199" s="3891"/>
      <c r="V199" s="3891"/>
      <c r="W199" s="3891"/>
      <c r="X199" s="3891"/>
      <c r="Y199" s="3891"/>
      <c r="Z199" s="3891"/>
      <c r="AA199" s="3891"/>
      <c r="AB199" s="3891"/>
      <c r="AC199" s="3891"/>
      <c r="AD199" s="3891"/>
      <c r="AE199" s="3891"/>
      <c r="AF199" s="3891"/>
      <c r="AG199" s="3891"/>
      <c r="AH199" s="3891"/>
      <c r="AI199" s="3891"/>
      <c r="AJ199" s="3891"/>
      <c r="AK199" s="59"/>
    </row>
    <row r="200" spans="2:37" ht="15.95" customHeight="1" x14ac:dyDescent="0.4">
      <c r="B200" s="58"/>
      <c r="C200" s="855"/>
      <c r="D200" s="855"/>
      <c r="E200" s="854"/>
      <c r="F200" s="854"/>
      <c r="G200" s="854"/>
      <c r="H200" s="854"/>
      <c r="I200" s="854"/>
      <c r="J200" s="854"/>
      <c r="K200" s="854"/>
      <c r="L200" s="854"/>
      <c r="M200" s="854"/>
      <c r="N200" s="854"/>
      <c r="O200" s="854"/>
      <c r="P200" s="854"/>
      <c r="Q200" s="854"/>
      <c r="R200" s="854"/>
      <c r="S200" s="854"/>
      <c r="T200" s="854"/>
      <c r="U200" s="854"/>
      <c r="V200" s="854"/>
      <c r="W200" s="854"/>
      <c r="X200" s="854"/>
      <c r="Y200" s="854"/>
      <c r="Z200" s="854"/>
      <c r="AA200" s="854"/>
      <c r="AB200" s="854"/>
      <c r="AC200" s="854"/>
      <c r="AD200" s="854"/>
      <c r="AE200" s="854"/>
      <c r="AF200" s="854"/>
      <c r="AG200" s="854"/>
      <c r="AH200" s="854"/>
      <c r="AI200" s="854"/>
      <c r="AJ200" s="854"/>
      <c r="AK200" s="59"/>
    </row>
    <row r="201" spans="2:37" ht="15.95" customHeight="1" x14ac:dyDescent="0.4">
      <c r="B201" s="58"/>
      <c r="C201" s="1434" t="s">
        <v>362</v>
      </c>
      <c r="D201" s="1434"/>
      <c r="E201" s="1434"/>
      <c r="F201" s="1434"/>
      <c r="G201" s="1434"/>
      <c r="H201" s="1442" t="str">
        <f>IF(BA8=1,LEFT(C8,13),K8)</f>
        <v>Aposentado(a)</v>
      </c>
      <c r="I201" s="1442"/>
      <c r="J201" s="1442"/>
      <c r="K201" s="1442"/>
      <c r="L201" s="1442"/>
      <c r="M201" s="1442"/>
      <c r="N201" s="1442"/>
      <c r="O201" s="1442"/>
      <c r="P201" s="1442"/>
      <c r="Q201" s="1442"/>
      <c r="R201" s="1442"/>
      <c r="S201" s="1442"/>
      <c r="T201" s="1442"/>
      <c r="U201" s="1442"/>
      <c r="V201" s="1442"/>
      <c r="W201" s="861"/>
      <c r="X201" s="861"/>
      <c r="Y201" s="861"/>
      <c r="Z201" s="1443" t="s">
        <v>364</v>
      </c>
      <c r="AA201" s="1443"/>
      <c r="AB201" s="1443"/>
      <c r="AC201" s="1443"/>
      <c r="AD201" s="866"/>
      <c r="AE201" s="1444" t="str">
        <f>AC8</f>
        <v>Iturama</v>
      </c>
      <c r="AF201" s="1444"/>
      <c r="AG201" s="1444"/>
      <c r="AH201" s="1444"/>
      <c r="AI201" s="1444"/>
      <c r="AJ201" s="1444"/>
      <c r="AK201" s="59"/>
    </row>
    <row r="202" spans="2:37" ht="9.9499999999999993" customHeight="1" x14ac:dyDescent="0.4">
      <c r="B202" s="58"/>
      <c r="C202" s="855"/>
      <c r="D202" s="855"/>
      <c r="E202" s="854"/>
      <c r="F202" s="854"/>
      <c r="G202" s="854"/>
      <c r="H202" s="854"/>
      <c r="I202" s="854"/>
      <c r="J202" s="854"/>
      <c r="K202" s="854"/>
      <c r="L202" s="854"/>
      <c r="M202" s="854"/>
      <c r="N202" s="854"/>
      <c r="O202" s="854"/>
      <c r="P202" s="854"/>
      <c r="Q202" s="854"/>
      <c r="R202" s="854"/>
      <c r="S202" s="854"/>
      <c r="T202" s="854"/>
      <c r="U202" s="854"/>
      <c r="V202" s="854"/>
      <c r="W202" s="854"/>
      <c r="X202" s="854"/>
      <c r="Y202" s="854"/>
      <c r="Z202" s="854"/>
      <c r="AA202" s="854"/>
      <c r="AB202" s="854"/>
      <c r="AC202" s="854"/>
      <c r="AD202" s="854"/>
      <c r="AE202" s="854"/>
      <c r="AF202" s="854"/>
      <c r="AG202" s="854"/>
      <c r="AH202" s="854"/>
      <c r="AI202" s="854"/>
      <c r="AJ202" s="854"/>
      <c r="AK202" s="59"/>
    </row>
    <row r="203" spans="2:37" ht="15.95" customHeight="1" x14ac:dyDescent="0.4">
      <c r="B203" s="58"/>
      <c r="C203" s="1436" t="str">
        <f>Geral!I8</f>
        <v>Uberaba</v>
      </c>
      <c r="D203" s="1436"/>
      <c r="E203" s="1436"/>
      <c r="F203" s="1436"/>
      <c r="G203" s="1436"/>
      <c r="H203" s="1436"/>
      <c r="I203" s="1436"/>
      <c r="J203" s="1436"/>
      <c r="K203" s="1436"/>
      <c r="L203" s="1436"/>
      <c r="M203" s="1436"/>
      <c r="N203" s="1436"/>
      <c r="O203" s="1436"/>
      <c r="P203" s="1436"/>
      <c r="Q203" s="1436"/>
      <c r="R203" s="1436"/>
      <c r="S203" s="854"/>
      <c r="T203" s="855" t="s">
        <v>365</v>
      </c>
      <c r="U203" s="1445">
        <f ca="1">IF(E14&lt;&gt;0,C15,TODAY())</f>
        <v>43238</v>
      </c>
      <c r="V203" s="1445"/>
      <c r="W203" s="1445"/>
      <c r="X203" s="1445"/>
      <c r="Y203" s="1445"/>
      <c r="Z203" s="1445"/>
      <c r="AA203" s="1445"/>
      <c r="AB203" s="1445"/>
      <c r="AC203" s="1445"/>
      <c r="AD203" s="1445"/>
      <c r="AE203" s="1445"/>
      <c r="AF203" s="1445"/>
      <c r="AG203" s="1445"/>
      <c r="AH203" s="1445"/>
      <c r="AI203" s="1445"/>
      <c r="AJ203" s="1445"/>
      <c r="AK203" s="59"/>
    </row>
    <row r="204" spans="2:37" ht="8.1" customHeight="1" x14ac:dyDescent="0.4">
      <c r="B204" s="58"/>
      <c r="C204" s="855"/>
      <c r="D204" s="855"/>
      <c r="E204" s="854"/>
      <c r="F204" s="854"/>
      <c r="G204" s="854"/>
      <c r="H204" s="854"/>
      <c r="I204" s="854"/>
      <c r="J204" s="854"/>
      <c r="K204" s="854"/>
      <c r="L204" s="854"/>
      <c r="M204" s="854"/>
      <c r="N204" s="854"/>
      <c r="O204" s="854"/>
      <c r="P204" s="854"/>
      <c r="Q204" s="854"/>
      <c r="R204" s="854"/>
      <c r="S204" s="854"/>
      <c r="T204" s="854"/>
      <c r="U204" s="854"/>
      <c r="V204" s="854"/>
      <c r="W204" s="854"/>
      <c r="X204" s="854"/>
      <c r="Y204" s="854"/>
      <c r="Z204" s="854"/>
      <c r="AA204" s="854"/>
      <c r="AB204" s="854"/>
      <c r="AC204" s="854"/>
      <c r="AD204" s="854"/>
      <c r="AE204" s="854"/>
      <c r="AF204" s="854"/>
      <c r="AG204" s="854"/>
      <c r="AH204" s="854"/>
      <c r="AI204" s="854"/>
      <c r="AJ204" s="854"/>
      <c r="AK204" s="59"/>
    </row>
    <row r="205" spans="2:37" ht="15.95" customHeight="1" x14ac:dyDescent="0.4">
      <c r="B205" s="58"/>
      <c r="C205" s="1439" t="s">
        <v>366</v>
      </c>
      <c r="D205" s="1439"/>
      <c r="E205" s="1439"/>
      <c r="F205" s="1439"/>
      <c r="G205" s="1439"/>
      <c r="H205" s="1439"/>
      <c r="I205" s="1439"/>
      <c r="J205" s="1439"/>
      <c r="K205" s="1439"/>
      <c r="L205" s="1439"/>
      <c r="M205" s="1439"/>
      <c r="N205" s="1439"/>
      <c r="O205" s="1439"/>
      <c r="P205" s="1439"/>
      <c r="Q205" s="1439"/>
      <c r="R205" s="1439"/>
      <c r="S205" s="1439"/>
      <c r="T205" s="1439"/>
      <c r="U205" s="1439"/>
      <c r="V205" s="1439"/>
      <c r="W205" s="1439"/>
      <c r="X205" s="1439"/>
      <c r="Y205" s="1439"/>
      <c r="Z205" s="1439"/>
      <c r="AA205" s="1439"/>
      <c r="AB205" s="1439"/>
      <c r="AC205" s="1439"/>
      <c r="AD205" s="1439"/>
      <c r="AE205" s="1439"/>
      <c r="AF205" s="1439"/>
      <c r="AG205" s="1439"/>
      <c r="AH205" s="1439"/>
      <c r="AI205" s="1439"/>
      <c r="AJ205" s="1439"/>
      <c r="AK205" s="59"/>
    </row>
    <row r="206" spans="2:37" ht="3" customHeight="1" x14ac:dyDescent="0.4">
      <c r="B206" s="58"/>
      <c r="C206" s="1440"/>
      <c r="D206" s="1440"/>
      <c r="E206" s="1440"/>
      <c r="F206" s="1440"/>
      <c r="G206" s="1440"/>
      <c r="H206" s="1440"/>
      <c r="I206" s="1440"/>
      <c r="J206" s="1440"/>
      <c r="K206" s="1440"/>
      <c r="L206" s="1440"/>
      <c r="M206" s="1440"/>
      <c r="N206" s="1440"/>
      <c r="O206" s="1440"/>
      <c r="P206" s="1440"/>
      <c r="Q206" s="1440"/>
      <c r="R206" s="1440"/>
      <c r="S206" s="1440"/>
      <c r="T206" s="1440"/>
      <c r="U206" s="1440"/>
      <c r="V206" s="1440"/>
      <c r="W206" s="1440"/>
      <c r="X206" s="1440"/>
      <c r="Y206" s="1440"/>
      <c r="Z206" s="1440"/>
      <c r="AA206" s="1440"/>
      <c r="AB206" s="1440"/>
      <c r="AC206" s="1440"/>
      <c r="AD206" s="1440"/>
      <c r="AE206" s="1440"/>
      <c r="AF206" s="1440"/>
      <c r="AG206" s="1440"/>
      <c r="AH206" s="1440"/>
      <c r="AI206" s="1440"/>
      <c r="AJ206" s="1440"/>
      <c r="AK206" s="59"/>
    </row>
    <row r="207" spans="2:37" ht="15.95" customHeight="1" x14ac:dyDescent="0.4">
      <c r="B207" s="58"/>
      <c r="C207" s="1433" t="s">
        <v>367</v>
      </c>
      <c r="D207" s="1433"/>
      <c r="E207" s="1433"/>
      <c r="F207" s="855"/>
      <c r="G207" s="2645" t="str">
        <f>Geral!I10</f>
        <v>Alterar</v>
      </c>
      <c r="H207" s="2645"/>
      <c r="I207" s="2645"/>
      <c r="J207" s="2645"/>
      <c r="K207" s="2645"/>
      <c r="L207" s="2645"/>
      <c r="M207" s="2645"/>
      <c r="N207" s="2645"/>
      <c r="O207" s="2645"/>
      <c r="P207" s="2645"/>
      <c r="Q207" s="2645"/>
      <c r="R207" s="2645"/>
      <c r="S207" s="2645"/>
      <c r="T207" s="2645"/>
      <c r="U207" s="2645"/>
      <c r="V207" s="1436" t="s">
        <v>9210</v>
      </c>
      <c r="W207" s="1436"/>
      <c r="X207" s="1436"/>
      <c r="Y207" s="1436"/>
      <c r="Z207" s="1436"/>
      <c r="AA207" s="1436"/>
      <c r="AB207" s="854"/>
      <c r="AC207" s="2646">
        <f>Geral!T10</f>
        <v>0</v>
      </c>
      <c r="AD207" s="2646"/>
      <c r="AE207" s="2646"/>
      <c r="AF207" s="2646"/>
      <c r="AG207" s="864"/>
      <c r="AH207" s="857"/>
      <c r="AI207" s="857"/>
      <c r="AJ207" s="857"/>
      <c r="AK207" s="59"/>
    </row>
    <row r="208" spans="2:37" ht="5.0999999999999996" customHeight="1" x14ac:dyDescent="0.4">
      <c r="B208" s="58"/>
      <c r="C208" s="855"/>
      <c r="D208" s="855"/>
      <c r="E208" s="855"/>
      <c r="F208" s="855"/>
      <c r="G208" s="855"/>
      <c r="H208" s="855"/>
      <c r="I208" s="855"/>
      <c r="J208" s="855"/>
      <c r="K208" s="855"/>
      <c r="L208" s="855"/>
      <c r="M208" s="855"/>
      <c r="N208" s="855"/>
      <c r="O208" s="855"/>
      <c r="P208" s="855"/>
      <c r="Q208" s="855"/>
      <c r="R208" s="855"/>
      <c r="S208" s="855"/>
      <c r="T208" s="855"/>
      <c r="U208" s="854"/>
      <c r="V208" s="854"/>
      <c r="W208" s="854"/>
      <c r="X208" s="854"/>
      <c r="Y208" s="854"/>
      <c r="Z208" s="864"/>
      <c r="AA208" s="864"/>
      <c r="AB208" s="864"/>
      <c r="AC208" s="864"/>
      <c r="AD208" s="864"/>
      <c r="AE208" s="857"/>
      <c r="AF208" s="857"/>
      <c r="AG208" s="857"/>
      <c r="AH208" s="857"/>
      <c r="AI208" s="857"/>
      <c r="AJ208" s="857"/>
      <c r="AK208" s="59"/>
    </row>
    <row r="209" spans="2:37" ht="15.95" customHeight="1" x14ac:dyDescent="0.4">
      <c r="B209" s="58"/>
      <c r="C209" s="1434" t="s">
        <v>369</v>
      </c>
      <c r="D209" s="1434"/>
      <c r="E209" s="1434"/>
      <c r="F209" s="857"/>
      <c r="G209" s="2645"/>
      <c r="H209" s="2645"/>
      <c r="I209" s="2645"/>
      <c r="J209" s="2645"/>
      <c r="K209" s="2645"/>
      <c r="L209" s="2645"/>
      <c r="M209" s="2645"/>
      <c r="N209" s="2645"/>
      <c r="O209" s="2645"/>
      <c r="P209" s="2645"/>
      <c r="Q209" s="2645"/>
      <c r="R209" s="2645"/>
      <c r="S209" s="2645"/>
      <c r="T209" s="2645"/>
      <c r="U209" s="2645"/>
      <c r="V209" s="857"/>
      <c r="W209" s="857"/>
      <c r="X209" s="857"/>
      <c r="Y209" s="857"/>
      <c r="Z209" s="855"/>
      <c r="AA209" s="855"/>
      <c r="AB209" s="855"/>
      <c r="AC209" s="855"/>
      <c r="AD209" s="855"/>
      <c r="AE209" s="855"/>
      <c r="AF209" s="855"/>
      <c r="AG209" s="855"/>
      <c r="AH209" s="855"/>
      <c r="AI209" s="855"/>
      <c r="AJ209" s="855"/>
      <c r="AK209" s="59"/>
    </row>
    <row r="210" spans="2:37" ht="15.95" customHeight="1" x14ac:dyDescent="0.4">
      <c r="B210" s="58"/>
      <c r="C210" s="855"/>
      <c r="D210" s="855"/>
      <c r="E210" s="854"/>
      <c r="F210" s="854"/>
      <c r="G210" s="854"/>
      <c r="H210" s="854"/>
      <c r="I210" s="854"/>
      <c r="J210" s="854"/>
      <c r="K210" s="854"/>
      <c r="L210" s="854"/>
      <c r="M210" s="854"/>
      <c r="N210" s="854"/>
      <c r="O210" s="854"/>
      <c r="P210" s="854"/>
      <c r="Q210" s="854"/>
      <c r="R210" s="854"/>
      <c r="S210" s="854"/>
      <c r="T210" s="854"/>
      <c r="U210" s="854"/>
      <c r="V210" s="854"/>
      <c r="W210" s="854"/>
      <c r="X210" s="854"/>
      <c r="Y210" s="854"/>
      <c r="Z210" s="854"/>
      <c r="AA210" s="854"/>
      <c r="AB210" s="854"/>
      <c r="AC210" s="854"/>
      <c r="AD210" s="854"/>
      <c r="AE210" s="854"/>
      <c r="AF210" s="854"/>
      <c r="AG210" s="854"/>
      <c r="AH210" s="854"/>
      <c r="AI210" s="854"/>
      <c r="AJ210" s="854"/>
      <c r="AK210" s="59"/>
    </row>
    <row r="211" spans="2:37" ht="15.95" customHeight="1" x14ac:dyDescent="0.4">
      <c r="B211" s="58"/>
      <c r="C211" s="1435" t="s">
        <v>368</v>
      </c>
      <c r="D211" s="1435"/>
      <c r="E211" s="1435"/>
      <c r="F211" s="1435"/>
      <c r="G211" s="1435"/>
      <c r="H211" s="1435"/>
      <c r="I211" s="1435"/>
      <c r="J211" s="1435"/>
      <c r="K211" s="1435"/>
      <c r="L211" s="1435"/>
      <c r="M211" s="1435"/>
      <c r="N211" s="1435"/>
      <c r="O211" s="1435"/>
      <c r="P211" s="1435"/>
      <c r="Q211" s="1435"/>
      <c r="R211" s="1435"/>
      <c r="S211" s="1435"/>
      <c r="T211" s="1435"/>
      <c r="U211" s="1435"/>
      <c r="V211" s="1435"/>
      <c r="W211" s="1435"/>
      <c r="X211" s="1435"/>
      <c r="Y211" s="1435"/>
      <c r="Z211" s="1435"/>
      <c r="AA211" s="1435"/>
      <c r="AB211" s="1435"/>
      <c r="AC211" s="1435"/>
      <c r="AD211" s="1435"/>
      <c r="AE211" s="1435"/>
      <c r="AF211" s="1435"/>
      <c r="AG211" s="1435"/>
      <c r="AH211" s="1435"/>
      <c r="AI211" s="1435"/>
      <c r="AJ211" s="1435"/>
      <c r="AK211" s="59"/>
    </row>
    <row r="212" spans="2:37" ht="3.95" customHeight="1" x14ac:dyDescent="0.4">
      <c r="B212" s="58"/>
      <c r="C212" s="855"/>
      <c r="D212" s="855"/>
      <c r="E212" s="854"/>
      <c r="F212" s="854"/>
      <c r="G212" s="854"/>
      <c r="H212" s="854"/>
      <c r="I212" s="854"/>
      <c r="J212" s="854"/>
      <c r="K212" s="854"/>
      <c r="L212" s="854"/>
      <c r="M212" s="854"/>
      <c r="N212" s="854"/>
      <c r="O212" s="854"/>
      <c r="P212" s="854"/>
      <c r="Q212" s="854"/>
      <c r="R212" s="854"/>
      <c r="S212" s="854"/>
      <c r="T212" s="854"/>
      <c r="U212" s="854"/>
      <c r="V212" s="854"/>
      <c r="W212" s="854"/>
      <c r="X212" s="854"/>
      <c r="Y212" s="854"/>
      <c r="Z212" s="854"/>
      <c r="AA212" s="854"/>
      <c r="AB212" s="854"/>
      <c r="AC212" s="854"/>
      <c r="AD212" s="854"/>
      <c r="AE212" s="854"/>
      <c r="AF212" s="854"/>
      <c r="AG212" s="854"/>
      <c r="AH212" s="854"/>
      <c r="AI212" s="854"/>
      <c r="AJ212" s="854"/>
      <c r="AK212" s="59"/>
    </row>
    <row r="213" spans="2:37" ht="15.95" customHeight="1" x14ac:dyDescent="0.4">
      <c r="B213" s="58"/>
      <c r="C213" s="1435" t="s">
        <v>9211</v>
      </c>
      <c r="D213" s="1435"/>
      <c r="E213" s="1435"/>
      <c r="F213" s="1435"/>
      <c r="G213" s="1435"/>
      <c r="H213" s="1435"/>
      <c r="I213" s="1435"/>
      <c r="J213" s="1435"/>
      <c r="K213" s="1435"/>
      <c r="L213" s="1435"/>
      <c r="M213" s="1435"/>
      <c r="N213" s="1435"/>
      <c r="O213" s="1435"/>
      <c r="P213" s="1435"/>
      <c r="Q213" s="1435"/>
      <c r="R213" s="1435"/>
      <c r="S213" s="1435"/>
      <c r="T213" s="1435"/>
      <c r="U213" s="1435"/>
      <c r="V213" s="1435"/>
      <c r="W213" s="1435"/>
      <c r="X213" s="1435"/>
      <c r="Y213" s="1435"/>
      <c r="Z213" s="1435"/>
      <c r="AA213" s="1435"/>
      <c r="AB213" s="1435"/>
      <c r="AC213" s="1435"/>
      <c r="AD213" s="1435"/>
      <c r="AE213" s="1435"/>
      <c r="AF213" s="1435"/>
      <c r="AG213" s="1435"/>
      <c r="AH213" s="1435"/>
      <c r="AI213" s="1435"/>
      <c r="AJ213" s="1435"/>
      <c r="AK213" s="59"/>
    </row>
    <row r="214" spans="2:37" ht="3" customHeight="1" x14ac:dyDescent="0.4">
      <c r="B214" s="58"/>
      <c r="C214" s="1438"/>
      <c r="D214" s="1438"/>
      <c r="E214" s="1438"/>
      <c r="F214" s="1438"/>
      <c r="G214" s="1438"/>
      <c r="H214" s="1438"/>
      <c r="I214" s="1438"/>
      <c r="J214" s="1438"/>
      <c r="K214" s="1438"/>
      <c r="L214" s="1438"/>
      <c r="M214" s="1438"/>
      <c r="N214" s="1438"/>
      <c r="O214" s="1438"/>
      <c r="P214" s="1438"/>
      <c r="Q214" s="1438"/>
      <c r="R214" s="1438"/>
      <c r="S214" s="1438"/>
      <c r="T214" s="1438"/>
      <c r="U214" s="1438"/>
      <c r="V214" s="1438"/>
      <c r="W214" s="1438"/>
      <c r="X214" s="1438"/>
      <c r="Y214" s="1438"/>
      <c r="Z214" s="1438"/>
      <c r="AA214" s="1438"/>
      <c r="AB214" s="1438"/>
      <c r="AC214" s="1438"/>
      <c r="AD214" s="1438"/>
      <c r="AE214" s="1438"/>
      <c r="AF214" s="1438"/>
      <c r="AG214" s="1438"/>
      <c r="AH214" s="1438"/>
      <c r="AI214" s="1438"/>
      <c r="AJ214" s="1438"/>
      <c r="AK214" s="59"/>
    </row>
    <row r="215" spans="2:37" ht="15.95" customHeight="1" x14ac:dyDescent="0.4">
      <c r="B215" s="58"/>
      <c r="C215" s="1433" t="s">
        <v>367</v>
      </c>
      <c r="D215" s="1433"/>
      <c r="E215" s="1433"/>
      <c r="F215" s="855"/>
      <c r="G215" s="2645" t="str">
        <f>Geral!I11</f>
        <v>Elizabet das Graças Limido Santos</v>
      </c>
      <c r="H215" s="2645"/>
      <c r="I215" s="2645"/>
      <c r="J215" s="2645"/>
      <c r="K215" s="2645"/>
      <c r="L215" s="2645"/>
      <c r="M215" s="2645"/>
      <c r="N215" s="2645"/>
      <c r="O215" s="2645"/>
      <c r="P215" s="2645"/>
      <c r="Q215" s="2645"/>
      <c r="R215" s="2645"/>
      <c r="S215" s="2645"/>
      <c r="T215" s="2645"/>
      <c r="U215" s="2645"/>
      <c r="V215" s="1436" t="s">
        <v>9210</v>
      </c>
      <c r="W215" s="1436"/>
      <c r="X215" s="1436"/>
      <c r="Y215" s="1436"/>
      <c r="Z215" s="1436"/>
      <c r="AA215" s="1436"/>
      <c r="AB215" s="854"/>
      <c r="AC215" s="2646">
        <f>Geral!T11</f>
        <v>4440780</v>
      </c>
      <c r="AD215" s="2646"/>
      <c r="AE215" s="2646"/>
      <c r="AF215" s="2646"/>
      <c r="AG215" s="864"/>
      <c r="AH215" s="857"/>
      <c r="AI215" s="857"/>
      <c r="AJ215" s="857"/>
      <c r="AK215" s="59"/>
    </row>
    <row r="216" spans="2:37" ht="5.0999999999999996" customHeight="1" x14ac:dyDescent="0.4">
      <c r="B216" s="58"/>
      <c r="C216" s="855"/>
      <c r="D216" s="855"/>
      <c r="E216" s="855"/>
      <c r="F216" s="855"/>
      <c r="G216" s="855"/>
      <c r="H216" s="855"/>
      <c r="I216" s="855"/>
      <c r="J216" s="855"/>
      <c r="K216" s="855"/>
      <c r="L216" s="855"/>
      <c r="M216" s="855"/>
      <c r="N216" s="855"/>
      <c r="O216" s="855"/>
      <c r="P216" s="855"/>
      <c r="Q216" s="855"/>
      <c r="R216" s="855"/>
      <c r="S216" s="855"/>
      <c r="T216" s="855"/>
      <c r="U216" s="854"/>
      <c r="V216" s="854"/>
      <c r="W216" s="854"/>
      <c r="X216" s="854"/>
      <c r="Y216" s="854"/>
      <c r="Z216" s="864"/>
      <c r="AA216" s="864"/>
      <c r="AB216" s="864"/>
      <c r="AC216" s="864"/>
      <c r="AD216" s="864"/>
      <c r="AE216" s="857"/>
      <c r="AF216" s="857"/>
      <c r="AG216" s="857"/>
      <c r="AH216" s="857"/>
      <c r="AI216" s="857"/>
      <c r="AJ216" s="857"/>
      <c r="AK216" s="59"/>
    </row>
    <row r="217" spans="2:37" ht="15.95" customHeight="1" x14ac:dyDescent="0.4">
      <c r="B217" s="58"/>
      <c r="C217" s="2647" t="s">
        <v>369</v>
      </c>
      <c r="D217" s="2647"/>
      <c r="E217" s="2647"/>
      <c r="F217" s="867"/>
      <c r="G217" s="2645"/>
      <c r="H217" s="2645"/>
      <c r="I217" s="2645"/>
      <c r="J217" s="2645"/>
      <c r="K217" s="2645"/>
      <c r="L217" s="2645"/>
      <c r="M217" s="2645"/>
      <c r="N217" s="2645"/>
      <c r="O217" s="2645"/>
      <c r="P217" s="2645"/>
      <c r="Q217" s="2645"/>
      <c r="R217" s="2645"/>
      <c r="S217" s="2645"/>
      <c r="T217" s="2645"/>
      <c r="U217" s="2645"/>
      <c r="V217" s="1436" t="s">
        <v>7959</v>
      </c>
      <c r="W217" s="1436"/>
      <c r="X217" s="1436"/>
      <c r="Y217" s="1436"/>
      <c r="Z217" s="1436"/>
      <c r="AA217" s="1436"/>
      <c r="AB217" s="854"/>
      <c r="AC217" s="2648">
        <f ca="1">U203</f>
        <v>43238</v>
      </c>
      <c r="AD217" s="2648"/>
      <c r="AE217" s="2648"/>
      <c r="AF217" s="2648"/>
      <c r="AG217" s="868"/>
      <c r="AH217" s="855"/>
      <c r="AI217" s="855"/>
      <c r="AJ217" s="855"/>
      <c r="AK217" s="59"/>
    </row>
    <row r="218" spans="2:37" ht="15.95" customHeight="1" x14ac:dyDescent="0.4">
      <c r="B218" s="58"/>
      <c r="C218" s="855"/>
      <c r="D218" s="855"/>
      <c r="E218" s="855"/>
      <c r="F218" s="855"/>
      <c r="G218" s="855"/>
      <c r="H218" s="855"/>
      <c r="I218" s="855"/>
      <c r="J218" s="855"/>
      <c r="K218" s="855"/>
      <c r="L218" s="855"/>
      <c r="M218" s="855"/>
      <c r="N218" s="855"/>
      <c r="O218" s="855"/>
      <c r="P218" s="855"/>
      <c r="Q218" s="855"/>
      <c r="R218" s="855"/>
      <c r="S218" s="855"/>
      <c r="T218" s="855"/>
      <c r="U218" s="854"/>
      <c r="V218" s="854"/>
      <c r="W218" s="854"/>
      <c r="X218" s="854"/>
      <c r="Y218" s="854"/>
      <c r="Z218" s="868"/>
      <c r="AA218" s="868"/>
      <c r="AB218" s="868"/>
      <c r="AC218" s="868"/>
      <c r="AD218" s="868"/>
      <c r="AE218" s="855"/>
      <c r="AF218" s="855"/>
      <c r="AG218" s="855"/>
      <c r="AH218" s="855"/>
      <c r="AI218" s="855"/>
      <c r="AJ218" s="855"/>
      <c r="AK218" s="59"/>
    </row>
    <row r="219" spans="2:37" ht="15.95" customHeight="1" x14ac:dyDescent="0.4">
      <c r="B219" s="58"/>
      <c r="C219" s="1435" t="str">
        <f>IF(C12&gt;=Geral!F27,"AUTORIZO O PAGAMENTO","")</f>
        <v>AUTORIZO O PAGAMENTO</v>
      </c>
      <c r="D219" s="1435"/>
      <c r="E219" s="1435"/>
      <c r="F219" s="1435"/>
      <c r="G219" s="1435"/>
      <c r="H219" s="1435"/>
      <c r="I219" s="1435"/>
      <c r="J219" s="1435"/>
      <c r="K219" s="1435"/>
      <c r="L219" s="1435"/>
      <c r="M219" s="1435"/>
      <c r="N219" s="1435"/>
      <c r="O219" s="1435"/>
      <c r="P219" s="1435"/>
      <c r="Q219" s="1435"/>
      <c r="R219" s="1435"/>
      <c r="S219" s="1435"/>
      <c r="T219" s="1435"/>
      <c r="U219" s="1435"/>
      <c r="V219" s="1435"/>
      <c r="W219" s="1435"/>
      <c r="X219" s="1435"/>
      <c r="Y219" s="1435"/>
      <c r="Z219" s="1435"/>
      <c r="AA219" s="1435"/>
      <c r="AB219" s="1435"/>
      <c r="AC219" s="1435"/>
      <c r="AD219" s="1435"/>
      <c r="AE219" s="1435"/>
      <c r="AF219" s="1435"/>
      <c r="AG219" s="1435"/>
      <c r="AH219" s="1435"/>
      <c r="AI219" s="1435"/>
      <c r="AJ219" s="1435"/>
      <c r="AK219" s="59"/>
    </row>
    <row r="220" spans="2:37" ht="3.95" customHeight="1" x14ac:dyDescent="0.4">
      <c r="B220" s="58"/>
      <c r="C220" s="865"/>
      <c r="D220" s="865"/>
      <c r="E220" s="865"/>
      <c r="F220" s="865"/>
      <c r="G220" s="865"/>
      <c r="H220" s="865"/>
      <c r="I220" s="865"/>
      <c r="J220" s="865"/>
      <c r="K220" s="865"/>
      <c r="L220" s="865"/>
      <c r="M220" s="865"/>
      <c r="N220" s="865"/>
      <c r="O220" s="865"/>
      <c r="P220" s="865"/>
      <c r="Q220" s="865"/>
      <c r="R220" s="865"/>
      <c r="S220" s="865"/>
      <c r="T220" s="865"/>
      <c r="U220" s="865"/>
      <c r="V220" s="865"/>
      <c r="W220" s="865"/>
      <c r="X220" s="865"/>
      <c r="Y220" s="865"/>
      <c r="Z220" s="865"/>
      <c r="AA220" s="865"/>
      <c r="AB220" s="865"/>
      <c r="AC220" s="865"/>
      <c r="AD220" s="865"/>
      <c r="AE220" s="865"/>
      <c r="AF220" s="865"/>
      <c r="AG220" s="865"/>
      <c r="AH220" s="865"/>
      <c r="AI220" s="865"/>
      <c r="AJ220" s="865"/>
      <c r="AK220" s="59"/>
    </row>
    <row r="221" spans="2:37" ht="15.95" customHeight="1" x14ac:dyDescent="0.4">
      <c r="B221" s="58"/>
      <c r="C221" s="1435" t="str">
        <f>IF(C12&gt;=Geral!F27,"Diretor(a) de Pessoal:","")</f>
        <v>Diretor(a) de Pessoal:</v>
      </c>
      <c r="D221" s="1435"/>
      <c r="E221" s="1435"/>
      <c r="F221" s="1435"/>
      <c r="G221" s="1435"/>
      <c r="H221" s="1435"/>
      <c r="I221" s="1435"/>
      <c r="J221" s="1435"/>
      <c r="K221" s="1435"/>
      <c r="L221" s="1435"/>
      <c r="M221" s="1435"/>
      <c r="N221" s="1435"/>
      <c r="O221" s="1435"/>
      <c r="P221" s="1435"/>
      <c r="Q221" s="1435"/>
      <c r="R221" s="1435"/>
      <c r="S221" s="1435"/>
      <c r="T221" s="1435"/>
      <c r="U221" s="1435"/>
      <c r="V221" s="1435"/>
      <c r="W221" s="1435"/>
      <c r="X221" s="1435"/>
      <c r="Y221" s="1435"/>
      <c r="Z221" s="1435"/>
      <c r="AA221" s="1435"/>
      <c r="AB221" s="1435"/>
      <c r="AC221" s="1435"/>
      <c r="AD221" s="1435"/>
      <c r="AE221" s="1435"/>
      <c r="AF221" s="1435"/>
      <c r="AG221" s="1435"/>
      <c r="AH221" s="1435"/>
      <c r="AI221" s="1435"/>
      <c r="AJ221" s="1435"/>
      <c r="AK221" s="59"/>
    </row>
    <row r="222" spans="2:37" ht="3" customHeight="1" x14ac:dyDescent="0.4">
      <c r="B222" s="58"/>
      <c r="C222" s="1438"/>
      <c r="D222" s="1438"/>
      <c r="E222" s="1438"/>
      <c r="F222" s="1438"/>
      <c r="G222" s="1438"/>
      <c r="H222" s="1438"/>
      <c r="I222" s="1438"/>
      <c r="J222" s="1438"/>
      <c r="K222" s="1438"/>
      <c r="L222" s="1438"/>
      <c r="M222" s="1438"/>
      <c r="N222" s="1438"/>
      <c r="O222" s="1438"/>
      <c r="P222" s="1438"/>
      <c r="Q222" s="1438"/>
      <c r="R222" s="1438"/>
      <c r="S222" s="1438"/>
      <c r="T222" s="1438"/>
      <c r="U222" s="1438"/>
      <c r="V222" s="1438"/>
      <c r="W222" s="1438"/>
      <c r="X222" s="1438"/>
      <c r="Y222" s="1438"/>
      <c r="Z222" s="1438"/>
      <c r="AA222" s="1438"/>
      <c r="AB222" s="1438"/>
      <c r="AC222" s="1438"/>
      <c r="AD222" s="1438"/>
      <c r="AE222" s="1438"/>
      <c r="AF222" s="1438"/>
      <c r="AG222" s="1438"/>
      <c r="AH222" s="1438"/>
      <c r="AI222" s="1438"/>
      <c r="AJ222" s="1438"/>
      <c r="AK222" s="59"/>
    </row>
    <row r="223" spans="2:37" ht="15.95" customHeight="1" x14ac:dyDescent="0.4">
      <c r="B223" s="58"/>
      <c r="C223" s="1433" t="str">
        <f>IF(C12&gt;=Geral!F27,"Nome:","")</f>
        <v>Nome:</v>
      </c>
      <c r="D223" s="1433"/>
      <c r="E223" s="1433"/>
      <c r="F223" s="855"/>
      <c r="G223" s="1433" t="str">
        <f>IF(C12&gt;=Geral!F27,Geral!I12,"")</f>
        <v>Maria Célia da Cunha Ferreira</v>
      </c>
      <c r="H223" s="1433"/>
      <c r="I223" s="1433"/>
      <c r="J223" s="1433"/>
      <c r="K223" s="1433"/>
      <c r="L223" s="1433"/>
      <c r="M223" s="1433"/>
      <c r="N223" s="1433"/>
      <c r="O223" s="1433"/>
      <c r="P223" s="1433"/>
      <c r="Q223" s="1433"/>
      <c r="R223" s="1433"/>
      <c r="S223" s="1433"/>
      <c r="T223" s="1433"/>
      <c r="U223" s="1433"/>
      <c r="V223" s="1436" t="str">
        <f>IF(C12&gt;=Geral!F27,"MaSP n.º:","")</f>
        <v>MaSP n.º:</v>
      </c>
      <c r="W223" s="1436"/>
      <c r="X223" s="1436"/>
      <c r="Y223" s="1436"/>
      <c r="Z223" s="1436"/>
      <c r="AA223" s="1436"/>
      <c r="AB223" s="854"/>
      <c r="AC223" s="1437">
        <f>IF(C12&gt;=Geral!F27,Geral!T12,"")</f>
        <v>8173536</v>
      </c>
      <c r="AD223" s="1437"/>
      <c r="AE223" s="1437"/>
      <c r="AF223" s="1437"/>
      <c r="AG223" s="864"/>
      <c r="AH223" s="857"/>
      <c r="AI223" s="857"/>
      <c r="AJ223" s="857"/>
      <c r="AK223" s="59"/>
    </row>
    <row r="224" spans="2:37" ht="5.0999999999999996" customHeight="1" x14ac:dyDescent="0.4">
      <c r="B224" s="58"/>
      <c r="C224" s="855"/>
      <c r="D224" s="855"/>
      <c r="E224" s="855"/>
      <c r="F224" s="855"/>
      <c r="G224" s="855"/>
      <c r="H224" s="855"/>
      <c r="I224" s="855"/>
      <c r="J224" s="855"/>
      <c r="K224" s="855"/>
      <c r="L224" s="855"/>
      <c r="M224" s="855"/>
      <c r="N224" s="855"/>
      <c r="O224" s="855"/>
      <c r="P224" s="855"/>
      <c r="Q224" s="855"/>
      <c r="R224" s="855"/>
      <c r="S224" s="855"/>
      <c r="T224" s="855"/>
      <c r="U224" s="854"/>
      <c r="V224" s="854"/>
      <c r="W224" s="854"/>
      <c r="X224" s="854"/>
      <c r="Y224" s="854"/>
      <c r="Z224" s="864"/>
      <c r="AA224" s="864"/>
      <c r="AB224" s="864"/>
      <c r="AC224" s="864"/>
      <c r="AD224" s="864"/>
      <c r="AE224" s="857"/>
      <c r="AF224" s="857"/>
      <c r="AG224" s="857"/>
      <c r="AH224" s="857"/>
      <c r="AI224" s="857"/>
      <c r="AJ224" s="857"/>
      <c r="AK224" s="59"/>
    </row>
    <row r="225" spans="2:37" ht="15.95" customHeight="1" x14ac:dyDescent="0.4">
      <c r="B225" s="58"/>
      <c r="C225" s="2647" t="str">
        <f>IF(C12&gt;=Geral!F27,"Assinatura:","")</f>
        <v>Assinatura:</v>
      </c>
      <c r="D225" s="2647"/>
      <c r="E225" s="2647"/>
      <c r="F225" s="867"/>
      <c r="G225" s="1433"/>
      <c r="H225" s="1433"/>
      <c r="I225" s="1433"/>
      <c r="J225" s="1433"/>
      <c r="K225" s="1433"/>
      <c r="L225" s="1433"/>
      <c r="M225" s="1433"/>
      <c r="N225" s="1433"/>
      <c r="O225" s="1433"/>
      <c r="P225" s="1433"/>
      <c r="Q225" s="1433"/>
      <c r="R225" s="1433"/>
      <c r="S225" s="1433"/>
      <c r="T225" s="1433"/>
      <c r="U225" s="1433"/>
      <c r="V225" s="1436" t="str">
        <f>IF(C12&gt;=Geral!F27,"Data:","")</f>
        <v>Data:</v>
      </c>
      <c r="W225" s="1436"/>
      <c r="X225" s="1436"/>
      <c r="Y225" s="1436"/>
      <c r="Z225" s="1436"/>
      <c r="AA225" s="1436"/>
      <c r="AB225" s="854"/>
      <c r="AC225" s="2649">
        <f ca="1">IF(C12&gt;=Geral!F27,U203,"")</f>
        <v>43238</v>
      </c>
      <c r="AD225" s="2649"/>
      <c r="AE225" s="2649"/>
      <c r="AF225" s="2649"/>
      <c r="AG225" s="868"/>
      <c r="AH225" s="855"/>
      <c r="AI225" s="855"/>
      <c r="AJ225" s="855"/>
      <c r="AK225" s="59"/>
    </row>
    <row r="226" spans="2:37" ht="14.1" customHeight="1" x14ac:dyDescent="0.4">
      <c r="B226" s="58"/>
      <c r="C226" s="1434"/>
      <c r="D226" s="1434"/>
      <c r="E226" s="1434"/>
      <c r="F226" s="1434"/>
      <c r="G226" s="1434"/>
      <c r="H226" s="1434"/>
      <c r="I226" s="1434"/>
      <c r="J226" s="1434"/>
      <c r="K226" s="1434"/>
      <c r="L226" s="1434"/>
      <c r="M226" s="1434"/>
      <c r="N226" s="1434"/>
      <c r="O226" s="1434"/>
      <c r="P226" s="1434"/>
      <c r="Q226" s="1434"/>
      <c r="R226" s="1434"/>
      <c r="S226" s="1434"/>
      <c r="T226" s="1434"/>
      <c r="U226" s="1434"/>
      <c r="V226" s="1434"/>
      <c r="W226" s="1434"/>
      <c r="X226" s="1434"/>
      <c r="Y226" s="1434"/>
      <c r="Z226" s="1434"/>
      <c r="AA226" s="1434"/>
      <c r="AB226" s="1434"/>
      <c r="AC226" s="1434"/>
      <c r="AD226" s="1434"/>
      <c r="AE226" s="1434"/>
      <c r="AF226" s="1434"/>
      <c r="AG226" s="1434"/>
      <c r="AH226" s="1434"/>
      <c r="AI226" s="1434"/>
      <c r="AJ226" s="1434"/>
      <c r="AK226" s="59"/>
    </row>
    <row r="227" spans="2:37" ht="14.1" customHeight="1" x14ac:dyDescent="0.4">
      <c r="B227" s="58"/>
      <c r="C227" s="1435" t="str">
        <f>IF(C12&gt;=Geral!K27,"AUTORIZO O PAGAMENTO","")</f>
        <v>AUTORIZO O PAGAMENTO</v>
      </c>
      <c r="D227" s="1435"/>
      <c r="E227" s="1435"/>
      <c r="F227" s="1435"/>
      <c r="G227" s="1435"/>
      <c r="H227" s="1435"/>
      <c r="I227" s="1435"/>
      <c r="J227" s="1435"/>
      <c r="K227" s="1435"/>
      <c r="L227" s="1435"/>
      <c r="M227" s="1435"/>
      <c r="N227" s="1435"/>
      <c r="O227" s="1435"/>
      <c r="P227" s="1435"/>
      <c r="Q227" s="1435"/>
      <c r="R227" s="1435"/>
      <c r="S227" s="1435"/>
      <c r="T227" s="1435"/>
      <c r="U227" s="1435"/>
      <c r="V227" s="1435"/>
      <c r="W227" s="1435"/>
      <c r="X227" s="1435"/>
      <c r="Y227" s="1435"/>
      <c r="Z227" s="1435"/>
      <c r="AA227" s="1435"/>
      <c r="AB227" s="1435"/>
      <c r="AC227" s="1435"/>
      <c r="AD227" s="1435"/>
      <c r="AE227" s="1435"/>
      <c r="AF227" s="1435"/>
      <c r="AG227" s="1435"/>
      <c r="AH227" s="1435"/>
      <c r="AI227" s="1435"/>
      <c r="AJ227" s="1435"/>
      <c r="AK227" s="59"/>
    </row>
    <row r="228" spans="2:37" ht="3.95" customHeight="1" x14ac:dyDescent="0.4">
      <c r="B228" s="58"/>
      <c r="C228" s="865"/>
      <c r="D228" s="865"/>
      <c r="E228" s="865"/>
      <c r="F228" s="865"/>
      <c r="G228" s="865"/>
      <c r="H228" s="865"/>
      <c r="I228" s="865"/>
      <c r="J228" s="865"/>
      <c r="K228" s="865"/>
      <c r="L228" s="865"/>
      <c r="M228" s="865"/>
      <c r="N228" s="865"/>
      <c r="O228" s="865"/>
      <c r="P228" s="865"/>
      <c r="Q228" s="865"/>
      <c r="R228" s="865"/>
      <c r="S228" s="865"/>
      <c r="T228" s="865"/>
      <c r="U228" s="865"/>
      <c r="V228" s="865"/>
      <c r="W228" s="865"/>
      <c r="X228" s="865"/>
      <c r="Y228" s="865"/>
      <c r="Z228" s="865"/>
      <c r="AA228" s="865"/>
      <c r="AB228" s="865"/>
      <c r="AC228" s="865"/>
      <c r="AD228" s="865"/>
      <c r="AE228" s="865"/>
      <c r="AF228" s="865"/>
      <c r="AG228" s="865"/>
      <c r="AH228" s="865"/>
      <c r="AI228" s="865"/>
      <c r="AJ228" s="865"/>
      <c r="AK228" s="59"/>
    </row>
    <row r="229" spans="2:37" ht="15.95" customHeight="1" x14ac:dyDescent="0.4">
      <c r="B229" s="58"/>
      <c r="C229" s="1435" t="str">
        <f>IF(C12&gt;=Geral!K27,"Diretor(a) da Superintendência Regional de Ensino:","")</f>
        <v>Diretor(a) da Superintendência Regional de Ensino:</v>
      </c>
      <c r="D229" s="1435"/>
      <c r="E229" s="1435"/>
      <c r="F229" s="1435"/>
      <c r="G229" s="1435"/>
      <c r="H229" s="1435"/>
      <c r="I229" s="1435"/>
      <c r="J229" s="1435"/>
      <c r="K229" s="1435"/>
      <c r="L229" s="1435"/>
      <c r="M229" s="1435"/>
      <c r="N229" s="1435"/>
      <c r="O229" s="1435"/>
      <c r="P229" s="1435"/>
      <c r="Q229" s="1435"/>
      <c r="R229" s="1435"/>
      <c r="S229" s="1435"/>
      <c r="T229" s="1435"/>
      <c r="U229" s="1435"/>
      <c r="V229" s="1435"/>
      <c r="W229" s="1435"/>
      <c r="X229" s="1435"/>
      <c r="Y229" s="1435"/>
      <c r="Z229" s="1435"/>
      <c r="AA229" s="1435"/>
      <c r="AB229" s="1435"/>
      <c r="AC229" s="1435"/>
      <c r="AD229" s="1435"/>
      <c r="AE229" s="1435"/>
      <c r="AF229" s="1435"/>
      <c r="AG229" s="1435"/>
      <c r="AH229" s="1435"/>
      <c r="AI229" s="1435"/>
      <c r="AJ229" s="1435"/>
      <c r="AK229" s="59"/>
    </row>
    <row r="230" spans="2:37" ht="3" customHeight="1" x14ac:dyDescent="0.4">
      <c r="B230" s="58"/>
      <c r="C230" s="1438"/>
      <c r="D230" s="1438"/>
      <c r="E230" s="1438"/>
      <c r="F230" s="1438"/>
      <c r="G230" s="1438"/>
      <c r="H230" s="1438"/>
      <c r="I230" s="1438"/>
      <c r="J230" s="1438"/>
      <c r="K230" s="1438"/>
      <c r="L230" s="1438"/>
      <c r="M230" s="1438"/>
      <c r="N230" s="1438"/>
      <c r="O230" s="1438"/>
      <c r="P230" s="1438"/>
      <c r="Q230" s="1438"/>
      <c r="R230" s="1438"/>
      <c r="S230" s="1438"/>
      <c r="T230" s="1438"/>
      <c r="U230" s="1438"/>
      <c r="V230" s="1438"/>
      <c r="W230" s="1438"/>
      <c r="X230" s="1438"/>
      <c r="Y230" s="1438"/>
      <c r="Z230" s="1438"/>
      <c r="AA230" s="1438"/>
      <c r="AB230" s="1438"/>
      <c r="AC230" s="1438"/>
      <c r="AD230" s="1438"/>
      <c r="AE230" s="1438"/>
      <c r="AF230" s="1438"/>
      <c r="AG230" s="1438"/>
      <c r="AH230" s="1438"/>
      <c r="AI230" s="1438"/>
      <c r="AJ230" s="1438"/>
      <c r="AK230" s="59"/>
    </row>
    <row r="231" spans="2:37" ht="15.95" customHeight="1" x14ac:dyDescent="0.4">
      <c r="B231" s="58"/>
      <c r="C231" s="1433" t="str">
        <f>IF(C12&gt;=Geral!K27,"Nome:","")</f>
        <v>Nome:</v>
      </c>
      <c r="D231" s="1433"/>
      <c r="E231" s="1433"/>
      <c r="F231" s="855"/>
      <c r="G231" s="1433" t="str">
        <f>IF(C12&gt;=Geral!K27,Geral!I13,"")</f>
        <v>Marilda Ribeiro Resende</v>
      </c>
      <c r="H231" s="1433"/>
      <c r="I231" s="1433"/>
      <c r="J231" s="1433"/>
      <c r="K231" s="1433"/>
      <c r="L231" s="1433"/>
      <c r="M231" s="1433"/>
      <c r="N231" s="1433"/>
      <c r="O231" s="1433"/>
      <c r="P231" s="1433"/>
      <c r="Q231" s="1433"/>
      <c r="R231" s="1433"/>
      <c r="S231" s="1433"/>
      <c r="T231" s="1433"/>
      <c r="U231" s="1433"/>
      <c r="V231" s="1436" t="str">
        <f>IF(C12&gt;=Geral!K27,"MaSP n.º:","")</f>
        <v>MaSP n.º:</v>
      </c>
      <c r="W231" s="1436"/>
      <c r="X231" s="1436"/>
      <c r="Y231" s="1436"/>
      <c r="Z231" s="1436"/>
      <c r="AA231" s="1436"/>
      <c r="AB231" s="854"/>
      <c r="AC231" s="1437">
        <f>IF(C12&gt;=Geral!K27,Geral!T13,"")</f>
        <v>2554624</v>
      </c>
      <c r="AD231" s="1437"/>
      <c r="AE231" s="1437"/>
      <c r="AF231" s="1437"/>
      <c r="AG231" s="864"/>
      <c r="AH231" s="857"/>
      <c r="AI231" s="857"/>
      <c r="AJ231" s="857"/>
      <c r="AK231" s="59"/>
    </row>
    <row r="232" spans="2:37" ht="5.0999999999999996" customHeight="1" x14ac:dyDescent="0.4">
      <c r="B232" s="58"/>
      <c r="C232" s="855"/>
      <c r="D232" s="855"/>
      <c r="E232" s="855"/>
      <c r="F232" s="855"/>
      <c r="G232" s="855"/>
      <c r="H232" s="855"/>
      <c r="I232" s="855"/>
      <c r="J232" s="855"/>
      <c r="K232" s="855"/>
      <c r="L232" s="855"/>
      <c r="M232" s="855"/>
      <c r="N232" s="855"/>
      <c r="O232" s="855"/>
      <c r="P232" s="855"/>
      <c r="Q232" s="855"/>
      <c r="R232" s="855"/>
      <c r="S232" s="855"/>
      <c r="T232" s="855"/>
      <c r="U232" s="854"/>
      <c r="V232" s="854"/>
      <c r="W232" s="854"/>
      <c r="X232" s="854"/>
      <c r="Y232" s="854"/>
      <c r="Z232" s="864"/>
      <c r="AA232" s="864"/>
      <c r="AB232" s="864"/>
      <c r="AC232" s="864"/>
      <c r="AD232" s="864"/>
      <c r="AE232" s="857"/>
      <c r="AF232" s="857"/>
      <c r="AG232" s="857"/>
      <c r="AH232" s="857"/>
      <c r="AI232" s="857"/>
      <c r="AJ232" s="857"/>
      <c r="AK232" s="59"/>
    </row>
    <row r="233" spans="2:37" ht="15.95" customHeight="1" x14ac:dyDescent="0.4">
      <c r="B233" s="58"/>
      <c r="C233" s="2647" t="str">
        <f>IF(C12&gt;=Geral!K27,"Assinatura:","")</f>
        <v>Assinatura:</v>
      </c>
      <c r="D233" s="2647"/>
      <c r="E233" s="2647"/>
      <c r="F233" s="867"/>
      <c r="G233" s="1433"/>
      <c r="H233" s="1433"/>
      <c r="I233" s="1433"/>
      <c r="J233" s="1433"/>
      <c r="K233" s="1433"/>
      <c r="L233" s="1433"/>
      <c r="M233" s="1433"/>
      <c r="N233" s="1433"/>
      <c r="O233" s="1433"/>
      <c r="P233" s="1433"/>
      <c r="Q233" s="1433"/>
      <c r="R233" s="1433"/>
      <c r="S233" s="1433"/>
      <c r="T233" s="1433"/>
      <c r="U233" s="1433"/>
      <c r="V233" s="1436" t="str">
        <f>IF(C12&gt;=Geral!K27,"Data:","")</f>
        <v>Data:</v>
      </c>
      <c r="W233" s="1436"/>
      <c r="X233" s="1436"/>
      <c r="Y233" s="1436"/>
      <c r="Z233" s="1436"/>
      <c r="AA233" s="1436"/>
      <c r="AB233" s="854"/>
      <c r="AC233" s="2649">
        <f ca="1">IF(C12&gt;=Geral!K27,U203,"")</f>
        <v>43238</v>
      </c>
      <c r="AD233" s="2649"/>
      <c r="AE233" s="2649"/>
      <c r="AF233" s="2649"/>
      <c r="AG233" s="868"/>
      <c r="AH233" s="855"/>
      <c r="AI233" s="855"/>
      <c r="AJ233" s="855"/>
      <c r="AK233" s="59"/>
    </row>
    <row r="234" spans="2:37" ht="14.1" customHeight="1" x14ac:dyDescent="0.4">
      <c r="B234" s="58"/>
      <c r="C234" s="1434"/>
      <c r="D234" s="1434"/>
      <c r="E234" s="1434"/>
      <c r="F234" s="1434"/>
      <c r="G234" s="1434"/>
      <c r="H234" s="1434"/>
      <c r="I234" s="1434"/>
      <c r="J234" s="1434"/>
      <c r="K234" s="1434"/>
      <c r="L234" s="1434"/>
      <c r="M234" s="1434"/>
      <c r="N234" s="1434"/>
      <c r="O234" s="1434"/>
      <c r="P234" s="1434"/>
      <c r="Q234" s="1434"/>
      <c r="R234" s="1434"/>
      <c r="S234" s="1434"/>
      <c r="T234" s="1434"/>
      <c r="U234" s="1434"/>
      <c r="V234" s="1434"/>
      <c r="W234" s="1434"/>
      <c r="X234" s="1434"/>
      <c r="Y234" s="1434"/>
      <c r="Z234" s="1434"/>
      <c r="AA234" s="1434"/>
      <c r="AB234" s="1434"/>
      <c r="AC234" s="1434"/>
      <c r="AD234" s="1434"/>
      <c r="AE234" s="1434"/>
      <c r="AF234" s="1434"/>
      <c r="AG234" s="1434"/>
      <c r="AH234" s="1434"/>
      <c r="AI234" s="1434"/>
      <c r="AJ234" s="1434"/>
      <c r="AK234" s="59"/>
    </row>
    <row r="235" spans="2:37" ht="14.1" customHeight="1" x14ac:dyDescent="0.4">
      <c r="B235" s="58"/>
      <c r="C235" s="1435" t="str">
        <f>IF(C12&gt;=Geral!P27,"AUTORIZO O PAGAMENTO","")</f>
        <v>AUTORIZO O PAGAMENTO</v>
      </c>
      <c r="D235" s="1435"/>
      <c r="E235" s="1435"/>
      <c r="F235" s="1435"/>
      <c r="G235" s="1435"/>
      <c r="H235" s="1435"/>
      <c r="I235" s="1435"/>
      <c r="J235" s="1435"/>
      <c r="K235" s="1435"/>
      <c r="L235" s="1435"/>
      <c r="M235" s="1435"/>
      <c r="N235" s="1435"/>
      <c r="O235" s="1435"/>
      <c r="P235" s="1435"/>
      <c r="Q235" s="1435"/>
      <c r="R235" s="1435"/>
      <c r="S235" s="1435"/>
      <c r="T235" s="1435"/>
      <c r="U235" s="1435"/>
      <c r="V235" s="1435"/>
      <c r="W235" s="1435"/>
      <c r="X235" s="1435"/>
      <c r="Y235" s="1435"/>
      <c r="Z235" s="1435"/>
      <c r="AA235" s="1435"/>
      <c r="AB235" s="1435"/>
      <c r="AC235" s="1435"/>
      <c r="AD235" s="1435"/>
      <c r="AE235" s="1435"/>
      <c r="AF235" s="1435"/>
      <c r="AG235" s="1435"/>
      <c r="AH235" s="1435"/>
      <c r="AI235" s="1435"/>
      <c r="AJ235" s="1435"/>
      <c r="AK235" s="59"/>
    </row>
    <row r="236" spans="2:37" ht="3.95" customHeight="1" x14ac:dyDescent="0.4">
      <c r="B236" s="58"/>
      <c r="C236" s="865"/>
      <c r="D236" s="865"/>
      <c r="E236" s="865"/>
      <c r="F236" s="865"/>
      <c r="G236" s="865"/>
      <c r="H236" s="865"/>
      <c r="I236" s="865"/>
      <c r="J236" s="865"/>
      <c r="K236" s="865"/>
      <c r="L236" s="865"/>
      <c r="M236" s="865"/>
      <c r="N236" s="865"/>
      <c r="O236" s="865"/>
      <c r="P236" s="865"/>
      <c r="Q236" s="865"/>
      <c r="R236" s="865"/>
      <c r="S236" s="865"/>
      <c r="T236" s="865"/>
      <c r="U236" s="865"/>
      <c r="V236" s="865"/>
      <c r="W236" s="865"/>
      <c r="X236" s="865"/>
      <c r="Y236" s="865"/>
      <c r="Z236" s="865"/>
      <c r="AA236" s="865"/>
      <c r="AB236" s="865"/>
      <c r="AC236" s="865"/>
      <c r="AD236" s="865"/>
      <c r="AE236" s="865"/>
      <c r="AF236" s="865"/>
      <c r="AG236" s="865"/>
      <c r="AH236" s="865"/>
      <c r="AI236" s="865"/>
      <c r="AJ236" s="865"/>
      <c r="AK236" s="59"/>
    </row>
    <row r="237" spans="2:37" ht="15.95" customHeight="1" x14ac:dyDescent="0.4">
      <c r="B237" s="58"/>
      <c r="C237" s="1435" t="str">
        <f>IF(C12&gt;=Geral!P27,"Superintendente de Planejamento, Gestão e Finanças ou Subsecretário de Gestão de Recursos Humanos da Secretaria de Estado de Educação:","")</f>
        <v>Superintendente de Planejamento, Gestão e Finanças ou Subsecretário de Gestão de Recursos Humanos da Secretaria de Estado de Educação:</v>
      </c>
      <c r="D237" s="1435"/>
      <c r="E237" s="1435"/>
      <c r="F237" s="1435"/>
      <c r="G237" s="1435"/>
      <c r="H237" s="1435"/>
      <c r="I237" s="1435"/>
      <c r="J237" s="1435"/>
      <c r="K237" s="1435"/>
      <c r="L237" s="1435"/>
      <c r="M237" s="1435"/>
      <c r="N237" s="1435"/>
      <c r="O237" s="1435"/>
      <c r="P237" s="1435"/>
      <c r="Q237" s="1435"/>
      <c r="R237" s="1435"/>
      <c r="S237" s="1435"/>
      <c r="T237" s="1435"/>
      <c r="U237" s="1435"/>
      <c r="V237" s="1435"/>
      <c r="W237" s="1435"/>
      <c r="X237" s="1435"/>
      <c r="Y237" s="1435"/>
      <c r="Z237" s="1435"/>
      <c r="AA237" s="1435"/>
      <c r="AB237" s="1435"/>
      <c r="AC237" s="1435"/>
      <c r="AD237" s="1435"/>
      <c r="AE237" s="1435"/>
      <c r="AF237" s="1435"/>
      <c r="AG237" s="1435"/>
      <c r="AH237" s="1435"/>
      <c r="AI237" s="1435"/>
      <c r="AJ237" s="1435"/>
      <c r="AK237" s="59"/>
    </row>
    <row r="238" spans="2:37" ht="15.95" customHeight="1" x14ac:dyDescent="0.4">
      <c r="B238" s="58"/>
      <c r="C238" s="1435"/>
      <c r="D238" s="1435"/>
      <c r="E238" s="1435"/>
      <c r="F238" s="1435"/>
      <c r="G238" s="1435"/>
      <c r="H238" s="1435"/>
      <c r="I238" s="1435"/>
      <c r="J238" s="1435"/>
      <c r="K238" s="1435"/>
      <c r="L238" s="1435"/>
      <c r="M238" s="1435"/>
      <c r="N238" s="1435"/>
      <c r="O238" s="1435"/>
      <c r="P238" s="1435"/>
      <c r="Q238" s="1435"/>
      <c r="R238" s="1435"/>
      <c r="S238" s="1435"/>
      <c r="T238" s="1435"/>
      <c r="U238" s="1435"/>
      <c r="V238" s="1435"/>
      <c r="W238" s="1435"/>
      <c r="X238" s="1435"/>
      <c r="Y238" s="1435"/>
      <c r="Z238" s="1435"/>
      <c r="AA238" s="1435"/>
      <c r="AB238" s="1435"/>
      <c r="AC238" s="1435"/>
      <c r="AD238" s="1435"/>
      <c r="AE238" s="1435"/>
      <c r="AF238" s="1435"/>
      <c r="AG238" s="1435"/>
      <c r="AH238" s="1435"/>
      <c r="AI238" s="1435"/>
      <c r="AJ238" s="1435"/>
      <c r="AK238" s="59"/>
    </row>
    <row r="239" spans="2:37" ht="3" customHeight="1" x14ac:dyDescent="0.4">
      <c r="B239" s="58"/>
      <c r="C239" s="1438"/>
      <c r="D239" s="1438"/>
      <c r="E239" s="1438"/>
      <c r="F239" s="1438"/>
      <c r="G239" s="1438"/>
      <c r="H239" s="1438"/>
      <c r="I239" s="1438"/>
      <c r="J239" s="1438"/>
      <c r="K239" s="1438"/>
      <c r="L239" s="1438"/>
      <c r="M239" s="1438"/>
      <c r="N239" s="1438"/>
      <c r="O239" s="1438"/>
      <c r="P239" s="1438"/>
      <c r="Q239" s="1438"/>
      <c r="R239" s="1438"/>
      <c r="S239" s="1438"/>
      <c r="T239" s="1438"/>
      <c r="U239" s="1438"/>
      <c r="V239" s="1438"/>
      <c r="W239" s="1438"/>
      <c r="X239" s="1438"/>
      <c r="Y239" s="1438"/>
      <c r="Z239" s="1438"/>
      <c r="AA239" s="1438"/>
      <c r="AB239" s="1438"/>
      <c r="AC239" s="1438"/>
      <c r="AD239" s="1438"/>
      <c r="AE239" s="1438"/>
      <c r="AF239" s="1438"/>
      <c r="AG239" s="1438"/>
      <c r="AH239" s="1438"/>
      <c r="AI239" s="1438"/>
      <c r="AJ239" s="1438"/>
      <c r="AK239" s="59"/>
    </row>
    <row r="240" spans="2:37" ht="15.95" customHeight="1" x14ac:dyDescent="0.4">
      <c r="B240" s="58"/>
      <c r="C240" s="1433" t="str">
        <f>IF(C12&gt;=Geral!P27,"Nome:","")</f>
        <v>Nome:</v>
      </c>
      <c r="D240" s="1433"/>
      <c r="E240" s="1433"/>
      <c r="F240" s="855"/>
      <c r="G240" s="1433"/>
      <c r="H240" s="1433"/>
      <c r="I240" s="1433"/>
      <c r="J240" s="1433"/>
      <c r="K240" s="1433"/>
      <c r="L240" s="1433"/>
      <c r="M240" s="1433"/>
      <c r="N240" s="1433"/>
      <c r="O240" s="1433"/>
      <c r="P240" s="1433"/>
      <c r="Q240" s="1433"/>
      <c r="R240" s="1433"/>
      <c r="S240" s="1433"/>
      <c r="T240" s="1433"/>
      <c r="U240" s="1433"/>
      <c r="V240" s="1436" t="str">
        <f>IF(C12&gt;=Geral!P27,"MaSP n.º:","")</f>
        <v>MaSP n.º:</v>
      </c>
      <c r="W240" s="1436"/>
      <c r="X240" s="1436"/>
      <c r="Y240" s="1436"/>
      <c r="Z240" s="1436"/>
      <c r="AA240" s="1436"/>
      <c r="AB240" s="854"/>
      <c r="AC240" s="1437"/>
      <c r="AD240" s="1437"/>
      <c r="AE240" s="1437"/>
      <c r="AF240" s="1437"/>
      <c r="AG240" s="864"/>
      <c r="AH240" s="857"/>
      <c r="AI240" s="857"/>
      <c r="AJ240" s="857"/>
      <c r="AK240" s="59"/>
    </row>
    <row r="241" spans="2:37" ht="5.0999999999999996" customHeight="1" x14ac:dyDescent="0.4">
      <c r="B241" s="58"/>
      <c r="C241" s="855"/>
      <c r="D241" s="855"/>
      <c r="E241" s="855"/>
      <c r="F241" s="855"/>
      <c r="G241" s="855"/>
      <c r="H241" s="855"/>
      <c r="I241" s="855"/>
      <c r="J241" s="855"/>
      <c r="K241" s="855"/>
      <c r="L241" s="855"/>
      <c r="M241" s="855"/>
      <c r="N241" s="855"/>
      <c r="O241" s="855"/>
      <c r="P241" s="855"/>
      <c r="Q241" s="855"/>
      <c r="R241" s="855"/>
      <c r="S241" s="855"/>
      <c r="T241" s="855"/>
      <c r="U241" s="854"/>
      <c r="V241" s="854"/>
      <c r="W241" s="854"/>
      <c r="X241" s="854"/>
      <c r="Y241" s="854"/>
      <c r="Z241" s="854"/>
      <c r="AA241" s="864"/>
      <c r="AB241" s="864"/>
      <c r="AC241" s="864"/>
      <c r="AD241" s="864"/>
      <c r="AE241" s="864"/>
      <c r="AF241" s="857"/>
      <c r="AG241" s="857"/>
      <c r="AH241" s="857"/>
      <c r="AI241" s="857"/>
      <c r="AJ241" s="857"/>
      <c r="AK241" s="59"/>
    </row>
    <row r="242" spans="2:37" ht="15.95" customHeight="1" x14ac:dyDescent="0.4">
      <c r="B242" s="58"/>
      <c r="C242" s="2647" t="str">
        <f>IF(C12&gt;=Geral!P27,"Assinatura:","")</f>
        <v>Assinatura:</v>
      </c>
      <c r="D242" s="2647"/>
      <c r="E242" s="2647"/>
      <c r="F242" s="867"/>
      <c r="G242" s="1433"/>
      <c r="H242" s="1433"/>
      <c r="I242" s="1433"/>
      <c r="J242" s="1433"/>
      <c r="K242" s="1433"/>
      <c r="L242" s="1433"/>
      <c r="M242" s="1433"/>
      <c r="N242" s="1433"/>
      <c r="O242" s="1433"/>
      <c r="P242" s="1433"/>
      <c r="Q242" s="1433"/>
      <c r="R242" s="1433"/>
      <c r="S242" s="1433"/>
      <c r="T242" s="1433"/>
      <c r="U242" s="1433"/>
      <c r="V242" s="1436" t="str">
        <f>IF(C12&gt;=Geral!P27,"Data:","")</f>
        <v>Data:</v>
      </c>
      <c r="W242" s="1436"/>
      <c r="X242" s="1436"/>
      <c r="Y242" s="1436"/>
      <c r="Z242" s="1436"/>
      <c r="AA242" s="1436"/>
      <c r="AB242" s="854"/>
      <c r="AC242" s="2649" t="str">
        <f>IF(C12&gt;=Geral!P27,"___/___/_____","")</f>
        <v>___/___/_____</v>
      </c>
      <c r="AD242" s="2649"/>
      <c r="AE242" s="2649"/>
      <c r="AF242" s="2649"/>
      <c r="AG242" s="868"/>
      <c r="AH242" s="855"/>
      <c r="AI242" s="855"/>
      <c r="AJ242" s="855"/>
      <c r="AK242" s="59"/>
    </row>
    <row r="243" spans="2:37" ht="14.1" customHeight="1" x14ac:dyDescent="0.4">
      <c r="B243" s="58"/>
      <c r="C243" s="1434"/>
      <c r="D243" s="1434"/>
      <c r="E243" s="1434"/>
      <c r="F243" s="1434"/>
      <c r="G243" s="1434"/>
      <c r="H243" s="1434"/>
      <c r="I243" s="1434"/>
      <c r="J243" s="1434"/>
      <c r="K243" s="1434"/>
      <c r="L243" s="1434"/>
      <c r="M243" s="1434"/>
      <c r="N243" s="1434"/>
      <c r="O243" s="1434"/>
      <c r="P243" s="1434"/>
      <c r="Q243" s="1434"/>
      <c r="R243" s="1434"/>
      <c r="S243" s="1434"/>
      <c r="T243" s="1434"/>
      <c r="U243" s="1434"/>
      <c r="V243" s="1434"/>
      <c r="W243" s="1434"/>
      <c r="X243" s="1434"/>
      <c r="Y243" s="1434"/>
      <c r="Z243" s="1434"/>
      <c r="AA243" s="1434"/>
      <c r="AB243" s="1434"/>
      <c r="AC243" s="1434"/>
      <c r="AD243" s="1434"/>
      <c r="AE243" s="1434"/>
      <c r="AF243" s="1434"/>
      <c r="AG243" s="1434"/>
      <c r="AH243" s="1434"/>
      <c r="AI243" s="1434"/>
      <c r="AJ243" s="1434"/>
      <c r="AK243" s="59"/>
    </row>
    <row r="244" spans="2:37" ht="14.1" customHeight="1" x14ac:dyDescent="0.4">
      <c r="B244" s="58"/>
      <c r="C244" s="1435" t="str">
        <f>IF(C12&gt;=Geral!T27,"AUTORIZO O PAGAMENTO","")</f>
        <v>AUTORIZO O PAGAMENTO</v>
      </c>
      <c r="D244" s="1435"/>
      <c r="E244" s="1435"/>
      <c r="F244" s="1435"/>
      <c r="G244" s="1435"/>
      <c r="H244" s="1435"/>
      <c r="I244" s="1435"/>
      <c r="J244" s="1435"/>
      <c r="K244" s="1435"/>
      <c r="L244" s="1435"/>
      <c r="M244" s="1435"/>
      <c r="N244" s="1435"/>
      <c r="O244" s="1435"/>
      <c r="P244" s="1435"/>
      <c r="Q244" s="1435"/>
      <c r="R244" s="1435"/>
      <c r="S244" s="1435"/>
      <c r="T244" s="1435"/>
      <c r="U244" s="1435"/>
      <c r="V244" s="1435"/>
      <c r="W244" s="1435"/>
      <c r="X244" s="1435"/>
      <c r="Y244" s="1435"/>
      <c r="Z244" s="1435"/>
      <c r="AA244" s="1435"/>
      <c r="AB244" s="1435"/>
      <c r="AC244" s="1435"/>
      <c r="AD244" s="1435"/>
      <c r="AE244" s="1435"/>
      <c r="AF244" s="1435"/>
      <c r="AG244" s="1435"/>
      <c r="AH244" s="1435"/>
      <c r="AI244" s="1435"/>
      <c r="AJ244" s="1435"/>
      <c r="AK244" s="59"/>
    </row>
    <row r="245" spans="2:37" ht="3.95" customHeight="1" x14ac:dyDescent="0.4">
      <c r="B245" s="58"/>
      <c r="C245" s="865"/>
      <c r="D245" s="865"/>
      <c r="E245" s="865"/>
      <c r="F245" s="865"/>
      <c r="G245" s="865"/>
      <c r="H245" s="865"/>
      <c r="I245" s="865"/>
      <c r="J245" s="865"/>
      <c r="K245" s="865"/>
      <c r="L245" s="865"/>
      <c r="M245" s="865"/>
      <c r="N245" s="865"/>
      <c r="O245" s="865"/>
      <c r="P245" s="865"/>
      <c r="Q245" s="865"/>
      <c r="R245" s="865"/>
      <c r="S245" s="865"/>
      <c r="T245" s="865"/>
      <c r="U245" s="865"/>
      <c r="V245" s="865"/>
      <c r="W245" s="865"/>
      <c r="X245" s="865"/>
      <c r="Y245" s="865"/>
      <c r="Z245" s="865"/>
      <c r="AA245" s="865"/>
      <c r="AB245" s="865"/>
      <c r="AC245" s="865"/>
      <c r="AD245" s="865"/>
      <c r="AE245" s="865"/>
      <c r="AF245" s="865"/>
      <c r="AG245" s="865"/>
      <c r="AH245" s="865"/>
      <c r="AI245" s="865"/>
      <c r="AJ245" s="865"/>
      <c r="AK245" s="59"/>
    </row>
    <row r="246" spans="2:37" ht="15.95" customHeight="1" x14ac:dyDescent="0.4">
      <c r="B246" s="58"/>
      <c r="C246" s="1435" t="str">
        <f>IF(C12&gt;=Geral!T27,"Secretário de Estado ou Dirigente Máximo de Órgão ou Entidade da Administração:","")</f>
        <v>Secretário de Estado ou Dirigente Máximo de Órgão ou Entidade da Administração:</v>
      </c>
      <c r="D246" s="1435"/>
      <c r="E246" s="1435"/>
      <c r="F246" s="1435"/>
      <c r="G246" s="1435"/>
      <c r="H246" s="1435"/>
      <c r="I246" s="1435"/>
      <c r="J246" s="1435"/>
      <c r="K246" s="1435"/>
      <c r="L246" s="1435"/>
      <c r="M246" s="1435"/>
      <c r="N246" s="1435"/>
      <c r="O246" s="1435"/>
      <c r="P246" s="1435"/>
      <c r="Q246" s="1435"/>
      <c r="R246" s="1435"/>
      <c r="S246" s="1435"/>
      <c r="T246" s="1435"/>
      <c r="U246" s="1435"/>
      <c r="V246" s="1435"/>
      <c r="W246" s="1435"/>
      <c r="X246" s="1435"/>
      <c r="Y246" s="1435"/>
      <c r="Z246" s="1435"/>
      <c r="AA246" s="1435"/>
      <c r="AB246" s="1435"/>
      <c r="AC246" s="1435"/>
      <c r="AD246" s="1435"/>
      <c r="AE246" s="1435"/>
      <c r="AF246" s="1435"/>
      <c r="AG246" s="1435"/>
      <c r="AH246" s="1435"/>
      <c r="AI246" s="1435"/>
      <c r="AJ246" s="1435"/>
      <c r="AK246" s="59"/>
    </row>
    <row r="247" spans="2:37" ht="3" customHeight="1" x14ac:dyDescent="0.4">
      <c r="B247" s="58"/>
      <c r="C247" s="1434"/>
      <c r="D247" s="1434"/>
      <c r="E247" s="1434"/>
      <c r="F247" s="1434"/>
      <c r="G247" s="1434"/>
      <c r="H247" s="1434"/>
      <c r="I247" s="1434"/>
      <c r="J247" s="1434"/>
      <c r="K247" s="1434"/>
      <c r="L247" s="1434"/>
      <c r="M247" s="1434"/>
      <c r="N247" s="1434"/>
      <c r="O247" s="1434"/>
      <c r="P247" s="1434"/>
      <c r="Q247" s="1434"/>
      <c r="R247" s="1434"/>
      <c r="S247" s="1434"/>
      <c r="T247" s="1434"/>
      <c r="U247" s="1434"/>
      <c r="V247" s="1434"/>
      <c r="W247" s="1434"/>
      <c r="X247" s="1434"/>
      <c r="Y247" s="1434"/>
      <c r="Z247" s="1434"/>
      <c r="AA247" s="1434"/>
      <c r="AB247" s="1434"/>
      <c r="AC247" s="1434"/>
      <c r="AD247" s="1434"/>
      <c r="AE247" s="1434"/>
      <c r="AF247" s="1434"/>
      <c r="AG247" s="1434"/>
      <c r="AH247" s="1434"/>
      <c r="AI247" s="1434"/>
      <c r="AJ247" s="1434"/>
      <c r="AK247" s="59"/>
    </row>
    <row r="248" spans="2:37" ht="15.95" customHeight="1" x14ac:dyDescent="0.4">
      <c r="B248" s="58"/>
      <c r="C248" s="1433" t="str">
        <f>IF(C12&gt;=Geral!T27,"Nome:","")</f>
        <v>Nome:</v>
      </c>
      <c r="D248" s="1433"/>
      <c r="E248" s="1433"/>
      <c r="F248" s="855"/>
      <c r="G248" s="1433"/>
      <c r="H248" s="1433"/>
      <c r="I248" s="1433"/>
      <c r="J248" s="1433"/>
      <c r="K248" s="1433"/>
      <c r="L248" s="1433"/>
      <c r="M248" s="1433"/>
      <c r="N248" s="1433"/>
      <c r="O248" s="1433"/>
      <c r="P248" s="1433"/>
      <c r="Q248" s="1433"/>
      <c r="R248" s="1433"/>
      <c r="S248" s="1433"/>
      <c r="T248" s="1433"/>
      <c r="U248" s="1433"/>
      <c r="V248" s="1436" t="str">
        <f>IF(C12&gt;=Geral!T27,"MaSP n.º:","")</f>
        <v>MaSP n.º:</v>
      </c>
      <c r="W248" s="1436"/>
      <c r="X248" s="1436"/>
      <c r="Y248" s="1436"/>
      <c r="Z248" s="1436"/>
      <c r="AA248" s="1436"/>
      <c r="AB248" s="854"/>
      <c r="AC248" s="1437"/>
      <c r="AD248" s="1437"/>
      <c r="AE248" s="1437"/>
      <c r="AF248" s="1437"/>
      <c r="AG248" s="864"/>
      <c r="AH248" s="857"/>
      <c r="AI248" s="857"/>
      <c r="AJ248" s="857"/>
      <c r="AK248" s="59"/>
    </row>
    <row r="249" spans="2:37" ht="5.0999999999999996" customHeight="1" x14ac:dyDescent="0.4">
      <c r="B249" s="58"/>
      <c r="C249" s="855"/>
      <c r="D249" s="855"/>
      <c r="E249" s="855"/>
      <c r="F249" s="855"/>
      <c r="G249" s="855"/>
      <c r="H249" s="855"/>
      <c r="I249" s="855"/>
      <c r="J249" s="855"/>
      <c r="K249" s="855"/>
      <c r="L249" s="855"/>
      <c r="M249" s="855"/>
      <c r="N249" s="855"/>
      <c r="O249" s="855"/>
      <c r="P249" s="855"/>
      <c r="Q249" s="855"/>
      <c r="R249" s="855"/>
      <c r="S249" s="855"/>
      <c r="T249" s="855"/>
      <c r="U249" s="854"/>
      <c r="V249" s="854"/>
      <c r="W249" s="854"/>
      <c r="X249" s="854"/>
      <c r="Y249" s="854"/>
      <c r="Z249" s="864"/>
      <c r="AA249" s="864"/>
      <c r="AB249" s="864"/>
      <c r="AC249" s="864"/>
      <c r="AD249" s="864"/>
      <c r="AE249" s="857"/>
      <c r="AF249" s="857"/>
      <c r="AG249" s="857"/>
      <c r="AH249" s="857"/>
      <c r="AI249" s="857"/>
      <c r="AJ249" s="857"/>
      <c r="AK249" s="59"/>
    </row>
    <row r="250" spans="2:37" ht="15.95" customHeight="1" x14ac:dyDescent="0.4">
      <c r="B250" s="58"/>
      <c r="C250" s="2647" t="str">
        <f>IF(C12&gt;=Geral!T27,"Assinatura:","")</f>
        <v>Assinatura:</v>
      </c>
      <c r="D250" s="2647"/>
      <c r="E250" s="2647"/>
      <c r="F250" s="867"/>
      <c r="G250" s="1433"/>
      <c r="H250" s="1433"/>
      <c r="I250" s="1433"/>
      <c r="J250" s="1433"/>
      <c r="K250" s="1433"/>
      <c r="L250" s="1433"/>
      <c r="M250" s="1433"/>
      <c r="N250" s="1433"/>
      <c r="O250" s="1433"/>
      <c r="P250" s="1433"/>
      <c r="Q250" s="1433"/>
      <c r="R250" s="1433"/>
      <c r="S250" s="1433"/>
      <c r="T250" s="1433"/>
      <c r="U250" s="1433"/>
      <c r="V250" s="1436" t="str">
        <f>IF(C12&gt;=Geral!T27,"Data:","")</f>
        <v>Data:</v>
      </c>
      <c r="W250" s="1436"/>
      <c r="X250" s="1436"/>
      <c r="Y250" s="1436"/>
      <c r="Z250" s="1436"/>
      <c r="AA250" s="1436"/>
      <c r="AB250" s="854"/>
      <c r="AC250" s="1436" t="str">
        <f>IF(C12&gt;=Geral!T27,"___/___/_____","")</f>
        <v>___/___/_____</v>
      </c>
      <c r="AD250" s="1436"/>
      <c r="AE250" s="1436"/>
      <c r="AF250" s="1436"/>
      <c r="AG250" s="854"/>
      <c r="AH250" s="855"/>
      <c r="AI250" s="855"/>
      <c r="AJ250" s="855"/>
      <c r="AK250" s="59"/>
    </row>
    <row r="251" spans="2:37" ht="15.95" customHeight="1" thickBot="1" x14ac:dyDescent="0.45">
      <c r="B251" s="60"/>
      <c r="C251" s="61"/>
      <c r="D251" s="61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3"/>
    </row>
    <row r="252" spans="2:37" ht="15.95" customHeight="1" thickTop="1" x14ac:dyDescent="0.4"/>
  </sheetData>
  <sheetProtection selectLockedCells="1"/>
  <mergeCells count="597">
    <mergeCell ref="AH33:AJ33"/>
    <mergeCell ref="AH34:AJ34"/>
    <mergeCell ref="E35:F35"/>
    <mergeCell ref="E40:F40"/>
    <mergeCell ref="G40:I40"/>
    <mergeCell ref="AH35:AJ35"/>
    <mergeCell ref="E36:F36"/>
    <mergeCell ref="G36:I36"/>
    <mergeCell ref="P36:Q36"/>
    <mergeCell ref="R36:S36"/>
    <mergeCell ref="T36:U36"/>
    <mergeCell ref="V36:W36"/>
    <mergeCell ref="Z36:AA36"/>
    <mergeCell ref="AB36:AC36"/>
    <mergeCell ref="AD36:AE36"/>
    <mergeCell ref="J36:K36"/>
    <mergeCell ref="L36:M36"/>
    <mergeCell ref="N36:O36"/>
    <mergeCell ref="X36:Y36"/>
    <mergeCell ref="J35:K35"/>
    <mergeCell ref="N35:O35"/>
    <mergeCell ref="AH36:AJ36"/>
    <mergeCell ref="AF36:AG36"/>
    <mergeCell ref="P35:Q35"/>
    <mergeCell ref="J63:K63"/>
    <mergeCell ref="L63:M63"/>
    <mergeCell ref="N63:O63"/>
    <mergeCell ref="P63:Q63"/>
    <mergeCell ref="R63:S63"/>
    <mergeCell ref="T63:U63"/>
    <mergeCell ref="V63:W63"/>
    <mergeCell ref="AH64:AJ64"/>
    <mergeCell ref="AH31:AJ31"/>
    <mergeCell ref="C32:AJ32"/>
    <mergeCell ref="C33:C40"/>
    <mergeCell ref="D33:D37"/>
    <mergeCell ref="E33:F34"/>
    <mergeCell ref="G33:I34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B18:AK18"/>
    <mergeCell ref="X27:Y27"/>
    <mergeCell ref="Z27:AA27"/>
    <mergeCell ref="N25:O25"/>
    <mergeCell ref="V27:W27"/>
    <mergeCell ref="G27:I27"/>
    <mergeCell ref="P25:Q25"/>
    <mergeCell ref="G35:I35"/>
    <mergeCell ref="L35:M35"/>
    <mergeCell ref="P27:Q27"/>
    <mergeCell ref="N26:O26"/>
    <mergeCell ref="AF25:AG25"/>
    <mergeCell ref="AB26:AC26"/>
    <mergeCell ref="AD26:AE26"/>
    <mergeCell ref="AF26:AG26"/>
    <mergeCell ref="J30:S30"/>
    <mergeCell ref="AB27:AC27"/>
    <mergeCell ref="T27:U27"/>
    <mergeCell ref="P26:Q26"/>
    <mergeCell ref="R26:S26"/>
    <mergeCell ref="T26:U26"/>
    <mergeCell ref="V26:W26"/>
    <mergeCell ref="X26:Y26"/>
    <mergeCell ref="Z26:AA26"/>
    <mergeCell ref="C63:D63"/>
    <mergeCell ref="E63:F63"/>
    <mergeCell ref="Z63:AA63"/>
    <mergeCell ref="AB63:AC63"/>
    <mergeCell ref="AD63:AE63"/>
    <mergeCell ref="AF63:AG63"/>
    <mergeCell ref="AH63:AJ63"/>
    <mergeCell ref="C54:AJ54"/>
    <mergeCell ref="C55:D55"/>
    <mergeCell ref="G55:I55"/>
    <mergeCell ref="J55:AJ55"/>
    <mergeCell ref="C56:D56"/>
    <mergeCell ref="G56:I56"/>
    <mergeCell ref="J56:AJ56"/>
    <mergeCell ref="C57:AJ57"/>
    <mergeCell ref="C58:E58"/>
    <mergeCell ref="J58:K58"/>
    <mergeCell ref="N58:O58"/>
    <mergeCell ref="P58:S58"/>
    <mergeCell ref="T58:V58"/>
    <mergeCell ref="W58:Z58"/>
    <mergeCell ref="AA58:AD58"/>
    <mergeCell ref="AE58:AF58"/>
    <mergeCell ref="G63:I63"/>
    <mergeCell ref="C68:AJ68"/>
    <mergeCell ref="C69:D69"/>
    <mergeCell ref="G69:I69"/>
    <mergeCell ref="J69:AJ69"/>
    <mergeCell ref="C70:D70"/>
    <mergeCell ref="G70:I70"/>
    <mergeCell ref="J70:AJ70"/>
    <mergeCell ref="C66:D66"/>
    <mergeCell ref="E66:F66"/>
    <mergeCell ref="G66:I66"/>
    <mergeCell ref="J66:AG66"/>
    <mergeCell ref="AH66:AJ66"/>
    <mergeCell ref="C67:D67"/>
    <mergeCell ref="E67:F67"/>
    <mergeCell ref="G67:I67"/>
    <mergeCell ref="J67:AJ67"/>
    <mergeCell ref="C71:AJ71"/>
    <mergeCell ref="C72:D73"/>
    <mergeCell ref="E72:F73"/>
    <mergeCell ref="G72:I72"/>
    <mergeCell ref="J72:L72"/>
    <mergeCell ref="M72:O72"/>
    <mergeCell ref="P72:R72"/>
    <mergeCell ref="S72:U73"/>
    <mergeCell ref="V72:X72"/>
    <mergeCell ref="Y72:AA72"/>
    <mergeCell ref="AB72:AJ73"/>
    <mergeCell ref="G73:I73"/>
    <mergeCell ref="J73:L73"/>
    <mergeCell ref="M73:O73"/>
    <mergeCell ref="P73:R73"/>
    <mergeCell ref="V73:X73"/>
    <mergeCell ref="Y73:AA73"/>
    <mergeCell ref="AH65:AJ65"/>
    <mergeCell ref="C64:D64"/>
    <mergeCell ref="G64:I64"/>
    <mergeCell ref="J64:K64"/>
    <mergeCell ref="L64:M64"/>
    <mergeCell ref="N64:O64"/>
    <mergeCell ref="P64:Q64"/>
    <mergeCell ref="R64:S64"/>
    <mergeCell ref="T64:U64"/>
    <mergeCell ref="V64:W64"/>
    <mergeCell ref="C65:D65"/>
    <mergeCell ref="G65:I65"/>
    <mergeCell ref="J65:K65"/>
    <mergeCell ref="L65:M65"/>
    <mergeCell ref="N65:O65"/>
    <mergeCell ref="P65:Q65"/>
    <mergeCell ref="R65:S65"/>
    <mergeCell ref="T65:U65"/>
    <mergeCell ref="V65:W65"/>
    <mergeCell ref="X64:Y64"/>
    <mergeCell ref="Z64:AA64"/>
    <mergeCell ref="AB64:AC64"/>
    <mergeCell ref="AD64:AE64"/>
    <mergeCell ref="AF64:AG64"/>
    <mergeCell ref="X65:Y65"/>
    <mergeCell ref="Z65:AA65"/>
    <mergeCell ref="X61:Y61"/>
    <mergeCell ref="Z61:AA61"/>
    <mergeCell ref="AB65:AC65"/>
    <mergeCell ref="AD65:AE65"/>
    <mergeCell ref="AB61:AC61"/>
    <mergeCell ref="AD61:AE61"/>
    <mergeCell ref="AF65:AG65"/>
    <mergeCell ref="X63:Y63"/>
    <mergeCell ref="AF61:AG61"/>
    <mergeCell ref="AG58:AJ58"/>
    <mergeCell ref="F61:F62"/>
    <mergeCell ref="G61:I61"/>
    <mergeCell ref="N61:O61"/>
    <mergeCell ref="P61:Q61"/>
    <mergeCell ref="V61:W61"/>
    <mergeCell ref="C59:E59"/>
    <mergeCell ref="X59:Y59"/>
    <mergeCell ref="Z59:AH59"/>
    <mergeCell ref="C60:AJ60"/>
    <mergeCell ref="C61:D62"/>
    <mergeCell ref="E61:E62"/>
    <mergeCell ref="J61:K61"/>
    <mergeCell ref="L61:M61"/>
    <mergeCell ref="R61:S61"/>
    <mergeCell ref="T61:U61"/>
    <mergeCell ref="J59:K59"/>
    <mergeCell ref="L59:M59"/>
    <mergeCell ref="N59:O59"/>
    <mergeCell ref="P59:W59"/>
    <mergeCell ref="AH61:AJ61"/>
    <mergeCell ref="G62:I62"/>
    <mergeCell ref="AH62:AJ62"/>
    <mergeCell ref="C52:D52"/>
    <mergeCell ref="E52:F52"/>
    <mergeCell ref="G52:I52"/>
    <mergeCell ref="J52:AG52"/>
    <mergeCell ref="AH52:AJ52"/>
    <mergeCell ref="C53:D53"/>
    <mergeCell ref="E53:F53"/>
    <mergeCell ref="G53:I53"/>
    <mergeCell ref="J53:AJ53"/>
    <mergeCell ref="X51:Y51"/>
    <mergeCell ref="Z51:AA51"/>
    <mergeCell ref="AB51:AC51"/>
    <mergeCell ref="AD51:AE51"/>
    <mergeCell ref="AF51:AG51"/>
    <mergeCell ref="AH51:AJ51"/>
    <mergeCell ref="C50:D50"/>
    <mergeCell ref="G50:I50"/>
    <mergeCell ref="J50:K50"/>
    <mergeCell ref="C51:D51"/>
    <mergeCell ref="G51:I51"/>
    <mergeCell ref="J51:K51"/>
    <mergeCell ref="L51:M51"/>
    <mergeCell ref="N51:O51"/>
    <mergeCell ref="P51:Q51"/>
    <mergeCell ref="R51:S51"/>
    <mergeCell ref="T51:U51"/>
    <mergeCell ref="V51:W51"/>
    <mergeCell ref="L50:M50"/>
    <mergeCell ref="N50:O50"/>
    <mergeCell ref="P50:Q50"/>
    <mergeCell ref="R50:S50"/>
    <mergeCell ref="T50:U50"/>
    <mergeCell ref="V50:W50"/>
    <mergeCell ref="X50:Y50"/>
    <mergeCell ref="Z50:AA50"/>
    <mergeCell ref="AB50:AC50"/>
    <mergeCell ref="AD50:AE50"/>
    <mergeCell ref="AF50:AG50"/>
    <mergeCell ref="AH50:AJ50"/>
    <mergeCell ref="C49:D49"/>
    <mergeCell ref="E49:F49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AB49:AC49"/>
    <mergeCell ref="AD49:AE49"/>
    <mergeCell ref="AF49:AG49"/>
    <mergeCell ref="AH49:AJ49"/>
    <mergeCell ref="C46:AJ46"/>
    <mergeCell ref="C47:D48"/>
    <mergeCell ref="E47:E48"/>
    <mergeCell ref="F47:F48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AB47:AC47"/>
    <mergeCell ref="AD47:AE47"/>
    <mergeCell ref="AF47:AG47"/>
    <mergeCell ref="AH47:AJ47"/>
    <mergeCell ref="G48:I48"/>
    <mergeCell ref="AH48:AJ48"/>
    <mergeCell ref="J40:S40"/>
    <mergeCell ref="AH40:AJ40"/>
    <mergeCell ref="AH41:AJ41"/>
    <mergeCell ref="C45:E45"/>
    <mergeCell ref="J45:K45"/>
    <mergeCell ref="L45:M45"/>
    <mergeCell ref="N45:O45"/>
    <mergeCell ref="P45:W45"/>
    <mergeCell ref="X45:Y45"/>
    <mergeCell ref="Z45:AH45"/>
    <mergeCell ref="C42:D42"/>
    <mergeCell ref="G42:I42"/>
    <mergeCell ref="J42:AJ42"/>
    <mergeCell ref="C43:AJ43"/>
    <mergeCell ref="C44:E44"/>
    <mergeCell ref="J44:K44"/>
    <mergeCell ref="N44:O44"/>
    <mergeCell ref="P44:S44"/>
    <mergeCell ref="T44:V44"/>
    <mergeCell ref="W44:Z44"/>
    <mergeCell ref="AA44:AD44"/>
    <mergeCell ref="AE44:AF44"/>
    <mergeCell ref="AG44:AJ44"/>
    <mergeCell ref="E23:F24"/>
    <mergeCell ref="G23:I24"/>
    <mergeCell ref="L21:M21"/>
    <mergeCell ref="AH26:AJ26"/>
    <mergeCell ref="J25:K25"/>
    <mergeCell ref="AH27:AJ27"/>
    <mergeCell ref="AF27:AG27"/>
    <mergeCell ref="AH25:AJ25"/>
    <mergeCell ref="L25:M25"/>
    <mergeCell ref="AD27:AE27"/>
    <mergeCell ref="J27:K27"/>
    <mergeCell ref="L27:M27"/>
    <mergeCell ref="N27:O27"/>
    <mergeCell ref="R27:S27"/>
    <mergeCell ref="R21:S21"/>
    <mergeCell ref="C21:E21"/>
    <mergeCell ref="J21:K21"/>
    <mergeCell ref="C22:AJ22"/>
    <mergeCell ref="V23:W23"/>
    <mergeCell ref="X23:Y23"/>
    <mergeCell ref="Z23:AA23"/>
    <mergeCell ref="C23:C30"/>
    <mergeCell ref="D23:D27"/>
    <mergeCell ref="E30:F30"/>
    <mergeCell ref="AD23:AE23"/>
    <mergeCell ref="AF23:AG23"/>
    <mergeCell ref="AD33:AE33"/>
    <mergeCell ref="AF33:AG33"/>
    <mergeCell ref="R35:S35"/>
    <mergeCell ref="T35:U35"/>
    <mergeCell ref="V35:W35"/>
    <mergeCell ref="X35:Y35"/>
    <mergeCell ref="Z35:AA35"/>
    <mergeCell ref="AB35:AC35"/>
    <mergeCell ref="AD35:AE35"/>
    <mergeCell ref="AF35:AG35"/>
    <mergeCell ref="E38:F38"/>
    <mergeCell ref="G38:I38"/>
    <mergeCell ref="AH38:AJ38"/>
    <mergeCell ref="E39:F39"/>
    <mergeCell ref="G39:I39"/>
    <mergeCell ref="E37:F37"/>
    <mergeCell ref="J39:AG39"/>
    <mergeCell ref="AH39:AJ39"/>
    <mergeCell ref="G37:I37"/>
    <mergeCell ref="J37:K37"/>
    <mergeCell ref="L37:M37"/>
    <mergeCell ref="N37:O37"/>
    <mergeCell ref="P37:Q37"/>
    <mergeCell ref="AH37:AJ37"/>
    <mergeCell ref="R37:S37"/>
    <mergeCell ref="T37:U37"/>
    <mergeCell ref="V37:W37"/>
    <mergeCell ref="X37:Y37"/>
    <mergeCell ref="Z37:AA37"/>
    <mergeCell ref="AB37:AC37"/>
    <mergeCell ref="AD37:AE37"/>
    <mergeCell ref="AF37:AG37"/>
    <mergeCell ref="E29:F29"/>
    <mergeCell ref="G29:I29"/>
    <mergeCell ref="J29:AG29"/>
    <mergeCell ref="AH29:AJ29"/>
    <mergeCell ref="AH28:AJ28"/>
    <mergeCell ref="E28:F28"/>
    <mergeCell ref="AH30:AJ30"/>
    <mergeCell ref="G30:I30"/>
    <mergeCell ref="G28:I28"/>
    <mergeCell ref="E26:F26"/>
    <mergeCell ref="E27:F27"/>
    <mergeCell ref="C242:E242"/>
    <mergeCell ref="G242:U242"/>
    <mergeCell ref="C215:E215"/>
    <mergeCell ref="G215:U215"/>
    <mergeCell ref="J23:K23"/>
    <mergeCell ref="L23:M23"/>
    <mergeCell ref="N23:O23"/>
    <mergeCell ref="P23:Q23"/>
    <mergeCell ref="R23:S23"/>
    <mergeCell ref="T23:U23"/>
    <mergeCell ref="G217:U217"/>
    <mergeCell ref="C213:AJ213"/>
    <mergeCell ref="C214:AJ214"/>
    <mergeCell ref="C201:G201"/>
    <mergeCell ref="H201:V201"/>
    <mergeCell ref="Z201:AC201"/>
    <mergeCell ref="AE201:AJ201"/>
    <mergeCell ref="C203:R203"/>
    <mergeCell ref="U203:AJ203"/>
    <mergeCell ref="V223:AA223"/>
    <mergeCell ref="V217:AA217"/>
    <mergeCell ref="AC217:AF217"/>
    <mergeCell ref="C250:E250"/>
    <mergeCell ref="G250:U250"/>
    <mergeCell ref="V250:AA250"/>
    <mergeCell ref="AC250:AF250"/>
    <mergeCell ref="C246:AJ246"/>
    <mergeCell ref="C247:AJ247"/>
    <mergeCell ref="C248:E248"/>
    <mergeCell ref="G248:U248"/>
    <mergeCell ref="V248:AA248"/>
    <mergeCell ref="AC248:AF248"/>
    <mergeCell ref="C244:AJ244"/>
    <mergeCell ref="C237:AJ238"/>
    <mergeCell ref="V233:AA233"/>
    <mergeCell ref="AC233:AF233"/>
    <mergeCell ref="C234:AJ234"/>
    <mergeCell ref="C235:AJ235"/>
    <mergeCell ref="C239:AJ239"/>
    <mergeCell ref="C240:E240"/>
    <mergeCell ref="G240:U240"/>
    <mergeCell ref="V240:AA240"/>
    <mergeCell ref="AC240:AF240"/>
    <mergeCell ref="V242:AA242"/>
    <mergeCell ref="C233:E233"/>
    <mergeCell ref="G233:U233"/>
    <mergeCell ref="AC242:AF242"/>
    <mergeCell ref="C219:AJ219"/>
    <mergeCell ref="C221:AJ221"/>
    <mergeCell ref="V215:AA215"/>
    <mergeCell ref="AC215:AF215"/>
    <mergeCell ref="C217:E217"/>
    <mergeCell ref="C211:AJ211"/>
    <mergeCell ref="C243:AJ243"/>
    <mergeCell ref="C230:AJ230"/>
    <mergeCell ref="C226:AJ226"/>
    <mergeCell ref="C222:AJ222"/>
    <mergeCell ref="C223:E223"/>
    <mergeCell ref="G223:U223"/>
    <mergeCell ref="AC231:AF231"/>
    <mergeCell ref="AC223:AF223"/>
    <mergeCell ref="C225:E225"/>
    <mergeCell ref="G225:U225"/>
    <mergeCell ref="V225:AA225"/>
    <mergeCell ref="AC225:AF225"/>
    <mergeCell ref="C231:E231"/>
    <mergeCell ref="G231:U231"/>
    <mergeCell ref="V231:AA231"/>
    <mergeCell ref="C227:AJ227"/>
    <mergeCell ref="C229:AJ229"/>
    <mergeCell ref="G207:U207"/>
    <mergeCell ref="V207:AA207"/>
    <mergeCell ref="AC207:AF207"/>
    <mergeCell ref="C209:E209"/>
    <mergeCell ref="G209:U209"/>
    <mergeCell ref="C199:G199"/>
    <mergeCell ref="H199:AJ199"/>
    <mergeCell ref="C205:AJ205"/>
    <mergeCell ref="C206:AJ206"/>
    <mergeCell ref="C207:E207"/>
    <mergeCell ref="K166:AA166"/>
    <mergeCell ref="H173:AE173"/>
    <mergeCell ref="K174:AE174"/>
    <mergeCell ref="K175:R175"/>
    <mergeCell ref="T175:AJ175"/>
    <mergeCell ref="G186:AJ186"/>
    <mergeCell ref="C196:G196"/>
    <mergeCell ref="H196:AJ197"/>
    <mergeCell ref="C198:AJ198"/>
    <mergeCell ref="C192:H192"/>
    <mergeCell ref="J192:AJ192"/>
    <mergeCell ref="C193:T193"/>
    <mergeCell ref="U193:V193"/>
    <mergeCell ref="Z193:AC193"/>
    <mergeCell ref="AE193:AJ193"/>
    <mergeCell ref="G187:AJ187"/>
    <mergeCell ref="C188:AJ188"/>
    <mergeCell ref="C189:K189"/>
    <mergeCell ref="L189:AJ189"/>
    <mergeCell ref="C190:G190"/>
    <mergeCell ref="H190:U190"/>
    <mergeCell ref="V190:AJ190"/>
    <mergeCell ref="C194:G194"/>
    <mergeCell ref="H194:AJ194"/>
    <mergeCell ref="J128:J129"/>
    <mergeCell ref="K128:K129"/>
    <mergeCell ref="C157:R157"/>
    <mergeCell ref="U157:AJ157"/>
    <mergeCell ref="C158:AJ158"/>
    <mergeCell ref="H164:AE164"/>
    <mergeCell ref="C165:J165"/>
    <mergeCell ref="K165:AA165"/>
    <mergeCell ref="AC165:AJ165"/>
    <mergeCell ref="C151:V151"/>
    <mergeCell ref="Z151:AC151"/>
    <mergeCell ref="AE151:AH151"/>
    <mergeCell ref="C152:AJ152"/>
    <mergeCell ref="C153:AJ153"/>
    <mergeCell ref="C156:AJ156"/>
    <mergeCell ref="C145:AJ145"/>
    <mergeCell ref="C148:AJ148"/>
    <mergeCell ref="C149:AJ149"/>
    <mergeCell ref="C150:T150"/>
    <mergeCell ref="U150:AA150"/>
    <mergeCell ref="AC150:AJ150"/>
    <mergeCell ref="H135:AJ135"/>
    <mergeCell ref="H136:AJ136"/>
    <mergeCell ref="H137:U137"/>
    <mergeCell ref="V137:AJ137"/>
    <mergeCell ref="G138:AJ138"/>
    <mergeCell ref="C105:L105"/>
    <mergeCell ref="C106:L106"/>
    <mergeCell ref="N119:Z119"/>
    <mergeCell ref="N120:Z125"/>
    <mergeCell ref="N127:Z127"/>
    <mergeCell ref="R106:AJ107"/>
    <mergeCell ref="R108:AJ110"/>
    <mergeCell ref="AJ128:AJ129"/>
    <mergeCell ref="C128:C129"/>
    <mergeCell ref="E128:E129"/>
    <mergeCell ref="Z128:Z129"/>
    <mergeCell ref="AA128:AA129"/>
    <mergeCell ref="AC128:AC129"/>
    <mergeCell ref="AE128:AE129"/>
    <mergeCell ref="AF128:AF129"/>
    <mergeCell ref="AH128:AH129"/>
    <mergeCell ref="L128:L129"/>
    <mergeCell ref="N128:N129"/>
    <mergeCell ref="R128:R129"/>
    <mergeCell ref="T128:T129"/>
    <mergeCell ref="U128:U129"/>
    <mergeCell ref="V128:V129"/>
    <mergeCell ref="G128:G129"/>
    <mergeCell ref="H128:H129"/>
    <mergeCell ref="C104:L104"/>
    <mergeCell ref="R104:V104"/>
    <mergeCell ref="Z104:AF104"/>
    <mergeCell ref="C19:AJ19"/>
    <mergeCell ref="AH104:AJ104"/>
    <mergeCell ref="H90:AJ90"/>
    <mergeCell ref="H91:AJ91"/>
    <mergeCell ref="H92:U92"/>
    <mergeCell ref="V92:AJ92"/>
    <mergeCell ref="H93:AJ93"/>
    <mergeCell ref="C94:AJ98"/>
    <mergeCell ref="C101:AJ101"/>
    <mergeCell ref="C102:L102"/>
    <mergeCell ref="R102:AJ103"/>
    <mergeCell ref="C103:N103"/>
    <mergeCell ref="C20:AJ20"/>
    <mergeCell ref="AH23:AJ23"/>
    <mergeCell ref="AH24:AJ24"/>
    <mergeCell ref="G26:I26"/>
    <mergeCell ref="J26:K26"/>
    <mergeCell ref="L26:M26"/>
    <mergeCell ref="E25:F25"/>
    <mergeCell ref="G25:I25"/>
    <mergeCell ref="AB23:AC23"/>
    <mergeCell ref="B3:AK3"/>
    <mergeCell ref="AK4:AK15"/>
    <mergeCell ref="C5:AJ5"/>
    <mergeCell ref="J6:AC6"/>
    <mergeCell ref="C9:AJ9"/>
    <mergeCell ref="C10:G10"/>
    <mergeCell ref="H10:J10"/>
    <mergeCell ref="K7:R7"/>
    <mergeCell ref="H12:AJ12"/>
    <mergeCell ref="AF14:AJ15"/>
    <mergeCell ref="L14:AE15"/>
    <mergeCell ref="K8:AA8"/>
    <mergeCell ref="C12:G12"/>
    <mergeCell ref="AC8:AJ8"/>
    <mergeCell ref="C13:G13"/>
    <mergeCell ref="E14:G14"/>
    <mergeCell ref="H14:K15"/>
    <mergeCell ref="C15:G15"/>
    <mergeCell ref="H13:AJ13"/>
    <mergeCell ref="K10:L10"/>
    <mergeCell ref="K11:L11"/>
    <mergeCell ref="O10:P10"/>
    <mergeCell ref="O11:P11"/>
    <mergeCell ref="Q10:R10"/>
    <mergeCell ref="AE11:AF11"/>
    <mergeCell ref="AG11:AH11"/>
    <mergeCell ref="C6:I6"/>
    <mergeCell ref="C7:I7"/>
    <mergeCell ref="AG6:AJ6"/>
    <mergeCell ref="AD6:AF6"/>
    <mergeCell ref="U7:Y7"/>
    <mergeCell ref="C8:J8"/>
    <mergeCell ref="AI10:AJ10"/>
    <mergeCell ref="AI11:AJ11"/>
    <mergeCell ref="U10:V10"/>
    <mergeCell ref="U11:V11"/>
    <mergeCell ref="AE10:AF10"/>
    <mergeCell ref="AG10:AH10"/>
    <mergeCell ref="Q11:R11"/>
    <mergeCell ref="S10:T10"/>
    <mergeCell ref="S11:T11"/>
    <mergeCell ref="AG4:AJ4"/>
    <mergeCell ref="Q4:Z4"/>
    <mergeCell ref="C4:P4"/>
    <mergeCell ref="AA4:AB4"/>
    <mergeCell ref="R25:S25"/>
    <mergeCell ref="T25:U25"/>
    <mergeCell ref="V25:W25"/>
    <mergeCell ref="X25:Y25"/>
    <mergeCell ref="Z25:AA25"/>
    <mergeCell ref="AB25:AC25"/>
    <mergeCell ref="W10:X10"/>
    <mergeCell ref="Y10:Z10"/>
    <mergeCell ref="AA10:AB10"/>
    <mergeCell ref="AC10:AD10"/>
    <mergeCell ref="AD4:AE4"/>
    <mergeCell ref="AD25:AE25"/>
    <mergeCell ref="B16:AK16"/>
    <mergeCell ref="C14:D14"/>
    <mergeCell ref="M10:N10"/>
    <mergeCell ref="M11:N11"/>
    <mergeCell ref="W11:X11"/>
    <mergeCell ref="Y11:Z11"/>
    <mergeCell ref="AA11:AB11"/>
    <mergeCell ref="AC11:AD11"/>
  </mergeCells>
  <conditionalFormatting sqref="G15">
    <cfRule type="expression" dxfId="83" priority="17">
      <formula>IF(H14&lt;&gt;"",1,0)</formula>
    </cfRule>
  </conditionalFormatting>
  <conditionalFormatting sqref="G231:U231">
    <cfRule type="expression" dxfId="82" priority="8">
      <formula>IF($C$227&lt;&gt;"",0.1)</formula>
    </cfRule>
  </conditionalFormatting>
  <conditionalFormatting sqref="E15:F15 C15">
    <cfRule type="expression" dxfId="81" priority="463">
      <formula>IF(E14&lt;&gt;"",1,0)</formula>
    </cfRule>
  </conditionalFormatting>
  <conditionalFormatting sqref="AC225:AD225 AC233:AD233">
    <cfRule type="expression" dxfId="80" priority="468">
      <formula>IF(C219&lt;&gt;"",0.1)</formula>
    </cfRule>
  </conditionalFormatting>
  <conditionalFormatting sqref="AC231:AD231 AC248:AD248">
    <cfRule type="expression" dxfId="79" priority="469">
      <formula>IF(C227&lt;&gt;"",0.1)</formula>
    </cfRule>
  </conditionalFormatting>
  <conditionalFormatting sqref="AC240:AD240">
    <cfRule type="expression" dxfId="78" priority="472">
      <formula>IF(C235&lt;&gt;"",0.1)</formula>
    </cfRule>
  </conditionalFormatting>
  <conditionalFormatting sqref="D15">
    <cfRule type="expression" dxfId="77" priority="511">
      <formula>IF(G14&lt;&gt;"",1,0)</formula>
    </cfRule>
  </conditionalFormatting>
  <conditionalFormatting sqref="G240:I240">
    <cfRule type="expression" dxfId="76" priority="512">
      <formula>IF(C235&lt;&gt;"",0.1)</formula>
    </cfRule>
  </conditionalFormatting>
  <conditionalFormatting sqref="G242:I242">
    <cfRule type="expression" dxfId="75" priority="513">
      <formula>IF(C235&lt;&gt;"",0.1)</formula>
    </cfRule>
  </conditionalFormatting>
  <conditionalFormatting sqref="G225:I225 G233:I233 G250:I250">
    <cfRule type="expression" dxfId="74" priority="514">
      <formula>IF(C219&lt;&gt;"",0.1)</formula>
    </cfRule>
  </conditionalFormatting>
  <conditionalFormatting sqref="G248:I248">
    <cfRule type="expression" dxfId="73" priority="519">
      <formula>IF(C244&lt;&gt;"",0.1)</formula>
    </cfRule>
  </conditionalFormatting>
  <conditionalFormatting sqref="J240:M240">
    <cfRule type="expression" dxfId="72" priority="554">
      <formula>IF(E235&lt;&gt;"",0.1)</formula>
    </cfRule>
  </conditionalFormatting>
  <conditionalFormatting sqref="J242:M242">
    <cfRule type="expression" dxfId="71" priority="556">
      <formula>IF(E235&lt;&gt;"",0.1)</formula>
    </cfRule>
  </conditionalFormatting>
  <conditionalFormatting sqref="J225:M225 J233:M233 J250:M250">
    <cfRule type="expression" dxfId="70" priority="558">
      <formula>IF(E219&lt;&gt;"",0.1)</formula>
    </cfRule>
  </conditionalFormatting>
  <conditionalFormatting sqref="J248:M248">
    <cfRule type="expression" dxfId="69" priority="564">
      <formula>IF(E244&lt;&gt;"",0.1)</formula>
    </cfRule>
  </conditionalFormatting>
  <conditionalFormatting sqref="T240:U240">
    <cfRule type="expression" dxfId="68" priority="600">
      <formula>IF(J235&lt;&gt;"",0.1)</formula>
    </cfRule>
  </conditionalFormatting>
  <conditionalFormatting sqref="T242:U242">
    <cfRule type="expression" dxfId="67" priority="602">
      <formula>IF(J235&lt;&gt;"",0.1)</formula>
    </cfRule>
  </conditionalFormatting>
  <conditionalFormatting sqref="T225:U225 T233:U233 T250:U250">
    <cfRule type="expression" dxfId="66" priority="604">
      <formula>IF(J219&lt;&gt;"",0.1)</formula>
    </cfRule>
  </conditionalFormatting>
  <conditionalFormatting sqref="T248:U248">
    <cfRule type="expression" dxfId="65" priority="610">
      <formula>IF(J244&lt;&gt;"",0.1)</formula>
    </cfRule>
  </conditionalFormatting>
  <conditionalFormatting sqref="R240:S240">
    <cfRule type="expression" dxfId="64" priority="646">
      <formula>IF(I235&lt;&gt;"",0.1)</formula>
    </cfRule>
  </conditionalFormatting>
  <conditionalFormatting sqref="R242:S242">
    <cfRule type="expression" dxfId="63" priority="648">
      <formula>IF(I235&lt;&gt;"",0.1)</formula>
    </cfRule>
  </conditionalFormatting>
  <conditionalFormatting sqref="R225:S225 R233:S233 R250:S250">
    <cfRule type="expression" dxfId="62" priority="650">
      <formula>IF(I219&lt;&gt;"",0.1)</formula>
    </cfRule>
  </conditionalFormatting>
  <conditionalFormatting sqref="R248:S248">
    <cfRule type="expression" dxfId="61" priority="656">
      <formula>IF(I244&lt;&gt;"",0.1)</formula>
    </cfRule>
  </conditionalFormatting>
  <conditionalFormatting sqref="N240:O240">
    <cfRule type="expression" dxfId="60" priority="692">
      <formula>IF(H235&lt;&gt;"",0.1)</formula>
    </cfRule>
  </conditionalFormatting>
  <conditionalFormatting sqref="N242:O242">
    <cfRule type="expression" dxfId="59" priority="694">
      <formula>IF(H235&lt;&gt;"",0.1)</formula>
    </cfRule>
  </conditionalFormatting>
  <conditionalFormatting sqref="N225:O225 N233:O233 N250:O250">
    <cfRule type="expression" dxfId="58" priority="696">
      <formula>IF(H219&lt;&gt;"",0.1)</formula>
    </cfRule>
  </conditionalFormatting>
  <conditionalFormatting sqref="N248:O248">
    <cfRule type="expression" dxfId="57" priority="702">
      <formula>IF(H244&lt;&gt;"",0.1)</formula>
    </cfRule>
  </conditionalFormatting>
  <conditionalFormatting sqref="Q240">
    <cfRule type="expression" dxfId="56" priority="742">
      <formula>IF(I235&lt;&gt;"",0.1)</formula>
    </cfRule>
  </conditionalFormatting>
  <conditionalFormatting sqref="Q242">
    <cfRule type="expression" dxfId="55" priority="744">
      <formula>IF(I235&lt;&gt;"",0.1)</formula>
    </cfRule>
  </conditionalFormatting>
  <conditionalFormatting sqref="Q225 Q233 Q250">
    <cfRule type="expression" dxfId="54" priority="746">
      <formula>IF(I219&lt;&gt;"",0.1)</formula>
    </cfRule>
  </conditionalFormatting>
  <conditionalFormatting sqref="Q248">
    <cfRule type="expression" dxfId="53" priority="752">
      <formula>IF(I244&lt;&gt;"",0.1)</formula>
    </cfRule>
  </conditionalFormatting>
  <conditionalFormatting sqref="AE225:AG225 AE233:AG233">
    <cfRule type="expression" dxfId="52" priority="786">
      <formula>IF(D219&lt;&gt;"",0.1)</formula>
    </cfRule>
  </conditionalFormatting>
  <conditionalFormatting sqref="AE231:AG231 AE248:AG248">
    <cfRule type="expression" dxfId="51" priority="790">
      <formula>IF(D227&lt;&gt;"",0.1)</formula>
    </cfRule>
  </conditionalFormatting>
  <conditionalFormatting sqref="AE240:AG240">
    <cfRule type="expression" dxfId="50" priority="794">
      <formula>IF(D235&lt;&gt;"",0.1)</formula>
    </cfRule>
  </conditionalFormatting>
  <conditionalFormatting sqref="P240">
    <cfRule type="expression" dxfId="49" priority="834">
      <formula>IF(I235&lt;&gt;"",0.1)</formula>
    </cfRule>
  </conditionalFormatting>
  <conditionalFormatting sqref="P242">
    <cfRule type="expression" dxfId="48" priority="836">
      <formula>IF(I235&lt;&gt;"",0.1)</formula>
    </cfRule>
  </conditionalFormatting>
  <conditionalFormatting sqref="P225 P233 P250">
    <cfRule type="expression" dxfId="47" priority="838">
      <formula>IF(I219&lt;&gt;"",0.1)</formula>
    </cfRule>
  </conditionalFormatting>
  <conditionalFormatting sqref="P248">
    <cfRule type="expression" dxfId="46" priority="844">
      <formula>IF(I244&lt;&gt;"",0.1)</formula>
    </cfRule>
  </conditionalFormatting>
  <printOptions horizontalCentered="1"/>
  <pageMargins left="0.51181102362204722" right="0.15748031496062992" top="0.39370078740157483" bottom="0.39370078740157483" header="0.31496062992125984" footer="0.31496062992125984"/>
  <pageSetup paperSize="9" scale="76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Option Button 1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7</xdr:row>
                    <xdr:rowOff>47625</xdr:rowOff>
                  </from>
                  <to>
                    <xdr:col>8</xdr:col>
                    <xdr:colOff>9525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Option Button 2">
              <controlPr defaultSize="0" autoFill="0" autoLine="0" autoPict="0">
                <anchor moveWithCells="1" sizeWithCells="1">
                  <from>
                    <xdr:col>8</xdr:col>
                    <xdr:colOff>47625</xdr:colOff>
                    <xdr:row>7</xdr:row>
                    <xdr:rowOff>47625</xdr:rowOff>
                  </from>
                  <to>
                    <xdr:col>9</xdr:col>
                    <xdr:colOff>200025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Group Box 3">
              <controlPr defaultSize="0" autoFill="0" autoPict="0">
                <anchor moveWithCells="1" sizeWithCells="1">
                  <from>
                    <xdr:col>6</xdr:col>
                    <xdr:colOff>76200</xdr:colOff>
                    <xdr:row>7</xdr:row>
                    <xdr:rowOff>19050</xdr:rowOff>
                  </from>
                  <to>
                    <xdr:col>9</xdr:col>
                    <xdr:colOff>238125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7" name="Option Button 6">
              <controlPr defaultSize="0" autoFill="0" autoLine="0" autoPict="0">
                <anchor moveWithCells="1" sizeWithCells="1">
                  <from>
                    <xdr:col>20</xdr:col>
                    <xdr:colOff>219075</xdr:colOff>
                    <xdr:row>20</xdr:row>
                    <xdr:rowOff>28575</xdr:rowOff>
                  </from>
                  <to>
                    <xdr:col>23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8" name="Option Button 7">
              <controlPr defaultSize="0" autoFill="0" autoLine="0" autoPict="0">
                <anchor moveWithCells="1" sizeWithCells="1">
                  <from>
                    <xdr:col>25</xdr:col>
                    <xdr:colOff>85725</xdr:colOff>
                    <xdr:row>20</xdr:row>
                    <xdr:rowOff>28575</xdr:rowOff>
                  </from>
                  <to>
                    <xdr:col>28</xdr:col>
                    <xdr:colOff>76200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7" id="{366D8EEE-FD52-4D1E-97FC-55073BFB72E1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AC223:AD223</xm:sqref>
        </x14:conditionalFormatting>
        <x14:conditionalFormatting xmlns:xm="http://schemas.microsoft.com/office/excel/2006/main">
          <x14:cfRule type="expression" priority="520" id="{FFE88338-C353-46F9-819B-32ADA2BBB1BE}">
            <xm:f>IF(C12&gt;=Geral!$F$27,0.1)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G223:I223</xm:sqref>
        </x14:conditionalFormatting>
        <x14:conditionalFormatting xmlns:xm="http://schemas.microsoft.com/office/excel/2006/main">
          <x14:cfRule type="expression" priority="566" id="{FFE88338-C353-46F9-819B-32ADA2BBB1BE}">
            <xm:f>IF(E12&gt;=Geral!$F$27,0.1)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J223:M223</xm:sqref>
        </x14:conditionalFormatting>
        <x14:conditionalFormatting xmlns:xm="http://schemas.microsoft.com/office/excel/2006/main">
          <x14:cfRule type="expression" priority="612" id="{FFE88338-C353-46F9-819B-32ADA2BBB1BE}">
            <xm:f>IF(J12&gt;=Geral!$F$27,0.1)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T223:U223</xm:sqref>
        </x14:conditionalFormatting>
        <x14:conditionalFormatting xmlns:xm="http://schemas.microsoft.com/office/excel/2006/main">
          <x14:cfRule type="expression" priority="658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R223:S223</xm:sqref>
        </x14:conditionalFormatting>
        <x14:conditionalFormatting xmlns:xm="http://schemas.microsoft.com/office/excel/2006/main">
          <x14:cfRule type="expression" priority="704" id="{FFE88338-C353-46F9-819B-32ADA2BBB1BE}">
            <xm:f>IF(H12&gt;=Geral!$F$27,0.1)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N223:O223</xm:sqref>
        </x14:conditionalFormatting>
        <x14:conditionalFormatting xmlns:xm="http://schemas.microsoft.com/office/excel/2006/main">
          <x14:cfRule type="expression" priority="754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Q223</xm:sqref>
        </x14:conditionalFormatting>
        <x14:conditionalFormatting xmlns:xm="http://schemas.microsoft.com/office/excel/2006/main">
          <x14:cfRule type="expression" priority="796" id="{366D8EEE-FD52-4D1E-97FC-55073BFB72E1}">
            <xm:f>IF(D12&gt;=Geral!$F$27,0.1)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AE223:AG223</xm:sqref>
        </x14:conditionalFormatting>
        <x14:conditionalFormatting xmlns:xm="http://schemas.microsoft.com/office/excel/2006/main">
          <x14:cfRule type="expression" priority="846" id="{FFE88338-C353-46F9-819B-32ADA2BBB1BE}">
            <xm:f>IF(I12&gt;=Geral!$F$27,0.1)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P223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pageSetUpPr fitToPage="1"/>
  </sheetPr>
  <dimension ref="B1:AV66"/>
  <sheetViews>
    <sheetView showGridLines="0" showRowColHeaders="0" zoomScale="120" zoomScaleNormal="120" workbookViewId="0">
      <selection activeCell="G6" sqref="G6:Q6"/>
    </sheetView>
  </sheetViews>
  <sheetFormatPr defaultColWidth="2.7109375" defaultRowHeight="15.95" customHeight="1" x14ac:dyDescent="0.4"/>
  <cols>
    <col min="1" max="2" width="2.7109375" style="1" customWidth="1"/>
    <col min="3" max="3" width="5.28515625" style="2" customWidth="1"/>
    <col min="4" max="8" width="5.28515625" style="1" customWidth="1"/>
    <col min="9" max="19" width="4.85546875" style="1" customWidth="1"/>
    <col min="20" max="21" width="5.140625" style="1" customWidth="1"/>
    <col min="22" max="22" width="2.7109375" style="1" customWidth="1"/>
    <col min="23" max="39" width="2.7109375" style="1" hidden="1" customWidth="1"/>
    <col min="40" max="42" width="2.7109375" style="1" customWidth="1"/>
    <col min="43" max="16384" width="2.7109375" style="1"/>
  </cols>
  <sheetData>
    <row r="1" spans="2:42" ht="9.9499999999999993" customHeight="1" x14ac:dyDescent="0.4"/>
    <row r="2" spans="2:42" ht="9.9499999999999993" customHeight="1" thickBot="1" x14ac:dyDescent="0.45"/>
    <row r="3" spans="2:42" ht="15.95" customHeight="1" thickTop="1" thickBot="1" x14ac:dyDescent="0.45">
      <c r="B3" s="1719"/>
      <c r="C3" s="1720"/>
      <c r="D3" s="1720"/>
      <c r="E3" s="1720"/>
      <c r="F3" s="1720"/>
      <c r="G3" s="1720"/>
      <c r="H3" s="1720"/>
      <c r="I3" s="1720"/>
      <c r="J3" s="1720"/>
      <c r="K3" s="1720"/>
      <c r="L3" s="1720"/>
      <c r="M3" s="1720"/>
      <c r="N3" s="1720"/>
      <c r="O3" s="1720"/>
      <c r="P3" s="1720"/>
      <c r="Q3" s="1720"/>
      <c r="R3" s="1720"/>
      <c r="S3" s="1720"/>
      <c r="T3" s="1720"/>
      <c r="U3" s="1720"/>
      <c r="V3" s="1721"/>
      <c r="X3" s="404"/>
      <c r="Y3" s="405"/>
      <c r="Z3" s="405"/>
      <c r="AA3" s="405"/>
      <c r="AB3" s="405"/>
      <c r="AC3" s="405"/>
      <c r="AD3" s="405"/>
      <c r="AE3" s="405"/>
      <c r="AF3" s="405"/>
      <c r="AG3" s="405"/>
      <c r="AH3" s="405"/>
      <c r="AI3" s="405"/>
      <c r="AJ3" s="405"/>
      <c r="AK3" s="405"/>
      <c r="AL3" s="1722"/>
    </row>
    <row r="4" spans="2:42" ht="21.95" customHeight="1" thickBot="1" x14ac:dyDescent="0.45">
      <c r="B4" s="1725"/>
      <c r="C4" s="195"/>
      <c r="D4" s="163"/>
      <c r="E4" s="162"/>
      <c r="F4" s="1727" t="s">
        <v>8042</v>
      </c>
      <c r="G4" s="1727"/>
      <c r="H4" s="1727"/>
      <c r="I4" s="1727"/>
      <c r="J4" s="1727"/>
      <c r="K4" s="1727"/>
      <c r="L4" s="1727"/>
      <c r="M4" s="1727"/>
      <c r="N4" s="1727"/>
      <c r="O4" s="1727"/>
      <c r="P4" s="1727"/>
      <c r="Q4" s="1727"/>
      <c r="R4" s="1727"/>
      <c r="S4" s="1728"/>
      <c r="T4" s="1728"/>
      <c r="U4" s="196"/>
      <c r="V4" s="1729"/>
      <c r="X4" s="44"/>
      <c r="Y4" s="1732"/>
      <c r="Z4" s="1733"/>
      <c r="AA4" s="1733"/>
      <c r="AB4" s="1733"/>
      <c r="AC4" s="1733"/>
      <c r="AD4" s="1733"/>
      <c r="AE4" s="1733"/>
      <c r="AF4" s="1733"/>
      <c r="AG4" s="1736"/>
      <c r="AH4" s="1737"/>
      <c r="AI4" s="1737"/>
      <c r="AJ4" s="1737"/>
      <c r="AK4" s="1738"/>
      <c r="AL4" s="1723"/>
      <c r="AM4" s="42"/>
      <c r="AN4" s="42"/>
      <c r="AO4" s="42"/>
      <c r="AP4" s="42"/>
    </row>
    <row r="5" spans="2:42" ht="3" customHeight="1" thickBot="1" x14ac:dyDescent="0.45">
      <c r="B5" s="1726"/>
      <c r="C5" s="1625"/>
      <c r="D5" s="1626"/>
      <c r="E5" s="1626"/>
      <c r="F5" s="1626"/>
      <c r="G5" s="1626"/>
      <c r="H5" s="1626"/>
      <c r="I5" s="1626"/>
      <c r="J5" s="1626"/>
      <c r="K5" s="1626"/>
      <c r="L5" s="1626"/>
      <c r="M5" s="1626"/>
      <c r="N5" s="1626"/>
      <c r="O5" s="1626"/>
      <c r="P5" s="1626"/>
      <c r="Q5" s="1626"/>
      <c r="R5" s="1626"/>
      <c r="S5" s="1626"/>
      <c r="T5" s="1626"/>
      <c r="U5" s="1627"/>
      <c r="V5" s="1730"/>
      <c r="X5" s="44"/>
      <c r="Y5" s="2776"/>
      <c r="Z5" s="2777"/>
      <c r="AA5" s="2777"/>
      <c r="AB5" s="2777"/>
      <c r="AC5" s="2777"/>
      <c r="AD5" s="2777"/>
      <c r="AE5" s="2777"/>
      <c r="AF5" s="2777"/>
      <c r="AG5" s="1739"/>
      <c r="AH5" s="1740"/>
      <c r="AI5" s="1740"/>
      <c r="AJ5" s="1740"/>
      <c r="AK5" s="1741"/>
      <c r="AL5" s="1723"/>
      <c r="AM5" s="42"/>
      <c r="AN5" s="42"/>
      <c r="AO5" s="42"/>
      <c r="AP5" s="42"/>
    </row>
    <row r="6" spans="2:42" ht="21.95" customHeight="1" x14ac:dyDescent="0.4">
      <c r="B6" s="1726"/>
      <c r="C6" s="1752" t="s">
        <v>3</v>
      </c>
      <c r="D6" s="1753"/>
      <c r="E6" s="1753"/>
      <c r="F6" s="1753"/>
      <c r="G6" s="1754"/>
      <c r="H6" s="1754"/>
      <c r="I6" s="1754"/>
      <c r="J6" s="1754"/>
      <c r="K6" s="1754"/>
      <c r="L6" s="1754"/>
      <c r="M6" s="1754"/>
      <c r="N6" s="1754"/>
      <c r="O6" s="1754"/>
      <c r="P6" s="1754"/>
      <c r="Q6" s="1754"/>
      <c r="R6" s="1755" t="s">
        <v>1</v>
      </c>
      <c r="S6" s="1755"/>
      <c r="T6" s="2853"/>
      <c r="U6" s="2854"/>
      <c r="V6" s="1730"/>
      <c r="X6" s="44"/>
      <c r="Y6" s="1758"/>
      <c r="Z6" s="1759"/>
      <c r="AA6" s="1759"/>
      <c r="AB6" s="1675"/>
      <c r="AC6" s="1675"/>
      <c r="AD6" s="1675"/>
      <c r="AE6" s="1675"/>
      <c r="AF6" s="1675"/>
      <c r="AG6" s="2778"/>
      <c r="AH6" s="2779"/>
      <c r="AI6" s="2779"/>
      <c r="AJ6" s="2779"/>
      <c r="AK6" s="2780"/>
      <c r="AL6" s="1723"/>
      <c r="AM6" s="43"/>
      <c r="AN6" s="43"/>
      <c r="AO6" s="43"/>
      <c r="AP6" s="43"/>
    </row>
    <row r="7" spans="2:42" ht="15.95" customHeight="1" x14ac:dyDescent="0.4">
      <c r="B7" s="1726"/>
      <c r="C7" s="2830" t="s">
        <v>361</v>
      </c>
      <c r="D7" s="4112"/>
      <c r="E7" s="4112"/>
      <c r="F7" s="4112"/>
      <c r="G7" s="4121">
        <v>1</v>
      </c>
      <c r="H7" s="2834" t="s">
        <v>4</v>
      </c>
      <c r="I7" s="2835"/>
      <c r="J7" s="2835"/>
      <c r="K7" s="2835"/>
      <c r="L7" s="256">
        <f>IF(M7&lt;100,4,5)</f>
        <v>4</v>
      </c>
      <c r="M7" s="2836">
        <v>25</v>
      </c>
      <c r="N7" s="2836"/>
      <c r="O7" s="257"/>
      <c r="P7" s="258"/>
      <c r="Q7" s="259"/>
      <c r="R7" s="259"/>
      <c r="S7" s="260"/>
      <c r="T7" s="259"/>
      <c r="U7" s="261"/>
      <c r="V7" s="1730"/>
      <c r="X7" s="44"/>
      <c r="Y7" s="2769"/>
      <c r="Z7" s="2837"/>
      <c r="AA7" s="2838"/>
      <c r="AB7" s="2842"/>
      <c r="AC7" s="2843"/>
      <c r="AD7" s="2843"/>
      <c r="AE7" s="2843"/>
      <c r="AF7" s="2844"/>
      <c r="AG7" s="2848"/>
      <c r="AH7" s="2849"/>
      <c r="AI7" s="2849"/>
      <c r="AJ7" s="2849"/>
      <c r="AK7" s="2763"/>
      <c r="AL7" s="1723"/>
      <c r="AM7" s="43"/>
      <c r="AN7" s="43"/>
      <c r="AO7" s="43"/>
      <c r="AP7" s="43"/>
    </row>
    <row r="8" spans="2:42" ht="15.95" customHeight="1" thickBot="1" x14ac:dyDescent="0.45">
      <c r="B8" s="1726"/>
      <c r="C8" s="2217"/>
      <c r="D8" s="2218"/>
      <c r="E8" s="2218"/>
      <c r="F8" s="2218"/>
      <c r="G8" s="4122"/>
      <c r="H8" s="2224" t="str">
        <f>IF(ISERROR(VLOOKUP(M7,Escolas!C5:K269,3,FALSE)),"",VLOOKUP(M7,Escolas!C5:K269,3,FALSE))</f>
        <v>Superintendência Regional de Ensino de Uberaba</v>
      </c>
      <c r="I8" s="2225"/>
      <c r="J8" s="2225"/>
      <c r="K8" s="2225"/>
      <c r="L8" s="2225"/>
      <c r="M8" s="2225"/>
      <c r="N8" s="2225"/>
      <c r="O8" s="2225"/>
      <c r="P8" s="2225"/>
      <c r="Q8" s="2225" t="str">
        <f>IF(ISERROR(VLOOKUP(M7,Escolas!C5:K269,7,FALSE)),"",VLOOKUP(M7,Escolas!C5:K269,7,FALSE))</f>
        <v>Uberaba</v>
      </c>
      <c r="R8" s="2225"/>
      <c r="S8" s="2225"/>
      <c r="T8" s="2225"/>
      <c r="U8" s="2226"/>
      <c r="V8" s="1730"/>
      <c r="X8" s="44"/>
      <c r="Y8" s="2839"/>
      <c r="Z8" s="2840"/>
      <c r="AA8" s="2841"/>
      <c r="AB8" s="2845"/>
      <c r="AC8" s="2846"/>
      <c r="AD8" s="2846"/>
      <c r="AE8" s="2846"/>
      <c r="AF8" s="2847"/>
      <c r="AG8" s="2850"/>
      <c r="AH8" s="2851"/>
      <c r="AI8" s="2851"/>
      <c r="AJ8" s="2851"/>
      <c r="AK8" s="2852"/>
      <c r="AL8" s="1723"/>
      <c r="AM8" s="43"/>
      <c r="AN8" s="43"/>
      <c r="AO8" s="43"/>
      <c r="AP8" s="43"/>
    </row>
    <row r="9" spans="2:42" ht="3" customHeight="1" thickBot="1" x14ac:dyDescent="0.45">
      <c r="B9" s="1726"/>
      <c r="C9" s="1549"/>
      <c r="D9" s="1550"/>
      <c r="E9" s="1550"/>
      <c r="F9" s="1550"/>
      <c r="G9" s="1550"/>
      <c r="H9" s="1550"/>
      <c r="I9" s="1550"/>
      <c r="J9" s="1550"/>
      <c r="K9" s="1550"/>
      <c r="L9" s="1550"/>
      <c r="M9" s="1550"/>
      <c r="N9" s="1550"/>
      <c r="O9" s="1550"/>
      <c r="P9" s="1550"/>
      <c r="Q9" s="1550"/>
      <c r="R9" s="1550"/>
      <c r="S9" s="1550"/>
      <c r="T9" s="1550"/>
      <c r="U9" s="1687"/>
      <c r="V9" s="1730"/>
      <c r="X9" s="44"/>
      <c r="Y9" s="4110"/>
      <c r="Z9" s="2840"/>
      <c r="AA9" s="2841"/>
      <c r="AB9" s="2845"/>
      <c r="AC9" s="2846"/>
      <c r="AD9" s="2846"/>
      <c r="AE9" s="2846"/>
      <c r="AF9" s="2847"/>
      <c r="AG9" s="2850"/>
      <c r="AH9" s="2851"/>
      <c r="AI9" s="2851"/>
      <c r="AJ9" s="2851"/>
      <c r="AK9" s="2852"/>
      <c r="AL9" s="1723"/>
    </row>
    <row r="10" spans="2:42" ht="21.95" customHeight="1" thickBot="1" x14ac:dyDescent="0.45">
      <c r="B10" s="1726"/>
      <c r="C10" s="4123" t="s">
        <v>7962</v>
      </c>
      <c r="D10" s="4124"/>
      <c r="E10" s="4124"/>
      <c r="F10" s="4124"/>
      <c r="G10" s="4124"/>
      <c r="H10" s="4111">
        <v>2013</v>
      </c>
      <c r="I10" s="4111"/>
      <c r="J10" s="4125" t="str">
        <f>IF(H10="","","Exercício = ou anterior a 01/01 e até 31/12/"&amp;H10&amp;"?")</f>
        <v>Exercício = ou anterior a 01/01 e até 31/12/2013?</v>
      </c>
      <c r="K10" s="4126"/>
      <c r="L10" s="4126"/>
      <c r="M10" s="4126"/>
      <c r="N10" s="4126"/>
      <c r="O10" s="4126"/>
      <c r="P10" s="4126"/>
      <c r="Q10" s="4126"/>
      <c r="R10" s="4126"/>
      <c r="S10" s="4126"/>
      <c r="T10" s="4126"/>
      <c r="U10" s="4127"/>
      <c r="V10" s="1730"/>
      <c r="X10" s="44"/>
      <c r="Y10" s="4113" t="s">
        <v>8031</v>
      </c>
      <c r="Z10" s="4114"/>
      <c r="AA10" s="4115"/>
      <c r="AB10" s="4116">
        <v>1</v>
      </c>
      <c r="AC10" s="4114"/>
      <c r="AD10" s="4114"/>
      <c r="AE10" s="4114"/>
      <c r="AF10" s="4117"/>
      <c r="AG10" s="4118" t="str">
        <f>IF(AB10=1,"SIM","NÃO")</f>
        <v>SIM</v>
      </c>
      <c r="AH10" s="4119"/>
      <c r="AI10" s="4119"/>
      <c r="AJ10" s="4119"/>
      <c r="AK10" s="4120"/>
      <c r="AL10" s="1723"/>
    </row>
    <row r="11" spans="2:42" ht="21.95" customHeight="1" thickBot="1" x14ac:dyDescent="0.45">
      <c r="B11" s="1726"/>
      <c r="C11" s="4134" t="s">
        <v>8030</v>
      </c>
      <c r="D11" s="4135"/>
      <c r="E11" s="4135"/>
      <c r="F11" s="4135"/>
      <c r="G11" s="4135"/>
      <c r="H11" s="4136" t="b">
        <f>IF(H10=Escolas!L4,VLOOKUP(M7,Escolas!C5:P269,10,FALSE),IF(H10=Escolas!M4,VLOOKUP(M7,Escolas!C5:P269,11,FALSE),IF(H10=Escolas!N4,VLOOKUP(M7,Escolas!C5:P269,12,FALSE),IF(H10=Escolas!O4,VLOOKUP(M7,Escolas!C5:P269,13,FALSE),IF(H10=Escolas!P4,VLOOKUP(M7,Escolas!C5:P269,14,FALSE))))))</f>
        <v>0</v>
      </c>
      <c r="I11" s="4137"/>
      <c r="J11" s="4088" t="str">
        <f>IF(H10="","",IF(AB10=1,"","Total de Dias de Contrato/Efetividade em "&amp;H10&amp;":"))</f>
        <v/>
      </c>
      <c r="K11" s="4089"/>
      <c r="L11" s="4089"/>
      <c r="M11" s="4089"/>
      <c r="N11" s="4089"/>
      <c r="O11" s="4089"/>
      <c r="P11" s="4089"/>
      <c r="Q11" s="4089"/>
      <c r="R11" s="4089"/>
      <c r="S11" s="4090">
        <v>322</v>
      </c>
      <c r="T11" s="4090"/>
      <c r="U11" s="4091"/>
      <c r="V11" s="1730"/>
      <c r="X11" s="44"/>
      <c r="Y11" s="4138"/>
      <c r="Z11" s="4129"/>
      <c r="AA11" s="4139"/>
      <c r="AB11" s="4128"/>
      <c r="AC11" s="4129"/>
      <c r="AD11" s="4129"/>
      <c r="AE11" s="4129"/>
      <c r="AF11" s="4130"/>
      <c r="AG11" s="4131"/>
      <c r="AH11" s="4132"/>
      <c r="AI11" s="4132"/>
      <c r="AJ11" s="4132"/>
      <c r="AK11" s="4133"/>
      <c r="AL11" s="1723"/>
    </row>
    <row r="12" spans="2:42" ht="21.95" customHeight="1" thickBot="1" x14ac:dyDescent="0.45">
      <c r="B12" s="1726"/>
      <c r="C12" s="2199" t="str">
        <f>IF(H10="","","Afastamentos em "&amp;H10&amp;" (em dias):")</f>
        <v>Afastamentos em 2013 (em dias):</v>
      </c>
      <c r="D12" s="2200"/>
      <c r="E12" s="2200"/>
      <c r="F12" s="2200"/>
      <c r="G12" s="2200"/>
      <c r="H12" s="2200"/>
      <c r="I12" s="2201"/>
      <c r="J12" s="4106" t="str">
        <f>IF(H10="","","Total de Afastamentos em "&amp;H10&amp;":")</f>
        <v>Total de Afastamentos em 2013:</v>
      </c>
      <c r="K12" s="4107"/>
      <c r="L12" s="4107"/>
      <c r="M12" s="4107"/>
      <c r="N12" s="4107"/>
      <c r="O12" s="4107"/>
      <c r="P12" s="4107"/>
      <c r="Q12" s="4107"/>
      <c r="R12" s="4107"/>
      <c r="S12" s="4108">
        <f>D13+G13+I13+F14+I14+F15+I15+I16+I17</f>
        <v>8</v>
      </c>
      <c r="T12" s="4108"/>
      <c r="U12" s="4109"/>
      <c r="V12" s="1730"/>
      <c r="X12" s="44"/>
      <c r="Y12" s="395"/>
      <c r="Z12" s="396"/>
      <c r="AA12" s="397"/>
      <c r="AB12" s="398"/>
      <c r="AC12" s="396"/>
      <c r="AD12" s="396"/>
      <c r="AE12" s="396"/>
      <c r="AF12" s="399"/>
      <c r="AG12" s="400"/>
      <c r="AH12" s="401"/>
      <c r="AI12" s="401"/>
      <c r="AJ12" s="401"/>
      <c r="AK12" s="402"/>
      <c r="AL12" s="1723"/>
    </row>
    <row r="13" spans="2:42" ht="21.95" customHeight="1" thickBot="1" x14ac:dyDescent="0.45">
      <c r="B13" s="1726"/>
      <c r="C13" s="363" t="s">
        <v>8034</v>
      </c>
      <c r="D13" s="413">
        <v>8</v>
      </c>
      <c r="E13" s="4155" t="s">
        <v>8035</v>
      </c>
      <c r="F13" s="4156"/>
      <c r="G13" s="413"/>
      <c r="H13" s="364" t="s">
        <v>8033</v>
      </c>
      <c r="I13" s="414"/>
      <c r="J13" s="4160" t="str">
        <f>IF(H10="","","Dias de Efetivo Trabalho em "&amp;H10&amp;":")</f>
        <v>Dias de Efetivo Trabalho em 2013:</v>
      </c>
      <c r="K13" s="4161"/>
      <c r="L13" s="4161"/>
      <c r="M13" s="4161"/>
      <c r="N13" s="4161"/>
      <c r="O13" s="4161"/>
      <c r="P13" s="4161"/>
      <c r="Q13" s="4161"/>
      <c r="R13" s="4161"/>
      <c r="S13" s="4162">
        <f>IF(H10="","",IF(AB10=1,360-S12,S11-S12-5))</f>
        <v>352</v>
      </c>
      <c r="T13" s="4162"/>
      <c r="U13" s="4163"/>
      <c r="V13" s="1730"/>
      <c r="X13" s="44"/>
      <c r="Y13" s="395"/>
      <c r="Z13" s="396"/>
      <c r="AA13" s="397"/>
      <c r="AB13" s="398"/>
      <c r="AC13" s="396"/>
      <c r="AD13" s="396"/>
      <c r="AE13" s="396"/>
      <c r="AF13" s="399"/>
      <c r="AG13" s="400"/>
      <c r="AH13" s="401"/>
      <c r="AI13" s="401"/>
      <c r="AJ13" s="401"/>
      <c r="AK13" s="402"/>
      <c r="AL13" s="1723"/>
    </row>
    <row r="14" spans="2:42" ht="21.95" customHeight="1" thickBot="1" x14ac:dyDescent="0.45">
      <c r="B14" s="1726"/>
      <c r="C14" s="4157" t="s">
        <v>8036</v>
      </c>
      <c r="D14" s="4158"/>
      <c r="E14" s="4158"/>
      <c r="F14" s="415"/>
      <c r="G14" s="4159" t="s">
        <v>8039</v>
      </c>
      <c r="H14" s="4158"/>
      <c r="I14" s="416"/>
      <c r="J14" s="4177" t="str">
        <f>IF(H10="","",IF(AND(AB10=1,S13&lt;90),"Servidor não tem direito ao Prêmio: Menos que 25% de Efetivo Trabalho",IF(AND(AB10=2,S13&lt;90),"Servidor não tem direito ao Prêmio: Menos que 25% de Efetivo Trabalho",IF(AND(AB10=2,S13&gt;89),"Remuneração Total do Servidor em 31/12/"&amp;H10&amp;" ou no último dia de trabalho:",IF(AND(AB10=1,S13&gt;89),"Remuneração Total do Servidor em 31/12/"&amp;H10&amp;" ou no último dia trabalhado:")))))</f>
        <v>Remuneração Total do Servidor em 31/12/2013 ou no último dia trabalhado:</v>
      </c>
      <c r="K14" s="4178"/>
      <c r="L14" s="4178"/>
      <c r="M14" s="4178"/>
      <c r="N14" s="4178"/>
      <c r="O14" s="4178"/>
      <c r="P14" s="4178"/>
      <c r="Q14" s="4178"/>
      <c r="R14" s="4178"/>
      <c r="S14" s="4183">
        <v>3027.75</v>
      </c>
      <c r="T14" s="4183"/>
      <c r="U14" s="4184"/>
      <c r="V14" s="1730"/>
      <c r="X14" s="44"/>
      <c r="Y14" s="395"/>
      <c r="Z14" s="396"/>
      <c r="AA14" s="397"/>
      <c r="AB14" s="398"/>
      <c r="AC14" s="396"/>
      <c r="AD14" s="396"/>
      <c r="AE14" s="396"/>
      <c r="AF14" s="399"/>
      <c r="AG14" s="400"/>
      <c r="AH14" s="401"/>
      <c r="AI14" s="401"/>
      <c r="AJ14" s="401"/>
      <c r="AK14" s="402"/>
      <c r="AL14" s="1723"/>
    </row>
    <row r="15" spans="2:42" ht="21.95" customHeight="1" thickBot="1" x14ac:dyDescent="0.45">
      <c r="B15" s="1726"/>
      <c r="C15" s="4141" t="s">
        <v>8037</v>
      </c>
      <c r="D15" s="4142"/>
      <c r="E15" s="4187"/>
      <c r="F15" s="417"/>
      <c r="G15" s="4181" t="s">
        <v>8040</v>
      </c>
      <c r="H15" s="4182"/>
      <c r="I15" s="416"/>
      <c r="J15" s="4179"/>
      <c r="K15" s="4180"/>
      <c r="L15" s="4180"/>
      <c r="M15" s="4180"/>
      <c r="N15" s="4180"/>
      <c r="O15" s="4180"/>
      <c r="P15" s="4180"/>
      <c r="Q15" s="4180"/>
      <c r="R15" s="4180"/>
      <c r="S15" s="4185"/>
      <c r="T15" s="4185"/>
      <c r="U15" s="4186"/>
      <c r="V15" s="1730"/>
      <c r="X15" s="44"/>
      <c r="Y15" s="395"/>
      <c r="Z15" s="396"/>
      <c r="AA15" s="397"/>
      <c r="AB15" s="398"/>
      <c r="AC15" s="396"/>
      <c r="AD15" s="396"/>
      <c r="AE15" s="396"/>
      <c r="AF15" s="399"/>
      <c r="AG15" s="400"/>
      <c r="AH15" s="401"/>
      <c r="AI15" s="401"/>
      <c r="AJ15" s="401"/>
      <c r="AK15" s="402"/>
      <c r="AL15" s="1723"/>
    </row>
    <row r="16" spans="2:42" ht="21.95" customHeight="1" thickBot="1" x14ac:dyDescent="0.45">
      <c r="B16" s="1726"/>
      <c r="C16" s="4141" t="s">
        <v>8038</v>
      </c>
      <c r="D16" s="4142"/>
      <c r="E16" s="4140"/>
      <c r="F16" s="4140"/>
      <c r="G16" s="4140"/>
      <c r="H16" s="4140"/>
      <c r="I16" s="418"/>
      <c r="J16" s="4144" t="str">
        <f>IF(H10="","",IF(S13&lt;90,"","Porcentagem p/ Prêmio (Nota da Escola - Dias de Efetivo Trabalho em "&amp;H10&amp;" / 360)"))</f>
        <v>Porcentagem p/ Prêmio (Nota da Escola - Dias de Efetivo Trabalho em 2013 / 360)</v>
      </c>
      <c r="K16" s="2829"/>
      <c r="L16" s="2829"/>
      <c r="M16" s="2829"/>
      <c r="N16" s="2829"/>
      <c r="O16" s="2829"/>
      <c r="P16" s="2829"/>
      <c r="Q16" s="2829"/>
      <c r="R16" s="2829"/>
      <c r="S16" s="4147">
        <f>IF(H10="","",IF(S13&lt;90,"",H11*S13/360))</f>
        <v>0</v>
      </c>
      <c r="T16" s="4147"/>
      <c r="U16" s="4148"/>
      <c r="V16" s="1730"/>
      <c r="X16" s="44"/>
      <c r="Y16" s="4138"/>
      <c r="Z16" s="4129"/>
      <c r="AA16" s="4139"/>
      <c r="AB16" s="4128"/>
      <c r="AC16" s="4129"/>
      <c r="AD16" s="4129"/>
      <c r="AE16" s="4129"/>
      <c r="AF16" s="4130"/>
      <c r="AG16" s="4131"/>
      <c r="AH16" s="4132"/>
      <c r="AI16" s="4132"/>
      <c r="AJ16" s="4132"/>
      <c r="AK16" s="4133"/>
      <c r="AL16" s="1723"/>
    </row>
    <row r="17" spans="2:48" ht="21.95" customHeight="1" thickBot="1" x14ac:dyDescent="0.45">
      <c r="B17" s="1726"/>
      <c r="C17" s="4141" t="s">
        <v>8038</v>
      </c>
      <c r="D17" s="4142"/>
      <c r="E17" s="4143"/>
      <c r="F17" s="4143"/>
      <c r="G17" s="4143"/>
      <c r="H17" s="4143"/>
      <c r="I17" s="419"/>
      <c r="J17" s="4145"/>
      <c r="K17" s="4146"/>
      <c r="L17" s="4146"/>
      <c r="M17" s="4146"/>
      <c r="N17" s="4146"/>
      <c r="O17" s="4146"/>
      <c r="P17" s="4146"/>
      <c r="Q17" s="4146"/>
      <c r="R17" s="4146"/>
      <c r="S17" s="4149"/>
      <c r="T17" s="4149"/>
      <c r="U17" s="4150"/>
      <c r="V17" s="1730"/>
      <c r="X17" s="44"/>
      <c r="Y17" s="393"/>
      <c r="Z17" s="393"/>
      <c r="AA17" s="393"/>
      <c r="AB17" s="393"/>
      <c r="AC17" s="393"/>
      <c r="AD17" s="393"/>
      <c r="AE17" s="393"/>
      <c r="AF17" s="393"/>
      <c r="AG17" s="394"/>
      <c r="AH17" s="394"/>
      <c r="AI17" s="394"/>
      <c r="AJ17" s="394"/>
      <c r="AK17" s="394"/>
      <c r="AL17" s="1723"/>
    </row>
    <row r="18" spans="2:48" ht="21.95" customHeight="1" thickBot="1" x14ac:dyDescent="0.45">
      <c r="B18" s="1726"/>
      <c r="C18" s="4151" t="str">
        <f>IF(S13&lt;90,"","VALOR DO PRÊMIO POR RESULTADO REFERENTE A "&amp;H10&amp;":")</f>
        <v>VALOR DO PRÊMIO POR RESULTADO REFERENTE A 2013:</v>
      </c>
      <c r="D18" s="4152"/>
      <c r="E18" s="4152"/>
      <c r="F18" s="4152"/>
      <c r="G18" s="4152"/>
      <c r="H18" s="4152"/>
      <c r="I18" s="4152"/>
      <c r="J18" s="4152"/>
      <c r="K18" s="4152"/>
      <c r="L18" s="4152"/>
      <c r="M18" s="4152"/>
      <c r="N18" s="4152"/>
      <c r="O18" s="4152"/>
      <c r="P18" s="4152"/>
      <c r="Q18" s="4152"/>
      <c r="R18" s="4152"/>
      <c r="S18" s="4153">
        <f>IF(S13&lt;90,"",S14*S16%)</f>
        <v>0</v>
      </c>
      <c r="T18" s="4153"/>
      <c r="U18" s="4154"/>
      <c r="V18" s="1730"/>
      <c r="X18" s="44"/>
      <c r="Y18" s="393"/>
      <c r="Z18" s="393"/>
      <c r="AA18" s="393"/>
      <c r="AB18" s="393"/>
      <c r="AC18" s="393"/>
      <c r="AD18" s="393"/>
      <c r="AE18" s="393"/>
      <c r="AF18" s="393"/>
      <c r="AG18" s="394"/>
      <c r="AH18" s="394"/>
      <c r="AI18" s="394"/>
      <c r="AJ18" s="394"/>
      <c r="AK18" s="394"/>
      <c r="AL18" s="1723"/>
      <c r="AV18" s="1" t="s">
        <v>8041</v>
      </c>
    </row>
    <row r="19" spans="2:48" ht="15.95" customHeight="1" thickBot="1" x14ac:dyDescent="0.45">
      <c r="B19" s="2238"/>
      <c r="C19" s="2239"/>
      <c r="D19" s="2239"/>
      <c r="E19" s="2239"/>
      <c r="F19" s="2239"/>
      <c r="G19" s="2239"/>
      <c r="H19" s="2239"/>
      <c r="I19" s="2239"/>
      <c r="J19" s="2239"/>
      <c r="K19" s="2239"/>
      <c r="L19" s="2239"/>
      <c r="M19" s="2239"/>
      <c r="N19" s="2239"/>
      <c r="O19" s="2239"/>
      <c r="P19" s="2239"/>
      <c r="Q19" s="2239"/>
      <c r="R19" s="2239"/>
      <c r="S19" s="2239"/>
      <c r="T19" s="2239"/>
      <c r="U19" s="2239"/>
      <c r="V19" s="2240"/>
      <c r="X19" s="50"/>
      <c r="Y19" s="1481"/>
      <c r="Z19" s="1481"/>
      <c r="AA19" s="1481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4"/>
    </row>
    <row r="20" spans="2:48" ht="5.0999999999999996" customHeight="1" thickTop="1" thickBot="1" x14ac:dyDescent="0.45"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2:48" ht="15.95" customHeight="1" thickTop="1" x14ac:dyDescent="0.4">
      <c r="B21" s="52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5"/>
      <c r="W21" s="410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8" s="3" customFormat="1" ht="15.95" customHeight="1" x14ac:dyDescent="0.25">
      <c r="B22" s="56"/>
      <c r="C22" s="391"/>
      <c r="D22" s="391"/>
      <c r="E22" s="1438" t="str">
        <f>"CONSULTA CÁLCULO DO PRÊMIO POR RESULTADO REF. A "&amp;H10</f>
        <v>CONSULTA CÁLCULO DO PRÊMIO POR RESULTADO REF. A 2013</v>
      </c>
      <c r="F22" s="1438"/>
      <c r="G22" s="1438"/>
      <c r="H22" s="1438"/>
      <c r="I22" s="1438"/>
      <c r="J22" s="1438"/>
      <c r="K22" s="1438"/>
      <c r="L22" s="1438"/>
      <c r="M22" s="1438"/>
      <c r="N22" s="1438"/>
      <c r="O22" s="1438"/>
      <c r="P22" s="1438"/>
      <c r="Q22" s="1438"/>
      <c r="R22" s="1438"/>
      <c r="S22" s="1438"/>
      <c r="T22" s="1438"/>
      <c r="U22" s="1438"/>
      <c r="V22" s="57"/>
      <c r="W22" s="411"/>
      <c r="X22" s="412"/>
      <c r="Y22" s="412"/>
      <c r="Z22" s="412"/>
      <c r="AA22" s="412"/>
      <c r="AB22" s="412"/>
      <c r="AC22" s="412"/>
      <c r="AD22" s="412"/>
      <c r="AE22" s="412"/>
      <c r="AF22" s="412"/>
      <c r="AG22" s="412"/>
      <c r="AH22" s="412"/>
      <c r="AI22" s="412"/>
      <c r="AJ22" s="412"/>
      <c r="AK22" s="412"/>
      <c r="AL22" s="412"/>
      <c r="AM22" s="161"/>
      <c r="AN22" s="161"/>
      <c r="AO22" s="161"/>
      <c r="AP22" s="161"/>
    </row>
    <row r="23" spans="2:48" ht="15.95" customHeight="1" x14ac:dyDescent="0.4">
      <c r="B23" s="58"/>
      <c r="C23" s="389"/>
      <c r="D23" s="390"/>
      <c r="E23" s="1438"/>
      <c r="F23" s="1438"/>
      <c r="G23" s="1438"/>
      <c r="H23" s="1438"/>
      <c r="I23" s="1438"/>
      <c r="J23" s="1438"/>
      <c r="K23" s="1438"/>
      <c r="L23" s="1438"/>
      <c r="M23" s="1438"/>
      <c r="N23" s="1438"/>
      <c r="O23" s="1438"/>
      <c r="P23" s="1438"/>
      <c r="Q23" s="1438"/>
      <c r="R23" s="1438"/>
      <c r="S23" s="1438"/>
      <c r="T23" s="1438"/>
      <c r="U23" s="1438"/>
      <c r="V23" s="59"/>
      <c r="W23" s="410"/>
      <c r="X23" s="406"/>
      <c r="Y23" s="4085"/>
      <c r="Z23" s="4085"/>
      <c r="AA23" s="4085"/>
      <c r="AB23" s="4085"/>
      <c r="AC23" s="4085"/>
      <c r="AD23" s="4085"/>
      <c r="AE23" s="4085"/>
      <c r="AF23" s="4085"/>
      <c r="AG23" s="4085"/>
      <c r="AH23" s="4085"/>
      <c r="AI23" s="4085"/>
      <c r="AJ23" s="4085"/>
      <c r="AK23" s="4085"/>
      <c r="AL23" s="406"/>
      <c r="AM23" s="41"/>
      <c r="AN23" s="41"/>
      <c r="AO23" s="41"/>
      <c r="AP23" s="41"/>
    </row>
    <row r="24" spans="2:48" ht="15.95" customHeight="1" x14ac:dyDescent="0.4">
      <c r="B24" s="58"/>
      <c r="C24" s="1434"/>
      <c r="D24" s="1434"/>
      <c r="E24" s="1434"/>
      <c r="F24" s="1434"/>
      <c r="G24" s="1434"/>
      <c r="H24" s="1434"/>
      <c r="I24" s="1434"/>
      <c r="J24" s="1434"/>
      <c r="K24" s="1434"/>
      <c r="L24" s="1434"/>
      <c r="M24" s="1434"/>
      <c r="N24" s="1434"/>
      <c r="O24" s="1434"/>
      <c r="P24" s="1434"/>
      <c r="Q24" s="1434"/>
      <c r="R24" s="1434"/>
      <c r="S24" s="1434"/>
      <c r="T24" s="1434"/>
      <c r="U24" s="1434"/>
      <c r="V24" s="59"/>
      <c r="W24" s="410"/>
      <c r="X24" s="406"/>
      <c r="Y24" s="4086"/>
      <c r="Z24" s="4086"/>
      <c r="AA24" s="4086"/>
      <c r="AB24" s="4086"/>
      <c r="AC24" s="4086"/>
      <c r="AD24" s="4086"/>
      <c r="AE24" s="4086"/>
      <c r="AF24" s="4086"/>
      <c r="AG24" s="4086"/>
      <c r="AH24" s="4086"/>
      <c r="AI24" s="4086"/>
      <c r="AJ24" s="4086"/>
      <c r="AK24" s="4086"/>
      <c r="AL24" s="406"/>
      <c r="AM24" s="41"/>
      <c r="AN24" s="41"/>
      <c r="AO24" s="41"/>
      <c r="AP24" s="41"/>
    </row>
    <row r="25" spans="2:48" ht="15.95" customHeight="1" x14ac:dyDescent="0.4">
      <c r="B25" s="58"/>
      <c r="C25" s="1460" t="s">
        <v>354</v>
      </c>
      <c r="D25" s="1460"/>
      <c r="E25" s="1460"/>
      <c r="F25" s="1460"/>
      <c r="G25" s="1460"/>
      <c r="H25" s="1460"/>
      <c r="I25" s="1433" t="str">
        <f>[2]Cadastro!C6</f>
        <v>SECRETARIA DE ESTADO DE EDUCAÇÃO - MG</v>
      </c>
      <c r="J25" s="1433"/>
      <c r="K25" s="1433"/>
      <c r="L25" s="1433"/>
      <c r="M25" s="1433"/>
      <c r="N25" s="1433"/>
      <c r="O25" s="1433"/>
      <c r="P25" s="1433"/>
      <c r="Q25" s="1433"/>
      <c r="R25" s="1433"/>
      <c r="S25" s="1433"/>
      <c r="T25" s="1433"/>
      <c r="U25" s="1433"/>
      <c r="V25" s="59"/>
      <c r="W25" s="410"/>
      <c r="X25" s="406"/>
      <c r="Y25" s="4086"/>
      <c r="Z25" s="4086"/>
      <c r="AA25" s="4086"/>
      <c r="AB25" s="4086"/>
      <c r="AC25" s="4086"/>
      <c r="AD25" s="4086"/>
      <c r="AE25" s="4086"/>
      <c r="AF25" s="4086"/>
      <c r="AG25" s="4086"/>
      <c r="AH25" s="4086"/>
      <c r="AI25" s="4086"/>
      <c r="AJ25" s="4086"/>
      <c r="AK25" s="4086"/>
      <c r="AL25" s="406"/>
      <c r="AM25" s="41"/>
      <c r="AN25" s="41"/>
      <c r="AO25" s="41"/>
      <c r="AP25" s="41"/>
    </row>
    <row r="26" spans="2:48" ht="15.95" customHeight="1" x14ac:dyDescent="0.4">
      <c r="B26" s="58"/>
      <c r="C26" s="1460" t="s">
        <v>356</v>
      </c>
      <c r="D26" s="1460"/>
      <c r="E26" s="1460"/>
      <c r="F26" s="1436" t="str">
        <f>[2]Cadastro!C8</f>
        <v>Superintendência Regional Ensino de</v>
      </c>
      <c r="G26" s="1436"/>
      <c r="H26" s="1436"/>
      <c r="I26" s="1436"/>
      <c r="J26" s="1436"/>
      <c r="K26" s="1436"/>
      <c r="L26" s="1436"/>
      <c r="M26" s="1436"/>
      <c r="N26" s="1433" t="str">
        <f>[2]Cadastro!I8</f>
        <v>Uberaba</v>
      </c>
      <c r="O26" s="1433"/>
      <c r="P26" s="1433"/>
      <c r="Q26" s="1433"/>
      <c r="R26" s="1433"/>
      <c r="S26" s="1433"/>
      <c r="T26" s="1433"/>
      <c r="U26" s="1433"/>
      <c r="V26" s="59"/>
      <c r="W26" s="410"/>
      <c r="X26" s="406"/>
      <c r="Y26" s="4086"/>
      <c r="Z26" s="4086"/>
      <c r="AA26" s="4086"/>
      <c r="AB26" s="4086"/>
      <c r="AC26" s="4086"/>
      <c r="AD26" s="4086"/>
      <c r="AE26" s="4086"/>
      <c r="AF26" s="4086"/>
      <c r="AG26" s="4086"/>
      <c r="AH26" s="4086"/>
      <c r="AI26" s="4086"/>
      <c r="AJ26" s="4086"/>
      <c r="AK26" s="4086"/>
      <c r="AL26" s="406"/>
      <c r="AM26" s="41"/>
      <c r="AN26" s="41"/>
      <c r="AO26" s="41"/>
      <c r="AP26" s="41"/>
    </row>
    <row r="27" spans="2:48" ht="15.95" customHeight="1" x14ac:dyDescent="0.4">
      <c r="B27" s="58"/>
      <c r="C27" s="389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390"/>
      <c r="O27" s="390"/>
      <c r="P27" s="390"/>
      <c r="Q27" s="390"/>
      <c r="R27" s="390"/>
      <c r="S27" s="390"/>
      <c r="T27" s="390"/>
      <c r="U27" s="390"/>
      <c r="V27" s="59"/>
      <c r="W27" s="410"/>
      <c r="X27" s="406"/>
      <c r="Y27" s="4086"/>
      <c r="Z27" s="4086"/>
      <c r="AA27" s="4086"/>
      <c r="AB27" s="4086"/>
      <c r="AC27" s="4086"/>
      <c r="AD27" s="4086"/>
      <c r="AE27" s="4086"/>
      <c r="AF27" s="4086"/>
      <c r="AG27" s="4086"/>
      <c r="AH27" s="4086"/>
      <c r="AI27" s="4086"/>
      <c r="AJ27" s="4086"/>
      <c r="AK27" s="4086"/>
      <c r="AL27" s="406"/>
      <c r="AM27" s="41"/>
      <c r="AN27" s="41"/>
      <c r="AO27" s="41"/>
      <c r="AP27" s="41"/>
    </row>
    <row r="28" spans="2:48" ht="15.95" customHeight="1" x14ac:dyDescent="0.4">
      <c r="B28" s="58"/>
      <c r="C28" s="392"/>
      <c r="D28" s="1456" t="str">
        <f>"Informo que o valor do Prêmio por Resultado ref. ao ano de "&amp;H10&amp; "  do (a) servidor (a):"</f>
        <v>Informo que o valor do Prêmio por Resultado ref. ao ano de 2013  do (a) servidor (a):</v>
      </c>
      <c r="E28" s="1456"/>
      <c r="F28" s="1456"/>
      <c r="G28" s="1456"/>
      <c r="H28" s="1456"/>
      <c r="I28" s="1456"/>
      <c r="J28" s="1456"/>
      <c r="K28" s="1456"/>
      <c r="L28" s="1456"/>
      <c r="M28" s="1456"/>
      <c r="N28" s="1456"/>
      <c r="O28" s="1456"/>
      <c r="P28" s="1456"/>
      <c r="Q28" s="1456"/>
      <c r="R28" s="1456"/>
      <c r="S28" s="1456"/>
      <c r="T28" s="1456"/>
      <c r="U28" s="1456"/>
      <c r="V28" s="59"/>
      <c r="W28" s="410"/>
      <c r="X28" s="406"/>
      <c r="Y28" s="4191"/>
      <c r="Z28" s="4191"/>
      <c r="AA28" s="4191"/>
      <c r="AB28" s="4191"/>
      <c r="AC28" s="4191"/>
      <c r="AD28" s="4191"/>
      <c r="AE28" s="4191"/>
      <c r="AF28" s="4191"/>
      <c r="AG28" s="4191"/>
      <c r="AH28" s="4191"/>
      <c r="AI28" s="4191"/>
      <c r="AJ28" s="4191"/>
      <c r="AK28" s="4191"/>
      <c r="AL28" s="406"/>
      <c r="AM28" s="41"/>
      <c r="AN28" s="41"/>
      <c r="AO28" s="41"/>
      <c r="AP28" s="41"/>
    </row>
    <row r="29" spans="2:48" ht="15.95" customHeight="1" x14ac:dyDescent="0.4">
      <c r="B29" s="58"/>
      <c r="C29" s="1458">
        <f>G6</f>
        <v>0</v>
      </c>
      <c r="D29" s="1458"/>
      <c r="E29" s="1458"/>
      <c r="F29" s="1458"/>
      <c r="G29" s="1458"/>
      <c r="H29" s="1458"/>
      <c r="I29" s="1458"/>
      <c r="J29" s="1458"/>
      <c r="K29" s="1458"/>
      <c r="L29" s="1458"/>
      <c r="M29" s="1434" t="s">
        <v>360</v>
      </c>
      <c r="N29" s="1434"/>
      <c r="O29" s="1459" t="str">
        <f>IF(T6="","",T6)</f>
        <v/>
      </c>
      <c r="P29" s="1459"/>
      <c r="Q29" s="1459"/>
      <c r="R29" s="1456" t="str">
        <f>", Adm. "&amp;G7&amp;" é de:"</f>
        <v>, Adm. 1 é de:</v>
      </c>
      <c r="S29" s="1456"/>
      <c r="T29" s="1456"/>
      <c r="U29" s="1456"/>
      <c r="V29" s="59"/>
      <c r="W29" s="410"/>
      <c r="X29" s="406"/>
      <c r="Y29" s="406"/>
      <c r="Z29" s="406"/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1"/>
      <c r="AN29" s="41"/>
      <c r="AO29" s="41"/>
      <c r="AP29" s="41"/>
    </row>
    <row r="30" spans="2:48" ht="15.95" customHeight="1" x14ac:dyDescent="0.4">
      <c r="B30" s="58"/>
      <c r="C30" s="1452">
        <f>IF(S18="","",S18)</f>
        <v>0</v>
      </c>
      <c r="D30" s="1452"/>
      <c r="E30" s="1452"/>
      <c r="F30" s="1453" t="str">
        <f>IF(C30="","",IF(Extenso!N10="","","(" &amp; Extenso!N10 &amp; ")"))</f>
        <v/>
      </c>
      <c r="G30" s="1453"/>
      <c r="H30" s="1453"/>
      <c r="I30" s="1453"/>
      <c r="J30" s="1453"/>
      <c r="K30" s="1453"/>
      <c r="L30" s="1453"/>
      <c r="M30" s="1453"/>
      <c r="N30" s="1453"/>
      <c r="O30" s="1453"/>
      <c r="P30" s="1453"/>
      <c r="Q30" s="1453"/>
      <c r="R30" s="1453"/>
      <c r="S30" s="1453"/>
      <c r="T30" s="1453"/>
      <c r="U30" s="1453"/>
      <c r="V30" s="59"/>
      <c r="W30" s="410"/>
      <c r="X30" s="406"/>
      <c r="Y30" s="406"/>
      <c r="Z30" s="406"/>
      <c r="AA30" s="406"/>
      <c r="AB30" s="407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1"/>
      <c r="AN30" s="41"/>
      <c r="AO30" s="41"/>
      <c r="AP30" s="41"/>
    </row>
    <row r="31" spans="2:48" ht="15.95" customHeight="1" x14ac:dyDescent="0.4">
      <c r="B31" s="58"/>
      <c r="C31" s="4164" t="str">
        <f>IF(S13&lt;90,"Servidor não tem direito ao Prêmio por Resultado. Motivo: Efetivo Trabalho em "&amp;H10&amp;" menor que 25% (90 dias), conforme cálculo abaixo:","Cálculo:")</f>
        <v>Cálculo:</v>
      </c>
      <c r="D31" s="4164"/>
      <c r="E31" s="4164"/>
      <c r="F31" s="4164"/>
      <c r="G31" s="4164"/>
      <c r="H31" s="4164"/>
      <c r="I31" s="4164"/>
      <c r="J31" s="4164"/>
      <c r="K31" s="4164"/>
      <c r="L31" s="4164"/>
      <c r="M31" s="4164"/>
      <c r="N31" s="4164"/>
      <c r="O31" s="4164"/>
      <c r="P31" s="4164"/>
      <c r="Q31" s="4164"/>
      <c r="R31" s="4164"/>
      <c r="S31" s="4164"/>
      <c r="T31" s="4164"/>
      <c r="U31" s="4164"/>
      <c r="V31" s="59"/>
      <c r="W31" s="410"/>
      <c r="X31" s="406"/>
      <c r="Y31" s="406"/>
      <c r="Z31" s="406"/>
      <c r="AA31" s="406"/>
      <c r="AB31" s="407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1"/>
      <c r="AN31" s="41"/>
      <c r="AO31" s="41"/>
      <c r="AP31" s="41"/>
    </row>
    <row r="32" spans="2:48" ht="15.95" customHeight="1" x14ac:dyDescent="0.4">
      <c r="B32" s="58"/>
      <c r="C32" s="4164"/>
      <c r="D32" s="4164"/>
      <c r="E32" s="4164"/>
      <c r="F32" s="4164"/>
      <c r="G32" s="4164"/>
      <c r="H32" s="4164"/>
      <c r="I32" s="4164"/>
      <c r="J32" s="4164"/>
      <c r="K32" s="4164"/>
      <c r="L32" s="4164"/>
      <c r="M32" s="4164"/>
      <c r="N32" s="4164"/>
      <c r="O32" s="4164"/>
      <c r="P32" s="4164"/>
      <c r="Q32" s="4164"/>
      <c r="R32" s="4164"/>
      <c r="S32" s="4164"/>
      <c r="T32" s="4164"/>
      <c r="U32" s="4164"/>
      <c r="V32" s="59"/>
      <c r="W32" s="410"/>
      <c r="X32" s="406"/>
      <c r="Y32" s="406"/>
      <c r="Z32" s="406"/>
      <c r="AA32" s="406"/>
      <c r="AB32" s="407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1"/>
      <c r="AN32" s="41"/>
      <c r="AO32" s="41"/>
      <c r="AP32" s="41"/>
    </row>
    <row r="33" spans="2:42" ht="15.95" customHeight="1" x14ac:dyDescent="0.4">
      <c r="B33" s="58"/>
      <c r="C33" s="403"/>
      <c r="D33" s="403"/>
      <c r="E33" s="403"/>
      <c r="F33" s="403"/>
      <c r="G33" s="403"/>
      <c r="H33" s="403"/>
      <c r="I33" s="403"/>
      <c r="J33" s="403"/>
      <c r="K33" s="403"/>
      <c r="L33" s="403"/>
      <c r="M33" s="403"/>
      <c r="N33" s="403"/>
      <c r="O33" s="403"/>
      <c r="P33" s="403"/>
      <c r="Q33" s="403"/>
      <c r="R33" s="403"/>
      <c r="S33" s="403"/>
      <c r="T33" s="403"/>
      <c r="U33" s="403"/>
      <c r="V33" s="59"/>
      <c r="W33" s="410"/>
      <c r="X33" s="406"/>
      <c r="Y33" s="406"/>
      <c r="Z33" s="406"/>
      <c r="AA33" s="406"/>
      <c r="AB33" s="407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1"/>
      <c r="AN33" s="41"/>
      <c r="AO33" s="41"/>
      <c r="AP33" s="41"/>
    </row>
    <row r="34" spans="2:42" ht="15.95" customHeight="1" x14ac:dyDescent="0.4">
      <c r="B34" s="58"/>
      <c r="C34" s="1433" t="s">
        <v>8043</v>
      </c>
      <c r="D34" s="1433"/>
      <c r="E34" s="1433"/>
      <c r="F34" s="1442" t="str">
        <f>H8</f>
        <v>Superintendência Regional de Ensino de Uberaba</v>
      </c>
      <c r="G34" s="1442"/>
      <c r="H34" s="1442"/>
      <c r="I34" s="1442"/>
      <c r="J34" s="1442"/>
      <c r="K34" s="1442"/>
      <c r="L34" s="1442"/>
      <c r="M34" s="1442"/>
      <c r="N34" s="1442"/>
      <c r="O34" s="1443" t="s">
        <v>364</v>
      </c>
      <c r="P34" s="1443"/>
      <c r="Q34" s="1443"/>
      <c r="R34" s="1444" t="str">
        <f>Q8</f>
        <v>Uberaba</v>
      </c>
      <c r="S34" s="1444"/>
      <c r="T34" s="1444"/>
      <c r="U34" s="1444"/>
      <c r="V34" s="59"/>
      <c r="W34" s="410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ht="15.95" customHeight="1" x14ac:dyDescent="0.4">
      <c r="B35" s="58"/>
      <c r="C35" s="389"/>
      <c r="D35" s="390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0"/>
      <c r="Q35" s="390"/>
      <c r="R35" s="390"/>
      <c r="S35" s="390"/>
      <c r="T35" s="390"/>
      <c r="U35" s="390"/>
      <c r="V35" s="59"/>
      <c r="W35" s="410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ht="20.100000000000001" customHeight="1" x14ac:dyDescent="0.4">
      <c r="B36" s="58"/>
      <c r="C36" s="4097" t="s">
        <v>8030</v>
      </c>
      <c r="D36" s="4098"/>
      <c r="E36" s="4098"/>
      <c r="F36" s="4098"/>
      <c r="G36" s="4098"/>
      <c r="H36" s="4165" t="b">
        <f>H11</f>
        <v>0</v>
      </c>
      <c r="I36" s="4166"/>
      <c r="J36" s="4167" t="str">
        <f>IF(H10="","","Total de Dias de Contrato/Efetividade em "&amp;H10&amp;":")</f>
        <v>Total de Dias de Contrato/Efetividade em 2013:</v>
      </c>
      <c r="K36" s="4168"/>
      <c r="L36" s="4168"/>
      <c r="M36" s="4168"/>
      <c r="N36" s="4168"/>
      <c r="O36" s="4168"/>
      <c r="P36" s="4168"/>
      <c r="Q36" s="4168"/>
      <c r="R36" s="4168"/>
      <c r="S36" s="4094">
        <f>IF(H10="","",IF(AB10=1,365,S11))</f>
        <v>365</v>
      </c>
      <c r="T36" s="4094"/>
      <c r="U36" s="4095"/>
      <c r="V36" s="59"/>
      <c r="W36" s="410"/>
      <c r="X36" s="41"/>
      <c r="Y36" s="4086"/>
      <c r="Z36" s="4086"/>
      <c r="AA36" s="4086"/>
      <c r="AB36" s="4086"/>
      <c r="AC36" s="4086"/>
      <c r="AD36" s="4086"/>
      <c r="AE36" s="4086"/>
      <c r="AF36" s="4086"/>
      <c r="AG36" s="4087"/>
      <c r="AH36" s="4087"/>
      <c r="AI36" s="4087"/>
      <c r="AJ36" s="4087"/>
      <c r="AK36" s="4087"/>
      <c r="AL36" s="41"/>
      <c r="AM36" s="41"/>
      <c r="AN36" s="41"/>
      <c r="AO36" s="41"/>
      <c r="AP36" s="41"/>
    </row>
    <row r="37" spans="2:42" ht="5.0999999999999996" customHeight="1" x14ac:dyDescent="0.4">
      <c r="B37" s="58"/>
      <c r="C37" s="4170"/>
      <c r="D37" s="4170"/>
      <c r="E37" s="4170"/>
      <c r="F37" s="4170"/>
      <c r="G37" s="4170"/>
      <c r="H37" s="4170"/>
      <c r="I37" s="4170"/>
      <c r="J37" s="4170"/>
      <c r="K37" s="4170"/>
      <c r="L37" s="4170"/>
      <c r="M37" s="4170"/>
      <c r="N37" s="4170"/>
      <c r="O37" s="4170"/>
      <c r="P37" s="4170"/>
      <c r="Q37" s="4170"/>
      <c r="R37" s="4170"/>
      <c r="S37" s="4170"/>
      <c r="T37" s="4170"/>
      <c r="U37" s="4170"/>
      <c r="V37" s="59"/>
      <c r="W37" s="410"/>
      <c r="X37" s="41"/>
      <c r="Y37" s="408"/>
      <c r="Z37" s="408"/>
      <c r="AA37" s="408"/>
      <c r="AB37" s="408"/>
      <c r="AC37" s="408"/>
      <c r="AD37" s="408"/>
      <c r="AE37" s="408"/>
      <c r="AF37" s="408"/>
      <c r="AG37" s="409"/>
      <c r="AH37" s="409"/>
      <c r="AI37" s="409"/>
      <c r="AJ37" s="409"/>
      <c r="AK37" s="409"/>
      <c r="AL37" s="41"/>
      <c r="AM37" s="41"/>
      <c r="AN37" s="41"/>
      <c r="AO37" s="41"/>
      <c r="AP37" s="41"/>
    </row>
    <row r="38" spans="2:42" ht="20.100000000000001" customHeight="1" x14ac:dyDescent="0.4">
      <c r="B38" s="58"/>
      <c r="C38" s="4097" t="str">
        <f>IF(H10="","","Total de Afastamentos em "&amp;H10&amp;" (em dias):")</f>
        <v>Total de Afastamentos em 2013 (em dias):</v>
      </c>
      <c r="D38" s="4098"/>
      <c r="E38" s="4098"/>
      <c r="F38" s="4098"/>
      <c r="G38" s="4098"/>
      <c r="H38" s="4098"/>
      <c r="I38" s="4098"/>
      <c r="J38" s="4098"/>
      <c r="K38" s="4098"/>
      <c r="L38" s="4098"/>
      <c r="M38" s="4098"/>
      <c r="N38" s="4099">
        <f>K39+T39+K40+T40+K41+T41+K42+T42+T43</f>
        <v>8</v>
      </c>
      <c r="O38" s="4099"/>
      <c r="P38" s="4099"/>
      <c r="Q38" s="4100" t="s">
        <v>8044</v>
      </c>
      <c r="R38" s="4100"/>
      <c r="S38" s="4100"/>
      <c r="T38" s="4101"/>
      <c r="U38" s="4102"/>
      <c r="V38" s="59"/>
      <c r="W38" s="410"/>
      <c r="X38" s="41"/>
      <c r="Y38" s="408"/>
      <c r="Z38" s="408"/>
      <c r="AA38" s="408"/>
      <c r="AB38" s="408"/>
      <c r="AC38" s="408"/>
      <c r="AD38" s="408"/>
      <c r="AE38" s="408"/>
      <c r="AF38" s="408"/>
      <c r="AG38" s="409"/>
      <c r="AH38" s="409"/>
      <c r="AI38" s="409"/>
      <c r="AJ38" s="409"/>
      <c r="AK38" s="409"/>
      <c r="AL38" s="41"/>
      <c r="AM38" s="41"/>
      <c r="AN38" s="41"/>
      <c r="AO38" s="41"/>
      <c r="AP38" s="41"/>
    </row>
    <row r="39" spans="2:42" ht="20.100000000000001" customHeight="1" x14ac:dyDescent="0.4">
      <c r="B39" s="58"/>
      <c r="C39" s="4103" t="str">
        <f>IF(D13&gt;0,"Licença Saude","")</f>
        <v>Licença Saude</v>
      </c>
      <c r="D39" s="4104"/>
      <c r="E39" s="4104"/>
      <c r="F39" s="4104"/>
      <c r="G39" s="4104"/>
      <c r="H39" s="4104"/>
      <c r="I39" s="4104"/>
      <c r="J39" s="4104"/>
      <c r="K39" s="4105">
        <f>D13</f>
        <v>8</v>
      </c>
      <c r="L39" s="4105"/>
      <c r="M39" s="4092" t="str">
        <f>IF(G13&gt;0,"Faltas","")</f>
        <v/>
      </c>
      <c r="N39" s="4093"/>
      <c r="O39" s="4093"/>
      <c r="P39" s="4093"/>
      <c r="Q39" s="4093"/>
      <c r="R39" s="4093"/>
      <c r="S39" s="4093"/>
      <c r="T39" s="4094">
        <f>G13</f>
        <v>0</v>
      </c>
      <c r="U39" s="4095"/>
      <c r="V39" s="59"/>
      <c r="W39" s="410"/>
      <c r="X39" s="41"/>
      <c r="Y39" s="408"/>
      <c r="Z39" s="408"/>
      <c r="AA39" s="408"/>
      <c r="AB39" s="408"/>
      <c r="AC39" s="408"/>
      <c r="AD39" s="408"/>
      <c r="AE39" s="408"/>
      <c r="AF39" s="408"/>
      <c r="AG39" s="409"/>
      <c r="AH39" s="409"/>
      <c r="AI39" s="409"/>
      <c r="AJ39" s="409"/>
      <c r="AK39" s="409"/>
      <c r="AL39" s="41"/>
      <c r="AM39" s="41"/>
      <c r="AN39" s="41"/>
      <c r="AO39" s="41"/>
      <c r="AP39" s="41"/>
    </row>
    <row r="40" spans="2:42" ht="20.100000000000001" customHeight="1" x14ac:dyDescent="0.4">
      <c r="B40" s="58"/>
      <c r="C40" s="4103" t="str">
        <f>IF(I13&gt;0,"Férias Prêmio","")</f>
        <v/>
      </c>
      <c r="D40" s="4104"/>
      <c r="E40" s="4104"/>
      <c r="F40" s="4104"/>
      <c r="G40" s="4104"/>
      <c r="H40" s="4104"/>
      <c r="I40" s="4104"/>
      <c r="J40" s="4104"/>
      <c r="K40" s="4105">
        <f>I13</f>
        <v>0</v>
      </c>
      <c r="L40" s="4105"/>
      <c r="M40" s="4092" t="str">
        <f>IF(F14&gt;0,"Licença Gestante / Prorrogação","")</f>
        <v/>
      </c>
      <c r="N40" s="4093"/>
      <c r="O40" s="4093"/>
      <c r="P40" s="4093"/>
      <c r="Q40" s="4093"/>
      <c r="R40" s="4093"/>
      <c r="S40" s="4093"/>
      <c r="T40" s="4094">
        <f>F14</f>
        <v>0</v>
      </c>
      <c r="U40" s="4095"/>
      <c r="V40" s="59"/>
      <c r="W40" s="410"/>
      <c r="X40" s="41"/>
      <c r="Y40" s="408"/>
      <c r="Z40" s="408"/>
      <c r="AA40" s="408"/>
      <c r="AB40" s="408"/>
      <c r="AC40" s="408"/>
      <c r="AD40" s="408"/>
      <c r="AE40" s="408"/>
      <c r="AF40" s="408"/>
      <c r="AG40" s="409"/>
      <c r="AH40" s="409"/>
      <c r="AI40" s="409"/>
      <c r="AJ40" s="409"/>
      <c r="AK40" s="409"/>
      <c r="AL40" s="41"/>
      <c r="AM40" s="41"/>
      <c r="AN40" s="41"/>
      <c r="AO40" s="41"/>
      <c r="AP40" s="41"/>
    </row>
    <row r="41" spans="2:42" ht="20.100000000000001" customHeight="1" x14ac:dyDescent="0.4">
      <c r="B41" s="58"/>
      <c r="C41" s="4103" t="str">
        <f>IF(I14&gt;0,"Licença Luto","")</f>
        <v/>
      </c>
      <c r="D41" s="4104"/>
      <c r="E41" s="4104"/>
      <c r="F41" s="4104"/>
      <c r="G41" s="4104"/>
      <c r="H41" s="4104"/>
      <c r="I41" s="4104"/>
      <c r="J41" s="4104"/>
      <c r="K41" s="4105">
        <f>I14</f>
        <v>0</v>
      </c>
      <c r="L41" s="4105"/>
      <c r="M41" s="4092" t="str">
        <f>IF(F15&gt;0,"Licença Paternidade","")</f>
        <v/>
      </c>
      <c r="N41" s="4093"/>
      <c r="O41" s="4093"/>
      <c r="P41" s="4093"/>
      <c r="Q41" s="4093"/>
      <c r="R41" s="4093"/>
      <c r="S41" s="4093"/>
      <c r="T41" s="4094">
        <f>F15</f>
        <v>0</v>
      </c>
      <c r="U41" s="4095"/>
      <c r="V41" s="59"/>
      <c r="W41" s="410"/>
      <c r="X41" s="41"/>
      <c r="Y41" s="408"/>
      <c r="Z41" s="408"/>
      <c r="AA41" s="408"/>
      <c r="AB41" s="408"/>
      <c r="AC41" s="408"/>
      <c r="AD41" s="408"/>
      <c r="AE41" s="408"/>
      <c r="AF41" s="408"/>
      <c r="AG41" s="409"/>
      <c r="AH41" s="409"/>
      <c r="AI41" s="409"/>
      <c r="AJ41" s="409"/>
      <c r="AK41" s="409"/>
      <c r="AL41" s="41"/>
      <c r="AM41" s="41"/>
      <c r="AN41" s="41"/>
      <c r="AO41" s="41"/>
      <c r="AP41" s="41"/>
    </row>
    <row r="42" spans="2:42" ht="20.100000000000001" customHeight="1" x14ac:dyDescent="0.4">
      <c r="B42" s="58"/>
      <c r="C42" s="4103" t="str">
        <f>IF(I15&gt;0,"Licença Casamento","")</f>
        <v/>
      </c>
      <c r="D42" s="4104"/>
      <c r="E42" s="4104"/>
      <c r="F42" s="4104"/>
      <c r="G42" s="4104"/>
      <c r="H42" s="4104"/>
      <c r="I42" s="4104"/>
      <c r="J42" s="4104"/>
      <c r="K42" s="4105">
        <f>I15</f>
        <v>0</v>
      </c>
      <c r="L42" s="4105"/>
      <c r="M42" s="4092" t="str">
        <f>IF(I16&gt;0,E16,"")</f>
        <v/>
      </c>
      <c r="N42" s="4093"/>
      <c r="O42" s="4093"/>
      <c r="P42" s="4093"/>
      <c r="Q42" s="4093"/>
      <c r="R42" s="4093"/>
      <c r="S42" s="4093"/>
      <c r="T42" s="4094">
        <f>I16</f>
        <v>0</v>
      </c>
      <c r="U42" s="4095"/>
      <c r="V42" s="59"/>
      <c r="W42" s="410"/>
      <c r="X42" s="41"/>
      <c r="Y42" s="408"/>
      <c r="Z42" s="408"/>
      <c r="AA42" s="408"/>
      <c r="AB42" s="408"/>
      <c r="AC42" s="408"/>
      <c r="AD42" s="408"/>
      <c r="AE42" s="408"/>
      <c r="AF42" s="408"/>
      <c r="AG42" s="409"/>
      <c r="AH42" s="409"/>
      <c r="AI42" s="409"/>
      <c r="AJ42" s="409"/>
      <c r="AK42" s="409"/>
      <c r="AL42" s="41"/>
      <c r="AM42" s="41"/>
      <c r="AN42" s="41"/>
      <c r="AO42" s="41"/>
      <c r="AP42" s="41"/>
    </row>
    <row r="43" spans="2:42" ht="20.100000000000001" customHeight="1" x14ac:dyDescent="0.4">
      <c r="B43" s="58"/>
      <c r="C43" s="4188"/>
      <c r="D43" s="4189"/>
      <c r="E43" s="4189"/>
      <c r="F43" s="4189"/>
      <c r="G43" s="4189"/>
      <c r="H43" s="4189"/>
      <c r="I43" s="4189"/>
      <c r="J43" s="4189"/>
      <c r="K43" s="4189"/>
      <c r="L43" s="4190"/>
      <c r="M43" s="4092" t="str">
        <f>IF(I17&gt;0,E17,"")</f>
        <v/>
      </c>
      <c r="N43" s="4093"/>
      <c r="O43" s="4093"/>
      <c r="P43" s="4093"/>
      <c r="Q43" s="4093"/>
      <c r="R43" s="4093"/>
      <c r="S43" s="4093"/>
      <c r="T43" s="4094">
        <f>I17</f>
        <v>0</v>
      </c>
      <c r="U43" s="4095"/>
      <c r="V43" s="59"/>
      <c r="W43" s="410"/>
      <c r="X43" s="41"/>
      <c r="Y43" s="408"/>
      <c r="Z43" s="408"/>
      <c r="AA43" s="408"/>
      <c r="AB43" s="408"/>
      <c r="AC43" s="408"/>
      <c r="AD43" s="408"/>
      <c r="AE43" s="408"/>
      <c r="AF43" s="408"/>
      <c r="AG43" s="409"/>
      <c r="AH43" s="409"/>
      <c r="AI43" s="409"/>
      <c r="AJ43" s="409"/>
      <c r="AK43" s="409"/>
      <c r="AL43" s="41"/>
      <c r="AM43" s="41"/>
      <c r="AN43" s="41"/>
      <c r="AO43" s="41"/>
      <c r="AP43" s="41"/>
    </row>
    <row r="44" spans="2:42" ht="5.0999999999999996" customHeight="1" x14ac:dyDescent="0.4">
      <c r="B44" s="58"/>
      <c r="C44" s="4096"/>
      <c r="D44" s="4096"/>
      <c r="E44" s="4096"/>
      <c r="F44" s="4096"/>
      <c r="G44" s="4096"/>
      <c r="H44" s="4096"/>
      <c r="I44" s="4096"/>
      <c r="J44" s="4096"/>
      <c r="K44" s="4096"/>
      <c r="L44" s="4096"/>
      <c r="M44" s="4096"/>
      <c r="N44" s="4096"/>
      <c r="O44" s="4096"/>
      <c r="P44" s="4096"/>
      <c r="Q44" s="4096"/>
      <c r="R44" s="4096"/>
      <c r="S44" s="4096"/>
      <c r="T44" s="4096"/>
      <c r="U44" s="4096"/>
      <c r="V44" s="59"/>
      <c r="W44" s="410"/>
      <c r="X44" s="41"/>
      <c r="Y44" s="408"/>
      <c r="Z44" s="408"/>
      <c r="AA44" s="408"/>
      <c r="AB44" s="408"/>
      <c r="AC44" s="408"/>
      <c r="AD44" s="408"/>
      <c r="AE44" s="408"/>
      <c r="AF44" s="408"/>
      <c r="AG44" s="409"/>
      <c r="AH44" s="409"/>
      <c r="AI44" s="409"/>
      <c r="AJ44" s="409"/>
      <c r="AK44" s="409"/>
      <c r="AL44" s="41"/>
      <c r="AM44" s="41"/>
      <c r="AN44" s="41"/>
      <c r="AO44" s="41"/>
      <c r="AP44" s="41"/>
    </row>
    <row r="45" spans="2:42" ht="20.100000000000001" customHeight="1" x14ac:dyDescent="0.4">
      <c r="B45" s="58"/>
      <c r="C45" s="4174" t="str">
        <f>IF(H10="","","Dias de Efetivo Trabalho em "&amp;H10&amp;":")</f>
        <v>Dias de Efetivo Trabalho em 2013:</v>
      </c>
      <c r="D45" s="4168"/>
      <c r="E45" s="4168"/>
      <c r="F45" s="4168"/>
      <c r="G45" s="4168"/>
      <c r="H45" s="4168"/>
      <c r="I45" s="4168"/>
      <c r="J45" s="4175"/>
      <c r="K45" s="4094">
        <f>S13</f>
        <v>352</v>
      </c>
      <c r="L45" s="4094"/>
      <c r="M45" s="4176" t="str">
        <f>IF(H10="","",IF(S13&lt;90,"","Nota Efetiva p/ Prêmio em "&amp;H10))</f>
        <v>Nota Efetiva p/ Prêmio em 2013</v>
      </c>
      <c r="N45" s="4094"/>
      <c r="O45" s="4094"/>
      <c r="P45" s="4094"/>
      <c r="Q45" s="4094"/>
      <c r="R45" s="4094"/>
      <c r="S45" s="4094"/>
      <c r="T45" s="4192">
        <f>S16</f>
        <v>0</v>
      </c>
      <c r="U45" s="4193"/>
      <c r="V45" s="59"/>
      <c r="W45" s="410"/>
      <c r="X45" s="41"/>
      <c r="Y45" s="408"/>
      <c r="Z45" s="408"/>
      <c r="AA45" s="408"/>
      <c r="AB45" s="408"/>
      <c r="AC45" s="408"/>
      <c r="AD45" s="408"/>
      <c r="AE45" s="408"/>
      <c r="AF45" s="408"/>
      <c r="AG45" s="409"/>
      <c r="AH45" s="409"/>
      <c r="AI45" s="409"/>
      <c r="AJ45" s="409"/>
      <c r="AK45" s="409"/>
      <c r="AL45" s="41"/>
      <c r="AM45" s="41"/>
      <c r="AN45" s="41"/>
      <c r="AO45" s="41"/>
      <c r="AP45" s="41"/>
    </row>
    <row r="46" spans="2:42" ht="5.0999999999999996" customHeight="1" x14ac:dyDescent="0.4">
      <c r="B46" s="58"/>
      <c r="C46" s="4196"/>
      <c r="D46" s="4196"/>
      <c r="E46" s="4196"/>
      <c r="F46" s="4196"/>
      <c r="G46" s="4196"/>
      <c r="H46" s="4196"/>
      <c r="I46" s="4196"/>
      <c r="J46" s="4196"/>
      <c r="K46" s="4196"/>
      <c r="L46" s="4196"/>
      <c r="M46" s="4196"/>
      <c r="N46" s="4196"/>
      <c r="O46" s="4196"/>
      <c r="P46" s="4196"/>
      <c r="Q46" s="4196"/>
      <c r="R46" s="4196"/>
      <c r="S46" s="4196"/>
      <c r="T46" s="4196"/>
      <c r="U46" s="4196"/>
      <c r="V46" s="59"/>
      <c r="W46" s="410"/>
      <c r="X46" s="41"/>
      <c r="Y46" s="408"/>
      <c r="Z46" s="408"/>
      <c r="AA46" s="408"/>
      <c r="AB46" s="408"/>
      <c r="AC46" s="408"/>
      <c r="AD46" s="408"/>
      <c r="AE46" s="408"/>
      <c r="AF46" s="408"/>
      <c r="AG46" s="409"/>
      <c r="AH46" s="409"/>
      <c r="AI46" s="409"/>
      <c r="AJ46" s="409"/>
      <c r="AK46" s="409"/>
      <c r="AL46" s="41"/>
      <c r="AM46" s="41"/>
      <c r="AN46" s="41"/>
      <c r="AO46" s="41"/>
      <c r="AP46" s="41"/>
    </row>
    <row r="47" spans="2:42" ht="20.100000000000001" customHeight="1" x14ac:dyDescent="0.4">
      <c r="B47" s="58"/>
      <c r="C47" s="4103" t="str">
        <f>IF(S13&gt;89,"Remuneração Total do Servidor em 31/12/"&amp;H10&amp;" ou no último dia trabalhado:","Servidor não tem Direito ao Prêmio: Menos que 25% de Efetivo Trabalho")</f>
        <v>Remuneração Total do Servidor em 31/12/2013 ou no último dia trabalhado:</v>
      </c>
      <c r="D47" s="4104"/>
      <c r="E47" s="4104"/>
      <c r="F47" s="4104"/>
      <c r="G47" s="4104"/>
      <c r="H47" s="4104"/>
      <c r="I47" s="4104"/>
      <c r="J47" s="4104"/>
      <c r="K47" s="4104"/>
      <c r="L47" s="4104"/>
      <c r="M47" s="4104"/>
      <c r="N47" s="4104"/>
      <c r="O47" s="4104"/>
      <c r="P47" s="4104"/>
      <c r="Q47" s="4104"/>
      <c r="R47" s="4104"/>
      <c r="S47" s="4194">
        <f>IF(S13&lt;90,"",S14)</f>
        <v>3027.75</v>
      </c>
      <c r="T47" s="4194"/>
      <c r="U47" s="4195"/>
      <c r="V47" s="59"/>
      <c r="W47" s="410"/>
      <c r="X47" s="41"/>
      <c r="Y47" s="408"/>
      <c r="Z47" s="408"/>
      <c r="AA47" s="408"/>
      <c r="AB47" s="408"/>
      <c r="AC47" s="408"/>
      <c r="AD47" s="408"/>
      <c r="AE47" s="408"/>
      <c r="AF47" s="408"/>
      <c r="AG47" s="409"/>
      <c r="AH47" s="409"/>
      <c r="AI47" s="409"/>
      <c r="AJ47" s="409"/>
      <c r="AK47" s="409"/>
      <c r="AL47" s="41"/>
      <c r="AM47" s="41"/>
      <c r="AN47" s="41"/>
      <c r="AO47" s="41"/>
      <c r="AP47" s="41"/>
    </row>
    <row r="48" spans="2:42" ht="5.0999999999999996" customHeight="1" thickBot="1" x14ac:dyDescent="0.45">
      <c r="B48" s="58"/>
      <c r="C48" s="4171"/>
      <c r="D48" s="4171"/>
      <c r="E48" s="4171"/>
      <c r="F48" s="4171"/>
      <c r="G48" s="4171"/>
      <c r="H48" s="4171"/>
      <c r="I48" s="4171"/>
      <c r="J48" s="4171"/>
      <c r="K48" s="4171"/>
      <c r="L48" s="4171"/>
      <c r="M48" s="4171"/>
      <c r="N48" s="4171"/>
      <c r="O48" s="4171"/>
      <c r="P48" s="4171"/>
      <c r="Q48" s="4171"/>
      <c r="R48" s="4171"/>
      <c r="S48" s="4172"/>
      <c r="T48" s="4172"/>
      <c r="U48" s="4172"/>
      <c r="V48" s="59"/>
      <c r="W48" s="410"/>
      <c r="X48" s="41"/>
      <c r="Y48" s="408"/>
      <c r="Z48" s="408"/>
      <c r="AA48" s="408"/>
      <c r="AB48" s="408"/>
      <c r="AC48" s="408"/>
      <c r="AD48" s="408"/>
      <c r="AE48" s="408"/>
      <c r="AF48" s="408"/>
      <c r="AG48" s="409"/>
      <c r="AH48" s="409"/>
      <c r="AI48" s="409"/>
      <c r="AJ48" s="409"/>
      <c r="AK48" s="409"/>
      <c r="AL48" s="41"/>
      <c r="AM48" s="41"/>
      <c r="AN48" s="41"/>
      <c r="AO48" s="41"/>
      <c r="AP48" s="41"/>
    </row>
    <row r="49" spans="2:42" ht="20.100000000000001" customHeight="1" thickBot="1" x14ac:dyDescent="0.45">
      <c r="B49" s="58"/>
      <c r="C49" s="1628" t="str">
        <f>IF(S13&lt;90,"","VALOR DO PRÊMIO POR RESULTADO REFERENTE A "&amp;H10&amp;":")</f>
        <v>VALOR DO PRÊMIO POR RESULTADO REFERENTE A 2013:</v>
      </c>
      <c r="D49" s="1629"/>
      <c r="E49" s="1629"/>
      <c r="F49" s="1629"/>
      <c r="G49" s="1629"/>
      <c r="H49" s="1629"/>
      <c r="I49" s="1629"/>
      <c r="J49" s="1629"/>
      <c r="K49" s="1629"/>
      <c r="L49" s="1629"/>
      <c r="M49" s="1629"/>
      <c r="N49" s="1629"/>
      <c r="O49" s="1629"/>
      <c r="P49" s="1629"/>
      <c r="Q49" s="1629"/>
      <c r="R49" s="4173"/>
      <c r="S49" s="4197">
        <f>IF(S13&lt;90,"",S18)</f>
        <v>0</v>
      </c>
      <c r="T49" s="4198"/>
      <c r="U49" s="4199"/>
      <c r="V49" s="59"/>
      <c r="W49" s="410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ht="20.100000000000001" customHeight="1" x14ac:dyDescent="0.4">
      <c r="B50" s="58"/>
      <c r="C50" s="4169"/>
      <c r="D50" s="4169"/>
      <c r="E50" s="4169"/>
      <c r="F50" s="4169"/>
      <c r="G50" s="4169"/>
      <c r="H50" s="4169"/>
      <c r="I50" s="4169"/>
      <c r="J50" s="4169"/>
      <c r="K50" s="4169"/>
      <c r="L50" s="4169"/>
      <c r="M50" s="4169"/>
      <c r="N50" s="4169"/>
      <c r="O50" s="4169"/>
      <c r="P50" s="4169"/>
      <c r="Q50" s="4169"/>
      <c r="R50" s="4169"/>
      <c r="S50" s="4169"/>
      <c r="T50" s="4169"/>
      <c r="U50" s="4169"/>
      <c r="V50" s="59"/>
      <c r="W50" s="410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ht="15.95" customHeight="1" x14ac:dyDescent="0.4">
      <c r="B51" s="58"/>
      <c r="C51" s="1436" t="str">
        <f>[2]Cadastro!I8</f>
        <v>Uberaba</v>
      </c>
      <c r="D51" s="1436"/>
      <c r="E51" s="1436"/>
      <c r="F51" s="1436"/>
      <c r="G51" s="1436"/>
      <c r="H51" s="1436"/>
      <c r="I51" s="1436"/>
      <c r="J51" s="1436"/>
      <c r="K51" s="1436"/>
      <c r="L51" s="389" t="s">
        <v>365</v>
      </c>
      <c r="M51" s="1445">
        <f ca="1">(TODAY())</f>
        <v>43238</v>
      </c>
      <c r="N51" s="1445"/>
      <c r="O51" s="1445"/>
      <c r="P51" s="1445"/>
      <c r="Q51" s="1445"/>
      <c r="R51" s="1445"/>
      <c r="S51" s="1445"/>
      <c r="T51" s="1445"/>
      <c r="U51" s="1445"/>
      <c r="V51" s="59"/>
      <c r="W51" s="410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ht="15.95" customHeight="1" x14ac:dyDescent="0.4">
      <c r="B52" s="58"/>
      <c r="C52" s="389"/>
      <c r="D52" s="390"/>
      <c r="E52" s="390"/>
      <c r="F52" s="390"/>
      <c r="G52" s="390"/>
      <c r="H52" s="390"/>
      <c r="I52" s="390"/>
      <c r="J52" s="390"/>
      <c r="K52" s="390"/>
      <c r="L52" s="390"/>
      <c r="M52" s="390"/>
      <c r="N52" s="390"/>
      <c r="O52" s="390"/>
      <c r="P52" s="390"/>
      <c r="Q52" s="390"/>
      <c r="R52" s="390"/>
      <c r="S52" s="390"/>
      <c r="T52" s="390"/>
      <c r="U52" s="390"/>
      <c r="V52" s="59"/>
      <c r="W52" s="410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</row>
    <row r="53" spans="2:42" ht="15.95" customHeight="1" x14ac:dyDescent="0.4">
      <c r="B53" s="58"/>
      <c r="C53" s="1439" t="s">
        <v>366</v>
      </c>
      <c r="D53" s="1439"/>
      <c r="E53" s="1439"/>
      <c r="F53" s="1439"/>
      <c r="G53" s="1439"/>
      <c r="H53" s="1439"/>
      <c r="I53" s="1439"/>
      <c r="J53" s="1439"/>
      <c r="K53" s="1439"/>
      <c r="L53" s="1439"/>
      <c r="M53" s="1439"/>
      <c r="N53" s="1439"/>
      <c r="O53" s="1439"/>
      <c r="P53" s="1439"/>
      <c r="Q53" s="1439"/>
      <c r="R53" s="1439"/>
      <c r="S53" s="1439"/>
      <c r="T53" s="1439"/>
      <c r="U53" s="1439"/>
      <c r="V53" s="59"/>
      <c r="W53" s="410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ht="3" customHeight="1" x14ac:dyDescent="0.4">
      <c r="B54" s="58"/>
      <c r="C54" s="1440"/>
      <c r="D54" s="1440"/>
      <c r="E54" s="1440"/>
      <c r="F54" s="1440"/>
      <c r="G54" s="1440"/>
      <c r="H54" s="1440"/>
      <c r="I54" s="1440"/>
      <c r="J54" s="1440"/>
      <c r="K54" s="1440"/>
      <c r="L54" s="1440"/>
      <c r="M54" s="1440"/>
      <c r="N54" s="1440"/>
      <c r="O54" s="1440"/>
      <c r="P54" s="1440"/>
      <c r="Q54" s="1440"/>
      <c r="R54" s="1440"/>
      <c r="S54" s="1440"/>
      <c r="T54" s="1440"/>
      <c r="U54" s="1440"/>
      <c r="V54" s="59"/>
      <c r="W54" s="410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</row>
    <row r="55" spans="2:42" ht="15.95" customHeight="1" x14ac:dyDescent="0.4">
      <c r="B55" s="58"/>
      <c r="C55" s="1433" t="s">
        <v>367</v>
      </c>
      <c r="D55" s="1433"/>
      <c r="E55" s="1433" t="str">
        <f>Geral!I10</f>
        <v>Alterar</v>
      </c>
      <c r="F55" s="1433"/>
      <c r="G55" s="1433"/>
      <c r="H55" s="1433"/>
      <c r="I55" s="1433"/>
      <c r="J55" s="1433"/>
      <c r="K55" s="1433"/>
      <c r="L55" s="1433"/>
      <c r="M55" s="1436" t="s">
        <v>1</v>
      </c>
      <c r="N55" s="1436"/>
      <c r="O55" s="1437">
        <f>Geral!T10</f>
        <v>0</v>
      </c>
      <c r="P55" s="1437"/>
      <c r="Q55" s="1437"/>
      <c r="R55" s="1434"/>
      <c r="S55" s="1434"/>
      <c r="T55" s="1434"/>
      <c r="U55" s="1434"/>
      <c r="V55" s="59"/>
      <c r="W55" s="410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ht="15.95" customHeight="1" x14ac:dyDescent="0.4">
      <c r="B56" s="58"/>
      <c r="C56" s="1434" t="s">
        <v>369</v>
      </c>
      <c r="D56" s="1434"/>
      <c r="E56" s="389"/>
      <c r="F56" s="389"/>
      <c r="G56" s="389"/>
      <c r="H56" s="389"/>
      <c r="I56" s="389"/>
      <c r="J56" s="389"/>
      <c r="K56" s="389"/>
      <c r="L56" s="389"/>
      <c r="M56" s="388"/>
      <c r="N56" s="388"/>
      <c r="O56" s="389"/>
      <c r="P56" s="389"/>
      <c r="Q56" s="389"/>
      <c r="R56" s="389"/>
      <c r="S56" s="389"/>
      <c r="T56" s="389"/>
      <c r="U56" s="389"/>
      <c r="V56" s="59"/>
      <c r="W56" s="410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ht="15.95" customHeight="1" x14ac:dyDescent="0.4">
      <c r="B57" s="58"/>
      <c r="C57" s="389"/>
      <c r="D57" s="390"/>
      <c r="E57" s="390"/>
      <c r="F57" s="390"/>
      <c r="G57" s="390"/>
      <c r="H57" s="390"/>
      <c r="I57" s="390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0"/>
      <c r="V57" s="59"/>
      <c r="W57" s="410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ht="15.95" customHeight="1" x14ac:dyDescent="0.4">
      <c r="B58" s="58"/>
      <c r="C58" s="389"/>
      <c r="D58" s="390"/>
      <c r="E58" s="390"/>
      <c r="F58" s="390"/>
      <c r="G58" s="390"/>
      <c r="H58" s="390"/>
      <c r="I58" s="390"/>
      <c r="J58" s="390"/>
      <c r="K58" s="390"/>
      <c r="L58" s="390"/>
      <c r="M58" s="390"/>
      <c r="N58" s="390"/>
      <c r="O58" s="390"/>
      <c r="P58" s="390"/>
      <c r="Q58" s="390"/>
      <c r="R58" s="390"/>
      <c r="S58" s="390"/>
      <c r="T58" s="390"/>
      <c r="U58" s="390"/>
      <c r="V58" s="59"/>
      <c r="W58" s="410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ht="15.95" customHeight="1" x14ac:dyDescent="0.4">
      <c r="B59" s="58"/>
      <c r="C59" s="1435" t="s">
        <v>8045</v>
      </c>
      <c r="D59" s="1435"/>
      <c r="E59" s="1435"/>
      <c r="F59" s="1435"/>
      <c r="G59" s="1435"/>
      <c r="H59" s="1435"/>
      <c r="I59" s="1435"/>
      <c r="J59" s="1435"/>
      <c r="K59" s="1435"/>
      <c r="L59" s="1435"/>
      <c r="M59" s="1435"/>
      <c r="N59" s="1435"/>
      <c r="O59" s="1435"/>
      <c r="P59" s="1435"/>
      <c r="Q59" s="1435"/>
      <c r="R59" s="1435"/>
      <c r="S59" s="1435"/>
      <c r="T59" s="1435"/>
      <c r="U59" s="1435"/>
      <c r="V59" s="59"/>
      <c r="W59" s="410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ht="8.1" customHeight="1" x14ac:dyDescent="0.4">
      <c r="B60" s="58"/>
      <c r="C60" s="389"/>
      <c r="D60" s="390"/>
      <c r="E60" s="390"/>
      <c r="F60" s="390"/>
      <c r="G60" s="390"/>
      <c r="H60" s="390"/>
      <c r="I60" s="390"/>
      <c r="J60" s="390"/>
      <c r="K60" s="390"/>
      <c r="L60" s="390"/>
      <c r="M60" s="390"/>
      <c r="N60" s="390"/>
      <c r="O60" s="390"/>
      <c r="P60" s="390"/>
      <c r="Q60" s="390"/>
      <c r="R60" s="390"/>
      <c r="S60" s="390"/>
      <c r="T60" s="390"/>
      <c r="U60" s="390"/>
      <c r="V60" s="59"/>
    </row>
    <row r="61" spans="2:42" ht="15.95" customHeight="1" x14ac:dyDescent="0.4">
      <c r="B61" s="58"/>
      <c r="C61" s="1435" t="str">
        <f>[2]Cadastro!C11</f>
        <v>Coordenador do Setor de Pagamento:</v>
      </c>
      <c r="D61" s="1435"/>
      <c r="E61" s="1435"/>
      <c r="F61" s="1435"/>
      <c r="G61" s="1435"/>
      <c r="H61" s="1435"/>
      <c r="I61" s="1435"/>
      <c r="J61" s="1435"/>
      <c r="K61" s="1435"/>
      <c r="L61" s="1435"/>
      <c r="M61" s="1435"/>
      <c r="N61" s="1435"/>
      <c r="O61" s="1435"/>
      <c r="P61" s="1435"/>
      <c r="Q61" s="1435"/>
      <c r="R61" s="1435"/>
      <c r="S61" s="1435"/>
      <c r="T61" s="1435"/>
      <c r="U61" s="1435"/>
      <c r="V61" s="59"/>
    </row>
    <row r="62" spans="2:42" ht="3" customHeight="1" x14ac:dyDescent="0.4">
      <c r="B62" s="58"/>
      <c r="C62" s="1438"/>
      <c r="D62" s="1438"/>
      <c r="E62" s="1438"/>
      <c r="F62" s="1438"/>
      <c r="G62" s="1438"/>
      <c r="H62" s="1438"/>
      <c r="I62" s="1438"/>
      <c r="J62" s="1438"/>
      <c r="K62" s="1438"/>
      <c r="L62" s="1438"/>
      <c r="M62" s="1438"/>
      <c r="N62" s="1438"/>
      <c r="O62" s="1438"/>
      <c r="P62" s="1438"/>
      <c r="Q62" s="1438"/>
      <c r="R62" s="1438"/>
      <c r="S62" s="1438"/>
      <c r="T62" s="1438"/>
      <c r="U62" s="1438"/>
      <c r="V62" s="59"/>
    </row>
    <row r="63" spans="2:42" ht="15.95" customHeight="1" x14ac:dyDescent="0.4">
      <c r="B63" s="58"/>
      <c r="C63" s="1433" t="s">
        <v>367</v>
      </c>
      <c r="D63" s="1433"/>
      <c r="E63" s="1433" t="str">
        <f>[2]Cadastro!I11</f>
        <v>Elizabet das Graças Limido Santos</v>
      </c>
      <c r="F63" s="1433"/>
      <c r="G63" s="1433"/>
      <c r="H63" s="1433"/>
      <c r="I63" s="1433"/>
      <c r="J63" s="1433"/>
      <c r="K63" s="1433"/>
      <c r="L63" s="1433"/>
      <c r="M63" s="1436" t="s">
        <v>1</v>
      </c>
      <c r="N63" s="1436"/>
      <c r="O63" s="1437">
        <f>[2]Cadastro!T11</f>
        <v>4440780</v>
      </c>
      <c r="P63" s="1437"/>
      <c r="Q63" s="1437"/>
      <c r="R63" s="1434"/>
      <c r="S63" s="1434"/>
      <c r="T63" s="1434"/>
      <c r="U63" s="1434"/>
      <c r="V63" s="59"/>
    </row>
    <row r="64" spans="2:42" ht="15.95" customHeight="1" x14ac:dyDescent="0.4">
      <c r="B64" s="58"/>
      <c r="C64" s="1433" t="s">
        <v>369</v>
      </c>
      <c r="D64" s="1433"/>
      <c r="E64" s="1433"/>
      <c r="F64" s="1433"/>
      <c r="G64" s="1433"/>
      <c r="H64" s="1433"/>
      <c r="I64" s="1433"/>
      <c r="J64" s="1433"/>
      <c r="K64" s="1433"/>
      <c r="L64" s="1433"/>
      <c r="M64" s="1433"/>
      <c r="N64" s="1433"/>
      <c r="O64" s="1433"/>
      <c r="P64" s="1433"/>
      <c r="Q64" s="1433"/>
      <c r="R64" s="1433"/>
      <c r="S64" s="1433"/>
      <c r="T64" s="1433"/>
      <c r="U64" s="1433"/>
      <c r="V64" s="59"/>
    </row>
    <row r="65" spans="2:22" ht="15.95" customHeight="1" thickBot="1" x14ac:dyDescent="0.45"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3"/>
    </row>
    <row r="66" spans="2:22" ht="15.95" customHeight="1" thickTop="1" x14ac:dyDescent="0.4"/>
  </sheetData>
  <sheetProtection password="CB18" sheet="1" objects="1" scenarios="1" selectLockedCells="1"/>
  <mergeCells count="161">
    <mergeCell ref="C56:D56"/>
    <mergeCell ref="C59:U59"/>
    <mergeCell ref="C61:U61"/>
    <mergeCell ref="C62:U62"/>
    <mergeCell ref="Y28:AF28"/>
    <mergeCell ref="AG28:AK28"/>
    <mergeCell ref="C25:H25"/>
    <mergeCell ref="I25:U25"/>
    <mergeCell ref="Y25:AF25"/>
    <mergeCell ref="AG25:AK25"/>
    <mergeCell ref="C26:E26"/>
    <mergeCell ref="F26:M26"/>
    <mergeCell ref="N26:U26"/>
    <mergeCell ref="Y26:AF26"/>
    <mergeCell ref="AG26:AK26"/>
    <mergeCell ref="D28:U28"/>
    <mergeCell ref="T45:U45"/>
    <mergeCell ref="C47:R47"/>
    <mergeCell ref="S47:U47"/>
    <mergeCell ref="C46:U46"/>
    <mergeCell ref="S49:U49"/>
    <mergeCell ref="C63:D63"/>
    <mergeCell ref="E63:L63"/>
    <mergeCell ref="M63:N63"/>
    <mergeCell ref="O63:Q63"/>
    <mergeCell ref="R63:U63"/>
    <mergeCell ref="C53:U53"/>
    <mergeCell ref="J14:R15"/>
    <mergeCell ref="G15:H15"/>
    <mergeCell ref="S14:U15"/>
    <mergeCell ref="C16:D16"/>
    <mergeCell ref="C15:E15"/>
    <mergeCell ref="C43:L43"/>
    <mergeCell ref="M55:N55"/>
    <mergeCell ref="O55:Q55"/>
    <mergeCell ref="R55:U55"/>
    <mergeCell ref="C34:E34"/>
    <mergeCell ref="F34:N34"/>
    <mergeCell ref="O34:Q34"/>
    <mergeCell ref="R34:U34"/>
    <mergeCell ref="C51:K51"/>
    <mergeCell ref="M51:U51"/>
    <mergeCell ref="C54:U54"/>
    <mergeCell ref="C55:D55"/>
    <mergeCell ref="E55:L55"/>
    <mergeCell ref="C64:U64"/>
    <mergeCell ref="C36:G36"/>
    <mergeCell ref="C29:L29"/>
    <mergeCell ref="M29:N29"/>
    <mergeCell ref="O29:Q29"/>
    <mergeCell ref="R29:U29"/>
    <mergeCell ref="C30:E30"/>
    <mergeCell ref="F30:U30"/>
    <mergeCell ref="C31:U32"/>
    <mergeCell ref="H36:I36"/>
    <mergeCell ref="J36:R36"/>
    <mergeCell ref="S36:U36"/>
    <mergeCell ref="C50:U50"/>
    <mergeCell ref="T42:U42"/>
    <mergeCell ref="C37:U37"/>
    <mergeCell ref="T41:U41"/>
    <mergeCell ref="C42:J42"/>
    <mergeCell ref="K42:L42"/>
    <mergeCell ref="M42:S42"/>
    <mergeCell ref="C48:U48"/>
    <mergeCell ref="C49:R49"/>
    <mergeCell ref="C45:J45"/>
    <mergeCell ref="K45:L45"/>
    <mergeCell ref="M45:S45"/>
    <mergeCell ref="AB16:AF16"/>
    <mergeCell ref="AG16:AK16"/>
    <mergeCell ref="C11:G11"/>
    <mergeCell ref="H11:I11"/>
    <mergeCell ref="Y11:AA11"/>
    <mergeCell ref="AB11:AF11"/>
    <mergeCell ref="Y27:AF27"/>
    <mergeCell ref="AG27:AK27"/>
    <mergeCell ref="E16:H16"/>
    <mergeCell ref="Y16:AA16"/>
    <mergeCell ref="AG11:AK11"/>
    <mergeCell ref="C17:D17"/>
    <mergeCell ref="E17:H17"/>
    <mergeCell ref="J16:R17"/>
    <mergeCell ref="S16:U17"/>
    <mergeCell ref="C18:R18"/>
    <mergeCell ref="S18:U18"/>
    <mergeCell ref="C12:I12"/>
    <mergeCell ref="E13:F13"/>
    <mergeCell ref="C14:E14"/>
    <mergeCell ref="G14:H14"/>
    <mergeCell ref="C24:U24"/>
    <mergeCell ref="J13:R13"/>
    <mergeCell ref="S13:U13"/>
    <mergeCell ref="AB10:AF10"/>
    <mergeCell ref="AG10:AK10"/>
    <mergeCell ref="G7:G8"/>
    <mergeCell ref="H7:K7"/>
    <mergeCell ref="M7:N7"/>
    <mergeCell ref="Y7:AA8"/>
    <mergeCell ref="AB7:AF8"/>
    <mergeCell ref="AG7:AK8"/>
    <mergeCell ref="H8:P8"/>
    <mergeCell ref="Q8:U8"/>
    <mergeCell ref="C10:G10"/>
    <mergeCell ref="J10:U10"/>
    <mergeCell ref="B3:V3"/>
    <mergeCell ref="AL3:AL18"/>
    <mergeCell ref="B4:B18"/>
    <mergeCell ref="F4:R4"/>
    <mergeCell ref="S4:T4"/>
    <mergeCell ref="V4:V18"/>
    <mergeCell ref="Y4:AA5"/>
    <mergeCell ref="AB4:AF5"/>
    <mergeCell ref="AG4:AK5"/>
    <mergeCell ref="C5:U5"/>
    <mergeCell ref="C9:U9"/>
    <mergeCell ref="Y9:AA9"/>
    <mergeCell ref="AB9:AF9"/>
    <mergeCell ref="AG9:AK9"/>
    <mergeCell ref="H10:I10"/>
    <mergeCell ref="AG6:AK6"/>
    <mergeCell ref="C7:F8"/>
    <mergeCell ref="C6:F6"/>
    <mergeCell ref="G6:Q6"/>
    <mergeCell ref="R6:S6"/>
    <mergeCell ref="T6:U6"/>
    <mergeCell ref="Y6:AA6"/>
    <mergeCell ref="AB6:AF6"/>
    <mergeCell ref="Y10:AA10"/>
    <mergeCell ref="J11:R11"/>
    <mergeCell ref="S11:U11"/>
    <mergeCell ref="M43:S43"/>
    <mergeCell ref="T43:U43"/>
    <mergeCell ref="C44:U44"/>
    <mergeCell ref="C38:M38"/>
    <mergeCell ref="N38:P38"/>
    <mergeCell ref="Q38:S38"/>
    <mergeCell ref="T38:U38"/>
    <mergeCell ref="T39:U39"/>
    <mergeCell ref="C39:J39"/>
    <mergeCell ref="K39:L39"/>
    <mergeCell ref="M39:S39"/>
    <mergeCell ref="C40:J40"/>
    <mergeCell ref="K40:L40"/>
    <mergeCell ref="M40:S40"/>
    <mergeCell ref="T40:U40"/>
    <mergeCell ref="C41:J41"/>
    <mergeCell ref="K41:L41"/>
    <mergeCell ref="M41:S41"/>
    <mergeCell ref="J12:R12"/>
    <mergeCell ref="S12:U12"/>
    <mergeCell ref="B19:V19"/>
    <mergeCell ref="Y19:AA19"/>
    <mergeCell ref="E22:U22"/>
    <mergeCell ref="E23:U23"/>
    <mergeCell ref="Y23:AK23"/>
    <mergeCell ref="Y36:AA36"/>
    <mergeCell ref="AB36:AF36"/>
    <mergeCell ref="AG36:AK36"/>
    <mergeCell ref="Y24:AF24"/>
    <mergeCell ref="AG24:AK24"/>
  </mergeCells>
  <conditionalFormatting sqref="S13:U13">
    <cfRule type="expression" dxfId="36" priority="29">
      <formula>IF(J13="",1,0)</formula>
    </cfRule>
  </conditionalFormatting>
  <conditionalFormatting sqref="J16">
    <cfRule type="expression" dxfId="35" priority="219">
      <formula>IF(AND(AI10=1,Z12&lt;90),1,0)</formula>
    </cfRule>
    <cfRule type="expression" dxfId="34" priority="220">
      <formula>IF(AND(AI10=2,Z11&lt;90),1,0)</formula>
    </cfRule>
  </conditionalFormatting>
  <conditionalFormatting sqref="S18">
    <cfRule type="expression" dxfId="33" priority="233">
      <formula>IF(S13&lt;90,1,0)</formula>
    </cfRule>
  </conditionalFormatting>
  <conditionalFormatting sqref="C18">
    <cfRule type="expression" dxfId="32" priority="239">
      <formula>IF(S13&lt;90,1,0)</formula>
    </cfRule>
  </conditionalFormatting>
  <conditionalFormatting sqref="S14:U15">
    <cfRule type="expression" dxfId="31" priority="18">
      <formula>IF(S13&lt;90,1,0)</formula>
    </cfRule>
  </conditionalFormatting>
  <conditionalFormatting sqref="J11:R11">
    <cfRule type="expression" dxfId="30" priority="17">
      <formula>IF(AB10=1,1,0)</formula>
    </cfRule>
  </conditionalFormatting>
  <conditionalFormatting sqref="S16:U17">
    <cfRule type="expression" dxfId="29" priority="15">
      <formula>IF(S13&lt;90,1,0)</formula>
    </cfRule>
  </conditionalFormatting>
  <conditionalFormatting sqref="J14:R15">
    <cfRule type="expression" dxfId="28" priority="14">
      <formula>IF(S13&gt;89,1,0)</formula>
    </cfRule>
  </conditionalFormatting>
  <conditionalFormatting sqref="S36:U36">
    <cfRule type="expression" dxfId="27" priority="13">
      <formula>IF(AB35=1,1,0)</formula>
    </cfRule>
  </conditionalFormatting>
  <conditionalFormatting sqref="J36:R36">
    <cfRule type="expression" dxfId="26" priority="12">
      <formula>IF(AB35=1,1,0)</formula>
    </cfRule>
  </conditionalFormatting>
  <conditionalFormatting sqref="C45:C46">
    <cfRule type="expression" dxfId="25" priority="10">
      <formula>IF(U44=1,1,0)</formula>
    </cfRule>
  </conditionalFormatting>
  <conditionalFormatting sqref="K45">
    <cfRule type="expression" dxfId="24" priority="241">
      <formula>IF(U44=1,1,0)</formula>
    </cfRule>
  </conditionalFormatting>
  <conditionalFormatting sqref="S47:U47">
    <cfRule type="expression" dxfId="23" priority="7">
      <formula>IF(S13&lt;90,1,0)</formula>
    </cfRule>
  </conditionalFormatting>
  <conditionalFormatting sqref="T45:U45">
    <cfRule type="expression" dxfId="22" priority="6">
      <formula>IF(S13&lt;90,1,0)</formula>
    </cfRule>
  </conditionalFormatting>
  <conditionalFormatting sqref="M45:S45">
    <cfRule type="expression" dxfId="21" priority="5">
      <formula>IF(S13&lt;90,1,0)</formula>
    </cfRule>
  </conditionalFormatting>
  <conditionalFormatting sqref="C49:R49">
    <cfRule type="expression" dxfId="20" priority="3">
      <formula>IF(S13&lt;90,1,0)</formula>
    </cfRule>
  </conditionalFormatting>
  <conditionalFormatting sqref="S49:U49">
    <cfRule type="expression" dxfId="19" priority="2">
      <formula>IF(S13&lt;90,1,0)</formula>
    </cfRule>
  </conditionalFormatting>
  <conditionalFormatting sqref="S11:U11">
    <cfRule type="expression" dxfId="18" priority="1">
      <formula>IF(AB10=1,1,0)</formula>
    </cfRule>
  </conditionalFormatting>
  <printOptions horizontalCentered="1"/>
  <pageMargins left="0.59055118110236227" right="0.19685039370078741" top="0.39370078740157483" bottom="0.39370078740157483" header="0.31496062992125984" footer="0.31496062992125984"/>
  <pageSetup paperSize="9"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4" name="Option Button 12">
              <controlPr defaultSize="0" autoFill="0" autoLine="0" autoPict="0">
                <anchor>
                  <from>
                    <xdr:col>18</xdr:col>
                    <xdr:colOff>28575</xdr:colOff>
                    <xdr:row>9</xdr:row>
                    <xdr:rowOff>57150</xdr:rowOff>
                  </from>
                  <to>
                    <xdr:col>19</xdr:col>
                    <xdr:colOff>161925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5" name="Option Button 13">
              <controlPr defaultSize="0" autoFill="0" autoLine="0" autoPict="0">
                <anchor>
                  <from>
                    <xdr:col>19</xdr:col>
                    <xdr:colOff>219075</xdr:colOff>
                    <xdr:row>9</xdr:row>
                    <xdr:rowOff>57150</xdr:rowOff>
                  </from>
                  <to>
                    <xdr:col>20</xdr:col>
                    <xdr:colOff>333375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B2:Q271"/>
  <sheetViews>
    <sheetView showGridLines="0" showRowColHeaders="0" zoomScale="96" zoomScaleNormal="96" workbookViewId="0">
      <pane xSplit="5" ySplit="4" topLeftCell="F20" activePane="bottomRight" state="frozen"/>
      <selection activeCell="G6" sqref="G6:Q6"/>
      <selection pane="topRight" activeCell="G6" sqref="G6:Q6"/>
      <selection pane="bottomLeft" activeCell="G6" sqref="G6:Q6"/>
      <selection pane="bottomRight" activeCell="C7" sqref="C7:C107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36.42578125" style="7" customWidth="1"/>
    <col min="7" max="7" width="28.28515625" style="7" customWidth="1"/>
    <col min="8" max="8" width="13.140625" style="7" customWidth="1"/>
    <col min="9" max="9" width="26" style="7" customWidth="1"/>
    <col min="10" max="10" width="35.85546875" style="7" customWidth="1"/>
    <col min="11" max="11" width="10.7109375" style="6" customWidth="1"/>
    <col min="12" max="16" width="7.28515625" style="6" customWidth="1"/>
    <col min="17" max="17" width="2.7109375" style="4" customWidth="1"/>
    <col min="18" max="18" width="2.7109375" style="1" customWidth="1"/>
    <col min="19" max="16384" width="2.7109375" style="1"/>
  </cols>
  <sheetData>
    <row r="2" spans="2:17" ht="15.95" customHeight="1" thickBot="1" x14ac:dyDescent="0.45"/>
    <row r="3" spans="2:17" ht="15.95" customHeight="1" thickTop="1" thickBot="1" x14ac:dyDescent="0.45">
      <c r="B3" s="15"/>
      <c r="C3" s="16"/>
      <c r="D3" s="17"/>
      <c r="E3" s="17"/>
      <c r="F3" s="18"/>
      <c r="G3" s="18"/>
      <c r="H3" s="18"/>
      <c r="I3" s="18"/>
      <c r="J3" s="18"/>
      <c r="K3" s="17"/>
      <c r="L3" s="1625" t="s">
        <v>8032</v>
      </c>
      <c r="M3" s="1626"/>
      <c r="N3" s="1626"/>
      <c r="O3" s="1626"/>
      <c r="P3" s="1627"/>
      <c r="Q3" s="19"/>
    </row>
    <row r="4" spans="2:17" s="3" customFormat="1" ht="15.95" customHeight="1" thickBot="1" x14ac:dyDescent="0.3">
      <c r="B4" s="20"/>
      <c r="C4" s="1076" t="s">
        <v>5</v>
      </c>
      <c r="D4" s="1077" t="s">
        <v>6</v>
      </c>
      <c r="E4" s="1077" t="s">
        <v>7</v>
      </c>
      <c r="F4" s="1077" t="s">
        <v>8</v>
      </c>
      <c r="G4" s="1077" t="s">
        <v>9</v>
      </c>
      <c r="H4" s="1077" t="s">
        <v>10</v>
      </c>
      <c r="I4" s="1077" t="s">
        <v>11</v>
      </c>
      <c r="J4" s="1077" t="s">
        <v>12</v>
      </c>
      <c r="K4" s="1078" t="s">
        <v>13</v>
      </c>
      <c r="L4" s="1079" t="s">
        <v>9453</v>
      </c>
      <c r="M4" s="1079" t="s">
        <v>9454</v>
      </c>
      <c r="N4" s="1079" t="s">
        <v>9455</v>
      </c>
      <c r="O4" s="1079" t="s">
        <v>9456</v>
      </c>
      <c r="P4" s="1079" t="s">
        <v>9457</v>
      </c>
      <c r="Q4" s="21"/>
    </row>
    <row r="5" spans="2:17" ht="15.95" customHeight="1" x14ac:dyDescent="0.4">
      <c r="B5" s="22"/>
      <c r="C5" s="1046">
        <v>100000</v>
      </c>
      <c r="D5" s="1047">
        <v>1000000</v>
      </c>
      <c r="E5" s="1048" t="s">
        <v>236</v>
      </c>
      <c r="F5" s="1048" t="s">
        <v>14</v>
      </c>
      <c r="G5" s="1048" t="s">
        <v>15</v>
      </c>
      <c r="H5" s="1049" t="s">
        <v>16</v>
      </c>
      <c r="I5" s="1048" t="s">
        <v>17</v>
      </c>
      <c r="J5" s="1048" t="s">
        <v>18</v>
      </c>
      <c r="K5" s="1050">
        <v>0</v>
      </c>
      <c r="L5" s="1051"/>
      <c r="M5" s="1051"/>
      <c r="N5" s="1051"/>
      <c r="O5" s="1051"/>
      <c r="P5" s="1051"/>
      <c r="Q5" s="23"/>
    </row>
    <row r="6" spans="2:17" ht="15.95" customHeight="1" x14ac:dyDescent="0.4">
      <c r="B6" s="22"/>
      <c r="C6" s="1052">
        <v>25</v>
      </c>
      <c r="D6" s="1053">
        <v>1261039</v>
      </c>
      <c r="E6" s="1054" t="s">
        <v>7927</v>
      </c>
      <c r="F6" s="1054" t="s">
        <v>7939</v>
      </c>
      <c r="G6" s="1054" t="s">
        <v>7940</v>
      </c>
      <c r="H6" s="1055" t="s">
        <v>7941</v>
      </c>
      <c r="I6" s="1054" t="s">
        <v>149</v>
      </c>
      <c r="J6" s="1054" t="s">
        <v>8216</v>
      </c>
      <c r="K6" s="1056">
        <v>2554624</v>
      </c>
      <c r="L6" s="1057">
        <v>53</v>
      </c>
      <c r="M6" s="1057">
        <v>73.5</v>
      </c>
      <c r="N6" s="1057">
        <v>78.900000000000006</v>
      </c>
      <c r="O6" s="1057"/>
      <c r="P6" s="1058"/>
      <c r="Q6" s="23"/>
    </row>
    <row r="7" spans="2:17" ht="15.95" customHeight="1" x14ac:dyDescent="0.4">
      <c r="B7" s="22"/>
      <c r="C7" s="1059">
        <v>311863</v>
      </c>
      <c r="D7" s="1060">
        <v>1264613</v>
      </c>
      <c r="E7" s="1061" t="s">
        <v>237</v>
      </c>
      <c r="F7" s="1061" t="s">
        <v>9271</v>
      </c>
      <c r="G7" s="1061" t="s">
        <v>19</v>
      </c>
      <c r="H7" s="1062" t="s">
        <v>20</v>
      </c>
      <c r="I7" s="1061" t="s">
        <v>21</v>
      </c>
      <c r="J7" s="1061" t="s">
        <v>9220</v>
      </c>
      <c r="K7" s="1063">
        <v>11692209</v>
      </c>
      <c r="L7" s="1057">
        <v>46.9</v>
      </c>
      <c r="M7" s="1057">
        <v>72.099999999999994</v>
      </c>
      <c r="N7" s="1057">
        <v>71.400000000000006</v>
      </c>
      <c r="O7" s="1057"/>
      <c r="P7" s="1058"/>
      <c r="Q7" s="23"/>
    </row>
    <row r="8" spans="2:17" ht="15.95" customHeight="1" x14ac:dyDescent="0.4">
      <c r="B8" s="22"/>
      <c r="C8" s="1059">
        <v>158178</v>
      </c>
      <c r="D8" s="1060">
        <v>1263000</v>
      </c>
      <c r="E8" s="1061" t="s">
        <v>238</v>
      </c>
      <c r="F8" s="1061" t="s">
        <v>9272</v>
      </c>
      <c r="G8" s="1061" t="s">
        <v>22</v>
      </c>
      <c r="H8" s="1062" t="s">
        <v>23</v>
      </c>
      <c r="I8" s="1061" t="s">
        <v>24</v>
      </c>
      <c r="J8" s="1061" t="s">
        <v>9221</v>
      </c>
      <c r="K8" s="1063">
        <v>8937955</v>
      </c>
      <c r="L8" s="1057">
        <v>42.9</v>
      </c>
      <c r="M8" s="1057">
        <v>65.599999999999994</v>
      </c>
      <c r="N8" s="1057">
        <v>67.3</v>
      </c>
      <c r="O8" s="1057"/>
      <c r="P8" s="1058"/>
      <c r="Q8" s="23"/>
    </row>
    <row r="9" spans="2:17" ht="15.95" customHeight="1" x14ac:dyDescent="0.4">
      <c r="B9" s="22"/>
      <c r="C9" s="1059">
        <v>158186</v>
      </c>
      <c r="D9" s="1060">
        <v>1263834</v>
      </c>
      <c r="E9" s="1061" t="s">
        <v>239</v>
      </c>
      <c r="F9" s="1061" t="s">
        <v>9273</v>
      </c>
      <c r="G9" s="1061" t="s">
        <v>25</v>
      </c>
      <c r="H9" s="1062" t="s">
        <v>26</v>
      </c>
      <c r="I9" s="1061" t="s">
        <v>24</v>
      </c>
      <c r="J9" s="1061" t="s">
        <v>9222</v>
      </c>
      <c r="K9" s="1063">
        <v>3662533</v>
      </c>
      <c r="L9" s="1057">
        <v>58.8</v>
      </c>
      <c r="M9" s="1057">
        <v>68.2</v>
      </c>
      <c r="N9" s="1057">
        <v>82.9</v>
      </c>
      <c r="O9" s="1057"/>
      <c r="P9" s="1058"/>
      <c r="Q9" s="23"/>
    </row>
    <row r="10" spans="2:17" ht="15.95" customHeight="1" x14ac:dyDescent="0.4">
      <c r="B10" s="22"/>
      <c r="C10" s="1059">
        <v>158208</v>
      </c>
      <c r="D10" s="1060">
        <v>1263895</v>
      </c>
      <c r="E10" s="1061" t="s">
        <v>240</v>
      </c>
      <c r="F10" s="1061" t="s">
        <v>9274</v>
      </c>
      <c r="G10" s="1061" t="s">
        <v>19</v>
      </c>
      <c r="H10" s="1062" t="s">
        <v>27</v>
      </c>
      <c r="I10" s="1061" t="s">
        <v>24</v>
      </c>
      <c r="J10" s="1061" t="s">
        <v>9223</v>
      </c>
      <c r="K10" s="1063">
        <v>3640554</v>
      </c>
      <c r="L10" s="1057">
        <v>70.3</v>
      </c>
      <c r="M10" s="1057">
        <v>80.7</v>
      </c>
      <c r="N10" s="1057">
        <v>85.6</v>
      </c>
      <c r="O10" s="1057"/>
      <c r="P10" s="1058"/>
      <c r="Q10" s="23"/>
    </row>
    <row r="11" spans="2:17" ht="15.95" customHeight="1" x14ac:dyDescent="0.4">
      <c r="B11" s="22"/>
      <c r="C11" s="1059">
        <v>158224</v>
      </c>
      <c r="D11" s="1060">
        <v>1265661</v>
      </c>
      <c r="E11" s="1061" t="s">
        <v>241</v>
      </c>
      <c r="F11" s="1061" t="s">
        <v>9275</v>
      </c>
      <c r="G11" s="1061" t="s">
        <v>28</v>
      </c>
      <c r="H11" s="1062" t="s">
        <v>29</v>
      </c>
      <c r="I11" s="1061" t="s">
        <v>24</v>
      </c>
      <c r="J11" s="1061" t="s">
        <v>30</v>
      </c>
      <c r="K11" s="1063">
        <v>8744468</v>
      </c>
      <c r="L11" s="1057">
        <v>54.6</v>
      </c>
      <c r="M11" s="1057">
        <v>63.6</v>
      </c>
      <c r="N11" s="1057">
        <v>85.4</v>
      </c>
      <c r="O11" s="1057"/>
      <c r="P11" s="1058"/>
      <c r="Q11" s="23"/>
    </row>
    <row r="12" spans="2:17" ht="15.95" customHeight="1" x14ac:dyDescent="0.4">
      <c r="B12" s="22"/>
      <c r="C12" s="1059">
        <v>158232</v>
      </c>
      <c r="D12" s="1060">
        <v>1263898</v>
      </c>
      <c r="E12" s="1061" t="s">
        <v>242</v>
      </c>
      <c r="F12" s="1061" t="s">
        <v>9276</v>
      </c>
      <c r="G12" s="1061" t="s">
        <v>19</v>
      </c>
      <c r="H12" s="1062" t="s">
        <v>31</v>
      </c>
      <c r="I12" s="1061" t="s">
        <v>24</v>
      </c>
      <c r="J12" s="1061" t="s">
        <v>32</v>
      </c>
      <c r="K12" s="1063">
        <v>9776436</v>
      </c>
      <c r="L12" s="1057">
        <v>60.9</v>
      </c>
      <c r="M12" s="1057">
        <v>74.2</v>
      </c>
      <c r="N12" s="1057">
        <v>96.8</v>
      </c>
      <c r="O12" s="1057"/>
      <c r="P12" s="1058"/>
      <c r="Q12" s="23"/>
    </row>
    <row r="13" spans="2:17" ht="15.95" customHeight="1" x14ac:dyDescent="0.4">
      <c r="B13" s="22"/>
      <c r="C13" s="1059">
        <v>158259</v>
      </c>
      <c r="D13" s="1060">
        <v>1263908</v>
      </c>
      <c r="E13" s="1061" t="s">
        <v>243</v>
      </c>
      <c r="F13" s="1061" t="s">
        <v>9277</v>
      </c>
      <c r="G13" s="1061" t="s">
        <v>33</v>
      </c>
      <c r="H13" s="1062" t="s">
        <v>34</v>
      </c>
      <c r="I13" s="1061" t="s">
        <v>24</v>
      </c>
      <c r="J13" s="1061" t="s">
        <v>35</v>
      </c>
      <c r="K13" s="1063">
        <v>3329000</v>
      </c>
      <c r="L13" s="1057">
        <v>70.8</v>
      </c>
      <c r="M13" s="1057">
        <v>87.4</v>
      </c>
      <c r="N13" s="1057">
        <v>85.4</v>
      </c>
      <c r="O13" s="1057"/>
      <c r="P13" s="1058"/>
      <c r="Q13" s="23"/>
    </row>
    <row r="14" spans="2:17" ht="15.95" customHeight="1" x14ac:dyDescent="0.4">
      <c r="B14" s="22"/>
      <c r="C14" s="1059">
        <v>158330</v>
      </c>
      <c r="D14" s="1060">
        <v>1263909</v>
      </c>
      <c r="E14" s="1061" t="s">
        <v>244</v>
      </c>
      <c r="F14" s="1061" t="s">
        <v>9278</v>
      </c>
      <c r="G14" s="1061" t="s">
        <v>36</v>
      </c>
      <c r="H14" s="1062" t="s">
        <v>37</v>
      </c>
      <c r="I14" s="1061" t="s">
        <v>24</v>
      </c>
      <c r="J14" s="1061" t="s">
        <v>38</v>
      </c>
      <c r="K14" s="1063">
        <v>8955080</v>
      </c>
      <c r="L14" s="1057">
        <v>47.1</v>
      </c>
      <c r="M14" s="1057">
        <v>53.2</v>
      </c>
      <c r="N14" s="1057">
        <v>90.8</v>
      </c>
      <c r="O14" s="1057"/>
      <c r="P14" s="1058"/>
      <c r="Q14" s="23"/>
    </row>
    <row r="15" spans="2:17" ht="15.95" customHeight="1" x14ac:dyDescent="0.4">
      <c r="B15" s="22"/>
      <c r="C15" s="1059">
        <v>158267</v>
      </c>
      <c r="D15" s="1060">
        <v>1263910</v>
      </c>
      <c r="E15" s="1061" t="s">
        <v>245</v>
      </c>
      <c r="F15" s="1061" t="s">
        <v>9279</v>
      </c>
      <c r="G15" s="1061" t="s">
        <v>39</v>
      </c>
      <c r="H15" s="1062" t="s">
        <v>40</v>
      </c>
      <c r="I15" s="1061" t="s">
        <v>24</v>
      </c>
      <c r="J15" s="1061" t="s">
        <v>41</v>
      </c>
      <c r="K15" s="1063">
        <v>3742582</v>
      </c>
      <c r="L15" s="1057">
        <v>64.2</v>
      </c>
      <c r="M15" s="1057">
        <v>71.900000000000006</v>
      </c>
      <c r="N15" s="1057">
        <v>74.8</v>
      </c>
      <c r="O15" s="1057"/>
      <c r="P15" s="1058"/>
      <c r="Q15" s="23"/>
    </row>
    <row r="16" spans="2:17" ht="15.95" customHeight="1" x14ac:dyDescent="0.4">
      <c r="B16" s="22"/>
      <c r="C16" s="1059">
        <v>158275</v>
      </c>
      <c r="D16" s="1060">
        <v>1263912</v>
      </c>
      <c r="E16" s="1061" t="s">
        <v>246</v>
      </c>
      <c r="F16" s="1061" t="s">
        <v>42</v>
      </c>
      <c r="G16" s="1061" t="s">
        <v>19</v>
      </c>
      <c r="H16" s="1062" t="s">
        <v>43</v>
      </c>
      <c r="I16" s="1061" t="s">
        <v>24</v>
      </c>
      <c r="J16" s="1061" t="s">
        <v>44</v>
      </c>
      <c r="K16" s="1063">
        <v>3048188</v>
      </c>
      <c r="L16" s="1057">
        <v>40.4</v>
      </c>
      <c r="M16" s="1057">
        <v>75</v>
      </c>
      <c r="N16" s="1057">
        <v>89</v>
      </c>
      <c r="O16" s="1057"/>
      <c r="P16" s="1058"/>
      <c r="Q16" s="23"/>
    </row>
    <row r="17" spans="2:17" ht="15.95" customHeight="1" x14ac:dyDescent="0.4">
      <c r="B17" s="22"/>
      <c r="C17" s="1059">
        <v>158216</v>
      </c>
      <c r="D17" s="1060">
        <v>1262773</v>
      </c>
      <c r="E17" s="1061" t="s">
        <v>247</v>
      </c>
      <c r="F17" s="1061" t="s">
        <v>9280</v>
      </c>
      <c r="G17" s="1061" t="s">
        <v>45</v>
      </c>
      <c r="H17" s="1062" t="s">
        <v>46</v>
      </c>
      <c r="I17" s="1061" t="s">
        <v>24</v>
      </c>
      <c r="J17" s="1061" t="s">
        <v>9224</v>
      </c>
      <c r="K17" s="1063">
        <v>8678351</v>
      </c>
      <c r="L17" s="1057">
        <v>52.8</v>
      </c>
      <c r="M17" s="1057">
        <v>56</v>
      </c>
      <c r="N17" s="1057">
        <v>93.5</v>
      </c>
      <c r="O17" s="1057"/>
      <c r="P17" s="1058"/>
      <c r="Q17" s="23"/>
    </row>
    <row r="18" spans="2:17" ht="15.95" customHeight="1" x14ac:dyDescent="0.4">
      <c r="B18" s="22"/>
      <c r="C18" s="1059">
        <v>158291</v>
      </c>
      <c r="D18" s="1060">
        <v>1263915</v>
      </c>
      <c r="E18" s="1061" t="s">
        <v>248</v>
      </c>
      <c r="F18" s="1061" t="s">
        <v>9281</v>
      </c>
      <c r="G18" s="1061" t="s">
        <v>402</v>
      </c>
      <c r="H18" s="1062" t="s">
        <v>47</v>
      </c>
      <c r="I18" s="1061" t="s">
        <v>24</v>
      </c>
      <c r="J18" s="1061" t="s">
        <v>9225</v>
      </c>
      <c r="K18" s="1063">
        <v>3449667</v>
      </c>
      <c r="L18" s="1057">
        <v>74.2</v>
      </c>
      <c r="M18" s="1057">
        <v>76.3</v>
      </c>
      <c r="N18" s="1057">
        <v>89.5</v>
      </c>
      <c r="O18" s="1057"/>
      <c r="P18" s="1058"/>
      <c r="Q18" s="23"/>
    </row>
    <row r="19" spans="2:17" ht="15.95" customHeight="1" x14ac:dyDescent="0.4">
      <c r="B19" s="22"/>
      <c r="C19" s="1059">
        <v>158305</v>
      </c>
      <c r="D19" s="1060">
        <v>1263916</v>
      </c>
      <c r="E19" s="1061" t="s">
        <v>249</v>
      </c>
      <c r="F19" s="1061" t="s">
        <v>9282</v>
      </c>
      <c r="G19" s="1061" t="s">
        <v>48</v>
      </c>
      <c r="H19" s="1062" t="s">
        <v>49</v>
      </c>
      <c r="I19" s="1061" t="s">
        <v>24</v>
      </c>
      <c r="J19" s="1061" t="s">
        <v>50</v>
      </c>
      <c r="K19" s="1063">
        <v>6583173</v>
      </c>
      <c r="L19" s="1057">
        <v>54.9</v>
      </c>
      <c r="M19" s="1057">
        <v>87.7</v>
      </c>
      <c r="N19" s="1057">
        <v>85.2</v>
      </c>
      <c r="O19" s="1057"/>
      <c r="P19" s="1058"/>
      <c r="Q19" s="23"/>
    </row>
    <row r="20" spans="2:17" ht="15.95" customHeight="1" x14ac:dyDescent="0.4">
      <c r="B20" s="22"/>
      <c r="C20" s="1059">
        <v>158194</v>
      </c>
      <c r="D20" s="1060">
        <v>1265770</v>
      </c>
      <c r="E20" s="1061" t="s">
        <v>250</v>
      </c>
      <c r="F20" s="1061" t="s">
        <v>9283</v>
      </c>
      <c r="G20" s="1061" t="s">
        <v>45</v>
      </c>
      <c r="H20" s="1062" t="s">
        <v>51</v>
      </c>
      <c r="I20" s="1061" t="s">
        <v>24</v>
      </c>
      <c r="J20" s="1061" t="s">
        <v>52</v>
      </c>
      <c r="K20" s="1063">
        <v>8846727</v>
      </c>
      <c r="L20" s="1057">
        <v>66.5</v>
      </c>
      <c r="M20" s="1057">
        <v>67.400000000000006</v>
      </c>
      <c r="N20" s="1057">
        <v>79.7</v>
      </c>
      <c r="O20" s="1057"/>
      <c r="P20" s="1058"/>
      <c r="Q20" s="23"/>
    </row>
    <row r="21" spans="2:17" ht="15.95" customHeight="1" x14ac:dyDescent="0.4">
      <c r="B21" s="22"/>
      <c r="C21" s="1059">
        <v>218502</v>
      </c>
      <c r="D21" s="1060">
        <v>1265782</v>
      </c>
      <c r="E21" s="1061" t="s">
        <v>251</v>
      </c>
      <c r="F21" s="1061" t="s">
        <v>9284</v>
      </c>
      <c r="G21" s="1061" t="s">
        <v>53</v>
      </c>
      <c r="H21" s="1062" t="s">
        <v>54</v>
      </c>
      <c r="I21" s="1061" t="s">
        <v>24</v>
      </c>
      <c r="J21" s="1061" t="s">
        <v>9226</v>
      </c>
      <c r="K21" s="1063">
        <v>11325792</v>
      </c>
      <c r="L21" s="1057">
        <v>47.3</v>
      </c>
      <c r="M21" s="1057">
        <v>60.3</v>
      </c>
      <c r="N21" s="1057">
        <v>71.5</v>
      </c>
      <c r="O21" s="1057"/>
      <c r="P21" s="1058"/>
      <c r="Q21" s="23"/>
    </row>
    <row r="22" spans="2:17" ht="15.95" customHeight="1" x14ac:dyDescent="0.4">
      <c r="B22" s="22"/>
      <c r="C22" s="1059">
        <v>158313</v>
      </c>
      <c r="D22" s="1060">
        <v>1263927</v>
      </c>
      <c r="E22" s="1061" t="s">
        <v>252</v>
      </c>
      <c r="F22" s="1061" t="s">
        <v>9285</v>
      </c>
      <c r="G22" s="1061" t="s">
        <v>19</v>
      </c>
      <c r="H22" s="1062" t="s">
        <v>8144</v>
      </c>
      <c r="I22" s="1061" t="s">
        <v>24</v>
      </c>
      <c r="J22" s="1061" t="s">
        <v>55</v>
      </c>
      <c r="K22" s="1063">
        <v>3742434</v>
      </c>
      <c r="L22" s="1057">
        <v>52.4</v>
      </c>
      <c r="M22" s="1057">
        <v>70.8</v>
      </c>
      <c r="N22" s="1057">
        <v>75.400000000000006</v>
      </c>
      <c r="O22" s="1057"/>
      <c r="P22" s="1058"/>
      <c r="Q22" s="23"/>
    </row>
    <row r="23" spans="2:17" ht="15.95" customHeight="1" x14ac:dyDescent="0.4">
      <c r="B23" s="22"/>
      <c r="C23" s="1059">
        <v>278904</v>
      </c>
      <c r="D23" s="1060">
        <v>1264904</v>
      </c>
      <c r="E23" s="1061" t="s">
        <v>253</v>
      </c>
      <c r="F23" s="1061" t="s">
        <v>9286</v>
      </c>
      <c r="G23" s="1061" t="s">
        <v>19</v>
      </c>
      <c r="H23" s="1062" t="s">
        <v>56</v>
      </c>
      <c r="I23" s="1061" t="s">
        <v>57</v>
      </c>
      <c r="J23" s="1061" t="s">
        <v>9227</v>
      </c>
      <c r="K23" s="1063">
        <v>8837171</v>
      </c>
      <c r="L23" s="1057">
        <v>44.8</v>
      </c>
      <c r="M23" s="1057">
        <v>62.2</v>
      </c>
      <c r="N23" s="1057">
        <v>92.3</v>
      </c>
      <c r="O23" s="1057"/>
      <c r="P23" s="1058"/>
      <c r="Q23" s="23"/>
    </row>
    <row r="24" spans="2:17" ht="15.95" customHeight="1" x14ac:dyDescent="0.4">
      <c r="B24" s="22"/>
      <c r="C24" s="1059">
        <v>158526</v>
      </c>
      <c r="D24" s="1060">
        <v>1263894</v>
      </c>
      <c r="E24" s="1061" t="s">
        <v>254</v>
      </c>
      <c r="F24" s="1061" t="s">
        <v>9287</v>
      </c>
      <c r="G24" s="1061" t="s">
        <v>19</v>
      </c>
      <c r="H24" s="1062" t="s">
        <v>58</v>
      </c>
      <c r="I24" s="1061" t="s">
        <v>59</v>
      </c>
      <c r="J24" s="1061" t="s">
        <v>60</v>
      </c>
      <c r="K24" s="1063">
        <v>10654168</v>
      </c>
      <c r="L24" s="1057">
        <v>75.400000000000006</v>
      </c>
      <c r="M24" s="1057">
        <v>86.7</v>
      </c>
      <c r="N24" s="1057">
        <v>80.400000000000006</v>
      </c>
      <c r="O24" s="1057"/>
      <c r="P24" s="1058"/>
      <c r="Q24" s="23"/>
    </row>
    <row r="25" spans="2:17" ht="15.95" customHeight="1" x14ac:dyDescent="0.4">
      <c r="B25" s="22"/>
      <c r="C25" s="1059">
        <v>158534</v>
      </c>
      <c r="D25" s="1060">
        <v>1264377</v>
      </c>
      <c r="E25" s="1061" t="s">
        <v>255</v>
      </c>
      <c r="F25" s="1061" t="s">
        <v>9288</v>
      </c>
      <c r="G25" s="1061" t="s">
        <v>19</v>
      </c>
      <c r="H25" s="1062" t="s">
        <v>61</v>
      </c>
      <c r="I25" s="1061" t="s">
        <v>59</v>
      </c>
      <c r="J25" s="1061" t="s">
        <v>62</v>
      </c>
      <c r="K25" s="1063">
        <v>8746075</v>
      </c>
      <c r="L25" s="1057">
        <v>59.7</v>
      </c>
      <c r="M25" s="1057">
        <v>66.599999999999994</v>
      </c>
      <c r="N25" s="1057">
        <v>96.1</v>
      </c>
      <c r="O25" s="1057"/>
      <c r="P25" s="1058"/>
      <c r="Q25" s="23"/>
    </row>
    <row r="26" spans="2:17" ht="15.95" customHeight="1" x14ac:dyDescent="0.4">
      <c r="B26" s="22"/>
      <c r="C26" s="1059">
        <v>158569</v>
      </c>
      <c r="D26" s="1060">
        <v>1263914</v>
      </c>
      <c r="E26" s="1061" t="s">
        <v>256</v>
      </c>
      <c r="F26" s="1061" t="s">
        <v>9289</v>
      </c>
      <c r="G26" s="1061" t="s">
        <v>19</v>
      </c>
      <c r="H26" s="1062" t="s">
        <v>8215</v>
      </c>
      <c r="I26" s="1061" t="s">
        <v>59</v>
      </c>
      <c r="J26" s="1061" t="s">
        <v>9228</v>
      </c>
      <c r="K26" s="1063">
        <v>11583275</v>
      </c>
      <c r="L26" s="1057">
        <v>57.9</v>
      </c>
      <c r="M26" s="1057">
        <v>68.900000000000006</v>
      </c>
      <c r="N26" s="1057">
        <v>69.900000000000006</v>
      </c>
      <c r="O26" s="1057"/>
      <c r="P26" s="1058"/>
      <c r="Q26" s="23"/>
    </row>
    <row r="27" spans="2:17" ht="15.95" customHeight="1" x14ac:dyDescent="0.4">
      <c r="B27" s="22"/>
      <c r="C27" s="1059">
        <v>159255</v>
      </c>
      <c r="D27" s="1060">
        <v>1264041</v>
      </c>
      <c r="E27" s="1061" t="s">
        <v>257</v>
      </c>
      <c r="F27" s="1061" t="s">
        <v>9290</v>
      </c>
      <c r="G27" s="1061" t="s">
        <v>19</v>
      </c>
      <c r="H27" s="1062" t="s">
        <v>8148</v>
      </c>
      <c r="I27" s="1061" t="s">
        <v>64</v>
      </c>
      <c r="J27" s="1061" t="s">
        <v>9229</v>
      </c>
      <c r="K27" s="1063">
        <v>8067324</v>
      </c>
      <c r="L27" s="1057">
        <v>55.6</v>
      </c>
      <c r="M27" s="1057">
        <v>69.5</v>
      </c>
      <c r="N27" s="1057">
        <v>69.099999999999994</v>
      </c>
      <c r="O27" s="1057"/>
      <c r="P27" s="1058"/>
      <c r="Q27" s="23"/>
    </row>
    <row r="28" spans="2:17" ht="15.95" customHeight="1" x14ac:dyDescent="0.4">
      <c r="B28" s="22"/>
      <c r="C28" s="1059">
        <v>159271</v>
      </c>
      <c r="D28" s="1060">
        <v>1263911</v>
      </c>
      <c r="E28" s="1061" t="s">
        <v>258</v>
      </c>
      <c r="F28" s="1061" t="s">
        <v>9291</v>
      </c>
      <c r="G28" s="1061" t="s">
        <v>401</v>
      </c>
      <c r="H28" s="1062" t="s">
        <v>65</v>
      </c>
      <c r="I28" s="1061" t="s">
        <v>64</v>
      </c>
      <c r="J28" s="1061" t="s">
        <v>66</v>
      </c>
      <c r="K28" s="1063">
        <v>2877678</v>
      </c>
      <c r="L28" s="1057">
        <v>62.3</v>
      </c>
      <c r="M28" s="1057">
        <v>78</v>
      </c>
      <c r="N28" s="1057">
        <v>79.3</v>
      </c>
      <c r="O28" s="1057"/>
      <c r="P28" s="1058"/>
      <c r="Q28" s="23"/>
    </row>
    <row r="29" spans="2:17" ht="15.95" customHeight="1" x14ac:dyDescent="0.4">
      <c r="B29" s="22"/>
      <c r="C29" s="1059">
        <v>159301</v>
      </c>
      <c r="D29" s="1060">
        <v>1263919</v>
      </c>
      <c r="E29" s="1061" t="s">
        <v>259</v>
      </c>
      <c r="F29" s="1061" t="s">
        <v>9292</v>
      </c>
      <c r="G29" s="1061" t="s">
        <v>67</v>
      </c>
      <c r="H29" s="1062" t="s">
        <v>68</v>
      </c>
      <c r="I29" s="1061" t="s">
        <v>64</v>
      </c>
      <c r="J29" s="1061" t="s">
        <v>69</v>
      </c>
      <c r="K29" s="1063">
        <v>3308079</v>
      </c>
      <c r="L29" s="1057">
        <v>56.1</v>
      </c>
      <c r="M29" s="1057">
        <v>70.2</v>
      </c>
      <c r="N29" s="1057">
        <v>85.1</v>
      </c>
      <c r="O29" s="1057"/>
      <c r="P29" s="1058"/>
      <c r="Q29" s="23"/>
    </row>
    <row r="30" spans="2:17" ht="15.95" customHeight="1" x14ac:dyDescent="0.4">
      <c r="B30" s="22"/>
      <c r="C30" s="1059">
        <v>330671</v>
      </c>
      <c r="D30" s="1060">
        <v>1264181</v>
      </c>
      <c r="E30" s="1061" t="s">
        <v>260</v>
      </c>
      <c r="F30" s="1061" t="s">
        <v>9293</v>
      </c>
      <c r="G30" s="1061" t="s">
        <v>19</v>
      </c>
      <c r="H30" s="1062" t="s">
        <v>71</v>
      </c>
      <c r="I30" s="1061" t="s">
        <v>70</v>
      </c>
      <c r="J30" s="1061" t="s">
        <v>72</v>
      </c>
      <c r="K30" s="1063">
        <v>2605962</v>
      </c>
      <c r="L30" s="1057">
        <v>40.4</v>
      </c>
      <c r="M30" s="1057">
        <v>54.3</v>
      </c>
      <c r="N30" s="1057">
        <v>68.400000000000006</v>
      </c>
      <c r="O30" s="1057"/>
      <c r="P30" s="1058"/>
      <c r="Q30" s="23"/>
    </row>
    <row r="31" spans="2:17" ht="15.95" customHeight="1" x14ac:dyDescent="0.4">
      <c r="B31" s="22"/>
      <c r="C31" s="1059">
        <v>316041</v>
      </c>
      <c r="D31" s="1060">
        <v>1266606</v>
      </c>
      <c r="E31" s="1061" t="s">
        <v>261</v>
      </c>
      <c r="F31" s="1061" t="s">
        <v>9294</v>
      </c>
      <c r="G31" s="1061" t="s">
        <v>19</v>
      </c>
      <c r="H31" s="1062" t="s">
        <v>73</v>
      </c>
      <c r="I31" s="1061" t="s">
        <v>74</v>
      </c>
      <c r="J31" s="1061" t="s">
        <v>75</v>
      </c>
      <c r="K31" s="1063">
        <v>5974241</v>
      </c>
      <c r="L31" s="1057">
        <v>57.2</v>
      </c>
      <c r="M31" s="1057">
        <v>55.1</v>
      </c>
      <c r="N31" s="1057">
        <v>72.8</v>
      </c>
      <c r="O31" s="1057"/>
      <c r="P31" s="1058"/>
      <c r="Q31" s="23"/>
    </row>
    <row r="32" spans="2:17" ht="15.95" customHeight="1" x14ac:dyDescent="0.4">
      <c r="B32" s="22"/>
      <c r="C32" s="1059">
        <v>158674</v>
      </c>
      <c r="D32" s="1060">
        <v>1265720</v>
      </c>
      <c r="E32" s="1061" t="s">
        <v>262</v>
      </c>
      <c r="F32" s="1061" t="s">
        <v>9295</v>
      </c>
      <c r="G32" s="1061" t="s">
        <v>76</v>
      </c>
      <c r="H32" s="1062" t="s">
        <v>77</v>
      </c>
      <c r="I32" s="1061" t="s">
        <v>74</v>
      </c>
      <c r="J32" s="1061" t="s">
        <v>78</v>
      </c>
      <c r="K32" s="1063">
        <v>2695617</v>
      </c>
      <c r="L32" s="1057">
        <v>55.7</v>
      </c>
      <c r="M32" s="1057">
        <v>71.400000000000006</v>
      </c>
      <c r="N32" s="1057">
        <v>84.8</v>
      </c>
      <c r="O32" s="1057"/>
      <c r="P32" s="1058"/>
      <c r="Q32" s="23"/>
    </row>
    <row r="33" spans="2:17" ht="15.95" customHeight="1" x14ac:dyDescent="0.4">
      <c r="B33" s="22"/>
      <c r="C33" s="1059">
        <v>310883</v>
      </c>
      <c r="D33" s="1060">
        <v>1263900</v>
      </c>
      <c r="E33" s="1061" t="s">
        <v>9422</v>
      </c>
      <c r="F33" s="1061" t="s">
        <v>9296</v>
      </c>
      <c r="G33" s="1061" t="s">
        <v>19</v>
      </c>
      <c r="H33" s="1062" t="s">
        <v>79</v>
      </c>
      <c r="I33" s="1061" t="s">
        <v>80</v>
      </c>
      <c r="J33" s="1061" t="s">
        <v>81</v>
      </c>
      <c r="K33" s="1063">
        <v>6562714</v>
      </c>
      <c r="L33" s="1057">
        <v>66.7</v>
      </c>
      <c r="M33" s="1057">
        <v>75</v>
      </c>
      <c r="N33" s="1057">
        <v>87.8</v>
      </c>
      <c r="O33" s="1057"/>
      <c r="P33" s="1058"/>
      <c r="Q33" s="23"/>
    </row>
    <row r="34" spans="2:17" ht="15.95" customHeight="1" x14ac:dyDescent="0.4">
      <c r="B34" s="22"/>
      <c r="C34" s="1059">
        <v>322644</v>
      </c>
      <c r="D34" s="1060">
        <v>1266607</v>
      </c>
      <c r="E34" s="1061" t="s">
        <v>263</v>
      </c>
      <c r="F34" s="1061" t="s">
        <v>9297</v>
      </c>
      <c r="G34" s="1061" t="s">
        <v>19</v>
      </c>
      <c r="H34" s="1062" t="s">
        <v>82</v>
      </c>
      <c r="I34" s="1061" t="s">
        <v>83</v>
      </c>
      <c r="J34" s="1061" t="s">
        <v>84</v>
      </c>
      <c r="K34" s="1063">
        <v>11274925</v>
      </c>
      <c r="L34" s="1057">
        <v>49.2</v>
      </c>
      <c r="M34" s="1057">
        <v>71</v>
      </c>
      <c r="N34" s="1057">
        <v>65.2</v>
      </c>
      <c r="O34" s="1057"/>
      <c r="P34" s="1058"/>
      <c r="Q34" s="23"/>
    </row>
    <row r="35" spans="2:17" ht="15.95" customHeight="1" x14ac:dyDescent="0.4">
      <c r="B35" s="22"/>
      <c r="C35" s="1059">
        <v>158801</v>
      </c>
      <c r="D35" s="1060">
        <v>1264587</v>
      </c>
      <c r="E35" s="1061" t="s">
        <v>264</v>
      </c>
      <c r="F35" s="1061" t="s">
        <v>9298</v>
      </c>
      <c r="G35" s="1061" t="s">
        <v>85</v>
      </c>
      <c r="H35" s="1062" t="s">
        <v>86</v>
      </c>
      <c r="I35" s="1061" t="s">
        <v>87</v>
      </c>
      <c r="J35" s="1061" t="s">
        <v>9230</v>
      </c>
      <c r="K35" s="1063">
        <v>3896081</v>
      </c>
      <c r="L35" s="1057">
        <v>58.1</v>
      </c>
      <c r="M35" s="1057">
        <v>73.5</v>
      </c>
      <c r="N35" s="1057">
        <v>68.900000000000006</v>
      </c>
      <c r="O35" s="1057"/>
      <c r="P35" s="1058"/>
      <c r="Q35" s="23"/>
    </row>
    <row r="36" spans="2:17" ht="15.95" customHeight="1" x14ac:dyDescent="0.4">
      <c r="B36" s="22"/>
      <c r="C36" s="1059">
        <v>361356</v>
      </c>
      <c r="D36" s="1064"/>
      <c r="E36" s="1065" t="s">
        <v>9400</v>
      </c>
      <c r="F36" s="1065" t="s">
        <v>9299</v>
      </c>
      <c r="G36" s="1065" t="s">
        <v>8196</v>
      </c>
      <c r="H36" s="1066" t="s">
        <v>8195</v>
      </c>
      <c r="I36" s="1065" t="s">
        <v>87</v>
      </c>
      <c r="J36" s="1065" t="s">
        <v>8197</v>
      </c>
      <c r="K36" s="1067">
        <v>11297975</v>
      </c>
      <c r="L36" s="1068"/>
      <c r="M36" s="1068"/>
      <c r="N36" s="1068"/>
      <c r="O36" s="1068"/>
      <c r="P36" s="1058"/>
      <c r="Q36" s="23"/>
    </row>
    <row r="37" spans="2:17" ht="15.95" customHeight="1" x14ac:dyDescent="0.4">
      <c r="B37" s="22"/>
      <c r="C37" s="1059">
        <v>158887</v>
      </c>
      <c r="D37" s="1060">
        <v>1263903</v>
      </c>
      <c r="E37" s="1061" t="s">
        <v>265</v>
      </c>
      <c r="F37" s="1061" t="s">
        <v>9300</v>
      </c>
      <c r="G37" s="1061" t="s">
        <v>88</v>
      </c>
      <c r="H37" s="1062" t="s">
        <v>89</v>
      </c>
      <c r="I37" s="1061" t="s">
        <v>90</v>
      </c>
      <c r="J37" s="1061" t="s">
        <v>9231</v>
      </c>
      <c r="K37" s="1063">
        <v>8612822</v>
      </c>
      <c r="L37" s="1057">
        <v>67.5</v>
      </c>
      <c r="M37" s="1057">
        <v>71.7</v>
      </c>
      <c r="N37" s="1057">
        <v>83.6</v>
      </c>
      <c r="O37" s="1057"/>
      <c r="P37" s="1058"/>
      <c r="Q37" s="23"/>
    </row>
    <row r="38" spans="2:17" ht="15.95" customHeight="1" x14ac:dyDescent="0.4">
      <c r="B38" s="22"/>
      <c r="C38" s="1059">
        <v>158909</v>
      </c>
      <c r="D38" s="1060">
        <v>1264687</v>
      </c>
      <c r="E38" s="1061" t="s">
        <v>266</v>
      </c>
      <c r="F38" s="1061" t="s">
        <v>9301</v>
      </c>
      <c r="G38" s="1061" t="s">
        <v>91</v>
      </c>
      <c r="H38" s="1062" t="s">
        <v>92</v>
      </c>
      <c r="I38" s="1061" t="s">
        <v>90</v>
      </c>
      <c r="J38" s="1061" t="s">
        <v>93</v>
      </c>
      <c r="K38" s="1063">
        <v>9620097</v>
      </c>
      <c r="L38" s="1057">
        <v>43.9</v>
      </c>
      <c r="M38" s="1057">
        <v>68</v>
      </c>
      <c r="N38" s="1057">
        <v>74.2</v>
      </c>
      <c r="O38" s="1057"/>
      <c r="P38" s="1058"/>
      <c r="Q38" s="23"/>
    </row>
    <row r="39" spans="2:17" ht="15.95" customHeight="1" x14ac:dyDescent="0.4">
      <c r="B39" s="22"/>
      <c r="C39" s="1059">
        <v>158879</v>
      </c>
      <c r="D39" s="1060">
        <v>1265721</v>
      </c>
      <c r="E39" s="1061" t="s">
        <v>267</v>
      </c>
      <c r="F39" s="1061" t="s">
        <v>9302</v>
      </c>
      <c r="G39" s="1061" t="s">
        <v>94</v>
      </c>
      <c r="H39" s="1062" t="s">
        <v>95</v>
      </c>
      <c r="I39" s="1061" t="s">
        <v>90</v>
      </c>
      <c r="J39" s="1061" t="s">
        <v>9232</v>
      </c>
      <c r="K39" s="1063">
        <v>3739109</v>
      </c>
      <c r="L39" s="1057">
        <v>54.8</v>
      </c>
      <c r="M39" s="1057">
        <v>57.7</v>
      </c>
      <c r="N39" s="1057">
        <v>78.599999999999994</v>
      </c>
      <c r="O39" s="1057"/>
      <c r="P39" s="1058"/>
      <c r="Q39" s="23"/>
    </row>
    <row r="40" spans="2:17" ht="15.95" customHeight="1" x14ac:dyDescent="0.4">
      <c r="B40" s="22"/>
      <c r="C40" s="1059">
        <v>319104</v>
      </c>
      <c r="D40" s="1060">
        <v>1263920</v>
      </c>
      <c r="E40" s="1061" t="s">
        <v>268</v>
      </c>
      <c r="F40" s="1061" t="s">
        <v>9303</v>
      </c>
      <c r="G40" s="1061" t="s">
        <v>96</v>
      </c>
      <c r="H40" s="1062" t="s">
        <v>97</v>
      </c>
      <c r="I40" s="1061" t="s">
        <v>90</v>
      </c>
      <c r="J40" s="1061" t="s">
        <v>9233</v>
      </c>
      <c r="K40" s="1063">
        <v>9432675</v>
      </c>
      <c r="L40" s="1057">
        <v>57.2</v>
      </c>
      <c r="M40" s="1057">
        <v>74.3</v>
      </c>
      <c r="N40" s="1057">
        <v>69.7</v>
      </c>
      <c r="O40" s="1057"/>
      <c r="P40" s="1058"/>
      <c r="Q40" s="23"/>
    </row>
    <row r="41" spans="2:17" ht="15.95" customHeight="1" x14ac:dyDescent="0.4">
      <c r="B41" s="22"/>
      <c r="C41" s="1059">
        <v>158941</v>
      </c>
      <c r="D41" s="1060">
        <v>1263929</v>
      </c>
      <c r="E41" s="1061" t="s">
        <v>269</v>
      </c>
      <c r="F41" s="1061" t="s">
        <v>9304</v>
      </c>
      <c r="G41" s="1061" t="s">
        <v>98</v>
      </c>
      <c r="H41" s="1062" t="s">
        <v>99</v>
      </c>
      <c r="I41" s="1061" t="s">
        <v>90</v>
      </c>
      <c r="J41" s="1061" t="s">
        <v>100</v>
      </c>
      <c r="K41" s="1063">
        <v>6569792</v>
      </c>
      <c r="L41" s="1057">
        <v>55.8</v>
      </c>
      <c r="M41" s="1057">
        <v>61.3</v>
      </c>
      <c r="N41" s="1057">
        <v>85.7</v>
      </c>
      <c r="O41" s="1057"/>
      <c r="P41" s="1058"/>
      <c r="Q41" s="23"/>
    </row>
    <row r="42" spans="2:17" ht="15.95" customHeight="1" x14ac:dyDescent="0.4">
      <c r="B42" s="22"/>
      <c r="C42" s="1059">
        <v>319201</v>
      </c>
      <c r="D42" s="1060">
        <v>1263918</v>
      </c>
      <c r="E42" s="1061" t="s">
        <v>270</v>
      </c>
      <c r="F42" s="1061" t="s">
        <v>9305</v>
      </c>
      <c r="G42" s="1061" t="s">
        <v>101</v>
      </c>
      <c r="H42" s="1062" t="s">
        <v>102</v>
      </c>
      <c r="I42" s="1061" t="s">
        <v>90</v>
      </c>
      <c r="J42" s="1061" t="s">
        <v>9234</v>
      </c>
      <c r="K42" s="1063">
        <v>10965556</v>
      </c>
      <c r="L42" s="1057">
        <v>64.400000000000006</v>
      </c>
      <c r="M42" s="1057">
        <v>71.099999999999994</v>
      </c>
      <c r="N42" s="1057">
        <v>72</v>
      </c>
      <c r="O42" s="1057"/>
      <c r="P42" s="1058"/>
      <c r="Q42" s="23"/>
    </row>
    <row r="43" spans="2:17" ht="15.95" customHeight="1" x14ac:dyDescent="0.4">
      <c r="B43" s="22"/>
      <c r="C43" s="1059">
        <v>159131</v>
      </c>
      <c r="D43" s="1060">
        <v>1265858</v>
      </c>
      <c r="E43" s="1061" t="s">
        <v>271</v>
      </c>
      <c r="F43" s="1061" t="s">
        <v>9306</v>
      </c>
      <c r="G43" s="1061" t="s">
        <v>19</v>
      </c>
      <c r="H43" s="1062" t="s">
        <v>103</v>
      </c>
      <c r="I43" s="1061" t="s">
        <v>104</v>
      </c>
      <c r="J43" s="1061" t="s">
        <v>9235</v>
      </c>
      <c r="K43" s="1063">
        <v>11139284</v>
      </c>
      <c r="L43" s="1057">
        <v>42.7</v>
      </c>
      <c r="M43" s="1057">
        <v>53.7</v>
      </c>
      <c r="N43" s="1057">
        <v>80</v>
      </c>
      <c r="O43" s="1057"/>
      <c r="P43" s="1058"/>
      <c r="Q43" s="23"/>
    </row>
    <row r="44" spans="2:17" ht="15.95" customHeight="1" x14ac:dyDescent="0.4">
      <c r="B44" s="22"/>
      <c r="C44" s="1059">
        <v>159158</v>
      </c>
      <c r="D44" s="1060">
        <v>1263926</v>
      </c>
      <c r="E44" s="1061" t="s">
        <v>272</v>
      </c>
      <c r="F44" s="1061" t="s">
        <v>9307</v>
      </c>
      <c r="G44" s="1061" t="s">
        <v>19</v>
      </c>
      <c r="H44" s="1062" t="s">
        <v>105</v>
      </c>
      <c r="I44" s="1061" t="s">
        <v>104</v>
      </c>
      <c r="J44" s="1061" t="s">
        <v>9236</v>
      </c>
      <c r="K44" s="1063">
        <v>2877744</v>
      </c>
      <c r="L44" s="1057">
        <v>56.8</v>
      </c>
      <c r="M44" s="1057">
        <v>70.7</v>
      </c>
      <c r="N44" s="1057">
        <v>73</v>
      </c>
      <c r="O44" s="1057"/>
      <c r="P44" s="1058"/>
      <c r="Q44" s="23"/>
    </row>
    <row r="45" spans="2:17" ht="15.95" customHeight="1" x14ac:dyDescent="0.4">
      <c r="B45" s="22"/>
      <c r="C45" s="1059">
        <v>159140</v>
      </c>
      <c r="D45" s="1060">
        <v>1263924</v>
      </c>
      <c r="E45" s="1061" t="s">
        <v>273</v>
      </c>
      <c r="F45" s="1061" t="s">
        <v>106</v>
      </c>
      <c r="G45" s="1061" t="s">
        <v>106</v>
      </c>
      <c r="H45" s="1062" t="s">
        <v>107</v>
      </c>
      <c r="I45" s="1061" t="s">
        <v>104</v>
      </c>
      <c r="J45" s="1061" t="s">
        <v>108</v>
      </c>
      <c r="K45" s="1063">
        <v>9332123</v>
      </c>
      <c r="L45" s="1057">
        <v>55.9</v>
      </c>
      <c r="M45" s="1057">
        <v>76.599999999999994</v>
      </c>
      <c r="N45" s="1057">
        <v>77</v>
      </c>
      <c r="O45" s="1057"/>
      <c r="P45" s="1058"/>
      <c r="Q45" s="23"/>
    </row>
    <row r="46" spans="2:17" ht="15.95" customHeight="1" x14ac:dyDescent="0.4">
      <c r="B46" s="22"/>
      <c r="C46" s="1059">
        <v>159166</v>
      </c>
      <c r="D46" s="1060">
        <v>1265938</v>
      </c>
      <c r="E46" s="1061" t="s">
        <v>274</v>
      </c>
      <c r="F46" s="1061" t="s">
        <v>9308</v>
      </c>
      <c r="G46" s="1061" t="s">
        <v>109</v>
      </c>
      <c r="H46" s="1062" t="s">
        <v>110</v>
      </c>
      <c r="I46" s="1061" t="s">
        <v>399</v>
      </c>
      <c r="J46" s="1061" t="s">
        <v>9237</v>
      </c>
      <c r="K46" s="1063">
        <v>3238276</v>
      </c>
      <c r="L46" s="1057">
        <v>53</v>
      </c>
      <c r="M46" s="1057">
        <v>57</v>
      </c>
      <c r="N46" s="1057">
        <v>85.9</v>
      </c>
      <c r="O46" s="1057"/>
      <c r="P46" s="1058"/>
      <c r="Q46" s="23"/>
    </row>
    <row r="47" spans="2:17" ht="15.95" customHeight="1" x14ac:dyDescent="0.4">
      <c r="B47" s="22"/>
      <c r="C47" s="1059">
        <v>205605</v>
      </c>
      <c r="D47" s="1060">
        <v>1263905</v>
      </c>
      <c r="E47" s="1061" t="s">
        <v>275</v>
      </c>
      <c r="F47" s="1061" t="s">
        <v>9309</v>
      </c>
      <c r="G47" s="1061" t="s">
        <v>63</v>
      </c>
      <c r="H47" s="1062" t="s">
        <v>111</v>
      </c>
      <c r="I47" s="1061" t="s">
        <v>399</v>
      </c>
      <c r="J47" s="1061" t="s">
        <v>9238</v>
      </c>
      <c r="K47" s="1063">
        <v>10519965</v>
      </c>
      <c r="L47" s="1057">
        <v>60</v>
      </c>
      <c r="M47" s="1057">
        <v>63.4</v>
      </c>
      <c r="N47" s="1057">
        <v>80</v>
      </c>
      <c r="O47" s="1057"/>
      <c r="P47" s="1058"/>
      <c r="Q47" s="23"/>
    </row>
    <row r="48" spans="2:17" ht="15.95" customHeight="1" x14ac:dyDescent="0.4">
      <c r="B48" s="22"/>
      <c r="C48" s="1059">
        <v>159182</v>
      </c>
      <c r="D48" s="1060">
        <v>1264840</v>
      </c>
      <c r="E48" s="1061" t="s">
        <v>276</v>
      </c>
      <c r="F48" s="1061" t="s">
        <v>9310</v>
      </c>
      <c r="G48" s="1061" t="s">
        <v>19</v>
      </c>
      <c r="H48" s="1062" t="s">
        <v>112</v>
      </c>
      <c r="I48" s="1061" t="s">
        <v>399</v>
      </c>
      <c r="J48" s="1061" t="s">
        <v>113</v>
      </c>
      <c r="K48" s="1063">
        <v>10184331</v>
      </c>
      <c r="L48" s="1057">
        <v>50.6</v>
      </c>
      <c r="M48" s="1057">
        <v>64.099999999999994</v>
      </c>
      <c r="N48" s="1057">
        <v>68.7</v>
      </c>
      <c r="O48" s="1057"/>
      <c r="P48" s="1058"/>
      <c r="Q48" s="23"/>
    </row>
    <row r="49" spans="2:17" ht="15.95" customHeight="1" x14ac:dyDescent="0.4">
      <c r="B49" s="22"/>
      <c r="C49" s="1059">
        <v>159212</v>
      </c>
      <c r="D49" s="1060">
        <v>1263280</v>
      </c>
      <c r="E49" s="1061" t="s">
        <v>277</v>
      </c>
      <c r="F49" s="1061" t="s">
        <v>9311</v>
      </c>
      <c r="G49" s="1061" t="s">
        <v>114</v>
      </c>
      <c r="H49" s="1062" t="s">
        <v>115</v>
      </c>
      <c r="I49" s="1061" t="s">
        <v>399</v>
      </c>
      <c r="J49" s="1061" t="s">
        <v>9239</v>
      </c>
      <c r="K49" s="1063">
        <v>6545545</v>
      </c>
      <c r="L49" s="1057">
        <v>66.599999999999994</v>
      </c>
      <c r="M49" s="1057">
        <v>74.5</v>
      </c>
      <c r="N49" s="1057">
        <v>93.3</v>
      </c>
      <c r="O49" s="1057"/>
      <c r="P49" s="1058"/>
      <c r="Q49" s="23"/>
    </row>
    <row r="50" spans="2:17" ht="15.95" customHeight="1" x14ac:dyDescent="0.4">
      <c r="B50" s="22"/>
      <c r="C50" s="1059">
        <v>159247</v>
      </c>
      <c r="D50" s="1060">
        <v>1263896</v>
      </c>
      <c r="E50" s="1061" t="s">
        <v>278</v>
      </c>
      <c r="F50" s="1061" t="s">
        <v>9312</v>
      </c>
      <c r="G50" s="1061" t="s">
        <v>400</v>
      </c>
      <c r="H50" s="1062" t="s">
        <v>116</v>
      </c>
      <c r="I50" s="1061" t="s">
        <v>399</v>
      </c>
      <c r="J50" s="1061" t="s">
        <v>9240</v>
      </c>
      <c r="K50" s="1063">
        <v>11268356</v>
      </c>
      <c r="L50" s="1057">
        <v>59.7</v>
      </c>
      <c r="M50" s="1057">
        <v>66.599999999999994</v>
      </c>
      <c r="N50" s="1057">
        <v>80.2</v>
      </c>
      <c r="O50" s="1057"/>
      <c r="P50" s="1058"/>
      <c r="Q50" s="23"/>
    </row>
    <row r="51" spans="2:17" ht="15.95" customHeight="1" x14ac:dyDescent="0.4">
      <c r="B51" s="22"/>
      <c r="C51" s="1059">
        <v>159280</v>
      </c>
      <c r="D51" s="1060">
        <v>1264563</v>
      </c>
      <c r="E51" s="1061" t="s">
        <v>279</v>
      </c>
      <c r="F51" s="1061" t="s">
        <v>9313</v>
      </c>
      <c r="G51" s="1061" t="s">
        <v>117</v>
      </c>
      <c r="H51" s="1062" t="s">
        <v>118</v>
      </c>
      <c r="I51" s="1061" t="s">
        <v>119</v>
      </c>
      <c r="J51" s="1061" t="s">
        <v>120</v>
      </c>
      <c r="K51" s="1063">
        <v>10846541</v>
      </c>
      <c r="L51" s="1057">
        <v>49</v>
      </c>
      <c r="M51" s="1057">
        <v>66.599999999999994</v>
      </c>
      <c r="N51" s="1057">
        <v>90.8</v>
      </c>
      <c r="O51" s="1057"/>
      <c r="P51" s="1058"/>
      <c r="Q51" s="23"/>
    </row>
    <row r="52" spans="2:17" ht="15.95" customHeight="1" x14ac:dyDescent="0.4">
      <c r="B52" s="22"/>
      <c r="C52" s="1059">
        <v>159328</v>
      </c>
      <c r="D52" s="1060">
        <v>1263043</v>
      </c>
      <c r="E52" s="1061" t="s">
        <v>280</v>
      </c>
      <c r="F52" s="1061" t="s">
        <v>9314</v>
      </c>
      <c r="G52" s="1061" t="s">
        <v>19</v>
      </c>
      <c r="H52" s="1062" t="s">
        <v>121</v>
      </c>
      <c r="I52" s="1061" t="s">
        <v>122</v>
      </c>
      <c r="J52" s="1061" t="s">
        <v>9241</v>
      </c>
      <c r="K52" s="1063">
        <v>8078370</v>
      </c>
      <c r="L52" s="1057">
        <v>47</v>
      </c>
      <c r="M52" s="1057">
        <v>62.3</v>
      </c>
      <c r="N52" s="1057">
        <v>75.3</v>
      </c>
      <c r="O52" s="1057"/>
      <c r="P52" s="1058"/>
      <c r="Q52" s="23"/>
    </row>
    <row r="53" spans="2:17" ht="15.95" customHeight="1" x14ac:dyDescent="0.4">
      <c r="B53" s="22"/>
      <c r="C53" s="1059">
        <v>311855</v>
      </c>
      <c r="D53" s="1060">
        <v>1264116</v>
      </c>
      <c r="E53" s="1061" t="s">
        <v>281</v>
      </c>
      <c r="F53" s="1061" t="s">
        <v>9315</v>
      </c>
      <c r="G53" s="1061" t="s">
        <v>19</v>
      </c>
      <c r="H53" s="1062" t="s">
        <v>123</v>
      </c>
      <c r="I53" s="1061" t="s">
        <v>124</v>
      </c>
      <c r="J53" s="1061" t="s">
        <v>9242</v>
      </c>
      <c r="K53" s="1063">
        <v>10761021</v>
      </c>
      <c r="L53" s="1057">
        <v>44.3</v>
      </c>
      <c r="M53" s="1057">
        <v>63.8</v>
      </c>
      <c r="N53" s="1057">
        <v>64.900000000000006</v>
      </c>
      <c r="O53" s="1057"/>
      <c r="P53" s="1058"/>
      <c r="Q53" s="23"/>
    </row>
    <row r="54" spans="2:17" ht="15.95" customHeight="1" x14ac:dyDescent="0.4">
      <c r="B54" s="22"/>
      <c r="C54" s="1059">
        <v>159417</v>
      </c>
      <c r="D54" s="1060">
        <v>1265867</v>
      </c>
      <c r="E54" s="1061" t="s">
        <v>282</v>
      </c>
      <c r="F54" s="1061" t="s">
        <v>9316</v>
      </c>
      <c r="G54" s="1061" t="s">
        <v>19</v>
      </c>
      <c r="H54" s="1062" t="s">
        <v>125</v>
      </c>
      <c r="I54" s="1061" t="s">
        <v>126</v>
      </c>
      <c r="J54" s="1061" t="s">
        <v>9243</v>
      </c>
      <c r="K54" s="1063">
        <v>3008182</v>
      </c>
      <c r="L54" s="1057">
        <v>44.8</v>
      </c>
      <c r="M54" s="1057">
        <v>65.400000000000006</v>
      </c>
      <c r="N54" s="1057">
        <v>81.5</v>
      </c>
      <c r="O54" s="1057"/>
      <c r="P54" s="1058"/>
      <c r="Q54" s="23"/>
    </row>
    <row r="55" spans="2:17" ht="15.95" customHeight="1" x14ac:dyDescent="0.4">
      <c r="B55" s="22"/>
      <c r="C55" s="1059">
        <v>319112</v>
      </c>
      <c r="D55" s="1060">
        <v>1263913</v>
      </c>
      <c r="E55" s="1061" t="s">
        <v>283</v>
      </c>
      <c r="F55" s="1061" t="s">
        <v>9317</v>
      </c>
      <c r="G55" s="1061" t="s">
        <v>19</v>
      </c>
      <c r="H55" s="1062" t="s">
        <v>8211</v>
      </c>
      <c r="I55" s="1061" t="s">
        <v>128</v>
      </c>
      <c r="J55" s="1061" t="s">
        <v>129</v>
      </c>
      <c r="K55" s="1063">
        <v>3700556</v>
      </c>
      <c r="L55" s="1057">
        <v>54.1</v>
      </c>
      <c r="M55" s="1057">
        <v>77.599999999999994</v>
      </c>
      <c r="N55" s="1057">
        <v>80</v>
      </c>
      <c r="O55" s="1057"/>
      <c r="P55" s="1058"/>
      <c r="Q55" s="23"/>
    </row>
    <row r="56" spans="2:17" ht="15.95" customHeight="1" x14ac:dyDescent="0.4">
      <c r="B56" s="22"/>
      <c r="C56" s="1059">
        <v>159484</v>
      </c>
      <c r="D56" s="1060">
        <v>1263923</v>
      </c>
      <c r="E56" s="1061" t="s">
        <v>284</v>
      </c>
      <c r="F56" s="1061" t="s">
        <v>9318</v>
      </c>
      <c r="G56" s="1061" t="s">
        <v>130</v>
      </c>
      <c r="H56" s="1062" t="s">
        <v>131</v>
      </c>
      <c r="I56" s="1061" t="s">
        <v>132</v>
      </c>
      <c r="J56" s="1061" t="s">
        <v>133</v>
      </c>
      <c r="K56" s="1063">
        <v>3760113</v>
      </c>
      <c r="L56" s="1057">
        <v>59</v>
      </c>
      <c r="M56" s="1057">
        <v>73.3</v>
      </c>
      <c r="N56" s="1057">
        <v>78.3</v>
      </c>
      <c r="O56" s="1057"/>
      <c r="P56" s="1058"/>
      <c r="Q56" s="23"/>
    </row>
    <row r="57" spans="2:17" ht="15.95" customHeight="1" x14ac:dyDescent="0.4">
      <c r="B57" s="22"/>
      <c r="C57" s="1059">
        <v>159506</v>
      </c>
      <c r="D57" s="1060">
        <v>1264105</v>
      </c>
      <c r="E57" s="1061" t="s">
        <v>285</v>
      </c>
      <c r="F57" s="1061" t="s">
        <v>9319</v>
      </c>
      <c r="G57" s="1061" t="s">
        <v>19</v>
      </c>
      <c r="H57" s="1062" t="s">
        <v>134</v>
      </c>
      <c r="I57" s="1061" t="s">
        <v>132</v>
      </c>
      <c r="J57" s="1061" t="s">
        <v>135</v>
      </c>
      <c r="K57" s="1063">
        <v>3321817</v>
      </c>
      <c r="L57" s="1057">
        <v>59.1</v>
      </c>
      <c r="M57" s="1057">
        <v>68.400000000000006</v>
      </c>
      <c r="N57" s="1057">
        <v>65</v>
      </c>
      <c r="O57" s="1057"/>
      <c r="P57" s="1058"/>
      <c r="Q57" s="23"/>
    </row>
    <row r="58" spans="2:17" ht="15.95" customHeight="1" x14ac:dyDescent="0.4">
      <c r="B58" s="22"/>
      <c r="C58" s="1059">
        <v>159492</v>
      </c>
      <c r="D58" s="1060">
        <v>1263897</v>
      </c>
      <c r="E58" s="1061" t="s">
        <v>286</v>
      </c>
      <c r="F58" s="1061" t="s">
        <v>9320</v>
      </c>
      <c r="G58" s="1061" t="s">
        <v>19</v>
      </c>
      <c r="H58" s="1062" t="s">
        <v>9219</v>
      </c>
      <c r="I58" s="1061" t="s">
        <v>132</v>
      </c>
      <c r="J58" s="1061" t="s">
        <v>136</v>
      </c>
      <c r="K58" s="1063">
        <v>6028443</v>
      </c>
      <c r="L58" s="1057">
        <v>67.400000000000006</v>
      </c>
      <c r="M58" s="1057">
        <v>68.099999999999994</v>
      </c>
      <c r="N58" s="1057">
        <v>97.8</v>
      </c>
      <c r="O58" s="1057"/>
      <c r="P58" s="1058"/>
      <c r="Q58" s="23"/>
    </row>
    <row r="59" spans="2:17" ht="15.95" customHeight="1" x14ac:dyDescent="0.4">
      <c r="B59" s="22"/>
      <c r="C59" s="1059">
        <v>159565</v>
      </c>
      <c r="D59" s="1060">
        <v>1263925</v>
      </c>
      <c r="E59" s="1061" t="s">
        <v>287</v>
      </c>
      <c r="F59" s="1061" t="s">
        <v>9321</v>
      </c>
      <c r="G59" s="1061" t="s">
        <v>137</v>
      </c>
      <c r="H59" s="1062" t="s">
        <v>138</v>
      </c>
      <c r="I59" s="1061" t="s">
        <v>132</v>
      </c>
      <c r="J59" s="1061" t="s">
        <v>9244</v>
      </c>
      <c r="K59" s="1063">
        <v>10201960</v>
      </c>
      <c r="L59" s="1057">
        <v>46.7</v>
      </c>
      <c r="M59" s="1057">
        <v>71.3</v>
      </c>
      <c r="N59" s="1057">
        <v>80.599999999999994</v>
      </c>
      <c r="O59" s="1057"/>
      <c r="P59" s="1058"/>
      <c r="Q59" s="23"/>
    </row>
    <row r="60" spans="2:17" ht="15.95" customHeight="1" x14ac:dyDescent="0.4">
      <c r="B60" s="22"/>
      <c r="C60" s="1059">
        <v>361224</v>
      </c>
      <c r="D60" s="1064"/>
      <c r="E60" s="1065" t="s">
        <v>9397</v>
      </c>
      <c r="F60" s="1065" t="s">
        <v>9393</v>
      </c>
      <c r="G60" s="1065" t="s">
        <v>9245</v>
      </c>
      <c r="H60" s="1066" t="s">
        <v>9394</v>
      </c>
      <c r="I60" s="1065" t="s">
        <v>132</v>
      </c>
      <c r="J60" s="1065" t="s">
        <v>9246</v>
      </c>
      <c r="K60" s="1069">
        <v>3450004</v>
      </c>
      <c r="L60" s="1070"/>
      <c r="M60" s="1070"/>
      <c r="N60" s="1070"/>
      <c r="O60" s="1070"/>
      <c r="P60" s="1058"/>
      <c r="Q60" s="23"/>
    </row>
    <row r="61" spans="2:17" ht="15.95" customHeight="1" x14ac:dyDescent="0.4">
      <c r="B61" s="22"/>
      <c r="C61" s="1059">
        <v>159611</v>
      </c>
      <c r="D61" s="1060">
        <v>1263240</v>
      </c>
      <c r="E61" s="1061" t="s">
        <v>288</v>
      </c>
      <c r="F61" s="1061" t="s">
        <v>9322</v>
      </c>
      <c r="G61" s="1061" t="s">
        <v>19</v>
      </c>
      <c r="H61" s="1062" t="s">
        <v>139</v>
      </c>
      <c r="I61" s="1061" t="s">
        <v>7958</v>
      </c>
      <c r="J61" s="1061" t="s">
        <v>9247</v>
      </c>
      <c r="K61" s="1063">
        <v>9538463</v>
      </c>
      <c r="L61" s="1057">
        <v>48.4</v>
      </c>
      <c r="M61" s="1057">
        <v>60.5</v>
      </c>
      <c r="N61" s="1057">
        <v>84.3</v>
      </c>
      <c r="O61" s="1057"/>
      <c r="P61" s="1058"/>
      <c r="Q61" s="23"/>
    </row>
    <row r="62" spans="2:17" ht="15.95" customHeight="1" x14ac:dyDescent="0.4">
      <c r="B62" s="22"/>
      <c r="C62" s="1059">
        <v>159646</v>
      </c>
      <c r="D62" s="1060">
        <v>1263179</v>
      </c>
      <c r="E62" s="1061" t="s">
        <v>289</v>
      </c>
      <c r="F62" s="1061" t="s">
        <v>9323</v>
      </c>
      <c r="G62" s="1061" t="s">
        <v>19</v>
      </c>
      <c r="H62" s="1062" t="s">
        <v>141</v>
      </c>
      <c r="I62" s="1061" t="s">
        <v>140</v>
      </c>
      <c r="J62" s="1061" t="s">
        <v>142</v>
      </c>
      <c r="K62" s="1063">
        <v>3238011</v>
      </c>
      <c r="L62" s="1057">
        <v>64</v>
      </c>
      <c r="M62" s="1057">
        <v>55.8</v>
      </c>
      <c r="N62" s="1057">
        <v>87.3</v>
      </c>
      <c r="O62" s="1057"/>
      <c r="P62" s="1058"/>
      <c r="Q62" s="23"/>
    </row>
    <row r="63" spans="2:17" ht="15.95" customHeight="1" x14ac:dyDescent="0.4">
      <c r="B63" s="22"/>
      <c r="C63" s="1059">
        <v>310166</v>
      </c>
      <c r="D63" s="1060">
        <v>1264261</v>
      </c>
      <c r="E63" s="1061" t="s">
        <v>290</v>
      </c>
      <c r="F63" s="1061" t="s">
        <v>9324</v>
      </c>
      <c r="G63" s="1061" t="s">
        <v>19</v>
      </c>
      <c r="H63" s="1062" t="s">
        <v>9370</v>
      </c>
      <c r="I63" s="1061" t="s">
        <v>144</v>
      </c>
      <c r="J63" s="1061" t="s">
        <v>145</v>
      </c>
      <c r="K63" s="1063">
        <v>3310455</v>
      </c>
      <c r="L63" s="1057">
        <v>48.1</v>
      </c>
      <c r="M63" s="1057">
        <v>68</v>
      </c>
      <c r="N63" s="1057">
        <v>80.7</v>
      </c>
      <c r="O63" s="1057"/>
      <c r="P63" s="1058"/>
      <c r="Q63" s="23"/>
    </row>
    <row r="64" spans="2:17" ht="15.95" customHeight="1" x14ac:dyDescent="0.4">
      <c r="B64" s="22"/>
      <c r="C64" s="1059">
        <v>210005</v>
      </c>
      <c r="D64" s="1060">
        <v>1263827</v>
      </c>
      <c r="E64" s="1061" t="s">
        <v>146</v>
      </c>
      <c r="F64" s="1061" t="s">
        <v>9325</v>
      </c>
      <c r="G64" s="1061" t="s">
        <v>147</v>
      </c>
      <c r="H64" s="1062" t="s">
        <v>148</v>
      </c>
      <c r="I64" s="1061" t="s">
        <v>149</v>
      </c>
      <c r="J64" s="1061" t="s">
        <v>150</v>
      </c>
      <c r="K64" s="1063">
        <v>6556450</v>
      </c>
      <c r="L64" s="1057">
        <v>53</v>
      </c>
      <c r="M64" s="1057">
        <v>73.5</v>
      </c>
      <c r="N64" s="1057">
        <v>78.900000000000006</v>
      </c>
      <c r="O64" s="1057"/>
      <c r="P64" s="1058"/>
      <c r="Q64" s="23"/>
    </row>
    <row r="65" spans="2:17" ht="15.95" customHeight="1" x14ac:dyDescent="0.4">
      <c r="B65" s="22"/>
      <c r="C65" s="1059">
        <v>218588</v>
      </c>
      <c r="D65" s="1060">
        <v>1265618</v>
      </c>
      <c r="E65" s="1061" t="s">
        <v>151</v>
      </c>
      <c r="F65" s="1061" t="s">
        <v>9326</v>
      </c>
      <c r="G65" s="1061" t="s">
        <v>152</v>
      </c>
      <c r="H65" s="1062" t="s">
        <v>153</v>
      </c>
      <c r="I65" s="1061" t="s">
        <v>149</v>
      </c>
      <c r="J65" s="1061" t="s">
        <v>222</v>
      </c>
      <c r="K65" s="1063">
        <v>6595060</v>
      </c>
      <c r="L65" s="1057">
        <v>53</v>
      </c>
      <c r="M65" s="1057">
        <v>73.5</v>
      </c>
      <c r="N65" s="1057">
        <v>78.900000000000006</v>
      </c>
      <c r="O65" s="1057"/>
      <c r="P65" s="1058"/>
      <c r="Q65" s="23"/>
    </row>
    <row r="66" spans="2:17" ht="15.95" customHeight="1" x14ac:dyDescent="0.4">
      <c r="B66" s="22"/>
      <c r="C66" s="1059">
        <v>313751</v>
      </c>
      <c r="D66" s="1060">
        <v>1263842</v>
      </c>
      <c r="E66" s="1061" t="s">
        <v>8029</v>
      </c>
      <c r="F66" s="1061" t="s">
        <v>9327</v>
      </c>
      <c r="G66" s="1061" t="s">
        <v>147</v>
      </c>
      <c r="H66" s="1062" t="s">
        <v>154</v>
      </c>
      <c r="I66" s="1061" t="s">
        <v>149</v>
      </c>
      <c r="J66" s="1061" t="s">
        <v>9248</v>
      </c>
      <c r="K66" s="1063">
        <v>3449527</v>
      </c>
      <c r="L66" s="1057">
        <v>53</v>
      </c>
      <c r="M66" s="1057">
        <v>73.5</v>
      </c>
      <c r="N66" s="1057">
        <v>78.900000000000006</v>
      </c>
      <c r="O66" s="1057"/>
      <c r="P66" s="1058"/>
      <c r="Q66" s="23"/>
    </row>
    <row r="67" spans="2:17" ht="15.95" customHeight="1" x14ac:dyDescent="0.4">
      <c r="B67" s="22"/>
      <c r="C67" s="1059">
        <v>159921</v>
      </c>
      <c r="D67" s="1060">
        <v>1265824</v>
      </c>
      <c r="E67" s="1061" t="s">
        <v>155</v>
      </c>
      <c r="F67" s="1061" t="s">
        <v>9328</v>
      </c>
      <c r="G67" s="1061" t="s">
        <v>156</v>
      </c>
      <c r="H67" s="1062" t="s">
        <v>157</v>
      </c>
      <c r="I67" s="1061" t="s">
        <v>149</v>
      </c>
      <c r="J67" s="1061" t="s">
        <v>9249</v>
      </c>
      <c r="K67" s="1063">
        <v>9828005</v>
      </c>
      <c r="L67" s="1057">
        <v>53</v>
      </c>
      <c r="M67" s="1057">
        <v>73.5</v>
      </c>
      <c r="N67" s="1057">
        <v>78.900000000000006</v>
      </c>
      <c r="O67" s="1057"/>
      <c r="P67" s="1058"/>
      <c r="Q67" s="23"/>
    </row>
    <row r="68" spans="2:17" ht="15.95" customHeight="1" x14ac:dyDescent="0.4">
      <c r="B68" s="22"/>
      <c r="C68" s="1059">
        <v>159735</v>
      </c>
      <c r="D68" s="1060">
        <v>1265869</v>
      </c>
      <c r="E68" s="1061" t="s">
        <v>291</v>
      </c>
      <c r="F68" s="1061" t="s">
        <v>9329</v>
      </c>
      <c r="G68" s="1061" t="s">
        <v>158</v>
      </c>
      <c r="H68" s="1062" t="s">
        <v>159</v>
      </c>
      <c r="I68" s="1061" t="s">
        <v>149</v>
      </c>
      <c r="J68" s="1061" t="s">
        <v>160</v>
      </c>
      <c r="K68" s="1063">
        <v>3331931</v>
      </c>
      <c r="L68" s="1057">
        <v>53.9</v>
      </c>
      <c r="M68" s="1057">
        <v>82.1</v>
      </c>
      <c r="N68" s="1057">
        <v>79.5</v>
      </c>
      <c r="O68" s="1057"/>
      <c r="P68" s="1058"/>
      <c r="Q68" s="23"/>
    </row>
    <row r="69" spans="2:17" ht="15.95" customHeight="1" x14ac:dyDescent="0.4">
      <c r="B69" s="22"/>
      <c r="C69" s="1059">
        <v>159701</v>
      </c>
      <c r="D69" s="1060">
        <v>1265908</v>
      </c>
      <c r="E69" s="1061" t="s">
        <v>292</v>
      </c>
      <c r="F69" s="1061" t="s">
        <v>9330</v>
      </c>
      <c r="G69" s="1061" t="s">
        <v>158</v>
      </c>
      <c r="H69" s="1062" t="s">
        <v>161</v>
      </c>
      <c r="I69" s="1061" t="s">
        <v>149</v>
      </c>
      <c r="J69" s="1061" t="s">
        <v>9250</v>
      </c>
      <c r="K69" s="1063">
        <v>9464579</v>
      </c>
      <c r="L69" s="1057">
        <v>59.5</v>
      </c>
      <c r="M69" s="1057">
        <v>82.9</v>
      </c>
      <c r="N69" s="1057">
        <v>80.5</v>
      </c>
      <c r="O69" s="1057"/>
      <c r="P69" s="1058"/>
      <c r="Q69" s="23"/>
    </row>
    <row r="70" spans="2:17" ht="15.95" customHeight="1" x14ac:dyDescent="0.4">
      <c r="B70" s="22"/>
      <c r="C70" s="1059">
        <v>159662</v>
      </c>
      <c r="D70" s="1060">
        <v>1264009</v>
      </c>
      <c r="E70" s="1061" t="s">
        <v>293</v>
      </c>
      <c r="F70" s="1061" t="s">
        <v>9331</v>
      </c>
      <c r="G70" s="1061" t="s">
        <v>162</v>
      </c>
      <c r="H70" s="1062" t="s">
        <v>163</v>
      </c>
      <c r="I70" s="1061" t="s">
        <v>149</v>
      </c>
      <c r="J70" s="1061" t="s">
        <v>9251</v>
      </c>
      <c r="K70" s="1063">
        <v>11766581</v>
      </c>
      <c r="L70" s="1057">
        <v>56.3</v>
      </c>
      <c r="M70" s="1057">
        <v>70.7</v>
      </c>
      <c r="N70" s="1057">
        <v>79.900000000000006</v>
      </c>
      <c r="O70" s="1057"/>
      <c r="P70" s="1058"/>
      <c r="Q70" s="23"/>
    </row>
    <row r="71" spans="2:17" ht="15.95" customHeight="1" x14ac:dyDescent="0.4">
      <c r="B71" s="22"/>
      <c r="C71" s="1059">
        <v>159786</v>
      </c>
      <c r="D71" s="1060">
        <v>1263775</v>
      </c>
      <c r="E71" s="1061" t="s">
        <v>294</v>
      </c>
      <c r="F71" s="1061" t="s">
        <v>9332</v>
      </c>
      <c r="G71" s="1061" t="s">
        <v>164</v>
      </c>
      <c r="H71" s="1062" t="s">
        <v>165</v>
      </c>
      <c r="I71" s="1061" t="s">
        <v>149</v>
      </c>
      <c r="J71" s="1061" t="s">
        <v>166</v>
      </c>
      <c r="K71" s="1063">
        <v>2924827</v>
      </c>
      <c r="L71" s="1057">
        <v>51.4</v>
      </c>
      <c r="M71" s="1057">
        <v>61.2</v>
      </c>
      <c r="N71" s="1057">
        <v>72.599999999999994</v>
      </c>
      <c r="O71" s="1057"/>
      <c r="P71" s="1058"/>
      <c r="Q71" s="23"/>
    </row>
    <row r="72" spans="2:17" ht="15.95" customHeight="1" x14ac:dyDescent="0.4">
      <c r="B72" s="22"/>
      <c r="C72" s="1059">
        <v>159841</v>
      </c>
      <c r="D72" s="1060">
        <v>1265641</v>
      </c>
      <c r="E72" s="1061" t="s">
        <v>295</v>
      </c>
      <c r="F72" s="1061" t="s">
        <v>9333</v>
      </c>
      <c r="G72" s="1061" t="s">
        <v>167</v>
      </c>
      <c r="H72" s="1062" t="s">
        <v>168</v>
      </c>
      <c r="I72" s="1061" t="s">
        <v>149</v>
      </c>
      <c r="J72" s="1061" t="s">
        <v>9252</v>
      </c>
      <c r="K72" s="1063">
        <v>13034400</v>
      </c>
      <c r="L72" s="1057">
        <v>53.1</v>
      </c>
      <c r="M72" s="1057">
        <v>58.5</v>
      </c>
      <c r="N72" s="1057">
        <v>74.099999999999994</v>
      </c>
      <c r="O72" s="1057"/>
      <c r="P72" s="1058"/>
      <c r="Q72" s="23"/>
    </row>
    <row r="73" spans="2:17" ht="15.95" customHeight="1" x14ac:dyDescent="0.4">
      <c r="B73" s="22"/>
      <c r="C73" s="1059">
        <v>159867</v>
      </c>
      <c r="D73" s="1060">
        <v>1264042</v>
      </c>
      <c r="E73" s="1061" t="s">
        <v>296</v>
      </c>
      <c r="F73" s="1061" t="s">
        <v>9334</v>
      </c>
      <c r="G73" s="1061" t="s">
        <v>169</v>
      </c>
      <c r="H73" s="1062" t="s">
        <v>170</v>
      </c>
      <c r="I73" s="1061" t="s">
        <v>149</v>
      </c>
      <c r="J73" s="1061" t="s">
        <v>171</v>
      </c>
      <c r="K73" s="1063">
        <v>3308657</v>
      </c>
      <c r="L73" s="1057">
        <v>71.400000000000006</v>
      </c>
      <c r="M73" s="1057">
        <v>75.2</v>
      </c>
      <c r="N73" s="1057">
        <v>87.8</v>
      </c>
      <c r="O73" s="1057"/>
      <c r="P73" s="1058"/>
      <c r="Q73" s="23"/>
    </row>
    <row r="74" spans="2:17" ht="15.95" customHeight="1" x14ac:dyDescent="0.4">
      <c r="B74" s="22"/>
      <c r="C74" s="1059">
        <v>160261</v>
      </c>
      <c r="D74" s="1060">
        <v>1264074</v>
      </c>
      <c r="E74" s="1061" t="s">
        <v>297</v>
      </c>
      <c r="F74" s="1061" t="s">
        <v>9335</v>
      </c>
      <c r="G74" s="1061" t="s">
        <v>172</v>
      </c>
      <c r="H74" s="1062" t="s">
        <v>8143</v>
      </c>
      <c r="I74" s="1061" t="s">
        <v>149</v>
      </c>
      <c r="J74" s="1061" t="s">
        <v>173</v>
      </c>
      <c r="K74" s="1063">
        <v>2981959</v>
      </c>
      <c r="L74" s="1057">
        <v>62.6</v>
      </c>
      <c r="M74" s="1057">
        <v>63.1</v>
      </c>
      <c r="N74" s="1057">
        <v>79.599999999999994</v>
      </c>
      <c r="O74" s="1057"/>
      <c r="P74" s="1058"/>
      <c r="Q74" s="23"/>
    </row>
    <row r="75" spans="2:17" ht="15.95" customHeight="1" x14ac:dyDescent="0.4">
      <c r="B75" s="22"/>
      <c r="C75" s="1059">
        <v>159981</v>
      </c>
      <c r="D75" s="1060">
        <v>1264307</v>
      </c>
      <c r="E75" s="1061" t="s">
        <v>298</v>
      </c>
      <c r="F75" s="1061" t="s">
        <v>9336</v>
      </c>
      <c r="G75" s="1061" t="s">
        <v>152</v>
      </c>
      <c r="H75" s="1062" t="s">
        <v>174</v>
      </c>
      <c r="I75" s="1061" t="s">
        <v>149</v>
      </c>
      <c r="J75" s="1061" t="s">
        <v>175</v>
      </c>
      <c r="K75" s="1063">
        <v>10191567</v>
      </c>
      <c r="L75" s="1057">
        <v>71.400000000000006</v>
      </c>
      <c r="M75" s="1057">
        <v>75.8</v>
      </c>
      <c r="N75" s="1057">
        <v>85.6</v>
      </c>
      <c r="O75" s="1057"/>
      <c r="P75" s="1058"/>
      <c r="Q75" s="23"/>
    </row>
    <row r="76" spans="2:17" ht="15.95" customHeight="1" x14ac:dyDescent="0.4">
      <c r="B76" s="22"/>
      <c r="C76" s="1059">
        <v>160024</v>
      </c>
      <c r="D76" s="1060">
        <v>1264380</v>
      </c>
      <c r="E76" s="1061" t="s">
        <v>299</v>
      </c>
      <c r="F76" s="1061" t="s">
        <v>9337</v>
      </c>
      <c r="G76" s="1061" t="s">
        <v>176</v>
      </c>
      <c r="H76" s="1062" t="s">
        <v>177</v>
      </c>
      <c r="I76" s="1061" t="s">
        <v>149</v>
      </c>
      <c r="J76" s="1061" t="s">
        <v>178</v>
      </c>
      <c r="K76" s="1063">
        <v>3643806</v>
      </c>
      <c r="L76" s="1057">
        <v>49.2</v>
      </c>
      <c r="M76" s="1057">
        <v>79.400000000000006</v>
      </c>
      <c r="N76" s="1057">
        <v>77.3</v>
      </c>
      <c r="O76" s="1057"/>
      <c r="P76" s="1058"/>
      <c r="Q76" s="23"/>
    </row>
    <row r="77" spans="2:17" ht="15.95" customHeight="1" x14ac:dyDescent="0.4">
      <c r="B77" s="22"/>
      <c r="C77" s="1059">
        <v>160067</v>
      </c>
      <c r="D77" s="1060">
        <v>1263901</v>
      </c>
      <c r="E77" s="1061" t="s">
        <v>300</v>
      </c>
      <c r="F77" s="1061" t="s">
        <v>9338</v>
      </c>
      <c r="G77" s="1061" t="s">
        <v>179</v>
      </c>
      <c r="H77" s="1062" t="s">
        <v>180</v>
      </c>
      <c r="I77" s="1061" t="s">
        <v>149</v>
      </c>
      <c r="J77" s="1061" t="s">
        <v>9253</v>
      </c>
      <c r="K77" s="1063">
        <v>11763034</v>
      </c>
      <c r="L77" s="1057">
        <v>47.2</v>
      </c>
      <c r="M77" s="1057">
        <v>75.900000000000006</v>
      </c>
      <c r="N77" s="1057">
        <v>75.400000000000006</v>
      </c>
      <c r="O77" s="1057"/>
      <c r="P77" s="1058"/>
      <c r="Q77" s="23"/>
    </row>
    <row r="78" spans="2:17" ht="15.95" customHeight="1" x14ac:dyDescent="0.4">
      <c r="B78" s="22"/>
      <c r="C78" s="1059">
        <v>160008</v>
      </c>
      <c r="D78" s="1060">
        <v>1264467</v>
      </c>
      <c r="E78" s="1061" t="s">
        <v>301</v>
      </c>
      <c r="F78" s="1061" t="s">
        <v>9339</v>
      </c>
      <c r="G78" s="1061" t="s">
        <v>181</v>
      </c>
      <c r="H78" s="1062" t="s">
        <v>182</v>
      </c>
      <c r="I78" s="1061" t="s">
        <v>149</v>
      </c>
      <c r="J78" s="1061" t="s">
        <v>183</v>
      </c>
      <c r="K78" s="1063">
        <v>3309168</v>
      </c>
      <c r="L78" s="1057">
        <v>65.3</v>
      </c>
      <c r="M78" s="1057">
        <v>86.9</v>
      </c>
      <c r="N78" s="1057">
        <v>85.6</v>
      </c>
      <c r="O78" s="1057"/>
      <c r="P78" s="1058"/>
      <c r="Q78" s="23"/>
    </row>
    <row r="79" spans="2:17" ht="15.95" customHeight="1" x14ac:dyDescent="0.4">
      <c r="B79" s="22"/>
      <c r="C79" s="1059">
        <v>160083</v>
      </c>
      <c r="D79" s="1060">
        <v>1263902</v>
      </c>
      <c r="E79" s="1061" t="s">
        <v>302</v>
      </c>
      <c r="F79" s="1061" t="s">
        <v>9340</v>
      </c>
      <c r="G79" s="1061" t="s">
        <v>184</v>
      </c>
      <c r="H79" s="1062" t="s">
        <v>185</v>
      </c>
      <c r="I79" s="1061" t="s">
        <v>149</v>
      </c>
      <c r="J79" s="1061" t="s">
        <v>9255</v>
      </c>
      <c r="K79" s="1063">
        <v>11876497</v>
      </c>
      <c r="L79" s="1057">
        <v>58.5</v>
      </c>
      <c r="M79" s="1057">
        <v>63.1</v>
      </c>
      <c r="N79" s="1057">
        <v>73</v>
      </c>
      <c r="O79" s="1057"/>
      <c r="P79" s="1058"/>
      <c r="Q79" s="23"/>
    </row>
    <row r="80" spans="2:17" ht="15.95" customHeight="1" x14ac:dyDescent="0.4">
      <c r="B80" s="22"/>
      <c r="C80" s="1059">
        <v>160105</v>
      </c>
      <c r="D80" s="1060">
        <v>1264497</v>
      </c>
      <c r="E80" s="1061" t="s">
        <v>303</v>
      </c>
      <c r="F80" s="1061" t="s">
        <v>9341</v>
      </c>
      <c r="G80" s="1061" t="s">
        <v>186</v>
      </c>
      <c r="H80" s="1062" t="s">
        <v>187</v>
      </c>
      <c r="I80" s="1061" t="s">
        <v>149</v>
      </c>
      <c r="J80" s="1061" t="s">
        <v>188</v>
      </c>
      <c r="K80" s="1063">
        <v>11267432</v>
      </c>
      <c r="L80" s="1057">
        <v>53.4</v>
      </c>
      <c r="M80" s="1057">
        <v>74.400000000000006</v>
      </c>
      <c r="N80" s="1057">
        <v>83</v>
      </c>
      <c r="O80" s="1057"/>
      <c r="P80" s="1058"/>
      <c r="Q80" s="23"/>
    </row>
    <row r="81" spans="2:17" ht="15.95" customHeight="1" x14ac:dyDescent="0.4">
      <c r="B81" s="22"/>
      <c r="C81" s="1059">
        <v>160237</v>
      </c>
      <c r="D81" s="1060">
        <v>1263904</v>
      </c>
      <c r="E81" s="1061" t="s">
        <v>304</v>
      </c>
      <c r="F81" s="1061" t="s">
        <v>9342</v>
      </c>
      <c r="G81" s="1061" t="s">
        <v>158</v>
      </c>
      <c r="H81" s="1062" t="s">
        <v>8141</v>
      </c>
      <c r="I81" s="1061" t="s">
        <v>149</v>
      </c>
      <c r="J81" s="1061" t="s">
        <v>9256</v>
      </c>
      <c r="K81" s="1063">
        <v>11128709</v>
      </c>
      <c r="L81" s="1057">
        <v>47.6</v>
      </c>
      <c r="M81" s="1057">
        <v>71.900000000000006</v>
      </c>
      <c r="N81" s="1057">
        <v>69.3</v>
      </c>
      <c r="O81" s="1057"/>
      <c r="P81" s="1058"/>
      <c r="Q81" s="23"/>
    </row>
    <row r="82" spans="2:17" ht="15.95" customHeight="1" x14ac:dyDescent="0.4">
      <c r="B82" s="22"/>
      <c r="C82" s="1059">
        <v>160121</v>
      </c>
      <c r="D82" s="1060">
        <v>1264531</v>
      </c>
      <c r="E82" s="1061" t="s">
        <v>305</v>
      </c>
      <c r="F82" s="1061" t="s">
        <v>9343</v>
      </c>
      <c r="G82" s="1061" t="s">
        <v>189</v>
      </c>
      <c r="H82" s="1062" t="s">
        <v>190</v>
      </c>
      <c r="I82" s="1061" t="s">
        <v>149</v>
      </c>
      <c r="J82" s="1061" t="s">
        <v>9257</v>
      </c>
      <c r="K82" s="1063">
        <v>11308863</v>
      </c>
      <c r="L82" s="1057">
        <v>52.9</v>
      </c>
      <c r="M82" s="1057">
        <v>78.2</v>
      </c>
      <c r="N82" s="1057">
        <v>72.5</v>
      </c>
      <c r="O82" s="1057"/>
      <c r="P82" s="1058"/>
      <c r="Q82" s="23"/>
    </row>
    <row r="83" spans="2:17" ht="15.95" customHeight="1" x14ac:dyDescent="0.4">
      <c r="B83" s="22"/>
      <c r="C83" s="1059">
        <v>160148</v>
      </c>
      <c r="D83" s="1060">
        <v>1265995</v>
      </c>
      <c r="E83" s="1061" t="s">
        <v>306</v>
      </c>
      <c r="F83" s="1061" t="s">
        <v>9344</v>
      </c>
      <c r="G83" s="1061" t="s">
        <v>191</v>
      </c>
      <c r="H83" s="1062" t="s">
        <v>192</v>
      </c>
      <c r="I83" s="1061" t="s">
        <v>149</v>
      </c>
      <c r="J83" s="1061" t="s">
        <v>193</v>
      </c>
      <c r="K83" s="1063">
        <v>3329034</v>
      </c>
      <c r="L83" s="1057">
        <v>50.2</v>
      </c>
      <c r="M83" s="1057">
        <v>52.7</v>
      </c>
      <c r="N83" s="1057">
        <v>82</v>
      </c>
      <c r="O83" s="1057"/>
      <c r="P83" s="1058"/>
      <c r="Q83" s="23"/>
    </row>
    <row r="84" spans="2:17" ht="15.95" customHeight="1" x14ac:dyDescent="0.4">
      <c r="B84" s="22"/>
      <c r="C84" s="1059">
        <v>160164</v>
      </c>
      <c r="D84" s="1060">
        <v>1264555</v>
      </c>
      <c r="E84" s="1061" t="s">
        <v>307</v>
      </c>
      <c r="F84" s="1061" t="s">
        <v>9345</v>
      </c>
      <c r="G84" s="1061" t="s">
        <v>194</v>
      </c>
      <c r="H84" s="1062" t="s">
        <v>195</v>
      </c>
      <c r="I84" s="1061" t="s">
        <v>149</v>
      </c>
      <c r="J84" s="1061" t="s">
        <v>196</v>
      </c>
      <c r="K84" s="1063">
        <v>6535884</v>
      </c>
      <c r="L84" s="1057">
        <v>55.5</v>
      </c>
      <c r="M84" s="1057">
        <v>68.099999999999994</v>
      </c>
      <c r="N84" s="1057">
        <v>68.7</v>
      </c>
      <c r="O84" s="1057"/>
      <c r="P84" s="1058"/>
      <c r="Q84" s="23"/>
    </row>
    <row r="85" spans="2:17" ht="15.95" customHeight="1" x14ac:dyDescent="0.4">
      <c r="B85" s="22"/>
      <c r="C85" s="1059">
        <v>160172</v>
      </c>
      <c r="D85" s="1060">
        <v>1263906</v>
      </c>
      <c r="E85" s="1061" t="s">
        <v>308</v>
      </c>
      <c r="F85" s="1061" t="s">
        <v>9346</v>
      </c>
      <c r="G85" s="1061" t="s">
        <v>197</v>
      </c>
      <c r="H85" s="1062" t="s">
        <v>9387</v>
      </c>
      <c r="I85" s="1061" t="s">
        <v>149</v>
      </c>
      <c r="J85" s="1061" t="s">
        <v>9258</v>
      </c>
      <c r="K85" s="1063">
        <v>2729325</v>
      </c>
      <c r="L85" s="1057">
        <v>45.2</v>
      </c>
      <c r="M85" s="1057">
        <v>56.9</v>
      </c>
      <c r="N85" s="1057">
        <v>75.599999999999994</v>
      </c>
      <c r="O85" s="1057"/>
      <c r="P85" s="1058"/>
      <c r="Q85" s="23"/>
    </row>
    <row r="86" spans="2:17" ht="15.95" customHeight="1" x14ac:dyDescent="0.4">
      <c r="B86" s="22"/>
      <c r="C86" s="1059">
        <v>160245</v>
      </c>
      <c r="D86" s="1060">
        <v>1264689</v>
      </c>
      <c r="E86" s="1061" t="s">
        <v>309</v>
      </c>
      <c r="F86" s="1061" t="s">
        <v>9347</v>
      </c>
      <c r="G86" s="1061" t="s">
        <v>198</v>
      </c>
      <c r="H86" s="1062" t="s">
        <v>199</v>
      </c>
      <c r="I86" s="1061" t="s">
        <v>149</v>
      </c>
      <c r="J86" s="1061" t="s">
        <v>200</v>
      </c>
      <c r="K86" s="1063">
        <v>2875615</v>
      </c>
      <c r="L86" s="1057">
        <v>67.599999999999994</v>
      </c>
      <c r="M86" s="1057">
        <v>74.400000000000006</v>
      </c>
      <c r="N86" s="1057">
        <v>77.8</v>
      </c>
      <c r="O86" s="1057"/>
      <c r="P86" s="1058"/>
      <c r="Q86" s="23"/>
    </row>
    <row r="87" spans="2:17" ht="15.95" customHeight="1" x14ac:dyDescent="0.4">
      <c r="B87" s="22"/>
      <c r="C87" s="1059">
        <v>159671</v>
      </c>
      <c r="D87" s="1060">
        <v>1265725</v>
      </c>
      <c r="E87" s="1061" t="s">
        <v>310</v>
      </c>
      <c r="F87" s="1061" t="s">
        <v>9348</v>
      </c>
      <c r="G87" s="1061" t="s">
        <v>169</v>
      </c>
      <c r="H87" s="1062" t="s">
        <v>201</v>
      </c>
      <c r="I87" s="1061" t="s">
        <v>149</v>
      </c>
      <c r="J87" s="1061" t="s">
        <v>8159</v>
      </c>
      <c r="K87" s="1063">
        <v>11236056</v>
      </c>
      <c r="L87" s="1057">
        <v>44.3</v>
      </c>
      <c r="M87" s="1057">
        <v>63.3</v>
      </c>
      <c r="N87" s="1057">
        <v>88.2</v>
      </c>
      <c r="O87" s="1057"/>
      <c r="P87" s="1058"/>
      <c r="Q87" s="23"/>
    </row>
    <row r="88" spans="2:17" ht="15.95" customHeight="1" x14ac:dyDescent="0.4">
      <c r="B88" s="22"/>
      <c r="C88" s="1059">
        <v>159719</v>
      </c>
      <c r="D88" s="1060">
        <v>1264797</v>
      </c>
      <c r="E88" s="1061" t="s">
        <v>311</v>
      </c>
      <c r="F88" s="1061" t="s">
        <v>9349</v>
      </c>
      <c r="G88" s="1061" t="s">
        <v>202</v>
      </c>
      <c r="H88" s="1062" t="s">
        <v>203</v>
      </c>
      <c r="I88" s="1061" t="s">
        <v>149</v>
      </c>
      <c r="J88" s="1061" t="s">
        <v>9259</v>
      </c>
      <c r="K88" s="1063">
        <v>6584379</v>
      </c>
      <c r="L88" s="1057">
        <v>50.9</v>
      </c>
      <c r="M88" s="1057">
        <v>86.9</v>
      </c>
      <c r="N88" s="1057">
        <v>73.599999999999994</v>
      </c>
      <c r="O88" s="1057"/>
      <c r="P88" s="1058"/>
      <c r="Q88" s="23"/>
    </row>
    <row r="89" spans="2:17" ht="15.95" customHeight="1" x14ac:dyDescent="0.4">
      <c r="B89" s="22"/>
      <c r="C89" s="1059">
        <v>159751</v>
      </c>
      <c r="D89" s="1060">
        <v>1265741</v>
      </c>
      <c r="E89" s="1061" t="s">
        <v>312</v>
      </c>
      <c r="F89" s="1061" t="s">
        <v>9350</v>
      </c>
      <c r="G89" s="1061" t="s">
        <v>202</v>
      </c>
      <c r="H89" s="1062" t="s">
        <v>204</v>
      </c>
      <c r="I89" s="1061" t="s">
        <v>149</v>
      </c>
      <c r="J89" s="1061" t="s">
        <v>9260</v>
      </c>
      <c r="K89" s="1063">
        <v>11186855</v>
      </c>
      <c r="L89" s="1057">
        <v>53.5</v>
      </c>
      <c r="M89" s="1057">
        <v>62.2</v>
      </c>
      <c r="N89" s="1057">
        <v>82.5</v>
      </c>
      <c r="O89" s="1057"/>
      <c r="P89" s="1058"/>
      <c r="Q89" s="23"/>
    </row>
    <row r="90" spans="2:17" ht="15.95" customHeight="1" x14ac:dyDescent="0.4">
      <c r="B90" s="22"/>
      <c r="C90" s="1059">
        <v>159794</v>
      </c>
      <c r="D90" s="1060">
        <v>1265744</v>
      </c>
      <c r="E90" s="1061" t="s">
        <v>313</v>
      </c>
      <c r="F90" s="1061" t="s">
        <v>9351</v>
      </c>
      <c r="G90" s="1061" t="s">
        <v>158</v>
      </c>
      <c r="H90" s="1062" t="s">
        <v>205</v>
      </c>
      <c r="I90" s="1061" t="s">
        <v>149</v>
      </c>
      <c r="J90" s="1061" t="s">
        <v>9261</v>
      </c>
      <c r="K90" s="1063">
        <v>8769994</v>
      </c>
      <c r="L90" s="1057">
        <v>51.1</v>
      </c>
      <c r="M90" s="1057">
        <v>66.400000000000006</v>
      </c>
      <c r="N90" s="1057">
        <v>78.5</v>
      </c>
      <c r="O90" s="1057"/>
      <c r="P90" s="1058"/>
      <c r="Q90" s="23"/>
    </row>
    <row r="91" spans="2:17" ht="15.95" customHeight="1" x14ac:dyDescent="0.4">
      <c r="B91" s="22"/>
      <c r="C91" s="1059">
        <v>159891</v>
      </c>
      <c r="D91" s="1060">
        <v>1265755</v>
      </c>
      <c r="E91" s="1061" t="s">
        <v>314</v>
      </c>
      <c r="F91" s="1061" t="s">
        <v>9352</v>
      </c>
      <c r="G91" s="1061" t="s">
        <v>109</v>
      </c>
      <c r="H91" s="1062" t="s">
        <v>206</v>
      </c>
      <c r="I91" s="1061" t="s">
        <v>149</v>
      </c>
      <c r="J91" s="1061" t="s">
        <v>9262</v>
      </c>
      <c r="K91" s="1063">
        <v>10611499</v>
      </c>
      <c r="L91" s="1057">
        <v>50.6</v>
      </c>
      <c r="M91" s="1057">
        <v>69.5</v>
      </c>
      <c r="N91" s="1057">
        <v>76.900000000000006</v>
      </c>
      <c r="O91" s="1057"/>
      <c r="P91" s="1058"/>
      <c r="Q91" s="23"/>
    </row>
    <row r="92" spans="2:17" ht="15.95" customHeight="1" x14ac:dyDescent="0.4">
      <c r="B92" s="22"/>
      <c r="C92" s="1059">
        <v>159956</v>
      </c>
      <c r="D92" s="1060">
        <v>1264961</v>
      </c>
      <c r="E92" s="1061" t="s">
        <v>315</v>
      </c>
      <c r="F92" s="1061" t="s">
        <v>9353</v>
      </c>
      <c r="G92" s="1061" t="s">
        <v>109</v>
      </c>
      <c r="H92" s="1062" t="s">
        <v>207</v>
      </c>
      <c r="I92" s="1061" t="s">
        <v>149</v>
      </c>
      <c r="J92" s="1061" t="s">
        <v>9263</v>
      </c>
      <c r="K92" s="1063">
        <v>11311040</v>
      </c>
      <c r="L92" s="1057">
        <v>51.7</v>
      </c>
      <c r="M92" s="1057">
        <v>80.2</v>
      </c>
      <c r="N92" s="1057">
        <v>73.7</v>
      </c>
      <c r="O92" s="1057"/>
      <c r="P92" s="1058"/>
      <c r="Q92" s="23"/>
    </row>
    <row r="93" spans="2:17" ht="15.95" customHeight="1" x14ac:dyDescent="0.4">
      <c r="B93" s="22"/>
      <c r="C93" s="1059">
        <v>159972</v>
      </c>
      <c r="D93" s="1060">
        <v>1263921</v>
      </c>
      <c r="E93" s="1061" t="s">
        <v>316</v>
      </c>
      <c r="F93" s="1061" t="s">
        <v>9354</v>
      </c>
      <c r="G93" s="1061" t="s">
        <v>152</v>
      </c>
      <c r="H93" s="1062" t="s">
        <v>208</v>
      </c>
      <c r="I93" s="1061" t="s">
        <v>149</v>
      </c>
      <c r="J93" s="1061" t="s">
        <v>9265</v>
      </c>
      <c r="K93" s="1063">
        <v>8190274</v>
      </c>
      <c r="L93" s="1057">
        <v>71</v>
      </c>
      <c r="M93" s="1057">
        <v>57.7</v>
      </c>
      <c r="N93" s="1057">
        <v>89.5</v>
      </c>
      <c r="O93" s="1057"/>
      <c r="P93" s="1058"/>
      <c r="Q93" s="23"/>
    </row>
    <row r="94" spans="2:17" ht="15.95" customHeight="1" x14ac:dyDescent="0.4">
      <c r="B94" s="22"/>
      <c r="C94" s="1059">
        <v>159999</v>
      </c>
      <c r="D94" s="1060">
        <v>1264975</v>
      </c>
      <c r="E94" s="1061" t="s">
        <v>317</v>
      </c>
      <c r="F94" s="1061" t="s">
        <v>9355</v>
      </c>
      <c r="G94" s="1061" t="s">
        <v>209</v>
      </c>
      <c r="H94" s="1062" t="s">
        <v>210</v>
      </c>
      <c r="I94" s="1061" t="s">
        <v>149</v>
      </c>
      <c r="J94" s="1061" t="s">
        <v>9264</v>
      </c>
      <c r="K94" s="1063">
        <v>3907581</v>
      </c>
      <c r="L94" s="1057">
        <v>54.1</v>
      </c>
      <c r="M94" s="1057">
        <v>61.3</v>
      </c>
      <c r="N94" s="1057">
        <v>87.1</v>
      </c>
      <c r="O94" s="1057"/>
      <c r="P94" s="1058"/>
      <c r="Q94" s="23"/>
    </row>
    <row r="95" spans="2:17" ht="15.95" customHeight="1" x14ac:dyDescent="0.4">
      <c r="B95" s="22"/>
      <c r="C95" s="1059">
        <v>160016</v>
      </c>
      <c r="D95" s="1060">
        <v>1265763</v>
      </c>
      <c r="E95" s="1061" t="s">
        <v>318</v>
      </c>
      <c r="F95" s="1061" t="s">
        <v>9356</v>
      </c>
      <c r="G95" s="1061" t="s">
        <v>202</v>
      </c>
      <c r="H95" s="1062" t="s">
        <v>211</v>
      </c>
      <c r="I95" s="1061" t="s">
        <v>149</v>
      </c>
      <c r="J95" s="1061" t="s">
        <v>212</v>
      </c>
      <c r="K95" s="1063">
        <v>10963627</v>
      </c>
      <c r="L95" s="1057">
        <v>46.3</v>
      </c>
      <c r="M95" s="1057">
        <v>57.1</v>
      </c>
      <c r="N95" s="1057">
        <v>84.9</v>
      </c>
      <c r="O95" s="1057"/>
      <c r="P95" s="1058"/>
      <c r="Q95" s="23"/>
    </row>
    <row r="96" spans="2:17" ht="15.95" customHeight="1" x14ac:dyDescent="0.4">
      <c r="B96" s="22"/>
      <c r="C96" s="1059">
        <v>160059</v>
      </c>
      <c r="D96" s="1060">
        <v>1263022</v>
      </c>
      <c r="E96" s="1061" t="s">
        <v>319</v>
      </c>
      <c r="F96" s="1061" t="s">
        <v>9357</v>
      </c>
      <c r="G96" s="1061" t="s">
        <v>109</v>
      </c>
      <c r="H96" s="1062" t="s">
        <v>213</v>
      </c>
      <c r="I96" s="1061" t="s">
        <v>149</v>
      </c>
      <c r="J96" s="1061" t="s">
        <v>214</v>
      </c>
      <c r="K96" s="1063">
        <v>2501591</v>
      </c>
      <c r="L96" s="1057">
        <v>68.3</v>
      </c>
      <c r="M96" s="1057">
        <v>85.7</v>
      </c>
      <c r="N96" s="1057">
        <v>77</v>
      </c>
      <c r="O96" s="1057"/>
      <c r="P96" s="1058"/>
      <c r="Q96" s="23"/>
    </row>
    <row r="97" spans="2:17" ht="15.95" customHeight="1" x14ac:dyDescent="0.4">
      <c r="B97" s="22"/>
      <c r="C97" s="1059">
        <v>327280</v>
      </c>
      <c r="D97" s="1060">
        <v>1262921</v>
      </c>
      <c r="E97" s="1061" t="s">
        <v>320</v>
      </c>
      <c r="F97" s="1061" t="s">
        <v>9358</v>
      </c>
      <c r="G97" s="1061" t="s">
        <v>215</v>
      </c>
      <c r="H97" s="1062" t="s">
        <v>216</v>
      </c>
      <c r="I97" s="1061" t="s">
        <v>149</v>
      </c>
      <c r="J97" s="1061" t="s">
        <v>217</v>
      </c>
      <c r="K97" s="1063">
        <v>2878718</v>
      </c>
      <c r="L97" s="1057">
        <v>53</v>
      </c>
      <c r="M97" s="1057">
        <v>73.5</v>
      </c>
      <c r="N97" s="1057">
        <v>78.900000000000006</v>
      </c>
      <c r="O97" s="1057"/>
      <c r="P97" s="1058"/>
      <c r="Q97" s="23"/>
    </row>
    <row r="98" spans="2:17" ht="15.95" customHeight="1" x14ac:dyDescent="0.4">
      <c r="B98" s="22"/>
      <c r="C98" s="1059">
        <v>160075</v>
      </c>
      <c r="D98" s="1060">
        <v>1263922</v>
      </c>
      <c r="E98" s="1061" t="s">
        <v>321</v>
      </c>
      <c r="F98" s="1061" t="s">
        <v>9359</v>
      </c>
      <c r="G98" s="1061" t="s">
        <v>169</v>
      </c>
      <c r="H98" s="1062" t="s">
        <v>218</v>
      </c>
      <c r="I98" s="1061" t="s">
        <v>149</v>
      </c>
      <c r="J98" s="1061" t="s">
        <v>219</v>
      </c>
      <c r="K98" s="1063">
        <v>9770520</v>
      </c>
      <c r="L98" s="1057">
        <v>52.9</v>
      </c>
      <c r="M98" s="1057">
        <v>58.7</v>
      </c>
      <c r="N98" s="1057">
        <v>64.099999999999994</v>
      </c>
      <c r="O98" s="1057"/>
      <c r="P98" s="1058"/>
      <c r="Q98" s="23"/>
    </row>
    <row r="99" spans="2:17" ht="15.95" customHeight="1" x14ac:dyDescent="0.4">
      <c r="B99" s="22"/>
      <c r="C99" s="1059">
        <v>160091</v>
      </c>
      <c r="D99" s="1060">
        <v>1263152</v>
      </c>
      <c r="E99" s="1061" t="s">
        <v>251</v>
      </c>
      <c r="F99" s="1061" t="s">
        <v>9360</v>
      </c>
      <c r="G99" s="1061" t="s">
        <v>156</v>
      </c>
      <c r="H99" s="1062" t="s">
        <v>220</v>
      </c>
      <c r="I99" s="1061" t="s">
        <v>149</v>
      </c>
      <c r="J99" s="1061" t="s">
        <v>9266</v>
      </c>
      <c r="K99" s="1063">
        <v>8850349</v>
      </c>
      <c r="L99" s="1057">
        <v>48.4</v>
      </c>
      <c r="M99" s="1057">
        <v>58.2</v>
      </c>
      <c r="N99" s="1057">
        <v>83.1</v>
      </c>
      <c r="O99" s="1057"/>
      <c r="P99" s="1058"/>
      <c r="Q99" s="23"/>
    </row>
    <row r="100" spans="2:17" ht="15.95" customHeight="1" x14ac:dyDescent="0.4">
      <c r="B100" s="22"/>
      <c r="C100" s="1059">
        <v>160130</v>
      </c>
      <c r="D100" s="1060">
        <v>1265922</v>
      </c>
      <c r="E100" s="1061" t="s">
        <v>322</v>
      </c>
      <c r="F100" s="1061" t="s">
        <v>9361</v>
      </c>
      <c r="G100" s="1061" t="s">
        <v>215</v>
      </c>
      <c r="H100" s="1062" t="s">
        <v>221</v>
      </c>
      <c r="I100" s="1061" t="s">
        <v>149</v>
      </c>
      <c r="J100" s="1061" t="s">
        <v>9267</v>
      </c>
      <c r="K100" s="1063">
        <v>6609135</v>
      </c>
      <c r="L100" s="1057">
        <v>51.9</v>
      </c>
      <c r="M100" s="1057">
        <v>67.099999999999994</v>
      </c>
      <c r="N100" s="1057">
        <v>74</v>
      </c>
      <c r="O100" s="1057"/>
      <c r="P100" s="1058"/>
      <c r="Q100" s="23"/>
    </row>
    <row r="101" spans="2:17" ht="15.95" customHeight="1" x14ac:dyDescent="0.4">
      <c r="B101" s="22"/>
      <c r="C101" s="1059">
        <v>160156</v>
      </c>
      <c r="D101" s="1060">
        <v>1263169</v>
      </c>
      <c r="E101" s="1061" t="s">
        <v>323</v>
      </c>
      <c r="F101" s="1061" t="s">
        <v>9362</v>
      </c>
      <c r="G101" s="1061" t="s">
        <v>202</v>
      </c>
      <c r="H101" s="1062" t="s">
        <v>223</v>
      </c>
      <c r="I101" s="1061" t="s">
        <v>149</v>
      </c>
      <c r="J101" s="1061" t="s">
        <v>224</v>
      </c>
      <c r="K101" s="1063">
        <v>10656536</v>
      </c>
      <c r="L101" s="1057">
        <v>66.8</v>
      </c>
      <c r="M101" s="1057">
        <v>76.8</v>
      </c>
      <c r="N101" s="1057">
        <v>73.099999999999994</v>
      </c>
      <c r="O101" s="1057"/>
      <c r="P101" s="1058"/>
      <c r="Q101" s="23"/>
    </row>
    <row r="102" spans="2:17" ht="15.95" customHeight="1" x14ac:dyDescent="0.4">
      <c r="B102" s="22"/>
      <c r="C102" s="1059">
        <v>160253</v>
      </c>
      <c r="D102" s="1060">
        <v>1263844</v>
      </c>
      <c r="E102" s="1061" t="s">
        <v>225</v>
      </c>
      <c r="F102" s="1061" t="s">
        <v>9363</v>
      </c>
      <c r="G102" s="1061" t="s">
        <v>197</v>
      </c>
      <c r="H102" s="1062" t="s">
        <v>8167</v>
      </c>
      <c r="I102" s="1061" t="s">
        <v>149</v>
      </c>
      <c r="J102" s="1061" t="s">
        <v>9268</v>
      </c>
      <c r="K102" s="1063"/>
      <c r="L102" s="1057">
        <v>58.6</v>
      </c>
      <c r="M102" s="1057">
        <v>77.400000000000006</v>
      </c>
      <c r="N102" s="1057">
        <v>91.2</v>
      </c>
      <c r="O102" s="1057"/>
      <c r="P102" s="1058"/>
      <c r="Q102" s="23"/>
    </row>
    <row r="103" spans="2:17" ht="15.95" customHeight="1" x14ac:dyDescent="0.4">
      <c r="B103" s="22"/>
      <c r="C103" s="1059">
        <v>349321</v>
      </c>
      <c r="D103" s="1060">
        <v>1266920</v>
      </c>
      <c r="E103" s="1061" t="s">
        <v>324</v>
      </c>
      <c r="F103" s="1061" t="s">
        <v>9364</v>
      </c>
      <c r="G103" s="1061" t="s">
        <v>226</v>
      </c>
      <c r="H103" s="1062" t="s">
        <v>227</v>
      </c>
      <c r="I103" s="1061" t="s">
        <v>149</v>
      </c>
      <c r="J103" s="1061" t="s">
        <v>9254</v>
      </c>
      <c r="K103" s="1063">
        <v>11186830</v>
      </c>
      <c r="L103" s="1057">
        <v>53</v>
      </c>
      <c r="M103" s="1057">
        <v>85.4</v>
      </c>
      <c r="N103" s="1057">
        <v>80.2</v>
      </c>
      <c r="O103" s="1057"/>
      <c r="P103" s="1058"/>
      <c r="Q103" s="23"/>
    </row>
    <row r="104" spans="2:17" ht="15.95" customHeight="1" x14ac:dyDescent="0.4">
      <c r="B104" s="22"/>
      <c r="C104" s="1059">
        <v>349313</v>
      </c>
      <c r="D104" s="1060">
        <v>1266919</v>
      </c>
      <c r="E104" s="1061" t="s">
        <v>7963</v>
      </c>
      <c r="F104" s="1061" t="s">
        <v>9365</v>
      </c>
      <c r="G104" s="1061" t="s">
        <v>228</v>
      </c>
      <c r="H104" s="1062" t="s">
        <v>8166</v>
      </c>
      <c r="I104" s="1061" t="s">
        <v>149</v>
      </c>
      <c r="J104" s="1061" t="s">
        <v>8165</v>
      </c>
      <c r="K104" s="1063">
        <v>13199971</v>
      </c>
      <c r="L104" s="1057">
        <v>53</v>
      </c>
      <c r="M104" s="1057">
        <v>85.4</v>
      </c>
      <c r="N104" s="1057">
        <v>68.400000000000006</v>
      </c>
      <c r="O104" s="1057"/>
      <c r="P104" s="1058"/>
      <c r="Q104" s="23"/>
    </row>
    <row r="105" spans="2:17" ht="15.95" customHeight="1" x14ac:dyDescent="0.4">
      <c r="B105" s="22"/>
      <c r="C105" s="1059">
        <v>342556</v>
      </c>
      <c r="D105" s="1060">
        <v>1266151</v>
      </c>
      <c r="E105" s="1061" t="s">
        <v>325</v>
      </c>
      <c r="F105" s="1061" t="s">
        <v>9366</v>
      </c>
      <c r="G105" s="1061" t="s">
        <v>229</v>
      </c>
      <c r="H105" s="1062" t="s">
        <v>230</v>
      </c>
      <c r="I105" s="1061" t="s">
        <v>149</v>
      </c>
      <c r="J105" s="1061" t="s">
        <v>231</v>
      </c>
      <c r="K105" s="1063">
        <v>3796984</v>
      </c>
      <c r="L105" s="1057">
        <v>40.4</v>
      </c>
      <c r="M105" s="1057">
        <v>60.4</v>
      </c>
      <c r="N105" s="1057">
        <v>64.599999999999994</v>
      </c>
      <c r="O105" s="1057"/>
      <c r="P105" s="1058"/>
      <c r="Q105" s="23"/>
    </row>
    <row r="106" spans="2:17" ht="15.95" customHeight="1" x14ac:dyDescent="0.4">
      <c r="B106" s="22"/>
      <c r="C106" s="1059">
        <v>159310</v>
      </c>
      <c r="D106" s="1060">
        <v>1264318</v>
      </c>
      <c r="E106" s="1061" t="s">
        <v>326</v>
      </c>
      <c r="F106" s="1061" t="s">
        <v>9367</v>
      </c>
      <c r="G106" s="1061" t="s">
        <v>19</v>
      </c>
      <c r="H106" s="1062" t="s">
        <v>232</v>
      </c>
      <c r="I106" s="1061" t="s">
        <v>233</v>
      </c>
      <c r="J106" s="1061" t="s">
        <v>9269</v>
      </c>
      <c r="K106" s="1063">
        <v>10844769</v>
      </c>
      <c r="L106" s="1057">
        <v>51.4</v>
      </c>
      <c r="M106" s="1057">
        <v>67</v>
      </c>
      <c r="N106" s="1057">
        <v>71.400000000000006</v>
      </c>
      <c r="O106" s="1057"/>
      <c r="P106" s="1058"/>
      <c r="Q106" s="23"/>
    </row>
    <row r="107" spans="2:17" ht="15.95" customHeight="1" x14ac:dyDescent="0.4">
      <c r="B107" s="22"/>
      <c r="C107" s="1071">
        <v>160326</v>
      </c>
      <c r="D107" s="1072">
        <v>1264507</v>
      </c>
      <c r="E107" s="1073" t="s">
        <v>304</v>
      </c>
      <c r="F107" s="1073" t="s">
        <v>9368</v>
      </c>
      <c r="G107" s="1073" t="s">
        <v>19</v>
      </c>
      <c r="H107" s="1074" t="s">
        <v>234</v>
      </c>
      <c r="I107" s="1073" t="s">
        <v>235</v>
      </c>
      <c r="J107" s="1073" t="s">
        <v>9270</v>
      </c>
      <c r="K107" s="1075">
        <v>11313244</v>
      </c>
      <c r="L107" s="1057">
        <v>54.1</v>
      </c>
      <c r="M107" s="1057">
        <v>70.8</v>
      </c>
      <c r="N107" s="1057">
        <v>67.8</v>
      </c>
      <c r="O107" s="1057"/>
      <c r="P107" s="1058"/>
      <c r="Q107" s="23"/>
    </row>
    <row r="108" spans="2:17" ht="15.95" customHeight="1" x14ac:dyDescent="0.4">
      <c r="B108" s="22"/>
      <c r="C108" s="1039"/>
      <c r="D108" s="1040"/>
      <c r="E108" s="1041"/>
      <c r="F108" s="1041"/>
      <c r="G108" s="1041"/>
      <c r="H108" s="1042"/>
      <c r="I108" s="1041"/>
      <c r="J108" s="1041"/>
      <c r="K108" s="1043"/>
      <c r="L108" s="1044"/>
      <c r="M108" s="1044"/>
      <c r="N108" s="1044"/>
      <c r="O108" s="1044"/>
      <c r="P108" s="1045"/>
      <c r="Q108" s="23"/>
    </row>
    <row r="109" spans="2:17" ht="15.95" customHeight="1" x14ac:dyDescent="0.4">
      <c r="B109" s="22"/>
      <c r="C109" s="215"/>
      <c r="D109" s="216"/>
      <c r="E109" s="217"/>
      <c r="F109" s="217"/>
      <c r="G109" s="217"/>
      <c r="H109" s="757"/>
      <c r="I109" s="217"/>
      <c r="J109" s="217"/>
      <c r="K109" s="732"/>
      <c r="L109" s="361"/>
      <c r="M109" s="361"/>
      <c r="N109" s="361"/>
      <c r="O109" s="361"/>
      <c r="P109" s="359"/>
      <c r="Q109" s="23"/>
    </row>
    <row r="110" spans="2:17" ht="15.95" customHeight="1" x14ac:dyDescent="0.4">
      <c r="B110" s="22"/>
      <c r="C110" s="215"/>
      <c r="D110" s="216"/>
      <c r="E110" s="217"/>
      <c r="F110" s="217"/>
      <c r="G110" s="217"/>
      <c r="H110" s="757"/>
      <c r="I110" s="217"/>
      <c r="J110" s="217"/>
      <c r="K110" s="732"/>
      <c r="L110" s="361"/>
      <c r="M110" s="361"/>
      <c r="N110" s="361"/>
      <c r="O110" s="361"/>
      <c r="P110" s="359"/>
      <c r="Q110" s="23"/>
    </row>
    <row r="111" spans="2:17" ht="15.95" customHeight="1" x14ac:dyDescent="0.4">
      <c r="B111" s="22"/>
      <c r="C111" s="215"/>
      <c r="D111" s="216"/>
      <c r="E111" s="217"/>
      <c r="F111" s="217"/>
      <c r="G111" s="217"/>
      <c r="H111" s="757"/>
      <c r="I111" s="217"/>
      <c r="J111" s="217"/>
      <c r="K111" s="732"/>
      <c r="L111" s="361"/>
      <c r="M111" s="361"/>
      <c r="N111" s="361"/>
      <c r="O111" s="361"/>
      <c r="P111" s="359"/>
      <c r="Q111" s="23"/>
    </row>
    <row r="112" spans="2:17" ht="15.95" customHeight="1" x14ac:dyDescent="0.4">
      <c r="B112" s="22"/>
      <c r="C112" s="215"/>
      <c r="D112" s="216"/>
      <c r="E112" s="217"/>
      <c r="F112" s="217"/>
      <c r="G112" s="217"/>
      <c r="H112" s="757"/>
      <c r="I112" s="217"/>
      <c r="J112" s="217"/>
      <c r="K112" s="732"/>
      <c r="L112" s="361"/>
      <c r="M112" s="361"/>
      <c r="N112" s="361"/>
      <c r="O112" s="361"/>
      <c r="P112" s="359"/>
      <c r="Q112" s="23"/>
    </row>
    <row r="113" spans="2:17" ht="15.95" customHeight="1" x14ac:dyDescent="0.4">
      <c r="B113" s="22"/>
      <c r="C113" s="215"/>
      <c r="D113" s="216"/>
      <c r="E113" s="217"/>
      <c r="F113" s="217"/>
      <c r="G113" s="217"/>
      <c r="H113" s="757"/>
      <c r="I113" s="217"/>
      <c r="J113" s="217"/>
      <c r="K113" s="732"/>
      <c r="L113" s="361"/>
      <c r="M113" s="361"/>
      <c r="N113" s="361"/>
      <c r="O113" s="361"/>
      <c r="P113" s="359"/>
      <c r="Q113" s="23"/>
    </row>
    <row r="114" spans="2:17" ht="15.95" customHeight="1" x14ac:dyDescent="0.4">
      <c r="B114" s="22"/>
      <c r="C114" s="215"/>
      <c r="D114" s="216"/>
      <c r="E114" s="217"/>
      <c r="F114" s="217"/>
      <c r="G114" s="217"/>
      <c r="H114" s="757"/>
      <c r="I114" s="217"/>
      <c r="J114" s="217"/>
      <c r="K114" s="732"/>
      <c r="L114" s="361"/>
      <c r="M114" s="361"/>
      <c r="N114" s="361"/>
      <c r="O114" s="361"/>
      <c r="P114" s="359"/>
      <c r="Q114" s="23"/>
    </row>
    <row r="115" spans="2:17" ht="15.95" customHeight="1" x14ac:dyDescent="0.4">
      <c r="B115" s="22"/>
      <c r="C115" s="215"/>
      <c r="D115" s="216"/>
      <c r="E115" s="217"/>
      <c r="F115" s="217"/>
      <c r="G115" s="217"/>
      <c r="H115" s="757"/>
      <c r="I115" s="217"/>
      <c r="J115" s="217"/>
      <c r="K115" s="732"/>
      <c r="L115" s="361"/>
      <c r="M115" s="361"/>
      <c r="N115" s="361"/>
      <c r="O115" s="361"/>
      <c r="P115" s="359"/>
      <c r="Q115" s="23"/>
    </row>
    <row r="116" spans="2:17" ht="15.95" customHeight="1" x14ac:dyDescent="0.4">
      <c r="B116" s="22"/>
      <c r="C116" s="215"/>
      <c r="D116" s="216"/>
      <c r="E116" s="217"/>
      <c r="F116" s="217"/>
      <c r="G116" s="217"/>
      <c r="H116" s="757"/>
      <c r="I116" s="217"/>
      <c r="J116" s="217"/>
      <c r="K116" s="732"/>
      <c r="L116" s="361"/>
      <c r="M116" s="361"/>
      <c r="N116" s="361"/>
      <c r="O116" s="361"/>
      <c r="P116" s="359"/>
      <c r="Q116" s="23"/>
    </row>
    <row r="117" spans="2:17" ht="15.95" customHeight="1" x14ac:dyDescent="0.4">
      <c r="B117" s="22"/>
      <c r="C117" s="215"/>
      <c r="D117" s="216"/>
      <c r="E117" s="217"/>
      <c r="F117" s="217"/>
      <c r="G117" s="217"/>
      <c r="H117" s="757"/>
      <c r="I117" s="217"/>
      <c r="J117" s="217"/>
      <c r="K117" s="732"/>
      <c r="L117" s="361"/>
      <c r="M117" s="361"/>
      <c r="N117" s="361"/>
      <c r="O117" s="361"/>
      <c r="P117" s="359"/>
      <c r="Q117" s="23"/>
    </row>
    <row r="118" spans="2:17" ht="15.95" customHeight="1" x14ac:dyDescent="0.4">
      <c r="B118" s="22"/>
      <c r="C118" s="215"/>
      <c r="D118" s="216"/>
      <c r="E118" s="217"/>
      <c r="F118" s="217"/>
      <c r="G118" s="217"/>
      <c r="H118" s="757"/>
      <c r="I118" s="217"/>
      <c r="J118" s="217"/>
      <c r="K118" s="732"/>
      <c r="L118" s="361"/>
      <c r="M118" s="361"/>
      <c r="N118" s="361"/>
      <c r="O118" s="361"/>
      <c r="P118" s="359"/>
      <c r="Q118" s="23"/>
    </row>
    <row r="119" spans="2:17" ht="15.95" customHeight="1" x14ac:dyDescent="0.4">
      <c r="B119" s="22"/>
      <c r="C119" s="215"/>
      <c r="D119" s="216"/>
      <c r="E119" s="217"/>
      <c r="F119" s="217"/>
      <c r="G119" s="217"/>
      <c r="H119" s="757"/>
      <c r="I119" s="217"/>
      <c r="J119" s="217"/>
      <c r="K119" s="732"/>
      <c r="L119" s="361"/>
      <c r="M119" s="361"/>
      <c r="N119" s="361"/>
      <c r="O119" s="361"/>
      <c r="P119" s="359"/>
      <c r="Q119" s="23"/>
    </row>
    <row r="120" spans="2:17" ht="15.95" customHeight="1" x14ac:dyDescent="0.4">
      <c r="B120" s="22"/>
      <c r="C120" s="215"/>
      <c r="D120" s="216"/>
      <c r="E120" s="217"/>
      <c r="F120" s="217"/>
      <c r="G120" s="217"/>
      <c r="H120" s="757"/>
      <c r="I120" s="217"/>
      <c r="J120" s="217"/>
      <c r="K120" s="732"/>
      <c r="L120" s="361"/>
      <c r="M120" s="361"/>
      <c r="N120" s="361"/>
      <c r="O120" s="361"/>
      <c r="P120" s="359"/>
      <c r="Q120" s="23"/>
    </row>
    <row r="121" spans="2:17" ht="15.95" customHeight="1" x14ac:dyDescent="0.4">
      <c r="B121" s="22"/>
      <c r="C121" s="215"/>
      <c r="D121" s="216"/>
      <c r="E121" s="217"/>
      <c r="F121" s="217"/>
      <c r="G121" s="217"/>
      <c r="H121" s="757"/>
      <c r="I121" s="217"/>
      <c r="J121" s="217"/>
      <c r="K121" s="732"/>
      <c r="L121" s="361"/>
      <c r="M121" s="361"/>
      <c r="N121" s="361"/>
      <c r="O121" s="361"/>
      <c r="P121" s="359"/>
      <c r="Q121" s="23"/>
    </row>
    <row r="122" spans="2:17" ht="15.95" customHeight="1" x14ac:dyDescent="0.4">
      <c r="B122" s="22"/>
      <c r="C122" s="215"/>
      <c r="D122" s="216"/>
      <c r="E122" s="217"/>
      <c r="F122" s="217"/>
      <c r="G122" s="217"/>
      <c r="H122" s="757"/>
      <c r="I122" s="217"/>
      <c r="J122" s="217"/>
      <c r="K122" s="732"/>
      <c r="L122" s="361"/>
      <c r="M122" s="361"/>
      <c r="N122" s="361"/>
      <c r="O122" s="361"/>
      <c r="P122" s="359"/>
      <c r="Q122" s="23"/>
    </row>
    <row r="123" spans="2:17" ht="15.95" customHeight="1" x14ac:dyDescent="0.4">
      <c r="B123" s="22"/>
      <c r="C123" s="215"/>
      <c r="D123" s="216"/>
      <c r="E123" s="217"/>
      <c r="F123" s="217"/>
      <c r="G123" s="217"/>
      <c r="H123" s="757"/>
      <c r="I123" s="217"/>
      <c r="J123" s="217"/>
      <c r="K123" s="732"/>
      <c r="L123" s="361"/>
      <c r="M123" s="361"/>
      <c r="N123" s="361"/>
      <c r="O123" s="361"/>
      <c r="P123" s="359"/>
      <c r="Q123" s="23"/>
    </row>
    <row r="124" spans="2:17" ht="15.95" customHeight="1" x14ac:dyDescent="0.4">
      <c r="B124" s="22"/>
      <c r="C124" s="215"/>
      <c r="D124" s="216"/>
      <c r="E124" s="217"/>
      <c r="F124" s="217"/>
      <c r="G124" s="217"/>
      <c r="H124" s="757"/>
      <c r="I124" s="217"/>
      <c r="J124" s="217"/>
      <c r="K124" s="732"/>
      <c r="L124" s="361"/>
      <c r="M124" s="361"/>
      <c r="N124" s="361"/>
      <c r="O124" s="361"/>
      <c r="P124" s="359"/>
      <c r="Q124" s="23"/>
    </row>
    <row r="125" spans="2:17" ht="15.95" customHeight="1" x14ac:dyDescent="0.4">
      <c r="B125" s="22"/>
      <c r="C125" s="215"/>
      <c r="D125" s="216"/>
      <c r="E125" s="217"/>
      <c r="F125" s="217"/>
      <c r="G125" s="217"/>
      <c r="H125" s="757"/>
      <c r="I125" s="217"/>
      <c r="J125" s="217"/>
      <c r="K125" s="732"/>
      <c r="L125" s="361"/>
      <c r="M125" s="361"/>
      <c r="N125" s="361"/>
      <c r="O125" s="361"/>
      <c r="P125" s="359"/>
      <c r="Q125" s="23"/>
    </row>
    <row r="126" spans="2:17" ht="15.95" customHeight="1" x14ac:dyDescent="0.4">
      <c r="B126" s="22"/>
      <c r="C126" s="215"/>
      <c r="D126" s="216"/>
      <c r="E126" s="217"/>
      <c r="F126" s="217"/>
      <c r="G126" s="217"/>
      <c r="H126" s="757"/>
      <c r="I126" s="217"/>
      <c r="J126" s="217"/>
      <c r="K126" s="732"/>
      <c r="L126" s="361"/>
      <c r="M126" s="361"/>
      <c r="N126" s="361"/>
      <c r="O126" s="361"/>
      <c r="P126" s="359"/>
      <c r="Q126" s="23"/>
    </row>
    <row r="127" spans="2:17" ht="15.95" customHeight="1" x14ac:dyDescent="0.4">
      <c r="B127" s="22"/>
      <c r="C127" s="215"/>
      <c r="D127" s="216"/>
      <c r="E127" s="217"/>
      <c r="F127" s="217"/>
      <c r="G127" s="217"/>
      <c r="H127" s="757"/>
      <c r="I127" s="217"/>
      <c r="J127" s="217"/>
      <c r="K127" s="732"/>
      <c r="L127" s="361"/>
      <c r="M127" s="361"/>
      <c r="N127" s="361"/>
      <c r="O127" s="361"/>
      <c r="P127" s="359"/>
      <c r="Q127" s="23"/>
    </row>
    <row r="128" spans="2:17" ht="15.95" customHeight="1" x14ac:dyDescent="0.4">
      <c r="B128" s="22"/>
      <c r="C128" s="215"/>
      <c r="D128" s="216"/>
      <c r="E128" s="217"/>
      <c r="F128" s="217"/>
      <c r="G128" s="217"/>
      <c r="H128" s="757"/>
      <c r="I128" s="217"/>
      <c r="J128" s="217"/>
      <c r="K128" s="732"/>
      <c r="L128" s="361"/>
      <c r="M128" s="361"/>
      <c r="N128" s="361"/>
      <c r="O128" s="361"/>
      <c r="P128" s="359"/>
      <c r="Q128" s="23"/>
    </row>
    <row r="129" spans="2:17" ht="15.95" customHeight="1" x14ac:dyDescent="0.4">
      <c r="B129" s="22"/>
      <c r="C129" s="215"/>
      <c r="D129" s="216"/>
      <c r="E129" s="217"/>
      <c r="F129" s="217"/>
      <c r="G129" s="217"/>
      <c r="H129" s="757"/>
      <c r="I129" s="217"/>
      <c r="J129" s="217"/>
      <c r="K129" s="732"/>
      <c r="L129" s="361"/>
      <c r="M129" s="361"/>
      <c r="N129" s="361"/>
      <c r="O129" s="361"/>
      <c r="P129" s="359"/>
      <c r="Q129" s="23"/>
    </row>
    <row r="130" spans="2:17" ht="15.95" customHeight="1" x14ac:dyDescent="0.4">
      <c r="B130" s="22"/>
      <c r="C130" s="215"/>
      <c r="D130" s="216"/>
      <c r="E130" s="217"/>
      <c r="F130" s="217"/>
      <c r="G130" s="217"/>
      <c r="H130" s="757"/>
      <c r="I130" s="217"/>
      <c r="J130" s="217"/>
      <c r="K130" s="732"/>
      <c r="L130" s="361"/>
      <c r="M130" s="361"/>
      <c r="N130" s="361"/>
      <c r="O130" s="361"/>
      <c r="P130" s="359"/>
      <c r="Q130" s="23"/>
    </row>
    <row r="131" spans="2:17" ht="15.95" customHeight="1" x14ac:dyDescent="0.4">
      <c r="B131" s="22"/>
      <c r="C131" s="215"/>
      <c r="D131" s="216"/>
      <c r="E131" s="217"/>
      <c r="F131" s="217"/>
      <c r="G131" s="217"/>
      <c r="H131" s="757"/>
      <c r="I131" s="217"/>
      <c r="J131" s="217"/>
      <c r="K131" s="732"/>
      <c r="L131" s="361"/>
      <c r="M131" s="361"/>
      <c r="N131" s="361"/>
      <c r="O131" s="361"/>
      <c r="P131" s="359"/>
      <c r="Q131" s="23"/>
    </row>
    <row r="132" spans="2:17" ht="15.95" customHeight="1" x14ac:dyDescent="0.4">
      <c r="B132" s="22"/>
      <c r="C132" s="215"/>
      <c r="D132" s="216"/>
      <c r="E132" s="217"/>
      <c r="F132" s="217"/>
      <c r="G132" s="217"/>
      <c r="H132" s="757"/>
      <c r="I132" s="217"/>
      <c r="J132" s="217"/>
      <c r="K132" s="732"/>
      <c r="L132" s="361"/>
      <c r="M132" s="361"/>
      <c r="N132" s="361"/>
      <c r="O132" s="361"/>
      <c r="P132" s="359"/>
      <c r="Q132" s="23"/>
    </row>
    <row r="133" spans="2:17" ht="15.95" customHeight="1" x14ac:dyDescent="0.4">
      <c r="B133" s="22"/>
      <c r="C133" s="215"/>
      <c r="D133" s="216"/>
      <c r="E133" s="217"/>
      <c r="F133" s="217"/>
      <c r="G133" s="217"/>
      <c r="H133" s="757"/>
      <c r="I133" s="217"/>
      <c r="J133" s="217"/>
      <c r="K133" s="732"/>
      <c r="L133" s="361"/>
      <c r="M133" s="361"/>
      <c r="N133" s="361"/>
      <c r="O133" s="361"/>
      <c r="P133" s="359"/>
      <c r="Q133" s="23"/>
    </row>
    <row r="134" spans="2:17" ht="15.95" customHeight="1" x14ac:dyDescent="0.4">
      <c r="B134" s="22"/>
      <c r="C134" s="215"/>
      <c r="D134" s="216"/>
      <c r="E134" s="217"/>
      <c r="F134" s="217"/>
      <c r="G134" s="217"/>
      <c r="H134" s="757"/>
      <c r="I134" s="217"/>
      <c r="J134" s="217"/>
      <c r="K134" s="732"/>
      <c r="L134" s="361"/>
      <c r="M134" s="361"/>
      <c r="N134" s="361"/>
      <c r="O134" s="361"/>
      <c r="P134" s="359"/>
      <c r="Q134" s="23"/>
    </row>
    <row r="135" spans="2:17" ht="15.95" customHeight="1" x14ac:dyDescent="0.4">
      <c r="B135" s="22"/>
      <c r="C135" s="215"/>
      <c r="D135" s="216"/>
      <c r="E135" s="217"/>
      <c r="F135" s="217"/>
      <c r="G135" s="217"/>
      <c r="H135" s="757"/>
      <c r="I135" s="217"/>
      <c r="J135" s="217"/>
      <c r="K135" s="732"/>
      <c r="L135" s="361"/>
      <c r="M135" s="361"/>
      <c r="N135" s="361"/>
      <c r="O135" s="361"/>
      <c r="P135" s="359"/>
      <c r="Q135" s="23"/>
    </row>
    <row r="136" spans="2:17" ht="15.95" customHeight="1" x14ac:dyDescent="0.4">
      <c r="B136" s="22"/>
      <c r="C136" s="215"/>
      <c r="D136" s="216"/>
      <c r="E136" s="217"/>
      <c r="F136" s="217"/>
      <c r="G136" s="217"/>
      <c r="H136" s="757"/>
      <c r="I136" s="217"/>
      <c r="J136" s="217"/>
      <c r="K136" s="732"/>
      <c r="L136" s="361"/>
      <c r="M136" s="361"/>
      <c r="N136" s="361"/>
      <c r="O136" s="361"/>
      <c r="P136" s="359"/>
      <c r="Q136" s="23"/>
    </row>
    <row r="137" spans="2:17" ht="15.95" customHeight="1" x14ac:dyDescent="0.4">
      <c r="B137" s="22"/>
      <c r="C137" s="215"/>
      <c r="D137" s="216"/>
      <c r="E137" s="217"/>
      <c r="F137" s="217"/>
      <c r="G137" s="217"/>
      <c r="H137" s="757"/>
      <c r="I137" s="217"/>
      <c r="J137" s="217"/>
      <c r="K137" s="732"/>
      <c r="L137" s="361"/>
      <c r="M137" s="361"/>
      <c r="N137" s="361"/>
      <c r="O137" s="361"/>
      <c r="P137" s="359"/>
      <c r="Q137" s="23"/>
    </row>
    <row r="138" spans="2:17" ht="15.95" customHeight="1" x14ac:dyDescent="0.4">
      <c r="B138" s="22"/>
      <c r="C138" s="215"/>
      <c r="D138" s="216"/>
      <c r="E138" s="217"/>
      <c r="F138" s="217"/>
      <c r="G138" s="217"/>
      <c r="H138" s="757"/>
      <c r="I138" s="217"/>
      <c r="J138" s="217"/>
      <c r="K138" s="732"/>
      <c r="L138" s="361"/>
      <c r="M138" s="361"/>
      <c r="N138" s="361"/>
      <c r="O138" s="361"/>
      <c r="P138" s="359"/>
      <c r="Q138" s="23"/>
    </row>
    <row r="139" spans="2:17" ht="15.95" customHeight="1" x14ac:dyDescent="0.4">
      <c r="B139" s="22"/>
      <c r="C139" s="215"/>
      <c r="D139" s="216"/>
      <c r="E139" s="217"/>
      <c r="F139" s="217"/>
      <c r="G139" s="217"/>
      <c r="H139" s="757"/>
      <c r="I139" s="217"/>
      <c r="J139" s="217"/>
      <c r="K139" s="732"/>
      <c r="L139" s="361"/>
      <c r="M139" s="361"/>
      <c r="N139" s="361"/>
      <c r="O139" s="361"/>
      <c r="P139" s="359"/>
      <c r="Q139" s="23"/>
    </row>
    <row r="140" spans="2:17" ht="15.95" customHeight="1" x14ac:dyDescent="0.4">
      <c r="B140" s="22"/>
      <c r="C140" s="215"/>
      <c r="D140" s="216"/>
      <c r="E140" s="217"/>
      <c r="F140" s="217"/>
      <c r="G140" s="217"/>
      <c r="H140" s="757"/>
      <c r="I140" s="217"/>
      <c r="J140" s="217"/>
      <c r="K140" s="732"/>
      <c r="L140" s="361"/>
      <c r="M140" s="361"/>
      <c r="N140" s="361"/>
      <c r="O140" s="361"/>
      <c r="P140" s="359"/>
      <c r="Q140" s="23"/>
    </row>
    <row r="141" spans="2:17" ht="15.95" customHeight="1" x14ac:dyDescent="0.4">
      <c r="B141" s="22"/>
      <c r="C141" s="215"/>
      <c r="D141" s="216"/>
      <c r="E141" s="217"/>
      <c r="F141" s="217"/>
      <c r="G141" s="217"/>
      <c r="H141" s="757"/>
      <c r="I141" s="217"/>
      <c r="J141" s="217"/>
      <c r="K141" s="732"/>
      <c r="L141" s="361"/>
      <c r="M141" s="361"/>
      <c r="N141" s="361"/>
      <c r="O141" s="361"/>
      <c r="P141" s="359"/>
      <c r="Q141" s="23"/>
    </row>
    <row r="142" spans="2:17" ht="15.95" customHeight="1" x14ac:dyDescent="0.4">
      <c r="B142" s="22"/>
      <c r="C142" s="215"/>
      <c r="D142" s="216"/>
      <c r="E142" s="217"/>
      <c r="F142" s="217"/>
      <c r="G142" s="217"/>
      <c r="H142" s="757"/>
      <c r="I142" s="217"/>
      <c r="J142" s="217"/>
      <c r="K142" s="732"/>
      <c r="L142" s="361"/>
      <c r="M142" s="361"/>
      <c r="N142" s="361"/>
      <c r="O142" s="361"/>
      <c r="P142" s="359"/>
      <c r="Q142" s="23"/>
    </row>
    <row r="143" spans="2:17" ht="15.95" customHeight="1" x14ac:dyDescent="0.4">
      <c r="B143" s="22"/>
      <c r="C143" s="215"/>
      <c r="D143" s="216"/>
      <c r="E143" s="217"/>
      <c r="F143" s="217"/>
      <c r="G143" s="217"/>
      <c r="H143" s="757"/>
      <c r="I143" s="217"/>
      <c r="J143" s="217"/>
      <c r="K143" s="732"/>
      <c r="L143" s="361"/>
      <c r="M143" s="361"/>
      <c r="N143" s="361"/>
      <c r="O143" s="361"/>
      <c r="P143" s="359"/>
      <c r="Q143" s="23"/>
    </row>
    <row r="144" spans="2:17" ht="15.95" customHeight="1" x14ac:dyDescent="0.4">
      <c r="B144" s="22"/>
      <c r="C144" s="215"/>
      <c r="D144" s="216"/>
      <c r="E144" s="217"/>
      <c r="F144" s="217"/>
      <c r="G144" s="217"/>
      <c r="H144" s="757"/>
      <c r="I144" s="217"/>
      <c r="J144" s="217"/>
      <c r="K144" s="732"/>
      <c r="L144" s="361"/>
      <c r="M144" s="361"/>
      <c r="N144" s="361"/>
      <c r="O144" s="361"/>
      <c r="P144" s="359"/>
      <c r="Q144" s="23"/>
    </row>
    <row r="145" spans="2:17" ht="15.95" customHeight="1" x14ac:dyDescent="0.4">
      <c r="B145" s="22"/>
      <c r="C145" s="215"/>
      <c r="D145" s="216"/>
      <c r="E145" s="217"/>
      <c r="F145" s="217"/>
      <c r="G145" s="217"/>
      <c r="H145" s="757"/>
      <c r="I145" s="217"/>
      <c r="J145" s="217"/>
      <c r="K145" s="732"/>
      <c r="L145" s="361"/>
      <c r="M145" s="361"/>
      <c r="N145" s="361"/>
      <c r="O145" s="361"/>
      <c r="P145" s="359"/>
      <c r="Q145" s="23"/>
    </row>
    <row r="146" spans="2:17" ht="15.95" customHeight="1" x14ac:dyDescent="0.4">
      <c r="B146" s="22"/>
      <c r="C146" s="215"/>
      <c r="D146" s="216"/>
      <c r="E146" s="217"/>
      <c r="F146" s="217"/>
      <c r="G146" s="217"/>
      <c r="H146" s="757"/>
      <c r="I146" s="217"/>
      <c r="J146" s="217"/>
      <c r="K146" s="732"/>
      <c r="L146" s="361"/>
      <c r="M146" s="361"/>
      <c r="N146" s="361"/>
      <c r="O146" s="361"/>
      <c r="P146" s="359"/>
      <c r="Q146" s="23"/>
    </row>
    <row r="147" spans="2:17" ht="15.95" customHeight="1" x14ac:dyDescent="0.4">
      <c r="B147" s="22"/>
      <c r="C147" s="215"/>
      <c r="D147" s="216"/>
      <c r="E147" s="217"/>
      <c r="F147" s="217"/>
      <c r="G147" s="217"/>
      <c r="H147" s="757"/>
      <c r="I147" s="217"/>
      <c r="J147" s="217"/>
      <c r="K147" s="732"/>
      <c r="L147" s="361"/>
      <c r="M147" s="361"/>
      <c r="N147" s="361"/>
      <c r="O147" s="361"/>
      <c r="P147" s="359"/>
      <c r="Q147" s="23"/>
    </row>
    <row r="148" spans="2:17" ht="15.95" customHeight="1" x14ac:dyDescent="0.4">
      <c r="B148" s="22"/>
      <c r="C148" s="215"/>
      <c r="D148" s="216"/>
      <c r="E148" s="217"/>
      <c r="F148" s="217"/>
      <c r="G148" s="217"/>
      <c r="H148" s="757"/>
      <c r="I148" s="217"/>
      <c r="J148" s="217"/>
      <c r="K148" s="732"/>
      <c r="L148" s="361"/>
      <c r="M148" s="361"/>
      <c r="N148" s="361"/>
      <c r="O148" s="361"/>
      <c r="P148" s="359"/>
      <c r="Q148" s="23"/>
    </row>
    <row r="149" spans="2:17" ht="15.95" customHeight="1" x14ac:dyDescent="0.4">
      <c r="B149" s="22"/>
      <c r="C149" s="215"/>
      <c r="D149" s="216"/>
      <c r="E149" s="217"/>
      <c r="F149" s="217"/>
      <c r="G149" s="217"/>
      <c r="H149" s="757"/>
      <c r="I149" s="217"/>
      <c r="J149" s="217"/>
      <c r="K149" s="732"/>
      <c r="L149" s="361"/>
      <c r="M149" s="361"/>
      <c r="N149" s="361"/>
      <c r="O149" s="361"/>
      <c r="P149" s="359"/>
      <c r="Q149" s="23"/>
    </row>
    <row r="150" spans="2:17" ht="15.95" customHeight="1" x14ac:dyDescent="0.4">
      <c r="B150" s="22"/>
      <c r="C150" s="215"/>
      <c r="D150" s="216"/>
      <c r="E150" s="217"/>
      <c r="F150" s="217"/>
      <c r="G150" s="217"/>
      <c r="H150" s="757"/>
      <c r="I150" s="217"/>
      <c r="J150" s="217"/>
      <c r="K150" s="732"/>
      <c r="L150" s="361"/>
      <c r="M150" s="361"/>
      <c r="N150" s="361"/>
      <c r="O150" s="361"/>
      <c r="P150" s="359"/>
      <c r="Q150" s="23"/>
    </row>
    <row r="151" spans="2:17" ht="15.95" customHeight="1" x14ac:dyDescent="0.4">
      <c r="B151" s="22"/>
      <c r="C151" s="215"/>
      <c r="D151" s="216"/>
      <c r="E151" s="217"/>
      <c r="F151" s="217"/>
      <c r="G151" s="217"/>
      <c r="H151" s="757"/>
      <c r="I151" s="217"/>
      <c r="J151" s="217"/>
      <c r="K151" s="732"/>
      <c r="L151" s="361"/>
      <c r="M151" s="361"/>
      <c r="N151" s="361"/>
      <c r="O151" s="361"/>
      <c r="P151" s="359"/>
      <c r="Q151" s="23"/>
    </row>
    <row r="152" spans="2:17" ht="15.95" customHeight="1" x14ac:dyDescent="0.4">
      <c r="B152" s="22"/>
      <c r="C152" s="215"/>
      <c r="D152" s="216"/>
      <c r="E152" s="217"/>
      <c r="F152" s="217"/>
      <c r="G152" s="217"/>
      <c r="H152" s="757"/>
      <c r="I152" s="217"/>
      <c r="J152" s="217"/>
      <c r="K152" s="732"/>
      <c r="L152" s="361"/>
      <c r="M152" s="361"/>
      <c r="N152" s="361"/>
      <c r="O152" s="361"/>
      <c r="P152" s="359"/>
      <c r="Q152" s="23"/>
    </row>
    <row r="153" spans="2:17" ht="15.95" customHeight="1" x14ac:dyDescent="0.4">
      <c r="B153" s="22"/>
      <c r="C153" s="215"/>
      <c r="D153" s="216"/>
      <c r="E153" s="217"/>
      <c r="F153" s="217"/>
      <c r="G153" s="217"/>
      <c r="H153" s="757"/>
      <c r="I153" s="217"/>
      <c r="J153" s="217"/>
      <c r="K153" s="732"/>
      <c r="L153" s="361"/>
      <c r="M153" s="361"/>
      <c r="N153" s="361"/>
      <c r="O153" s="361"/>
      <c r="P153" s="359"/>
      <c r="Q153" s="23"/>
    </row>
    <row r="154" spans="2:17" ht="15.95" customHeight="1" x14ac:dyDescent="0.4">
      <c r="B154" s="22"/>
      <c r="C154" s="215"/>
      <c r="D154" s="216"/>
      <c r="E154" s="217"/>
      <c r="F154" s="217"/>
      <c r="G154" s="217"/>
      <c r="H154" s="757"/>
      <c r="I154" s="217"/>
      <c r="J154" s="217"/>
      <c r="K154" s="732"/>
      <c r="L154" s="361"/>
      <c r="M154" s="361"/>
      <c r="N154" s="361"/>
      <c r="O154" s="361"/>
      <c r="P154" s="359"/>
      <c r="Q154" s="23"/>
    </row>
    <row r="155" spans="2:17" ht="15.95" customHeight="1" x14ac:dyDescent="0.4">
      <c r="B155" s="22"/>
      <c r="C155" s="215"/>
      <c r="D155" s="216"/>
      <c r="E155" s="217"/>
      <c r="F155" s="217"/>
      <c r="G155" s="217"/>
      <c r="H155" s="757"/>
      <c r="I155" s="217"/>
      <c r="J155" s="217"/>
      <c r="K155" s="732"/>
      <c r="L155" s="361"/>
      <c r="M155" s="361"/>
      <c r="N155" s="361"/>
      <c r="O155" s="361"/>
      <c r="P155" s="359"/>
      <c r="Q155" s="23"/>
    </row>
    <row r="156" spans="2:17" ht="15.95" customHeight="1" x14ac:dyDescent="0.4">
      <c r="B156" s="22"/>
      <c r="C156" s="215"/>
      <c r="D156" s="216"/>
      <c r="E156" s="217"/>
      <c r="F156" s="217"/>
      <c r="G156" s="217"/>
      <c r="H156" s="757"/>
      <c r="I156" s="217"/>
      <c r="J156" s="217"/>
      <c r="K156" s="732"/>
      <c r="L156" s="361"/>
      <c r="M156" s="361"/>
      <c r="N156" s="361"/>
      <c r="O156" s="361"/>
      <c r="P156" s="359"/>
      <c r="Q156" s="23"/>
    </row>
    <row r="157" spans="2:17" ht="15.95" customHeight="1" x14ac:dyDescent="0.4">
      <c r="B157" s="22"/>
      <c r="C157" s="215"/>
      <c r="D157" s="216"/>
      <c r="E157" s="217"/>
      <c r="F157" s="217"/>
      <c r="G157" s="217"/>
      <c r="H157" s="757"/>
      <c r="I157" s="217"/>
      <c r="J157" s="217"/>
      <c r="K157" s="732"/>
      <c r="L157" s="361"/>
      <c r="M157" s="361"/>
      <c r="N157" s="361"/>
      <c r="O157" s="361"/>
      <c r="P157" s="359"/>
      <c r="Q157" s="23"/>
    </row>
    <row r="158" spans="2:17" ht="15.95" customHeight="1" x14ac:dyDescent="0.4">
      <c r="B158" s="22"/>
      <c r="C158" s="215"/>
      <c r="D158" s="216"/>
      <c r="E158" s="217"/>
      <c r="F158" s="217"/>
      <c r="G158" s="217"/>
      <c r="H158" s="757"/>
      <c r="I158" s="217"/>
      <c r="J158" s="217"/>
      <c r="K158" s="732"/>
      <c r="L158" s="361"/>
      <c r="M158" s="361"/>
      <c r="N158" s="361"/>
      <c r="O158" s="361"/>
      <c r="P158" s="359"/>
      <c r="Q158" s="23"/>
    </row>
    <row r="159" spans="2:17" ht="15.95" customHeight="1" x14ac:dyDescent="0.4">
      <c r="B159" s="22"/>
      <c r="C159" s="215"/>
      <c r="D159" s="216"/>
      <c r="E159" s="217"/>
      <c r="F159" s="217"/>
      <c r="G159" s="217"/>
      <c r="H159" s="757"/>
      <c r="I159" s="217"/>
      <c r="J159" s="217"/>
      <c r="K159" s="732"/>
      <c r="L159" s="361"/>
      <c r="M159" s="361"/>
      <c r="N159" s="361"/>
      <c r="O159" s="361"/>
      <c r="P159" s="359"/>
      <c r="Q159" s="23"/>
    </row>
    <row r="160" spans="2:17" ht="15.95" customHeight="1" x14ac:dyDescent="0.4">
      <c r="B160" s="22"/>
      <c r="C160" s="215"/>
      <c r="D160" s="216"/>
      <c r="E160" s="217"/>
      <c r="F160" s="217"/>
      <c r="G160" s="217"/>
      <c r="H160" s="757"/>
      <c r="I160" s="217"/>
      <c r="J160" s="217"/>
      <c r="K160" s="732"/>
      <c r="L160" s="361"/>
      <c r="M160" s="361"/>
      <c r="N160" s="361"/>
      <c r="O160" s="361"/>
      <c r="P160" s="359"/>
      <c r="Q160" s="23"/>
    </row>
    <row r="161" spans="2:17" ht="15.95" customHeight="1" x14ac:dyDescent="0.4">
      <c r="B161" s="22"/>
      <c r="C161" s="215"/>
      <c r="D161" s="216"/>
      <c r="E161" s="217"/>
      <c r="F161" s="217"/>
      <c r="G161" s="217"/>
      <c r="H161" s="757"/>
      <c r="I161" s="217"/>
      <c r="J161" s="217"/>
      <c r="K161" s="732"/>
      <c r="L161" s="361"/>
      <c r="M161" s="361"/>
      <c r="N161" s="361"/>
      <c r="O161" s="361"/>
      <c r="P161" s="359"/>
      <c r="Q161" s="23"/>
    </row>
    <row r="162" spans="2:17" ht="15.95" customHeight="1" x14ac:dyDescent="0.4">
      <c r="B162" s="22"/>
      <c r="C162" s="215"/>
      <c r="D162" s="216"/>
      <c r="E162" s="217"/>
      <c r="F162" s="217"/>
      <c r="G162" s="217"/>
      <c r="H162" s="757"/>
      <c r="I162" s="217"/>
      <c r="J162" s="217"/>
      <c r="K162" s="732"/>
      <c r="L162" s="361"/>
      <c r="M162" s="361"/>
      <c r="N162" s="361"/>
      <c r="O162" s="361"/>
      <c r="P162" s="359"/>
      <c r="Q162" s="23"/>
    </row>
    <row r="163" spans="2:17" ht="15.95" customHeight="1" x14ac:dyDescent="0.4">
      <c r="B163" s="22"/>
      <c r="C163" s="215"/>
      <c r="D163" s="216"/>
      <c r="E163" s="217"/>
      <c r="F163" s="217"/>
      <c r="G163" s="217"/>
      <c r="H163" s="757"/>
      <c r="I163" s="217"/>
      <c r="J163" s="217"/>
      <c r="K163" s="732"/>
      <c r="L163" s="361"/>
      <c r="M163" s="361"/>
      <c r="N163" s="361"/>
      <c r="O163" s="361"/>
      <c r="P163" s="359"/>
      <c r="Q163" s="23"/>
    </row>
    <row r="164" spans="2:17" ht="15.95" customHeight="1" x14ac:dyDescent="0.4">
      <c r="B164" s="22"/>
      <c r="C164" s="215"/>
      <c r="D164" s="216"/>
      <c r="E164" s="217"/>
      <c r="F164" s="217"/>
      <c r="G164" s="217"/>
      <c r="H164" s="757"/>
      <c r="I164" s="217"/>
      <c r="J164" s="217"/>
      <c r="K164" s="732"/>
      <c r="L164" s="361"/>
      <c r="M164" s="361"/>
      <c r="N164" s="361"/>
      <c r="O164" s="361"/>
      <c r="P164" s="359"/>
      <c r="Q164" s="23"/>
    </row>
    <row r="165" spans="2:17" ht="15.95" customHeight="1" x14ac:dyDescent="0.4">
      <c r="B165" s="22"/>
      <c r="C165" s="215"/>
      <c r="D165" s="216"/>
      <c r="E165" s="217"/>
      <c r="F165" s="217"/>
      <c r="G165" s="217"/>
      <c r="H165" s="757"/>
      <c r="I165" s="217"/>
      <c r="J165" s="217"/>
      <c r="K165" s="732"/>
      <c r="L165" s="361"/>
      <c r="M165" s="361"/>
      <c r="N165" s="361"/>
      <c r="O165" s="361"/>
      <c r="P165" s="359"/>
      <c r="Q165" s="23"/>
    </row>
    <row r="166" spans="2:17" ht="15.95" customHeight="1" x14ac:dyDescent="0.4">
      <c r="B166" s="22"/>
      <c r="C166" s="215"/>
      <c r="D166" s="216"/>
      <c r="E166" s="217"/>
      <c r="F166" s="217"/>
      <c r="G166" s="217"/>
      <c r="H166" s="757"/>
      <c r="I166" s="217"/>
      <c r="J166" s="217"/>
      <c r="K166" s="732"/>
      <c r="L166" s="361"/>
      <c r="M166" s="361"/>
      <c r="N166" s="361"/>
      <c r="O166" s="361"/>
      <c r="P166" s="359"/>
      <c r="Q166" s="23"/>
    </row>
    <row r="167" spans="2:17" ht="15.95" customHeight="1" x14ac:dyDescent="0.4">
      <c r="B167" s="22"/>
      <c r="C167" s="215"/>
      <c r="D167" s="216"/>
      <c r="E167" s="217"/>
      <c r="F167" s="217"/>
      <c r="G167" s="217"/>
      <c r="H167" s="757"/>
      <c r="I167" s="217"/>
      <c r="J167" s="217"/>
      <c r="K167" s="732"/>
      <c r="L167" s="361"/>
      <c r="M167" s="361"/>
      <c r="N167" s="361"/>
      <c r="O167" s="361"/>
      <c r="P167" s="359"/>
      <c r="Q167" s="23"/>
    </row>
    <row r="168" spans="2:17" ht="15.95" customHeight="1" x14ac:dyDescent="0.4">
      <c r="B168" s="22"/>
      <c r="C168" s="215"/>
      <c r="D168" s="216"/>
      <c r="E168" s="217"/>
      <c r="F168" s="217"/>
      <c r="G168" s="217"/>
      <c r="H168" s="757"/>
      <c r="I168" s="217"/>
      <c r="J168" s="217"/>
      <c r="K168" s="732"/>
      <c r="L168" s="361"/>
      <c r="M168" s="361"/>
      <c r="N168" s="361"/>
      <c r="O168" s="361"/>
      <c r="P168" s="359"/>
      <c r="Q168" s="23"/>
    </row>
    <row r="169" spans="2:17" ht="15.95" customHeight="1" x14ac:dyDescent="0.4">
      <c r="B169" s="22"/>
      <c r="C169" s="215"/>
      <c r="D169" s="216"/>
      <c r="E169" s="217"/>
      <c r="F169" s="217"/>
      <c r="G169" s="217"/>
      <c r="H169" s="757"/>
      <c r="I169" s="217"/>
      <c r="J169" s="217"/>
      <c r="K169" s="732"/>
      <c r="L169" s="361"/>
      <c r="M169" s="361"/>
      <c r="N169" s="361"/>
      <c r="O169" s="361"/>
      <c r="P169" s="359"/>
      <c r="Q169" s="23"/>
    </row>
    <row r="170" spans="2:17" ht="15.95" customHeight="1" x14ac:dyDescent="0.4">
      <c r="B170" s="22"/>
      <c r="C170" s="215"/>
      <c r="D170" s="216"/>
      <c r="E170" s="217"/>
      <c r="F170" s="217"/>
      <c r="G170" s="217"/>
      <c r="H170" s="757"/>
      <c r="I170" s="217"/>
      <c r="J170" s="217"/>
      <c r="K170" s="732"/>
      <c r="L170" s="361"/>
      <c r="M170" s="361"/>
      <c r="N170" s="361"/>
      <c r="O170" s="361"/>
      <c r="P170" s="359"/>
      <c r="Q170" s="23"/>
    </row>
    <row r="171" spans="2:17" ht="15.95" customHeight="1" x14ac:dyDescent="0.4">
      <c r="B171" s="22"/>
      <c r="C171" s="215"/>
      <c r="D171" s="216"/>
      <c r="E171" s="217"/>
      <c r="F171" s="217"/>
      <c r="G171" s="217"/>
      <c r="H171" s="757"/>
      <c r="I171" s="217"/>
      <c r="J171" s="217"/>
      <c r="K171" s="732"/>
      <c r="L171" s="361"/>
      <c r="M171" s="361"/>
      <c r="N171" s="361"/>
      <c r="O171" s="361"/>
      <c r="P171" s="359"/>
      <c r="Q171" s="23"/>
    </row>
    <row r="172" spans="2:17" ht="15.95" customHeight="1" x14ac:dyDescent="0.4">
      <c r="B172" s="22"/>
      <c r="C172" s="215"/>
      <c r="D172" s="216"/>
      <c r="E172" s="217"/>
      <c r="F172" s="217"/>
      <c r="G172" s="217"/>
      <c r="H172" s="757"/>
      <c r="I172" s="217"/>
      <c r="J172" s="217"/>
      <c r="K172" s="732"/>
      <c r="L172" s="361"/>
      <c r="M172" s="361"/>
      <c r="N172" s="361"/>
      <c r="O172" s="361"/>
      <c r="P172" s="359"/>
      <c r="Q172" s="23"/>
    </row>
    <row r="173" spans="2:17" ht="15.95" customHeight="1" x14ac:dyDescent="0.4">
      <c r="B173" s="22"/>
      <c r="C173" s="215"/>
      <c r="D173" s="216"/>
      <c r="E173" s="217"/>
      <c r="F173" s="217"/>
      <c r="G173" s="217"/>
      <c r="H173" s="757"/>
      <c r="I173" s="217"/>
      <c r="J173" s="217"/>
      <c r="K173" s="732"/>
      <c r="L173" s="361"/>
      <c r="M173" s="361"/>
      <c r="N173" s="361"/>
      <c r="O173" s="361"/>
      <c r="P173" s="359"/>
      <c r="Q173" s="23"/>
    </row>
    <row r="174" spans="2:17" ht="15.95" customHeight="1" x14ac:dyDescent="0.4">
      <c r="B174" s="22"/>
      <c r="C174" s="215"/>
      <c r="D174" s="216"/>
      <c r="E174" s="217"/>
      <c r="F174" s="217"/>
      <c r="G174" s="217"/>
      <c r="H174" s="757"/>
      <c r="I174" s="217"/>
      <c r="J174" s="217"/>
      <c r="K174" s="732"/>
      <c r="L174" s="361"/>
      <c r="M174" s="361"/>
      <c r="N174" s="361"/>
      <c r="O174" s="361"/>
      <c r="P174" s="359"/>
      <c r="Q174" s="23"/>
    </row>
    <row r="175" spans="2:17" ht="15.95" customHeight="1" x14ac:dyDescent="0.4">
      <c r="B175" s="22"/>
      <c r="C175" s="215"/>
      <c r="D175" s="216"/>
      <c r="E175" s="217"/>
      <c r="F175" s="217"/>
      <c r="G175" s="217"/>
      <c r="H175" s="757"/>
      <c r="I175" s="217"/>
      <c r="J175" s="217"/>
      <c r="K175" s="732"/>
      <c r="L175" s="361"/>
      <c r="M175" s="361"/>
      <c r="N175" s="361"/>
      <c r="O175" s="361"/>
      <c r="P175" s="359"/>
      <c r="Q175" s="23"/>
    </row>
    <row r="176" spans="2:17" ht="15.95" customHeight="1" x14ac:dyDescent="0.4">
      <c r="B176" s="22"/>
      <c r="C176" s="215"/>
      <c r="D176" s="216"/>
      <c r="E176" s="217"/>
      <c r="F176" s="217"/>
      <c r="G176" s="217"/>
      <c r="H176" s="757"/>
      <c r="I176" s="217"/>
      <c r="J176" s="217"/>
      <c r="K176" s="732"/>
      <c r="L176" s="361"/>
      <c r="M176" s="361"/>
      <c r="N176" s="361"/>
      <c r="O176" s="361"/>
      <c r="P176" s="359"/>
      <c r="Q176" s="23"/>
    </row>
    <row r="177" spans="2:17" ht="15.95" customHeight="1" x14ac:dyDescent="0.4">
      <c r="B177" s="22"/>
      <c r="C177" s="215"/>
      <c r="D177" s="216"/>
      <c r="E177" s="217"/>
      <c r="F177" s="217"/>
      <c r="G177" s="217"/>
      <c r="H177" s="757"/>
      <c r="I177" s="217"/>
      <c r="J177" s="217"/>
      <c r="K177" s="732"/>
      <c r="L177" s="361"/>
      <c r="M177" s="361"/>
      <c r="N177" s="361"/>
      <c r="O177" s="361"/>
      <c r="P177" s="359"/>
      <c r="Q177" s="23"/>
    </row>
    <row r="178" spans="2:17" ht="15.95" customHeight="1" x14ac:dyDescent="0.4">
      <c r="B178" s="22"/>
      <c r="C178" s="215"/>
      <c r="D178" s="216"/>
      <c r="E178" s="217"/>
      <c r="F178" s="217"/>
      <c r="G178" s="217"/>
      <c r="H178" s="757"/>
      <c r="I178" s="217"/>
      <c r="J178" s="217"/>
      <c r="K178" s="732"/>
      <c r="L178" s="361"/>
      <c r="M178" s="361"/>
      <c r="N178" s="361"/>
      <c r="O178" s="361"/>
      <c r="P178" s="359"/>
      <c r="Q178" s="23"/>
    </row>
    <row r="179" spans="2:17" ht="15.95" customHeight="1" x14ac:dyDescent="0.4">
      <c r="B179" s="22"/>
      <c r="C179" s="215"/>
      <c r="D179" s="216"/>
      <c r="E179" s="217"/>
      <c r="F179" s="217"/>
      <c r="G179" s="217"/>
      <c r="H179" s="757"/>
      <c r="I179" s="217"/>
      <c r="J179" s="217"/>
      <c r="K179" s="732"/>
      <c r="L179" s="361"/>
      <c r="M179" s="361"/>
      <c r="N179" s="361"/>
      <c r="O179" s="361"/>
      <c r="P179" s="359"/>
      <c r="Q179" s="23"/>
    </row>
    <row r="180" spans="2:17" ht="15.95" customHeight="1" x14ac:dyDescent="0.4">
      <c r="B180" s="22"/>
      <c r="C180" s="215"/>
      <c r="D180" s="216"/>
      <c r="E180" s="217"/>
      <c r="F180" s="217"/>
      <c r="G180" s="217"/>
      <c r="H180" s="757"/>
      <c r="I180" s="217"/>
      <c r="J180" s="217"/>
      <c r="K180" s="732"/>
      <c r="L180" s="361"/>
      <c r="M180" s="361"/>
      <c r="N180" s="361"/>
      <c r="O180" s="361"/>
      <c r="P180" s="359"/>
      <c r="Q180" s="23"/>
    </row>
    <row r="181" spans="2:17" ht="15.95" customHeight="1" x14ac:dyDescent="0.4">
      <c r="B181" s="22"/>
      <c r="C181" s="215"/>
      <c r="D181" s="216"/>
      <c r="E181" s="217"/>
      <c r="F181" s="217"/>
      <c r="G181" s="217"/>
      <c r="H181" s="757"/>
      <c r="I181" s="217"/>
      <c r="J181" s="217"/>
      <c r="K181" s="732"/>
      <c r="L181" s="361"/>
      <c r="M181" s="361"/>
      <c r="N181" s="361"/>
      <c r="O181" s="361"/>
      <c r="P181" s="359"/>
      <c r="Q181" s="23"/>
    </row>
    <row r="182" spans="2:17" ht="15.95" customHeight="1" x14ac:dyDescent="0.4">
      <c r="B182" s="22"/>
      <c r="C182" s="215"/>
      <c r="D182" s="216"/>
      <c r="E182" s="217"/>
      <c r="F182" s="217"/>
      <c r="G182" s="217"/>
      <c r="H182" s="757"/>
      <c r="I182" s="217"/>
      <c r="J182" s="217"/>
      <c r="K182" s="732"/>
      <c r="L182" s="361"/>
      <c r="M182" s="361"/>
      <c r="N182" s="361"/>
      <c r="O182" s="361"/>
      <c r="P182" s="359"/>
      <c r="Q182" s="23"/>
    </row>
    <row r="183" spans="2:17" ht="15.95" customHeight="1" x14ac:dyDescent="0.4">
      <c r="B183" s="22"/>
      <c r="C183" s="215"/>
      <c r="D183" s="216"/>
      <c r="E183" s="217"/>
      <c r="F183" s="217"/>
      <c r="G183" s="217"/>
      <c r="H183" s="757"/>
      <c r="I183" s="217"/>
      <c r="J183" s="217"/>
      <c r="K183" s="732"/>
      <c r="L183" s="361"/>
      <c r="M183" s="361"/>
      <c r="N183" s="361"/>
      <c r="O183" s="361"/>
      <c r="P183" s="359"/>
      <c r="Q183" s="23"/>
    </row>
    <row r="184" spans="2:17" ht="15.95" customHeight="1" x14ac:dyDescent="0.4">
      <c r="B184" s="22"/>
      <c r="C184" s="215"/>
      <c r="D184" s="216"/>
      <c r="E184" s="217"/>
      <c r="F184" s="217"/>
      <c r="G184" s="217"/>
      <c r="H184" s="757"/>
      <c r="I184" s="217"/>
      <c r="J184" s="217"/>
      <c r="K184" s="732"/>
      <c r="L184" s="361"/>
      <c r="M184" s="361"/>
      <c r="N184" s="361"/>
      <c r="O184" s="361"/>
      <c r="P184" s="359"/>
      <c r="Q184" s="23"/>
    </row>
    <row r="185" spans="2:17" ht="15.95" customHeight="1" x14ac:dyDescent="0.4">
      <c r="B185" s="22"/>
      <c r="C185" s="215"/>
      <c r="D185" s="216"/>
      <c r="E185" s="217"/>
      <c r="F185" s="217"/>
      <c r="G185" s="217"/>
      <c r="H185" s="757"/>
      <c r="I185" s="217"/>
      <c r="J185" s="217"/>
      <c r="K185" s="732"/>
      <c r="L185" s="361"/>
      <c r="M185" s="361"/>
      <c r="N185" s="361"/>
      <c r="O185" s="361"/>
      <c r="P185" s="359"/>
      <c r="Q185" s="23"/>
    </row>
    <row r="186" spans="2:17" ht="15.95" customHeight="1" x14ac:dyDescent="0.4">
      <c r="B186" s="22"/>
      <c r="C186" s="215"/>
      <c r="D186" s="216"/>
      <c r="E186" s="217"/>
      <c r="F186" s="217"/>
      <c r="G186" s="217"/>
      <c r="H186" s="757"/>
      <c r="I186" s="217"/>
      <c r="J186" s="217"/>
      <c r="K186" s="732"/>
      <c r="L186" s="361"/>
      <c r="M186" s="361"/>
      <c r="N186" s="361"/>
      <c r="O186" s="361"/>
      <c r="P186" s="359"/>
      <c r="Q186" s="23"/>
    </row>
    <row r="187" spans="2:17" ht="15.95" customHeight="1" x14ac:dyDescent="0.4">
      <c r="B187" s="22"/>
      <c r="C187" s="215"/>
      <c r="D187" s="216"/>
      <c r="E187" s="217"/>
      <c r="F187" s="217"/>
      <c r="G187" s="217"/>
      <c r="H187" s="757"/>
      <c r="I187" s="217"/>
      <c r="J187" s="217"/>
      <c r="K187" s="732"/>
      <c r="L187" s="361"/>
      <c r="M187" s="361"/>
      <c r="N187" s="361"/>
      <c r="O187" s="361"/>
      <c r="P187" s="359"/>
      <c r="Q187" s="23"/>
    </row>
    <row r="188" spans="2:17" ht="15.95" customHeight="1" x14ac:dyDescent="0.4">
      <c r="B188" s="22"/>
      <c r="C188" s="215"/>
      <c r="D188" s="216"/>
      <c r="E188" s="217"/>
      <c r="F188" s="217"/>
      <c r="G188" s="217"/>
      <c r="H188" s="757"/>
      <c r="I188" s="217"/>
      <c r="J188" s="217"/>
      <c r="K188" s="732"/>
      <c r="L188" s="361"/>
      <c r="M188" s="361"/>
      <c r="N188" s="361"/>
      <c r="O188" s="361"/>
      <c r="P188" s="359"/>
      <c r="Q188" s="23"/>
    </row>
    <row r="189" spans="2:17" ht="15.95" customHeight="1" x14ac:dyDescent="0.4">
      <c r="B189" s="22"/>
      <c r="C189" s="215"/>
      <c r="D189" s="216"/>
      <c r="E189" s="217"/>
      <c r="F189" s="217"/>
      <c r="G189" s="217"/>
      <c r="H189" s="757"/>
      <c r="I189" s="217"/>
      <c r="J189" s="217"/>
      <c r="K189" s="732"/>
      <c r="L189" s="361"/>
      <c r="M189" s="361"/>
      <c r="N189" s="361"/>
      <c r="O189" s="361"/>
      <c r="P189" s="359"/>
      <c r="Q189" s="23"/>
    </row>
    <row r="190" spans="2:17" ht="15.95" customHeight="1" x14ac:dyDescent="0.4">
      <c r="B190" s="22"/>
      <c r="C190" s="215"/>
      <c r="D190" s="216"/>
      <c r="E190" s="217"/>
      <c r="F190" s="217"/>
      <c r="G190" s="217"/>
      <c r="H190" s="757"/>
      <c r="I190" s="217"/>
      <c r="J190" s="217"/>
      <c r="K190" s="732"/>
      <c r="L190" s="361"/>
      <c r="M190" s="361"/>
      <c r="N190" s="361"/>
      <c r="O190" s="361"/>
      <c r="P190" s="359"/>
      <c r="Q190" s="23"/>
    </row>
    <row r="191" spans="2:17" ht="15.95" customHeight="1" x14ac:dyDescent="0.4">
      <c r="B191" s="22"/>
      <c r="C191" s="215"/>
      <c r="D191" s="216"/>
      <c r="E191" s="217"/>
      <c r="F191" s="217"/>
      <c r="G191" s="217"/>
      <c r="H191" s="757"/>
      <c r="I191" s="217"/>
      <c r="J191" s="217"/>
      <c r="K191" s="732"/>
      <c r="L191" s="361"/>
      <c r="M191" s="361"/>
      <c r="N191" s="361"/>
      <c r="O191" s="361"/>
      <c r="P191" s="359"/>
      <c r="Q191" s="23"/>
    </row>
    <row r="192" spans="2:17" ht="15.95" customHeight="1" x14ac:dyDescent="0.4">
      <c r="B192" s="22"/>
      <c r="C192" s="215"/>
      <c r="D192" s="216"/>
      <c r="E192" s="217"/>
      <c r="F192" s="217"/>
      <c r="G192" s="217"/>
      <c r="H192" s="757"/>
      <c r="I192" s="217"/>
      <c r="J192" s="217"/>
      <c r="K192" s="732"/>
      <c r="L192" s="361"/>
      <c r="M192" s="361"/>
      <c r="N192" s="361"/>
      <c r="O192" s="361"/>
      <c r="P192" s="359"/>
      <c r="Q192" s="23"/>
    </row>
    <row r="193" spans="2:17" ht="15.95" customHeight="1" x14ac:dyDescent="0.4">
      <c r="B193" s="22"/>
      <c r="C193" s="215"/>
      <c r="D193" s="216"/>
      <c r="E193" s="217"/>
      <c r="F193" s="217"/>
      <c r="G193" s="217"/>
      <c r="H193" s="757"/>
      <c r="I193" s="217"/>
      <c r="J193" s="217"/>
      <c r="K193" s="732"/>
      <c r="L193" s="361"/>
      <c r="M193" s="361"/>
      <c r="N193" s="361"/>
      <c r="O193" s="361"/>
      <c r="P193" s="359"/>
      <c r="Q193" s="23"/>
    </row>
    <row r="194" spans="2:17" ht="15.95" customHeight="1" x14ac:dyDescent="0.4">
      <c r="B194" s="22"/>
      <c r="C194" s="215"/>
      <c r="D194" s="216"/>
      <c r="E194" s="217"/>
      <c r="F194" s="217"/>
      <c r="G194" s="217"/>
      <c r="H194" s="757"/>
      <c r="I194" s="217"/>
      <c r="J194" s="217"/>
      <c r="K194" s="732"/>
      <c r="L194" s="361"/>
      <c r="M194" s="361"/>
      <c r="N194" s="361"/>
      <c r="O194" s="361"/>
      <c r="P194" s="359"/>
      <c r="Q194" s="23"/>
    </row>
    <row r="195" spans="2:17" ht="15.95" customHeight="1" x14ac:dyDescent="0.4">
      <c r="B195" s="22"/>
      <c r="C195" s="215"/>
      <c r="D195" s="216"/>
      <c r="E195" s="217"/>
      <c r="F195" s="217"/>
      <c r="G195" s="217"/>
      <c r="H195" s="757"/>
      <c r="I195" s="217"/>
      <c r="J195" s="217"/>
      <c r="K195" s="732"/>
      <c r="L195" s="361"/>
      <c r="M195" s="361"/>
      <c r="N195" s="361"/>
      <c r="O195" s="361"/>
      <c r="P195" s="359"/>
      <c r="Q195" s="23"/>
    </row>
    <row r="196" spans="2:17" ht="15.95" customHeight="1" x14ac:dyDescent="0.4">
      <c r="B196" s="22"/>
      <c r="C196" s="215"/>
      <c r="D196" s="216"/>
      <c r="E196" s="217"/>
      <c r="F196" s="217"/>
      <c r="G196" s="217"/>
      <c r="H196" s="757"/>
      <c r="I196" s="217"/>
      <c r="J196" s="217"/>
      <c r="K196" s="732"/>
      <c r="L196" s="361"/>
      <c r="M196" s="361"/>
      <c r="N196" s="361"/>
      <c r="O196" s="361"/>
      <c r="P196" s="359"/>
      <c r="Q196" s="23"/>
    </row>
    <row r="197" spans="2:17" ht="15.95" customHeight="1" x14ac:dyDescent="0.4">
      <c r="B197" s="22"/>
      <c r="C197" s="215"/>
      <c r="D197" s="216"/>
      <c r="E197" s="217"/>
      <c r="F197" s="217"/>
      <c r="G197" s="217"/>
      <c r="H197" s="757"/>
      <c r="I197" s="217"/>
      <c r="J197" s="217"/>
      <c r="K197" s="732"/>
      <c r="L197" s="361"/>
      <c r="M197" s="361"/>
      <c r="N197" s="361"/>
      <c r="O197" s="361"/>
      <c r="P197" s="359"/>
      <c r="Q197" s="23"/>
    </row>
    <row r="198" spans="2:17" ht="15.95" customHeight="1" x14ac:dyDescent="0.4">
      <c r="B198" s="22"/>
      <c r="C198" s="215"/>
      <c r="D198" s="216"/>
      <c r="E198" s="217"/>
      <c r="F198" s="217"/>
      <c r="G198" s="217"/>
      <c r="H198" s="757"/>
      <c r="I198" s="217"/>
      <c r="J198" s="217"/>
      <c r="K198" s="732"/>
      <c r="L198" s="361"/>
      <c r="M198" s="361"/>
      <c r="N198" s="361"/>
      <c r="O198" s="361"/>
      <c r="P198" s="359"/>
      <c r="Q198" s="23"/>
    </row>
    <row r="199" spans="2:17" ht="15.95" customHeight="1" x14ac:dyDescent="0.4">
      <c r="B199" s="22"/>
      <c r="C199" s="215"/>
      <c r="D199" s="216"/>
      <c r="E199" s="217"/>
      <c r="F199" s="217"/>
      <c r="G199" s="217"/>
      <c r="H199" s="757"/>
      <c r="I199" s="217"/>
      <c r="J199" s="217"/>
      <c r="K199" s="732"/>
      <c r="L199" s="361"/>
      <c r="M199" s="361"/>
      <c r="N199" s="361"/>
      <c r="O199" s="361"/>
      <c r="P199" s="359"/>
      <c r="Q199" s="23"/>
    </row>
    <row r="200" spans="2:17" ht="15.95" customHeight="1" x14ac:dyDescent="0.4">
      <c r="B200" s="22"/>
      <c r="C200" s="215"/>
      <c r="D200" s="216"/>
      <c r="E200" s="217"/>
      <c r="F200" s="217"/>
      <c r="G200" s="217"/>
      <c r="H200" s="757"/>
      <c r="I200" s="217"/>
      <c r="J200" s="217"/>
      <c r="K200" s="732"/>
      <c r="L200" s="361"/>
      <c r="M200" s="361"/>
      <c r="N200" s="361"/>
      <c r="O200" s="361"/>
      <c r="P200" s="359"/>
      <c r="Q200" s="23"/>
    </row>
    <row r="201" spans="2:17" ht="15.95" customHeight="1" x14ac:dyDescent="0.4">
      <c r="B201" s="22"/>
      <c r="C201" s="215"/>
      <c r="D201" s="216"/>
      <c r="E201" s="217"/>
      <c r="F201" s="217"/>
      <c r="G201" s="217"/>
      <c r="H201" s="757"/>
      <c r="I201" s="217"/>
      <c r="J201" s="217"/>
      <c r="K201" s="732"/>
      <c r="L201" s="361"/>
      <c r="M201" s="361"/>
      <c r="N201" s="361"/>
      <c r="O201" s="361"/>
      <c r="P201" s="359"/>
      <c r="Q201" s="23"/>
    </row>
    <row r="202" spans="2:17" ht="15.95" customHeight="1" x14ac:dyDescent="0.4">
      <c r="B202" s="22"/>
      <c r="C202" s="215"/>
      <c r="D202" s="216"/>
      <c r="E202" s="217"/>
      <c r="F202" s="217"/>
      <c r="G202" s="217"/>
      <c r="H202" s="757"/>
      <c r="I202" s="217"/>
      <c r="J202" s="217"/>
      <c r="K202" s="732"/>
      <c r="L202" s="361"/>
      <c r="M202" s="361"/>
      <c r="N202" s="361"/>
      <c r="O202" s="361"/>
      <c r="P202" s="359"/>
      <c r="Q202" s="23"/>
    </row>
    <row r="203" spans="2:17" ht="15.95" customHeight="1" x14ac:dyDescent="0.4">
      <c r="B203" s="22"/>
      <c r="C203" s="215"/>
      <c r="D203" s="216"/>
      <c r="E203" s="217"/>
      <c r="F203" s="217"/>
      <c r="G203" s="217"/>
      <c r="H203" s="757"/>
      <c r="I203" s="217"/>
      <c r="J203" s="217"/>
      <c r="K203" s="732"/>
      <c r="L203" s="361"/>
      <c r="M203" s="361"/>
      <c r="N203" s="361"/>
      <c r="O203" s="361"/>
      <c r="P203" s="359"/>
      <c r="Q203" s="23"/>
    </row>
    <row r="204" spans="2:17" ht="15.95" customHeight="1" x14ac:dyDescent="0.4">
      <c r="B204" s="22"/>
      <c r="C204" s="215"/>
      <c r="D204" s="216"/>
      <c r="E204" s="217"/>
      <c r="F204" s="217"/>
      <c r="G204" s="217"/>
      <c r="H204" s="757"/>
      <c r="I204" s="217"/>
      <c r="J204" s="217"/>
      <c r="K204" s="732"/>
      <c r="L204" s="361"/>
      <c r="M204" s="361"/>
      <c r="N204" s="361"/>
      <c r="O204" s="361"/>
      <c r="P204" s="359"/>
      <c r="Q204" s="23"/>
    </row>
    <row r="205" spans="2:17" ht="15.95" customHeight="1" x14ac:dyDescent="0.4">
      <c r="B205" s="22"/>
      <c r="C205" s="215"/>
      <c r="D205" s="216"/>
      <c r="E205" s="217"/>
      <c r="F205" s="217"/>
      <c r="G205" s="217"/>
      <c r="H205" s="757"/>
      <c r="I205" s="217"/>
      <c r="J205" s="217"/>
      <c r="K205" s="732"/>
      <c r="L205" s="361"/>
      <c r="M205" s="361"/>
      <c r="N205" s="361"/>
      <c r="O205" s="361"/>
      <c r="P205" s="359"/>
      <c r="Q205" s="23"/>
    </row>
    <row r="206" spans="2:17" ht="15.95" customHeight="1" x14ac:dyDescent="0.4">
      <c r="B206" s="22"/>
      <c r="C206" s="215"/>
      <c r="D206" s="216"/>
      <c r="E206" s="217"/>
      <c r="F206" s="217"/>
      <c r="G206" s="217"/>
      <c r="H206" s="757"/>
      <c r="I206" s="217"/>
      <c r="J206" s="217"/>
      <c r="K206" s="732"/>
      <c r="L206" s="361"/>
      <c r="M206" s="361"/>
      <c r="N206" s="361"/>
      <c r="O206" s="361"/>
      <c r="P206" s="359"/>
      <c r="Q206" s="23"/>
    </row>
    <row r="207" spans="2:17" ht="15.95" customHeight="1" x14ac:dyDescent="0.4">
      <c r="B207" s="22"/>
      <c r="C207" s="215"/>
      <c r="D207" s="216"/>
      <c r="E207" s="217"/>
      <c r="F207" s="217"/>
      <c r="G207" s="217"/>
      <c r="H207" s="757"/>
      <c r="I207" s="217"/>
      <c r="J207" s="217"/>
      <c r="K207" s="732"/>
      <c r="L207" s="361"/>
      <c r="M207" s="361"/>
      <c r="N207" s="361"/>
      <c r="O207" s="361"/>
      <c r="P207" s="359"/>
      <c r="Q207" s="23"/>
    </row>
    <row r="208" spans="2:17" ht="15.95" customHeight="1" x14ac:dyDescent="0.4">
      <c r="B208" s="22"/>
      <c r="C208" s="215"/>
      <c r="D208" s="216"/>
      <c r="E208" s="217"/>
      <c r="F208" s="217"/>
      <c r="G208" s="217"/>
      <c r="H208" s="757"/>
      <c r="I208" s="217"/>
      <c r="J208" s="217"/>
      <c r="K208" s="732"/>
      <c r="L208" s="361"/>
      <c r="M208" s="361"/>
      <c r="N208" s="361"/>
      <c r="O208" s="361"/>
      <c r="P208" s="359"/>
      <c r="Q208" s="23"/>
    </row>
    <row r="209" spans="2:17" ht="15.95" customHeight="1" x14ac:dyDescent="0.4">
      <c r="B209" s="22"/>
      <c r="C209" s="215"/>
      <c r="D209" s="216"/>
      <c r="E209" s="217"/>
      <c r="F209" s="217"/>
      <c r="G209" s="217"/>
      <c r="H209" s="757"/>
      <c r="I209" s="217"/>
      <c r="J209" s="217"/>
      <c r="K209" s="732"/>
      <c r="L209" s="361"/>
      <c r="M209" s="361"/>
      <c r="N209" s="361"/>
      <c r="O209" s="361"/>
      <c r="P209" s="359"/>
      <c r="Q209" s="23"/>
    </row>
    <row r="210" spans="2:17" ht="15.95" customHeight="1" x14ac:dyDescent="0.4">
      <c r="B210" s="22"/>
      <c r="C210" s="215"/>
      <c r="D210" s="216"/>
      <c r="E210" s="217"/>
      <c r="F210" s="217"/>
      <c r="G210" s="217"/>
      <c r="H210" s="757"/>
      <c r="I210" s="217"/>
      <c r="J210" s="217"/>
      <c r="K210" s="732"/>
      <c r="L210" s="361"/>
      <c r="M210" s="361"/>
      <c r="N210" s="361"/>
      <c r="O210" s="361"/>
      <c r="P210" s="359"/>
      <c r="Q210" s="23"/>
    </row>
    <row r="211" spans="2:17" ht="15.95" customHeight="1" x14ac:dyDescent="0.4">
      <c r="B211" s="22"/>
      <c r="C211" s="215"/>
      <c r="D211" s="216"/>
      <c r="E211" s="217"/>
      <c r="F211" s="217"/>
      <c r="G211" s="217"/>
      <c r="H211" s="757"/>
      <c r="I211" s="217"/>
      <c r="J211" s="217"/>
      <c r="K211" s="732"/>
      <c r="L211" s="361"/>
      <c r="M211" s="361"/>
      <c r="N211" s="361"/>
      <c r="O211" s="361"/>
      <c r="P211" s="359"/>
      <c r="Q211" s="23"/>
    </row>
    <row r="212" spans="2:17" ht="15.95" customHeight="1" x14ac:dyDescent="0.4">
      <c r="B212" s="22"/>
      <c r="C212" s="215"/>
      <c r="D212" s="216"/>
      <c r="E212" s="217"/>
      <c r="F212" s="217"/>
      <c r="G212" s="217"/>
      <c r="H212" s="757"/>
      <c r="I212" s="217"/>
      <c r="J212" s="217"/>
      <c r="K212" s="732"/>
      <c r="L212" s="361"/>
      <c r="M212" s="361"/>
      <c r="N212" s="361"/>
      <c r="O212" s="361"/>
      <c r="P212" s="359"/>
      <c r="Q212" s="23"/>
    </row>
    <row r="213" spans="2:17" ht="15.95" customHeight="1" x14ac:dyDescent="0.4">
      <c r="B213" s="22"/>
      <c r="C213" s="215"/>
      <c r="D213" s="216"/>
      <c r="E213" s="217"/>
      <c r="F213" s="217"/>
      <c r="G213" s="217"/>
      <c r="H213" s="757"/>
      <c r="I213" s="217"/>
      <c r="J213" s="217"/>
      <c r="K213" s="732"/>
      <c r="L213" s="361"/>
      <c r="M213" s="361"/>
      <c r="N213" s="361"/>
      <c r="O213" s="361"/>
      <c r="P213" s="359"/>
      <c r="Q213" s="23"/>
    </row>
    <row r="214" spans="2:17" ht="15.95" customHeight="1" x14ac:dyDescent="0.4">
      <c r="B214" s="22"/>
      <c r="C214" s="215"/>
      <c r="D214" s="216"/>
      <c r="E214" s="217"/>
      <c r="F214" s="217"/>
      <c r="G214" s="217"/>
      <c r="H214" s="757"/>
      <c r="I214" s="217"/>
      <c r="J214" s="217"/>
      <c r="K214" s="732"/>
      <c r="L214" s="361"/>
      <c r="M214" s="361"/>
      <c r="N214" s="361"/>
      <c r="O214" s="361"/>
      <c r="P214" s="359"/>
      <c r="Q214" s="23"/>
    </row>
    <row r="215" spans="2:17" ht="15.95" customHeight="1" x14ac:dyDescent="0.4">
      <c r="B215" s="22"/>
      <c r="C215" s="215"/>
      <c r="D215" s="216"/>
      <c r="E215" s="217"/>
      <c r="F215" s="217"/>
      <c r="G215" s="217"/>
      <c r="H215" s="757"/>
      <c r="I215" s="217"/>
      <c r="J215" s="217"/>
      <c r="K215" s="732"/>
      <c r="L215" s="361"/>
      <c r="M215" s="361"/>
      <c r="N215" s="361"/>
      <c r="O215" s="361"/>
      <c r="P215" s="359"/>
      <c r="Q215" s="23"/>
    </row>
    <row r="216" spans="2:17" ht="15.95" customHeight="1" x14ac:dyDescent="0.4">
      <c r="B216" s="22"/>
      <c r="C216" s="215"/>
      <c r="D216" s="216"/>
      <c r="E216" s="217"/>
      <c r="F216" s="217"/>
      <c r="G216" s="217"/>
      <c r="H216" s="757"/>
      <c r="I216" s="217"/>
      <c r="J216" s="217"/>
      <c r="K216" s="732"/>
      <c r="L216" s="361"/>
      <c r="M216" s="361"/>
      <c r="N216" s="361"/>
      <c r="O216" s="361"/>
      <c r="P216" s="359"/>
      <c r="Q216" s="23"/>
    </row>
    <row r="217" spans="2:17" ht="15.95" customHeight="1" x14ac:dyDescent="0.4">
      <c r="B217" s="22"/>
      <c r="C217" s="215"/>
      <c r="D217" s="216"/>
      <c r="E217" s="217"/>
      <c r="F217" s="217"/>
      <c r="G217" s="217"/>
      <c r="H217" s="757"/>
      <c r="I217" s="217"/>
      <c r="J217" s="217"/>
      <c r="K217" s="732"/>
      <c r="L217" s="361"/>
      <c r="M217" s="361"/>
      <c r="N217" s="361"/>
      <c r="O217" s="361"/>
      <c r="P217" s="359"/>
      <c r="Q217" s="23"/>
    </row>
    <row r="218" spans="2:17" ht="15.95" customHeight="1" x14ac:dyDescent="0.4">
      <c r="B218" s="22"/>
      <c r="C218" s="215"/>
      <c r="D218" s="216"/>
      <c r="E218" s="217"/>
      <c r="F218" s="217"/>
      <c r="G218" s="217"/>
      <c r="H218" s="757"/>
      <c r="I218" s="217"/>
      <c r="J218" s="217"/>
      <c r="K218" s="732"/>
      <c r="L218" s="361"/>
      <c r="M218" s="361"/>
      <c r="N218" s="361"/>
      <c r="O218" s="361"/>
      <c r="P218" s="359"/>
      <c r="Q218" s="23"/>
    </row>
    <row r="219" spans="2:17" ht="15.95" customHeight="1" x14ac:dyDescent="0.4">
      <c r="B219" s="22"/>
      <c r="C219" s="215"/>
      <c r="D219" s="216"/>
      <c r="E219" s="217"/>
      <c r="F219" s="217"/>
      <c r="G219" s="217"/>
      <c r="H219" s="757"/>
      <c r="I219" s="217"/>
      <c r="J219" s="217"/>
      <c r="K219" s="732"/>
      <c r="L219" s="361"/>
      <c r="M219" s="361"/>
      <c r="N219" s="361"/>
      <c r="O219" s="361"/>
      <c r="P219" s="359"/>
      <c r="Q219" s="23"/>
    </row>
    <row r="220" spans="2:17" ht="15.95" customHeight="1" x14ac:dyDescent="0.4">
      <c r="B220" s="22"/>
      <c r="C220" s="215"/>
      <c r="D220" s="216"/>
      <c r="E220" s="217"/>
      <c r="F220" s="217"/>
      <c r="G220" s="217"/>
      <c r="H220" s="757"/>
      <c r="I220" s="217"/>
      <c r="J220" s="217"/>
      <c r="K220" s="732"/>
      <c r="L220" s="361"/>
      <c r="M220" s="361"/>
      <c r="N220" s="361"/>
      <c r="O220" s="361"/>
      <c r="P220" s="359"/>
      <c r="Q220" s="23"/>
    </row>
    <row r="221" spans="2:17" ht="15.95" customHeight="1" x14ac:dyDescent="0.4">
      <c r="B221" s="22"/>
      <c r="C221" s="215"/>
      <c r="D221" s="216"/>
      <c r="E221" s="217"/>
      <c r="F221" s="217"/>
      <c r="G221" s="217"/>
      <c r="H221" s="757"/>
      <c r="I221" s="217"/>
      <c r="J221" s="217"/>
      <c r="K221" s="732"/>
      <c r="L221" s="361"/>
      <c r="M221" s="361"/>
      <c r="N221" s="361"/>
      <c r="O221" s="361"/>
      <c r="P221" s="359"/>
      <c r="Q221" s="23"/>
    </row>
    <row r="222" spans="2:17" ht="15.95" customHeight="1" x14ac:dyDescent="0.4">
      <c r="B222" s="22"/>
      <c r="C222" s="215"/>
      <c r="D222" s="216"/>
      <c r="E222" s="217"/>
      <c r="F222" s="217"/>
      <c r="G222" s="217"/>
      <c r="H222" s="757"/>
      <c r="I222" s="217"/>
      <c r="J222" s="217"/>
      <c r="K222" s="732"/>
      <c r="L222" s="361"/>
      <c r="M222" s="361"/>
      <c r="N222" s="361"/>
      <c r="O222" s="361"/>
      <c r="P222" s="359"/>
      <c r="Q222" s="23"/>
    </row>
    <row r="223" spans="2:17" ht="15.95" customHeight="1" x14ac:dyDescent="0.4">
      <c r="B223" s="22"/>
      <c r="C223" s="215"/>
      <c r="D223" s="216"/>
      <c r="E223" s="217"/>
      <c r="F223" s="217"/>
      <c r="G223" s="217"/>
      <c r="H223" s="757"/>
      <c r="I223" s="217"/>
      <c r="J223" s="217"/>
      <c r="K223" s="732"/>
      <c r="L223" s="361"/>
      <c r="M223" s="361"/>
      <c r="N223" s="361"/>
      <c r="O223" s="361"/>
      <c r="P223" s="359"/>
      <c r="Q223" s="23"/>
    </row>
    <row r="224" spans="2:17" ht="15.95" customHeight="1" x14ac:dyDescent="0.4">
      <c r="B224" s="22"/>
      <c r="C224" s="215"/>
      <c r="D224" s="216"/>
      <c r="E224" s="217"/>
      <c r="F224" s="217"/>
      <c r="G224" s="217"/>
      <c r="H224" s="757"/>
      <c r="I224" s="217"/>
      <c r="J224" s="217"/>
      <c r="K224" s="732"/>
      <c r="L224" s="361"/>
      <c r="M224" s="361"/>
      <c r="N224" s="361"/>
      <c r="O224" s="361"/>
      <c r="P224" s="359"/>
      <c r="Q224" s="23"/>
    </row>
    <row r="225" spans="2:17" ht="15.95" customHeight="1" x14ac:dyDescent="0.4">
      <c r="B225" s="22"/>
      <c r="C225" s="215"/>
      <c r="D225" s="216"/>
      <c r="E225" s="217"/>
      <c r="F225" s="217"/>
      <c r="G225" s="217"/>
      <c r="H225" s="757"/>
      <c r="I225" s="217"/>
      <c r="J225" s="217"/>
      <c r="K225" s="732"/>
      <c r="L225" s="361"/>
      <c r="M225" s="361"/>
      <c r="N225" s="361"/>
      <c r="O225" s="361"/>
      <c r="P225" s="359"/>
      <c r="Q225" s="23"/>
    </row>
    <row r="226" spans="2:17" ht="15.95" customHeight="1" x14ac:dyDescent="0.4">
      <c r="B226" s="22"/>
      <c r="C226" s="215"/>
      <c r="D226" s="216"/>
      <c r="E226" s="217"/>
      <c r="F226" s="217"/>
      <c r="G226" s="217"/>
      <c r="H226" s="757"/>
      <c r="I226" s="217"/>
      <c r="J226" s="217"/>
      <c r="K226" s="732"/>
      <c r="L226" s="361"/>
      <c r="M226" s="361"/>
      <c r="N226" s="361"/>
      <c r="O226" s="361"/>
      <c r="P226" s="359"/>
      <c r="Q226" s="23"/>
    </row>
    <row r="227" spans="2:17" ht="15.95" customHeight="1" x14ac:dyDescent="0.4">
      <c r="B227" s="22"/>
      <c r="C227" s="215"/>
      <c r="D227" s="216"/>
      <c r="E227" s="217"/>
      <c r="F227" s="217"/>
      <c r="G227" s="217"/>
      <c r="H227" s="757"/>
      <c r="I227" s="217"/>
      <c r="J227" s="217"/>
      <c r="K227" s="732"/>
      <c r="L227" s="361"/>
      <c r="M227" s="361"/>
      <c r="N227" s="361"/>
      <c r="O227" s="361"/>
      <c r="P227" s="359"/>
      <c r="Q227" s="23"/>
    </row>
    <row r="228" spans="2:17" ht="15.95" customHeight="1" x14ac:dyDescent="0.4">
      <c r="B228" s="22"/>
      <c r="C228" s="215"/>
      <c r="D228" s="216"/>
      <c r="E228" s="217"/>
      <c r="F228" s="217"/>
      <c r="G228" s="217"/>
      <c r="H228" s="757"/>
      <c r="I228" s="217"/>
      <c r="J228" s="217"/>
      <c r="K228" s="732"/>
      <c r="L228" s="361"/>
      <c r="M228" s="361"/>
      <c r="N228" s="361"/>
      <c r="O228" s="361"/>
      <c r="P228" s="359"/>
      <c r="Q228" s="23"/>
    </row>
    <row r="229" spans="2:17" ht="15.95" customHeight="1" x14ac:dyDescent="0.4">
      <c r="B229" s="22"/>
      <c r="C229" s="215"/>
      <c r="D229" s="216"/>
      <c r="E229" s="217"/>
      <c r="F229" s="217"/>
      <c r="G229" s="217"/>
      <c r="H229" s="757"/>
      <c r="I229" s="217"/>
      <c r="J229" s="217"/>
      <c r="K229" s="732"/>
      <c r="L229" s="361"/>
      <c r="M229" s="361"/>
      <c r="N229" s="361"/>
      <c r="O229" s="361"/>
      <c r="P229" s="359"/>
      <c r="Q229" s="23"/>
    </row>
    <row r="230" spans="2:17" ht="15.95" customHeight="1" x14ac:dyDescent="0.4">
      <c r="B230" s="22"/>
      <c r="C230" s="215"/>
      <c r="D230" s="216"/>
      <c r="E230" s="217"/>
      <c r="F230" s="217"/>
      <c r="G230" s="217"/>
      <c r="H230" s="757"/>
      <c r="I230" s="217"/>
      <c r="J230" s="217"/>
      <c r="K230" s="732"/>
      <c r="L230" s="361"/>
      <c r="M230" s="361"/>
      <c r="N230" s="361"/>
      <c r="O230" s="361"/>
      <c r="P230" s="359"/>
      <c r="Q230" s="23"/>
    </row>
    <row r="231" spans="2:17" ht="15.95" customHeight="1" x14ac:dyDescent="0.4">
      <c r="B231" s="22"/>
      <c r="C231" s="215"/>
      <c r="D231" s="216"/>
      <c r="E231" s="217"/>
      <c r="F231" s="217"/>
      <c r="G231" s="217"/>
      <c r="H231" s="757"/>
      <c r="I231" s="217"/>
      <c r="J231" s="217"/>
      <c r="K231" s="732"/>
      <c r="L231" s="361"/>
      <c r="M231" s="361"/>
      <c r="N231" s="361"/>
      <c r="O231" s="361"/>
      <c r="P231" s="359"/>
      <c r="Q231" s="23"/>
    </row>
    <row r="232" spans="2:17" ht="15.95" customHeight="1" x14ac:dyDescent="0.4">
      <c r="B232" s="22"/>
      <c r="C232" s="215"/>
      <c r="D232" s="216"/>
      <c r="E232" s="217"/>
      <c r="F232" s="217"/>
      <c r="G232" s="217"/>
      <c r="H232" s="757"/>
      <c r="I232" s="217"/>
      <c r="J232" s="217"/>
      <c r="K232" s="732"/>
      <c r="L232" s="361"/>
      <c r="M232" s="361"/>
      <c r="N232" s="361"/>
      <c r="O232" s="361"/>
      <c r="P232" s="359"/>
      <c r="Q232" s="23"/>
    </row>
    <row r="233" spans="2:17" ht="15.95" customHeight="1" x14ac:dyDescent="0.4">
      <c r="B233" s="22"/>
      <c r="C233" s="215"/>
      <c r="D233" s="216"/>
      <c r="E233" s="217"/>
      <c r="F233" s="217"/>
      <c r="G233" s="217"/>
      <c r="H233" s="757"/>
      <c r="I233" s="217"/>
      <c r="J233" s="217"/>
      <c r="K233" s="732"/>
      <c r="L233" s="361"/>
      <c r="M233" s="361"/>
      <c r="N233" s="361"/>
      <c r="O233" s="361"/>
      <c r="P233" s="359"/>
      <c r="Q233" s="23"/>
    </row>
    <row r="234" spans="2:17" ht="15.95" customHeight="1" x14ac:dyDescent="0.4">
      <c r="B234" s="22"/>
      <c r="C234" s="215"/>
      <c r="D234" s="216"/>
      <c r="E234" s="217"/>
      <c r="F234" s="217"/>
      <c r="G234" s="217"/>
      <c r="H234" s="757"/>
      <c r="I234" s="217"/>
      <c r="J234" s="217"/>
      <c r="K234" s="732"/>
      <c r="L234" s="361"/>
      <c r="M234" s="361"/>
      <c r="N234" s="361"/>
      <c r="O234" s="361"/>
      <c r="P234" s="359"/>
      <c r="Q234" s="23"/>
    </row>
    <row r="235" spans="2:17" ht="15.95" customHeight="1" x14ac:dyDescent="0.4">
      <c r="B235" s="22"/>
      <c r="C235" s="215"/>
      <c r="D235" s="216"/>
      <c r="E235" s="217"/>
      <c r="F235" s="217"/>
      <c r="G235" s="217"/>
      <c r="H235" s="757"/>
      <c r="I235" s="217"/>
      <c r="J235" s="217"/>
      <c r="K235" s="732"/>
      <c r="L235" s="361"/>
      <c r="M235" s="361"/>
      <c r="N235" s="361"/>
      <c r="O235" s="361"/>
      <c r="P235" s="359"/>
      <c r="Q235" s="23"/>
    </row>
    <row r="236" spans="2:17" ht="15.95" customHeight="1" x14ac:dyDescent="0.4">
      <c r="B236" s="22"/>
      <c r="C236" s="215"/>
      <c r="D236" s="216"/>
      <c r="E236" s="217"/>
      <c r="F236" s="217"/>
      <c r="G236" s="217"/>
      <c r="H236" s="757"/>
      <c r="I236" s="217"/>
      <c r="J236" s="217"/>
      <c r="K236" s="732"/>
      <c r="L236" s="361"/>
      <c r="M236" s="361"/>
      <c r="N236" s="361"/>
      <c r="O236" s="361"/>
      <c r="P236" s="359"/>
      <c r="Q236" s="23"/>
    </row>
    <row r="237" spans="2:17" ht="15.95" customHeight="1" x14ac:dyDescent="0.4">
      <c r="B237" s="22"/>
      <c r="C237" s="215"/>
      <c r="D237" s="216"/>
      <c r="E237" s="217"/>
      <c r="F237" s="217"/>
      <c r="G237" s="217"/>
      <c r="H237" s="757"/>
      <c r="I237" s="217"/>
      <c r="J237" s="217"/>
      <c r="K237" s="732"/>
      <c r="L237" s="361"/>
      <c r="M237" s="361"/>
      <c r="N237" s="361"/>
      <c r="O237" s="361"/>
      <c r="P237" s="359"/>
      <c r="Q237" s="23"/>
    </row>
    <row r="238" spans="2:17" ht="15.95" customHeight="1" x14ac:dyDescent="0.4">
      <c r="B238" s="22"/>
      <c r="C238" s="215"/>
      <c r="D238" s="216"/>
      <c r="E238" s="217"/>
      <c r="F238" s="217"/>
      <c r="G238" s="217"/>
      <c r="H238" s="757"/>
      <c r="I238" s="217"/>
      <c r="J238" s="217"/>
      <c r="K238" s="732"/>
      <c r="L238" s="361"/>
      <c r="M238" s="361"/>
      <c r="N238" s="361"/>
      <c r="O238" s="361"/>
      <c r="P238" s="359"/>
      <c r="Q238" s="23"/>
    </row>
    <row r="239" spans="2:17" ht="15.95" customHeight="1" x14ac:dyDescent="0.4">
      <c r="B239" s="22"/>
      <c r="C239" s="215"/>
      <c r="D239" s="216"/>
      <c r="E239" s="217"/>
      <c r="F239" s="217"/>
      <c r="G239" s="217"/>
      <c r="H239" s="757"/>
      <c r="I239" s="217"/>
      <c r="J239" s="217"/>
      <c r="K239" s="732"/>
      <c r="L239" s="361"/>
      <c r="M239" s="361"/>
      <c r="N239" s="361"/>
      <c r="O239" s="361"/>
      <c r="P239" s="359"/>
      <c r="Q239" s="23"/>
    </row>
    <row r="240" spans="2:17" ht="15.95" customHeight="1" x14ac:dyDescent="0.4">
      <c r="B240" s="22"/>
      <c r="C240" s="215"/>
      <c r="D240" s="216"/>
      <c r="E240" s="217"/>
      <c r="F240" s="217"/>
      <c r="G240" s="217"/>
      <c r="H240" s="757"/>
      <c r="I240" s="217"/>
      <c r="J240" s="217"/>
      <c r="K240" s="732"/>
      <c r="L240" s="361"/>
      <c r="M240" s="361"/>
      <c r="N240" s="361"/>
      <c r="O240" s="361"/>
      <c r="P240" s="359"/>
      <c r="Q240" s="23"/>
    </row>
    <row r="241" spans="2:17" ht="15.95" customHeight="1" x14ac:dyDescent="0.4">
      <c r="B241" s="22"/>
      <c r="C241" s="215"/>
      <c r="D241" s="216"/>
      <c r="E241" s="217"/>
      <c r="F241" s="217"/>
      <c r="G241" s="217"/>
      <c r="H241" s="757"/>
      <c r="I241" s="217"/>
      <c r="J241" s="217"/>
      <c r="K241" s="732"/>
      <c r="L241" s="361"/>
      <c r="M241" s="361"/>
      <c r="N241" s="361"/>
      <c r="O241" s="361"/>
      <c r="P241" s="359"/>
      <c r="Q241" s="23"/>
    </row>
    <row r="242" spans="2:17" ht="15.95" customHeight="1" x14ac:dyDescent="0.4">
      <c r="B242" s="22"/>
      <c r="C242" s="215"/>
      <c r="D242" s="216"/>
      <c r="E242" s="217"/>
      <c r="F242" s="217"/>
      <c r="G242" s="217"/>
      <c r="H242" s="757"/>
      <c r="I242" s="217"/>
      <c r="J242" s="217"/>
      <c r="K242" s="732"/>
      <c r="L242" s="361"/>
      <c r="M242" s="361"/>
      <c r="N242" s="361"/>
      <c r="O242" s="361"/>
      <c r="P242" s="359"/>
      <c r="Q242" s="23"/>
    </row>
    <row r="243" spans="2:17" ht="15.95" customHeight="1" x14ac:dyDescent="0.4">
      <c r="B243" s="22"/>
      <c r="C243" s="215"/>
      <c r="D243" s="216"/>
      <c r="E243" s="217"/>
      <c r="F243" s="217"/>
      <c r="G243" s="217"/>
      <c r="H243" s="757"/>
      <c r="I243" s="217"/>
      <c r="J243" s="217"/>
      <c r="K243" s="732"/>
      <c r="L243" s="361"/>
      <c r="M243" s="361"/>
      <c r="N243" s="361"/>
      <c r="O243" s="361"/>
      <c r="P243" s="359"/>
      <c r="Q243" s="23"/>
    </row>
    <row r="244" spans="2:17" ht="15.95" customHeight="1" x14ac:dyDescent="0.4">
      <c r="B244" s="22"/>
      <c r="C244" s="215"/>
      <c r="D244" s="216"/>
      <c r="E244" s="217"/>
      <c r="F244" s="217"/>
      <c r="G244" s="217"/>
      <c r="H244" s="757"/>
      <c r="I244" s="217"/>
      <c r="J244" s="217"/>
      <c r="K244" s="732"/>
      <c r="L244" s="361"/>
      <c r="M244" s="361"/>
      <c r="N244" s="361"/>
      <c r="O244" s="361"/>
      <c r="P244" s="359"/>
      <c r="Q244" s="23"/>
    </row>
    <row r="245" spans="2:17" ht="15.95" customHeight="1" x14ac:dyDescent="0.4">
      <c r="B245" s="22"/>
      <c r="C245" s="215"/>
      <c r="D245" s="216"/>
      <c r="E245" s="217"/>
      <c r="F245" s="217"/>
      <c r="G245" s="217"/>
      <c r="H245" s="757"/>
      <c r="I245" s="217"/>
      <c r="J245" s="217"/>
      <c r="K245" s="732"/>
      <c r="L245" s="361"/>
      <c r="M245" s="361"/>
      <c r="N245" s="361"/>
      <c r="O245" s="361"/>
      <c r="P245" s="359"/>
      <c r="Q245" s="23"/>
    </row>
    <row r="246" spans="2:17" ht="15.95" customHeight="1" x14ac:dyDescent="0.4">
      <c r="B246" s="22"/>
      <c r="C246" s="215"/>
      <c r="D246" s="216"/>
      <c r="E246" s="217"/>
      <c r="F246" s="217"/>
      <c r="G246" s="217"/>
      <c r="H246" s="757"/>
      <c r="I246" s="217"/>
      <c r="J246" s="217"/>
      <c r="K246" s="732"/>
      <c r="L246" s="361"/>
      <c r="M246" s="361"/>
      <c r="N246" s="361"/>
      <c r="O246" s="361"/>
      <c r="P246" s="359"/>
      <c r="Q246" s="23"/>
    </row>
    <row r="247" spans="2:17" ht="15.95" customHeight="1" x14ac:dyDescent="0.4">
      <c r="B247" s="22"/>
      <c r="C247" s="215"/>
      <c r="D247" s="216"/>
      <c r="E247" s="217"/>
      <c r="F247" s="217"/>
      <c r="G247" s="217"/>
      <c r="H247" s="757"/>
      <c r="I247" s="217"/>
      <c r="J247" s="217"/>
      <c r="K247" s="732"/>
      <c r="L247" s="361"/>
      <c r="M247" s="361"/>
      <c r="N247" s="361"/>
      <c r="O247" s="361"/>
      <c r="P247" s="359"/>
      <c r="Q247" s="23"/>
    </row>
    <row r="248" spans="2:17" ht="15.95" customHeight="1" x14ac:dyDescent="0.4">
      <c r="B248" s="22"/>
      <c r="C248" s="215"/>
      <c r="D248" s="216"/>
      <c r="E248" s="217"/>
      <c r="F248" s="217"/>
      <c r="G248" s="217"/>
      <c r="H248" s="757"/>
      <c r="I248" s="217"/>
      <c r="J248" s="217"/>
      <c r="K248" s="732"/>
      <c r="L248" s="361"/>
      <c r="M248" s="361"/>
      <c r="N248" s="361"/>
      <c r="O248" s="361"/>
      <c r="P248" s="359"/>
      <c r="Q248" s="23"/>
    </row>
    <row r="249" spans="2:17" ht="15.95" customHeight="1" x14ac:dyDescent="0.4">
      <c r="B249" s="22"/>
      <c r="C249" s="215"/>
      <c r="D249" s="216"/>
      <c r="E249" s="217"/>
      <c r="F249" s="217"/>
      <c r="G249" s="217"/>
      <c r="H249" s="757"/>
      <c r="I249" s="217"/>
      <c r="J249" s="217"/>
      <c r="K249" s="732"/>
      <c r="L249" s="361"/>
      <c r="M249" s="361"/>
      <c r="N249" s="361"/>
      <c r="O249" s="361"/>
      <c r="P249" s="359"/>
      <c r="Q249" s="23"/>
    </row>
    <row r="250" spans="2:17" ht="15.95" customHeight="1" x14ac:dyDescent="0.4">
      <c r="B250" s="22"/>
      <c r="C250" s="215"/>
      <c r="D250" s="216"/>
      <c r="E250" s="217"/>
      <c r="F250" s="217"/>
      <c r="G250" s="217"/>
      <c r="H250" s="757"/>
      <c r="I250" s="217"/>
      <c r="J250" s="217"/>
      <c r="K250" s="732"/>
      <c r="L250" s="361"/>
      <c r="M250" s="361"/>
      <c r="N250" s="361"/>
      <c r="O250" s="361"/>
      <c r="P250" s="359"/>
      <c r="Q250" s="23"/>
    </row>
    <row r="251" spans="2:17" ht="15.95" customHeight="1" x14ac:dyDescent="0.4">
      <c r="B251" s="22"/>
      <c r="C251" s="215"/>
      <c r="D251" s="216"/>
      <c r="E251" s="217"/>
      <c r="F251" s="217"/>
      <c r="G251" s="217"/>
      <c r="H251" s="757"/>
      <c r="I251" s="217"/>
      <c r="J251" s="217"/>
      <c r="K251" s="732"/>
      <c r="L251" s="361"/>
      <c r="M251" s="361"/>
      <c r="N251" s="361"/>
      <c r="O251" s="361"/>
      <c r="P251" s="359"/>
      <c r="Q251" s="23"/>
    </row>
    <row r="252" spans="2:17" ht="15.95" customHeight="1" x14ac:dyDescent="0.4">
      <c r="B252" s="22"/>
      <c r="C252" s="215"/>
      <c r="D252" s="216"/>
      <c r="E252" s="217"/>
      <c r="F252" s="217"/>
      <c r="G252" s="217"/>
      <c r="H252" s="757"/>
      <c r="I252" s="217"/>
      <c r="J252" s="217"/>
      <c r="K252" s="732"/>
      <c r="L252" s="361"/>
      <c r="M252" s="361"/>
      <c r="N252" s="361"/>
      <c r="O252" s="361"/>
      <c r="P252" s="359"/>
      <c r="Q252" s="23"/>
    </row>
    <row r="253" spans="2:17" ht="15.95" customHeight="1" x14ac:dyDescent="0.4">
      <c r="B253" s="22"/>
      <c r="C253" s="215"/>
      <c r="D253" s="216"/>
      <c r="E253" s="217"/>
      <c r="F253" s="217"/>
      <c r="G253" s="217"/>
      <c r="H253" s="757"/>
      <c r="I253" s="217"/>
      <c r="J253" s="217"/>
      <c r="K253" s="732"/>
      <c r="L253" s="361"/>
      <c r="M253" s="361"/>
      <c r="N253" s="361"/>
      <c r="O253" s="361"/>
      <c r="P253" s="359"/>
      <c r="Q253" s="23"/>
    </row>
    <row r="254" spans="2:17" ht="15.95" customHeight="1" x14ac:dyDescent="0.4">
      <c r="B254" s="22"/>
      <c r="C254" s="215"/>
      <c r="D254" s="216"/>
      <c r="E254" s="217"/>
      <c r="F254" s="217"/>
      <c r="G254" s="217"/>
      <c r="H254" s="757"/>
      <c r="I254" s="217"/>
      <c r="J254" s="217"/>
      <c r="K254" s="732"/>
      <c r="L254" s="361"/>
      <c r="M254" s="361"/>
      <c r="N254" s="361"/>
      <c r="O254" s="361"/>
      <c r="P254" s="359"/>
      <c r="Q254" s="23"/>
    </row>
    <row r="255" spans="2:17" ht="15.95" customHeight="1" x14ac:dyDescent="0.4">
      <c r="B255" s="22"/>
      <c r="C255" s="215"/>
      <c r="D255" s="216"/>
      <c r="E255" s="217"/>
      <c r="F255" s="217"/>
      <c r="G255" s="217"/>
      <c r="H255" s="757"/>
      <c r="I255" s="217"/>
      <c r="J255" s="217"/>
      <c r="K255" s="732"/>
      <c r="L255" s="361"/>
      <c r="M255" s="361"/>
      <c r="N255" s="361"/>
      <c r="O255" s="361"/>
      <c r="P255" s="359"/>
      <c r="Q255" s="23"/>
    </row>
    <row r="256" spans="2:17" ht="15.95" customHeight="1" x14ac:dyDescent="0.4">
      <c r="B256" s="22"/>
      <c r="C256" s="215"/>
      <c r="D256" s="216"/>
      <c r="E256" s="217"/>
      <c r="F256" s="217"/>
      <c r="G256" s="217"/>
      <c r="H256" s="757"/>
      <c r="I256" s="217"/>
      <c r="J256" s="217"/>
      <c r="K256" s="732"/>
      <c r="L256" s="361"/>
      <c r="M256" s="361"/>
      <c r="N256" s="361"/>
      <c r="O256" s="361"/>
      <c r="P256" s="359"/>
      <c r="Q256" s="23"/>
    </row>
    <row r="257" spans="2:17" ht="15.95" customHeight="1" x14ac:dyDescent="0.4">
      <c r="B257" s="22"/>
      <c r="C257" s="215"/>
      <c r="D257" s="216"/>
      <c r="E257" s="217"/>
      <c r="F257" s="217"/>
      <c r="G257" s="217"/>
      <c r="H257" s="757"/>
      <c r="I257" s="217"/>
      <c r="J257" s="217"/>
      <c r="K257" s="732"/>
      <c r="L257" s="361"/>
      <c r="M257" s="361"/>
      <c r="N257" s="361"/>
      <c r="O257" s="361"/>
      <c r="P257" s="359"/>
      <c r="Q257" s="23"/>
    </row>
    <row r="258" spans="2:17" ht="15.95" customHeight="1" x14ac:dyDescent="0.4">
      <c r="B258" s="22"/>
      <c r="C258" s="215"/>
      <c r="D258" s="216"/>
      <c r="E258" s="217"/>
      <c r="F258" s="217"/>
      <c r="G258" s="217"/>
      <c r="H258" s="757"/>
      <c r="I258" s="217"/>
      <c r="J258" s="217"/>
      <c r="K258" s="732"/>
      <c r="L258" s="361"/>
      <c r="M258" s="361"/>
      <c r="N258" s="361"/>
      <c r="O258" s="361"/>
      <c r="P258" s="359"/>
      <c r="Q258" s="23"/>
    </row>
    <row r="259" spans="2:17" ht="15.95" customHeight="1" x14ac:dyDescent="0.4">
      <c r="B259" s="22"/>
      <c r="C259" s="215"/>
      <c r="D259" s="216"/>
      <c r="E259" s="217"/>
      <c r="F259" s="217"/>
      <c r="G259" s="217"/>
      <c r="H259" s="757"/>
      <c r="I259" s="217"/>
      <c r="J259" s="217"/>
      <c r="K259" s="732"/>
      <c r="L259" s="361"/>
      <c r="M259" s="361"/>
      <c r="N259" s="361"/>
      <c r="O259" s="361"/>
      <c r="P259" s="359"/>
      <c r="Q259" s="23"/>
    </row>
    <row r="260" spans="2:17" ht="15.95" customHeight="1" x14ac:dyDescent="0.4">
      <c r="B260" s="22"/>
      <c r="C260" s="215"/>
      <c r="D260" s="216"/>
      <c r="E260" s="217"/>
      <c r="F260" s="217"/>
      <c r="G260" s="217"/>
      <c r="H260" s="757"/>
      <c r="I260" s="217"/>
      <c r="J260" s="217"/>
      <c r="K260" s="732"/>
      <c r="L260" s="361"/>
      <c r="M260" s="361"/>
      <c r="N260" s="361"/>
      <c r="O260" s="361"/>
      <c r="P260" s="359"/>
      <c r="Q260" s="23"/>
    </row>
    <row r="261" spans="2:17" ht="15.95" customHeight="1" x14ac:dyDescent="0.4">
      <c r="B261" s="22"/>
      <c r="C261" s="215"/>
      <c r="D261" s="216"/>
      <c r="E261" s="217"/>
      <c r="F261" s="217"/>
      <c r="G261" s="217"/>
      <c r="H261" s="757"/>
      <c r="I261" s="217"/>
      <c r="J261" s="217"/>
      <c r="K261" s="732"/>
      <c r="L261" s="361"/>
      <c r="M261" s="361"/>
      <c r="N261" s="361"/>
      <c r="O261" s="361"/>
      <c r="P261" s="359"/>
      <c r="Q261" s="23"/>
    </row>
    <row r="262" spans="2:17" ht="15.95" customHeight="1" x14ac:dyDescent="0.4">
      <c r="B262" s="22"/>
      <c r="C262" s="215"/>
      <c r="D262" s="216"/>
      <c r="E262" s="217"/>
      <c r="F262" s="217"/>
      <c r="G262" s="217"/>
      <c r="H262" s="757"/>
      <c r="I262" s="217"/>
      <c r="J262" s="217"/>
      <c r="K262" s="732"/>
      <c r="L262" s="361"/>
      <c r="M262" s="361"/>
      <c r="N262" s="361"/>
      <c r="O262" s="361"/>
      <c r="P262" s="359"/>
      <c r="Q262" s="23"/>
    </row>
    <row r="263" spans="2:17" ht="15.95" customHeight="1" x14ac:dyDescent="0.4">
      <c r="B263" s="22"/>
      <c r="C263" s="215"/>
      <c r="D263" s="216"/>
      <c r="E263" s="217"/>
      <c r="F263" s="217"/>
      <c r="G263" s="217"/>
      <c r="H263" s="757"/>
      <c r="I263" s="217"/>
      <c r="J263" s="217"/>
      <c r="K263" s="732"/>
      <c r="L263" s="361"/>
      <c r="M263" s="361"/>
      <c r="N263" s="361"/>
      <c r="O263" s="361"/>
      <c r="P263" s="359"/>
      <c r="Q263" s="23"/>
    </row>
    <row r="264" spans="2:17" ht="15.95" customHeight="1" x14ac:dyDescent="0.4">
      <c r="B264" s="22"/>
      <c r="C264" s="215"/>
      <c r="D264" s="216"/>
      <c r="E264" s="217"/>
      <c r="F264" s="217"/>
      <c r="G264" s="217"/>
      <c r="H264" s="757"/>
      <c r="I264" s="217"/>
      <c r="J264" s="217"/>
      <c r="K264" s="732"/>
      <c r="L264" s="361"/>
      <c r="M264" s="361"/>
      <c r="N264" s="361"/>
      <c r="O264" s="361"/>
      <c r="P264" s="359"/>
      <c r="Q264" s="23"/>
    </row>
    <row r="265" spans="2:17" ht="15.95" customHeight="1" x14ac:dyDescent="0.4">
      <c r="B265" s="22"/>
      <c r="C265" s="215"/>
      <c r="D265" s="216"/>
      <c r="E265" s="217"/>
      <c r="F265" s="217"/>
      <c r="G265" s="217"/>
      <c r="H265" s="757"/>
      <c r="I265" s="217"/>
      <c r="J265" s="217"/>
      <c r="K265" s="732"/>
      <c r="L265" s="361"/>
      <c r="M265" s="361"/>
      <c r="N265" s="361"/>
      <c r="O265" s="361"/>
      <c r="P265" s="359"/>
      <c r="Q265" s="23"/>
    </row>
    <row r="266" spans="2:17" ht="15.95" customHeight="1" x14ac:dyDescent="0.4">
      <c r="B266" s="22"/>
      <c r="C266" s="215"/>
      <c r="D266" s="216"/>
      <c r="E266" s="217"/>
      <c r="F266" s="217"/>
      <c r="G266" s="217"/>
      <c r="H266" s="757"/>
      <c r="I266" s="217"/>
      <c r="J266" s="217"/>
      <c r="K266" s="732"/>
      <c r="L266" s="361"/>
      <c r="M266" s="361"/>
      <c r="N266" s="361"/>
      <c r="O266" s="361"/>
      <c r="P266" s="359"/>
      <c r="Q266" s="23"/>
    </row>
    <row r="267" spans="2:17" ht="15.95" customHeight="1" x14ac:dyDescent="0.4">
      <c r="B267" s="22"/>
      <c r="C267" s="215"/>
      <c r="D267" s="216"/>
      <c r="E267" s="217"/>
      <c r="F267" s="217"/>
      <c r="G267" s="217"/>
      <c r="H267" s="757"/>
      <c r="I267" s="217"/>
      <c r="J267" s="217"/>
      <c r="K267" s="732"/>
      <c r="L267" s="361"/>
      <c r="M267" s="361"/>
      <c r="N267" s="361"/>
      <c r="O267" s="361"/>
      <c r="P267" s="359"/>
      <c r="Q267" s="23"/>
    </row>
    <row r="268" spans="2:17" ht="15.95" customHeight="1" x14ac:dyDescent="0.4">
      <c r="B268" s="22"/>
      <c r="C268" s="218"/>
      <c r="D268" s="219"/>
      <c r="E268" s="217"/>
      <c r="F268" s="217"/>
      <c r="G268" s="217"/>
      <c r="H268" s="757"/>
      <c r="I268" s="217"/>
      <c r="J268" s="217"/>
      <c r="K268" s="732"/>
      <c r="L268" s="361"/>
      <c r="M268" s="361"/>
      <c r="N268" s="361"/>
      <c r="O268" s="361"/>
      <c r="P268" s="359"/>
      <c r="Q268" s="23"/>
    </row>
    <row r="269" spans="2:17" ht="15.95" customHeight="1" thickBot="1" x14ac:dyDescent="0.45">
      <c r="B269" s="22"/>
      <c r="C269" s="220">
        <v>200000</v>
      </c>
      <c r="D269" s="221">
        <v>2000000</v>
      </c>
      <c r="E269" s="222" t="s">
        <v>7919</v>
      </c>
      <c r="F269" s="223" t="s">
        <v>7924</v>
      </c>
      <c r="G269" s="223" t="s">
        <v>7922</v>
      </c>
      <c r="H269" s="758" t="s">
        <v>7923</v>
      </c>
      <c r="I269" s="223" t="s">
        <v>7920</v>
      </c>
      <c r="J269" s="223" t="s">
        <v>7921</v>
      </c>
      <c r="K269" s="733">
        <v>22222222</v>
      </c>
      <c r="L269" s="362"/>
      <c r="M269" s="362"/>
      <c r="N269" s="362"/>
      <c r="O269" s="362"/>
      <c r="P269" s="360"/>
      <c r="Q269" s="23"/>
    </row>
    <row r="270" spans="2:17" ht="15.95" customHeight="1" thickBot="1" x14ac:dyDescent="0.45">
      <c r="B270" s="24"/>
      <c r="C270" s="25"/>
      <c r="D270" s="26"/>
      <c r="E270" s="26"/>
      <c r="F270" s="27"/>
      <c r="G270" s="27"/>
      <c r="H270" s="27"/>
      <c r="I270" s="27"/>
      <c r="J270" s="27"/>
      <c r="K270" s="26"/>
      <c r="L270" s="26"/>
      <c r="M270" s="26"/>
      <c r="N270" s="26"/>
      <c r="O270" s="26"/>
      <c r="P270" s="26"/>
      <c r="Q270" s="28"/>
    </row>
    <row r="271" spans="2:17" ht="15.95" customHeight="1" thickTop="1" x14ac:dyDescent="0.4"/>
  </sheetData>
  <sheetProtection sheet="1" objects="1" scenarios="1" selectLockedCells="1"/>
  <mergeCells count="1">
    <mergeCell ref="L3:P3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pageSetUpPr fitToPage="1"/>
  </sheetPr>
  <dimension ref="B2:I270"/>
  <sheetViews>
    <sheetView zoomScale="115" zoomScaleNormal="115" workbookViewId="0">
      <pane xSplit="5" ySplit="4" topLeftCell="F5" activePane="bottomRight" state="frozen"/>
      <selection activeCell="G6" sqref="G6:Q6"/>
      <selection pane="topRight" activeCell="G6" sqref="G6:Q6"/>
      <selection pane="bottomLeft" activeCell="G6" sqref="G6:Q6"/>
      <selection pane="bottomRight" activeCell="C4" sqref="C4:I126"/>
    </sheetView>
  </sheetViews>
  <sheetFormatPr defaultColWidth="2.7109375" defaultRowHeight="15.95" customHeight="1" x14ac:dyDescent="0.4"/>
  <cols>
    <col min="1" max="1" width="2.7109375" style="1"/>
    <col min="2" max="2" width="2.7109375" style="4" customWidth="1"/>
    <col min="3" max="3" width="7.42578125" style="5" customWidth="1"/>
    <col min="4" max="4" width="8.28515625" style="6" customWidth="1"/>
    <col min="5" max="5" width="42.28515625" style="6" customWidth="1"/>
    <col min="6" max="6" width="12.85546875" style="7" customWidth="1"/>
    <col min="7" max="7" width="12.85546875" style="5" customWidth="1"/>
    <col min="8" max="8" width="26" style="7" customWidth="1"/>
    <col min="9" max="9" width="21.7109375" style="1086" customWidth="1"/>
    <col min="10" max="10" width="2.7109375" style="1" customWidth="1"/>
    <col min="11" max="16384" width="2.7109375" style="1"/>
  </cols>
  <sheetData>
    <row r="2" spans="2:9" ht="15.95" customHeight="1" thickBot="1" x14ac:dyDescent="0.45"/>
    <row r="3" spans="2:9" ht="15.95" customHeight="1" thickTop="1" thickBot="1" x14ac:dyDescent="0.45">
      <c r="B3" s="15"/>
      <c r="C3" s="16"/>
      <c r="D3" s="17"/>
      <c r="E3" s="17"/>
      <c r="F3" s="18"/>
      <c r="G3" s="16"/>
      <c r="H3" s="18"/>
      <c r="I3" s="1087"/>
    </row>
    <row r="4" spans="2:9" s="3" customFormat="1" ht="15.95" customHeight="1" thickBot="1" x14ac:dyDescent="0.3">
      <c r="B4" s="20"/>
      <c r="C4" s="11" t="s">
        <v>5</v>
      </c>
      <c r="D4" s="12" t="s">
        <v>6</v>
      </c>
      <c r="E4" s="12" t="s">
        <v>7</v>
      </c>
      <c r="F4" s="13" t="s">
        <v>10</v>
      </c>
      <c r="G4" s="4202" t="s">
        <v>11</v>
      </c>
      <c r="H4" s="4203"/>
      <c r="I4" s="1088" t="s">
        <v>9458</v>
      </c>
    </row>
    <row r="5" spans="2:9" ht="15.95" customHeight="1" x14ac:dyDescent="0.4">
      <c r="B5" s="22"/>
      <c r="C5" s="8">
        <v>100000</v>
      </c>
      <c r="D5" s="9">
        <v>1000000</v>
      </c>
      <c r="E5" s="10" t="s">
        <v>236</v>
      </c>
      <c r="F5" s="10" t="s">
        <v>16</v>
      </c>
      <c r="G5" s="644">
        <v>0</v>
      </c>
      <c r="H5" s="1080" t="s">
        <v>17</v>
      </c>
      <c r="I5" s="1087" t="s">
        <v>9459</v>
      </c>
    </row>
    <row r="6" spans="2:9" ht="15.95" customHeight="1" x14ac:dyDescent="0.4">
      <c r="B6" s="22"/>
      <c r="C6" s="253">
        <v>25</v>
      </c>
      <c r="D6" s="254">
        <v>1261039</v>
      </c>
      <c r="E6" s="255" t="s">
        <v>7927</v>
      </c>
      <c r="F6" s="255" t="s">
        <v>7941</v>
      </c>
      <c r="G6" s="1038">
        <v>7010</v>
      </c>
      <c r="H6" s="1081" t="s">
        <v>149</v>
      </c>
      <c r="I6" s="1087" t="s">
        <v>9459</v>
      </c>
    </row>
    <row r="7" spans="2:9" ht="15.95" customHeight="1" x14ac:dyDescent="0.4">
      <c r="B7" s="22"/>
      <c r="C7" s="35">
        <v>311863</v>
      </c>
      <c r="D7" s="37">
        <v>1264613</v>
      </c>
      <c r="E7" s="36" t="s">
        <v>237</v>
      </c>
      <c r="F7" s="36" t="s">
        <v>20</v>
      </c>
      <c r="G7" s="645">
        <v>70</v>
      </c>
      <c r="H7" s="1082" t="s">
        <v>21</v>
      </c>
      <c r="I7" s="1087" t="s">
        <v>9459</v>
      </c>
    </row>
    <row r="8" spans="2:9" ht="15.95" customHeight="1" x14ac:dyDescent="0.4">
      <c r="B8" s="22"/>
      <c r="C8" s="35">
        <v>158178</v>
      </c>
      <c r="D8" s="37">
        <v>1263000</v>
      </c>
      <c r="E8" s="36" t="s">
        <v>238</v>
      </c>
      <c r="F8" s="36" t="s">
        <v>23</v>
      </c>
      <c r="G8" s="1084">
        <v>400</v>
      </c>
      <c r="H8" s="1082" t="s">
        <v>24</v>
      </c>
      <c r="I8" s="1087" t="s">
        <v>9459</v>
      </c>
    </row>
    <row r="9" spans="2:9" ht="15.95" customHeight="1" x14ac:dyDescent="0.4">
      <c r="B9" s="22"/>
      <c r="C9" s="35">
        <v>158186</v>
      </c>
      <c r="D9" s="37">
        <v>1263834</v>
      </c>
      <c r="E9" s="36" t="s">
        <v>239</v>
      </c>
      <c r="F9" s="36" t="s">
        <v>26</v>
      </c>
      <c r="G9" s="1084">
        <v>400</v>
      </c>
      <c r="H9" s="1082" t="s">
        <v>24</v>
      </c>
      <c r="I9" s="1087" t="s">
        <v>9459</v>
      </c>
    </row>
    <row r="10" spans="2:9" ht="15.95" customHeight="1" x14ac:dyDescent="0.4">
      <c r="B10" s="22"/>
      <c r="C10" s="35">
        <v>158208</v>
      </c>
      <c r="D10" s="37">
        <v>1263895</v>
      </c>
      <c r="E10" s="36" t="s">
        <v>240</v>
      </c>
      <c r="F10" s="36" t="s">
        <v>27</v>
      </c>
      <c r="G10" s="1084">
        <v>400</v>
      </c>
      <c r="H10" s="1082" t="s">
        <v>24</v>
      </c>
      <c r="I10" s="1087" t="s">
        <v>9459</v>
      </c>
    </row>
    <row r="11" spans="2:9" ht="15.95" customHeight="1" x14ac:dyDescent="0.4">
      <c r="B11" s="22"/>
      <c r="C11" s="35">
        <v>158224</v>
      </c>
      <c r="D11" s="37">
        <v>1265661</v>
      </c>
      <c r="E11" s="36" t="s">
        <v>241</v>
      </c>
      <c r="F11" s="36" t="s">
        <v>29</v>
      </c>
      <c r="G11" s="1084">
        <v>400</v>
      </c>
      <c r="H11" s="1082" t="s">
        <v>24</v>
      </c>
      <c r="I11" s="1087" t="s">
        <v>9459</v>
      </c>
    </row>
    <row r="12" spans="2:9" ht="15.95" customHeight="1" x14ac:dyDescent="0.4">
      <c r="B12" s="22"/>
      <c r="C12" s="35">
        <v>158232</v>
      </c>
      <c r="D12" s="37">
        <v>1263898</v>
      </c>
      <c r="E12" s="36" t="s">
        <v>242</v>
      </c>
      <c r="F12" s="36" t="s">
        <v>31</v>
      </c>
      <c r="G12" s="1084">
        <v>400</v>
      </c>
      <c r="H12" s="1082" t="s">
        <v>24</v>
      </c>
      <c r="I12" s="1087" t="s">
        <v>9459</v>
      </c>
    </row>
    <row r="13" spans="2:9" ht="15.95" customHeight="1" x14ac:dyDescent="0.4">
      <c r="B13" s="22"/>
      <c r="C13" s="35">
        <v>158259</v>
      </c>
      <c r="D13" s="37">
        <v>1263908</v>
      </c>
      <c r="E13" s="36" t="s">
        <v>243</v>
      </c>
      <c r="F13" s="36" t="s">
        <v>34</v>
      </c>
      <c r="G13" s="1084">
        <v>400</v>
      </c>
      <c r="H13" s="1082" t="s">
        <v>24</v>
      </c>
      <c r="I13" s="1087" t="s">
        <v>9459</v>
      </c>
    </row>
    <row r="14" spans="2:9" ht="15.95" customHeight="1" x14ac:dyDescent="0.4">
      <c r="B14" s="22"/>
      <c r="C14" s="35">
        <v>158330</v>
      </c>
      <c r="D14" s="37">
        <v>1263909</v>
      </c>
      <c r="E14" s="36" t="s">
        <v>244</v>
      </c>
      <c r="F14" s="36" t="s">
        <v>37</v>
      </c>
      <c r="G14" s="1084">
        <v>400</v>
      </c>
      <c r="H14" s="1082" t="s">
        <v>24</v>
      </c>
      <c r="I14" s="1087" t="s">
        <v>9459</v>
      </c>
    </row>
    <row r="15" spans="2:9" ht="15.95" customHeight="1" x14ac:dyDescent="0.4">
      <c r="B15" s="22"/>
      <c r="C15" s="35">
        <v>158267</v>
      </c>
      <c r="D15" s="37">
        <v>1263910</v>
      </c>
      <c r="E15" s="36" t="s">
        <v>245</v>
      </c>
      <c r="F15" s="36" t="s">
        <v>40</v>
      </c>
      <c r="G15" s="1084">
        <v>400</v>
      </c>
      <c r="H15" s="1082" t="s">
        <v>24</v>
      </c>
      <c r="I15" s="1087" t="s">
        <v>9459</v>
      </c>
    </row>
    <row r="16" spans="2:9" ht="15.95" customHeight="1" x14ac:dyDescent="0.4">
      <c r="B16" s="22"/>
      <c r="C16" s="35">
        <v>158275</v>
      </c>
      <c r="D16" s="37">
        <v>1263912</v>
      </c>
      <c r="E16" s="36" t="s">
        <v>246</v>
      </c>
      <c r="F16" s="36" t="s">
        <v>43</v>
      </c>
      <c r="G16" s="1084">
        <v>400</v>
      </c>
      <c r="H16" s="1082" t="s">
        <v>24</v>
      </c>
      <c r="I16" s="1087" t="s">
        <v>9459</v>
      </c>
    </row>
    <row r="17" spans="2:9" ht="15.95" customHeight="1" x14ac:dyDescent="0.4">
      <c r="B17" s="22"/>
      <c r="C17" s="35">
        <v>158216</v>
      </c>
      <c r="D17" s="37">
        <v>1262773</v>
      </c>
      <c r="E17" s="36" t="s">
        <v>247</v>
      </c>
      <c r="F17" s="36" t="s">
        <v>46</v>
      </c>
      <c r="G17" s="1084">
        <v>400</v>
      </c>
      <c r="H17" s="1082" t="s">
        <v>24</v>
      </c>
      <c r="I17" s="1087" t="s">
        <v>9459</v>
      </c>
    </row>
    <row r="18" spans="2:9" ht="15.95" customHeight="1" x14ac:dyDescent="0.4">
      <c r="B18" s="22"/>
      <c r="C18" s="35">
        <v>158291</v>
      </c>
      <c r="D18" s="37">
        <v>1263915</v>
      </c>
      <c r="E18" s="36" t="s">
        <v>248</v>
      </c>
      <c r="F18" s="36" t="s">
        <v>47</v>
      </c>
      <c r="G18" s="1084">
        <v>400</v>
      </c>
      <c r="H18" s="1082" t="s">
        <v>24</v>
      </c>
      <c r="I18" s="1087" t="s">
        <v>9459</v>
      </c>
    </row>
    <row r="19" spans="2:9" ht="15.95" customHeight="1" x14ac:dyDescent="0.4">
      <c r="B19" s="22"/>
      <c r="C19" s="35">
        <v>158305</v>
      </c>
      <c r="D19" s="37">
        <v>1263916</v>
      </c>
      <c r="E19" s="36" t="s">
        <v>249</v>
      </c>
      <c r="F19" s="36" t="s">
        <v>49</v>
      </c>
      <c r="G19" s="1084">
        <v>400</v>
      </c>
      <c r="H19" s="1082" t="s">
        <v>24</v>
      </c>
      <c r="I19" s="1087" t="s">
        <v>9459</v>
      </c>
    </row>
    <row r="20" spans="2:9" ht="15.95" customHeight="1" x14ac:dyDescent="0.4">
      <c r="B20" s="22"/>
      <c r="C20" s="35">
        <v>158194</v>
      </c>
      <c r="D20" s="37">
        <v>1265770</v>
      </c>
      <c r="E20" s="36" t="s">
        <v>250</v>
      </c>
      <c r="F20" s="36" t="s">
        <v>51</v>
      </c>
      <c r="G20" s="1084">
        <v>400</v>
      </c>
      <c r="H20" s="1082" t="s">
        <v>24</v>
      </c>
      <c r="I20" s="1087" t="s">
        <v>9459</v>
      </c>
    </row>
    <row r="21" spans="2:9" ht="15.95" customHeight="1" x14ac:dyDescent="0.4">
      <c r="B21" s="22"/>
      <c r="C21" s="35">
        <v>218502</v>
      </c>
      <c r="D21" s="37">
        <v>1265782</v>
      </c>
      <c r="E21" s="36" t="s">
        <v>251</v>
      </c>
      <c r="F21" s="36" t="s">
        <v>54</v>
      </c>
      <c r="G21" s="1084">
        <v>400</v>
      </c>
      <c r="H21" s="1082" t="s">
        <v>24</v>
      </c>
      <c r="I21" s="1087" t="s">
        <v>9459</v>
      </c>
    </row>
    <row r="22" spans="2:9" ht="15.95" customHeight="1" x14ac:dyDescent="0.4">
      <c r="B22" s="22"/>
      <c r="C22" s="35">
        <v>158313</v>
      </c>
      <c r="D22" s="37">
        <v>1263927</v>
      </c>
      <c r="E22" s="36" t="s">
        <v>252</v>
      </c>
      <c r="F22" s="36" t="s">
        <v>8144</v>
      </c>
      <c r="G22" s="1084">
        <v>400</v>
      </c>
      <c r="H22" s="1082" t="s">
        <v>24</v>
      </c>
      <c r="I22" s="1087" t="s">
        <v>9459</v>
      </c>
    </row>
    <row r="23" spans="2:9" ht="15.95" customHeight="1" x14ac:dyDescent="0.4">
      <c r="B23" s="22"/>
      <c r="C23" s="35">
        <v>278904</v>
      </c>
      <c r="D23" s="37">
        <v>1264904</v>
      </c>
      <c r="E23" s="36" t="s">
        <v>253</v>
      </c>
      <c r="F23" s="36" t="s">
        <v>56</v>
      </c>
      <c r="G23" s="645">
        <v>1140</v>
      </c>
      <c r="H23" s="1082" t="s">
        <v>57</v>
      </c>
      <c r="I23" s="1087" t="s">
        <v>9459</v>
      </c>
    </row>
    <row r="24" spans="2:9" ht="15.95" customHeight="1" x14ac:dyDescent="0.4">
      <c r="B24" s="22"/>
      <c r="C24" s="35">
        <v>158526</v>
      </c>
      <c r="D24" s="37">
        <v>1263894</v>
      </c>
      <c r="E24" s="36" t="s">
        <v>254</v>
      </c>
      <c r="F24" s="36" t="s">
        <v>58</v>
      </c>
      <c r="G24" s="1084">
        <v>1150</v>
      </c>
      <c r="H24" s="1082" t="s">
        <v>59</v>
      </c>
      <c r="I24" s="1087" t="s">
        <v>9459</v>
      </c>
    </row>
    <row r="25" spans="2:9" ht="15.95" customHeight="1" x14ac:dyDescent="0.4">
      <c r="B25" s="22"/>
      <c r="C25" s="35">
        <v>158534</v>
      </c>
      <c r="D25" s="37">
        <v>1264377</v>
      </c>
      <c r="E25" s="36" t="s">
        <v>255</v>
      </c>
      <c r="F25" s="36" t="s">
        <v>61</v>
      </c>
      <c r="G25" s="1084">
        <v>1150</v>
      </c>
      <c r="H25" s="1082" t="s">
        <v>59</v>
      </c>
      <c r="I25" s="1087" t="s">
        <v>9459</v>
      </c>
    </row>
    <row r="26" spans="2:9" ht="15.95" customHeight="1" x14ac:dyDescent="0.4">
      <c r="B26" s="22"/>
      <c r="C26" s="35">
        <v>158569</v>
      </c>
      <c r="D26" s="37">
        <v>1263914</v>
      </c>
      <c r="E26" s="36" t="s">
        <v>256</v>
      </c>
      <c r="F26" s="36" t="s">
        <v>8215</v>
      </c>
      <c r="G26" s="1084">
        <v>1150</v>
      </c>
      <c r="H26" s="1082" t="s">
        <v>59</v>
      </c>
      <c r="I26" s="1087" t="s">
        <v>9459</v>
      </c>
    </row>
    <row r="27" spans="2:9" ht="15.95" customHeight="1" x14ac:dyDescent="0.4">
      <c r="B27" s="22"/>
      <c r="C27" s="35">
        <v>159255</v>
      </c>
      <c r="D27" s="37">
        <v>1264041</v>
      </c>
      <c r="E27" s="36" t="s">
        <v>257</v>
      </c>
      <c r="F27" s="36" t="s">
        <v>8148</v>
      </c>
      <c r="G27" s="1084">
        <v>1455</v>
      </c>
      <c r="H27" s="1082" t="s">
        <v>64</v>
      </c>
      <c r="I27" s="1087" t="s">
        <v>9459</v>
      </c>
    </row>
    <row r="28" spans="2:9" ht="15.95" customHeight="1" x14ac:dyDescent="0.4">
      <c r="B28" s="22"/>
      <c r="C28" s="35">
        <v>159271</v>
      </c>
      <c r="D28" s="37">
        <v>1263911</v>
      </c>
      <c r="E28" s="36" t="s">
        <v>258</v>
      </c>
      <c r="F28" s="36" t="s">
        <v>65</v>
      </c>
      <c r="G28" s="1084">
        <v>1455</v>
      </c>
      <c r="H28" s="1082" t="s">
        <v>64</v>
      </c>
      <c r="I28" s="1087" t="s">
        <v>9459</v>
      </c>
    </row>
    <row r="29" spans="2:9" ht="15.95" customHeight="1" x14ac:dyDescent="0.4">
      <c r="B29" s="22"/>
      <c r="C29" s="35">
        <v>159301</v>
      </c>
      <c r="D29" s="37">
        <v>1263919</v>
      </c>
      <c r="E29" s="36" t="s">
        <v>259</v>
      </c>
      <c r="F29" s="36" t="s">
        <v>68</v>
      </c>
      <c r="G29" s="1084">
        <v>1455</v>
      </c>
      <c r="H29" s="1082" t="s">
        <v>64</v>
      </c>
      <c r="I29" s="1087" t="s">
        <v>9459</v>
      </c>
    </row>
    <row r="30" spans="2:9" ht="15.95" customHeight="1" x14ac:dyDescent="0.4">
      <c r="B30" s="22"/>
      <c r="C30" s="35">
        <v>330671</v>
      </c>
      <c r="D30" s="37">
        <v>1264181</v>
      </c>
      <c r="E30" s="36" t="s">
        <v>260</v>
      </c>
      <c r="F30" s="36" t="s">
        <v>71</v>
      </c>
      <c r="G30" s="645">
        <v>1690</v>
      </c>
      <c r="H30" s="1082" t="s">
        <v>70</v>
      </c>
      <c r="I30" s="1087" t="s">
        <v>9459</v>
      </c>
    </row>
    <row r="31" spans="2:9" ht="15.95" customHeight="1" x14ac:dyDescent="0.4">
      <c r="B31" s="22"/>
      <c r="C31" s="35">
        <v>316041</v>
      </c>
      <c r="D31" s="37">
        <v>1266606</v>
      </c>
      <c r="E31" s="36" t="s">
        <v>261</v>
      </c>
      <c r="F31" s="36" t="s">
        <v>73</v>
      </c>
      <c r="G31" s="1084">
        <v>1730</v>
      </c>
      <c r="H31" s="1082" t="s">
        <v>74</v>
      </c>
      <c r="I31" s="1087" t="s">
        <v>9459</v>
      </c>
    </row>
    <row r="32" spans="2:9" ht="15.95" customHeight="1" x14ac:dyDescent="0.4">
      <c r="B32" s="22"/>
      <c r="C32" s="35">
        <v>158674</v>
      </c>
      <c r="D32" s="37">
        <v>1265720</v>
      </c>
      <c r="E32" s="36" t="s">
        <v>262</v>
      </c>
      <c r="F32" s="36" t="s">
        <v>77</v>
      </c>
      <c r="G32" s="1084">
        <v>1730</v>
      </c>
      <c r="H32" s="1082" t="s">
        <v>74</v>
      </c>
      <c r="I32" s="1087" t="s">
        <v>9459</v>
      </c>
    </row>
    <row r="33" spans="2:9" ht="15.95" customHeight="1" x14ac:dyDescent="0.4">
      <c r="B33" s="22"/>
      <c r="C33" s="35">
        <v>310883</v>
      </c>
      <c r="D33" s="37">
        <v>1263900</v>
      </c>
      <c r="E33" s="36" t="s">
        <v>9422</v>
      </c>
      <c r="F33" s="36" t="s">
        <v>79</v>
      </c>
      <c r="G33" s="645">
        <v>1820</v>
      </c>
      <c r="H33" s="1082" t="s">
        <v>80</v>
      </c>
      <c r="I33" s="1087" t="s">
        <v>9459</v>
      </c>
    </row>
    <row r="34" spans="2:9" ht="15.95" customHeight="1" x14ac:dyDescent="0.4">
      <c r="B34" s="22"/>
      <c r="C34" s="35">
        <v>322644</v>
      </c>
      <c r="D34" s="37">
        <v>1266607</v>
      </c>
      <c r="E34" s="36" t="s">
        <v>263</v>
      </c>
      <c r="F34" s="36" t="s">
        <v>82</v>
      </c>
      <c r="G34" s="645">
        <v>2125</v>
      </c>
      <c r="H34" s="1082" t="s">
        <v>83</v>
      </c>
      <c r="I34" s="1087" t="s">
        <v>9459</v>
      </c>
    </row>
    <row r="35" spans="2:9" ht="15.95" customHeight="1" x14ac:dyDescent="0.4">
      <c r="B35" s="22"/>
      <c r="C35" s="35">
        <v>158801</v>
      </c>
      <c r="D35" s="37">
        <v>1264587</v>
      </c>
      <c r="E35" s="36" t="s">
        <v>264</v>
      </c>
      <c r="F35" s="36" t="s">
        <v>86</v>
      </c>
      <c r="G35" s="4200">
        <v>2700</v>
      </c>
      <c r="H35" s="1082" t="s">
        <v>87</v>
      </c>
      <c r="I35" s="1087" t="s">
        <v>9459</v>
      </c>
    </row>
    <row r="36" spans="2:9" ht="15.95" customHeight="1" x14ac:dyDescent="0.4">
      <c r="B36" s="22"/>
      <c r="C36" s="35">
        <v>361356</v>
      </c>
      <c r="D36" s="647"/>
      <c r="E36" s="643" t="s">
        <v>9400</v>
      </c>
      <c r="F36" s="643" t="s">
        <v>8195</v>
      </c>
      <c r="G36" s="4201"/>
      <c r="H36" s="1082" t="s">
        <v>87</v>
      </c>
      <c r="I36" s="1087" t="s">
        <v>9459</v>
      </c>
    </row>
    <row r="37" spans="2:9" ht="15.95" customHeight="1" x14ac:dyDescent="0.4">
      <c r="B37" s="22"/>
      <c r="C37" s="35">
        <v>158887</v>
      </c>
      <c r="D37" s="37">
        <v>1263903</v>
      </c>
      <c r="E37" s="36" t="s">
        <v>265</v>
      </c>
      <c r="F37" s="36" t="s">
        <v>89</v>
      </c>
      <c r="G37" s="1084">
        <v>2710</v>
      </c>
      <c r="H37" s="1082" t="s">
        <v>90</v>
      </c>
      <c r="I37" s="1087" t="s">
        <v>9459</v>
      </c>
    </row>
    <row r="38" spans="2:9" ht="15.95" customHeight="1" x14ac:dyDescent="0.4">
      <c r="B38" s="22"/>
      <c r="C38" s="35">
        <v>158909</v>
      </c>
      <c r="D38" s="37">
        <v>1264687</v>
      </c>
      <c r="E38" s="36" t="s">
        <v>266</v>
      </c>
      <c r="F38" s="36" t="s">
        <v>92</v>
      </c>
      <c r="G38" s="1084">
        <v>2710</v>
      </c>
      <c r="H38" s="1082" t="s">
        <v>90</v>
      </c>
      <c r="I38" s="1087" t="s">
        <v>9459</v>
      </c>
    </row>
    <row r="39" spans="2:9" ht="15.95" customHeight="1" x14ac:dyDescent="0.4">
      <c r="B39" s="22"/>
      <c r="C39" s="35">
        <v>158879</v>
      </c>
      <c r="D39" s="37">
        <v>1265721</v>
      </c>
      <c r="E39" s="36" t="s">
        <v>267</v>
      </c>
      <c r="F39" s="36" t="s">
        <v>95</v>
      </c>
      <c r="G39" s="1084">
        <v>2710</v>
      </c>
      <c r="H39" s="1082" t="s">
        <v>90</v>
      </c>
      <c r="I39" s="1087" t="s">
        <v>9459</v>
      </c>
    </row>
    <row r="40" spans="2:9" ht="15.95" customHeight="1" x14ac:dyDescent="0.4">
      <c r="B40" s="22"/>
      <c r="C40" s="35">
        <v>319104</v>
      </c>
      <c r="D40" s="37">
        <v>1263920</v>
      </c>
      <c r="E40" s="36" t="s">
        <v>268</v>
      </c>
      <c r="F40" s="36" t="s">
        <v>97</v>
      </c>
      <c r="G40" s="1084">
        <v>2710</v>
      </c>
      <c r="H40" s="1082" t="s">
        <v>90</v>
      </c>
      <c r="I40" s="1087" t="s">
        <v>9459</v>
      </c>
    </row>
    <row r="41" spans="2:9" ht="15.95" customHeight="1" x14ac:dyDescent="0.4">
      <c r="B41" s="22"/>
      <c r="C41" s="35">
        <v>158941</v>
      </c>
      <c r="D41" s="37">
        <v>1263929</v>
      </c>
      <c r="E41" s="36" t="s">
        <v>269</v>
      </c>
      <c r="F41" s="36" t="s">
        <v>99</v>
      </c>
      <c r="G41" s="1084">
        <v>2710</v>
      </c>
      <c r="H41" s="1082" t="s">
        <v>90</v>
      </c>
      <c r="I41" s="1087" t="s">
        <v>9459</v>
      </c>
    </row>
    <row r="42" spans="2:9" ht="15.95" customHeight="1" x14ac:dyDescent="0.4">
      <c r="B42" s="22"/>
      <c r="C42" s="35">
        <v>319201</v>
      </c>
      <c r="D42" s="37">
        <v>1263918</v>
      </c>
      <c r="E42" s="36" t="s">
        <v>270</v>
      </c>
      <c r="F42" s="36" t="s">
        <v>102</v>
      </c>
      <c r="G42" s="1084">
        <v>2710</v>
      </c>
      <c r="H42" s="1082" t="s">
        <v>90</v>
      </c>
      <c r="I42" s="1087" t="s">
        <v>9459</v>
      </c>
    </row>
    <row r="43" spans="2:9" ht="15.95" customHeight="1" x14ac:dyDescent="0.4">
      <c r="B43" s="22"/>
      <c r="C43" s="35">
        <v>159131</v>
      </c>
      <c r="D43" s="37">
        <v>1265858</v>
      </c>
      <c r="E43" s="36" t="s">
        <v>271</v>
      </c>
      <c r="F43" s="36" t="s">
        <v>103</v>
      </c>
      <c r="G43" s="1084">
        <v>3340</v>
      </c>
      <c r="H43" s="1082" t="s">
        <v>104</v>
      </c>
      <c r="I43" s="1087" t="s">
        <v>9459</v>
      </c>
    </row>
    <row r="44" spans="2:9" ht="15.95" customHeight="1" x14ac:dyDescent="0.4">
      <c r="B44" s="22"/>
      <c r="C44" s="35">
        <v>159158</v>
      </c>
      <c r="D44" s="37">
        <v>1263926</v>
      </c>
      <c r="E44" s="36" t="s">
        <v>272</v>
      </c>
      <c r="F44" s="36" t="s">
        <v>105</v>
      </c>
      <c r="G44" s="1084">
        <v>3340</v>
      </c>
      <c r="H44" s="1082" t="s">
        <v>104</v>
      </c>
      <c r="I44" s="1087" t="s">
        <v>9459</v>
      </c>
    </row>
    <row r="45" spans="2:9" ht="15.95" customHeight="1" x14ac:dyDescent="0.4">
      <c r="B45" s="22"/>
      <c r="C45" s="35">
        <v>159140</v>
      </c>
      <c r="D45" s="37">
        <v>1263924</v>
      </c>
      <c r="E45" s="36" t="s">
        <v>273</v>
      </c>
      <c r="F45" s="36" t="s">
        <v>107</v>
      </c>
      <c r="G45" s="1084">
        <v>3340</v>
      </c>
      <c r="H45" s="1082" t="s">
        <v>104</v>
      </c>
      <c r="I45" s="1087" t="s">
        <v>9460</v>
      </c>
    </row>
    <row r="46" spans="2:9" ht="15.95" customHeight="1" x14ac:dyDescent="0.4">
      <c r="B46" s="22"/>
      <c r="C46" s="35">
        <v>159166</v>
      </c>
      <c r="D46" s="37">
        <v>1265938</v>
      </c>
      <c r="E46" s="36" t="s">
        <v>274</v>
      </c>
      <c r="F46" s="36" t="s">
        <v>110</v>
      </c>
      <c r="G46" s="1084">
        <v>3440</v>
      </c>
      <c r="H46" s="1082" t="s">
        <v>399</v>
      </c>
      <c r="I46" s="1087" t="s">
        <v>9459</v>
      </c>
    </row>
    <row r="47" spans="2:9" ht="15.95" customHeight="1" x14ac:dyDescent="0.4">
      <c r="B47" s="22"/>
      <c r="C47" s="35">
        <v>205605</v>
      </c>
      <c r="D47" s="37">
        <v>1263905</v>
      </c>
      <c r="E47" s="36" t="s">
        <v>275</v>
      </c>
      <c r="F47" s="36" t="s">
        <v>111</v>
      </c>
      <c r="G47" s="1084">
        <v>3440</v>
      </c>
      <c r="H47" s="1082" t="s">
        <v>399</v>
      </c>
      <c r="I47" s="1087" t="s">
        <v>9459</v>
      </c>
    </row>
    <row r="48" spans="2:9" ht="15.95" customHeight="1" x14ac:dyDescent="0.4">
      <c r="B48" s="22"/>
      <c r="C48" s="35">
        <v>159182</v>
      </c>
      <c r="D48" s="37">
        <v>1264840</v>
      </c>
      <c r="E48" s="36" t="s">
        <v>276</v>
      </c>
      <c r="F48" s="36" t="s">
        <v>112</v>
      </c>
      <c r="G48" s="1084">
        <v>3440</v>
      </c>
      <c r="H48" s="1082" t="s">
        <v>399</v>
      </c>
      <c r="I48" s="1087" t="s">
        <v>9459</v>
      </c>
    </row>
    <row r="49" spans="2:9" ht="15.95" customHeight="1" x14ac:dyDescent="0.4">
      <c r="B49" s="22"/>
      <c r="C49" s="35">
        <v>159212</v>
      </c>
      <c r="D49" s="37">
        <v>1263280</v>
      </c>
      <c r="E49" s="36" t="s">
        <v>277</v>
      </c>
      <c r="F49" s="36" t="s">
        <v>115</v>
      </c>
      <c r="G49" s="1084">
        <v>3440</v>
      </c>
      <c r="H49" s="1082" t="s">
        <v>399</v>
      </c>
      <c r="I49" s="1087" t="s">
        <v>9459</v>
      </c>
    </row>
    <row r="50" spans="2:9" ht="15.95" customHeight="1" x14ac:dyDescent="0.4">
      <c r="B50" s="22"/>
      <c r="C50" s="35">
        <v>159247</v>
      </c>
      <c r="D50" s="37">
        <v>1263896</v>
      </c>
      <c r="E50" s="36" t="s">
        <v>278</v>
      </c>
      <c r="F50" s="36" t="s">
        <v>116</v>
      </c>
      <c r="G50" s="1084">
        <v>3440</v>
      </c>
      <c r="H50" s="1082" t="s">
        <v>399</v>
      </c>
      <c r="I50" s="1087" t="s">
        <v>9459</v>
      </c>
    </row>
    <row r="51" spans="2:9" ht="15.95" customHeight="1" x14ac:dyDescent="0.4">
      <c r="B51" s="22"/>
      <c r="C51" s="35">
        <v>159280</v>
      </c>
      <c r="D51" s="37">
        <v>1264563</v>
      </c>
      <c r="E51" s="36" t="s">
        <v>279</v>
      </c>
      <c r="F51" s="36" t="s">
        <v>118</v>
      </c>
      <c r="G51" s="645">
        <v>3862</v>
      </c>
      <c r="H51" s="1082" t="s">
        <v>119</v>
      </c>
      <c r="I51" s="1087" t="s">
        <v>9459</v>
      </c>
    </row>
    <row r="52" spans="2:9" ht="15.95" customHeight="1" x14ac:dyDescent="0.4">
      <c r="B52" s="22"/>
      <c r="C52" s="35">
        <v>159328</v>
      </c>
      <c r="D52" s="37">
        <v>1263043</v>
      </c>
      <c r="E52" s="36" t="s">
        <v>280</v>
      </c>
      <c r="F52" s="36" t="s">
        <v>121</v>
      </c>
      <c r="G52" s="645">
        <v>4920</v>
      </c>
      <c r="H52" s="1082" t="s">
        <v>122</v>
      </c>
      <c r="I52" s="1087" t="s">
        <v>9459</v>
      </c>
    </row>
    <row r="53" spans="2:9" ht="15.95" customHeight="1" x14ac:dyDescent="0.4">
      <c r="B53" s="22"/>
      <c r="C53" s="35">
        <v>311855</v>
      </c>
      <c r="D53" s="37">
        <v>1264116</v>
      </c>
      <c r="E53" s="36" t="s">
        <v>281</v>
      </c>
      <c r="F53" s="36" t="s">
        <v>123</v>
      </c>
      <c r="G53" s="645">
        <v>5070</v>
      </c>
      <c r="H53" s="1082" t="s">
        <v>124</v>
      </c>
      <c r="I53" s="1087" t="s">
        <v>9459</v>
      </c>
    </row>
    <row r="54" spans="2:9" ht="15.95" customHeight="1" x14ac:dyDescent="0.4">
      <c r="B54" s="22"/>
      <c r="C54" s="35">
        <v>159417</v>
      </c>
      <c r="D54" s="37">
        <v>1265867</v>
      </c>
      <c r="E54" s="36" t="s">
        <v>282</v>
      </c>
      <c r="F54" s="36" t="s">
        <v>125</v>
      </c>
      <c r="G54" s="645">
        <v>5160</v>
      </c>
      <c r="H54" s="1082" t="s">
        <v>126</v>
      </c>
      <c r="I54" s="1087" t="s">
        <v>9459</v>
      </c>
    </row>
    <row r="55" spans="2:9" ht="15.95" customHeight="1" x14ac:dyDescent="0.4">
      <c r="B55" s="22"/>
      <c r="C55" s="35">
        <v>319112</v>
      </c>
      <c r="D55" s="37">
        <v>1263913</v>
      </c>
      <c r="E55" s="36" t="s">
        <v>283</v>
      </c>
      <c r="F55" s="36" t="s">
        <v>127</v>
      </c>
      <c r="G55" s="645">
        <v>5300</v>
      </c>
      <c r="H55" s="1082" t="s">
        <v>128</v>
      </c>
      <c r="I55" s="1087" t="s">
        <v>9459</v>
      </c>
    </row>
    <row r="56" spans="2:9" ht="15.95" customHeight="1" x14ac:dyDescent="0.4">
      <c r="B56" s="22"/>
      <c r="C56" s="35">
        <v>159484</v>
      </c>
      <c r="D56" s="37">
        <v>1263923</v>
      </c>
      <c r="E56" s="36" t="s">
        <v>284</v>
      </c>
      <c r="F56" s="36" t="s">
        <v>131</v>
      </c>
      <c r="G56" s="1084">
        <v>5690</v>
      </c>
      <c r="H56" s="1082" t="s">
        <v>132</v>
      </c>
      <c r="I56" s="1087" t="s">
        <v>9459</v>
      </c>
    </row>
    <row r="57" spans="2:9" ht="15.95" customHeight="1" x14ac:dyDescent="0.4">
      <c r="B57" s="22"/>
      <c r="C57" s="35">
        <v>159506</v>
      </c>
      <c r="D57" s="37">
        <v>1264105</v>
      </c>
      <c r="E57" s="36" t="s">
        <v>285</v>
      </c>
      <c r="F57" s="36" t="s">
        <v>134</v>
      </c>
      <c r="G57" s="1084">
        <v>5690</v>
      </c>
      <c r="H57" s="1082" t="s">
        <v>132</v>
      </c>
      <c r="I57" s="1087" t="s">
        <v>9459</v>
      </c>
    </row>
    <row r="58" spans="2:9" ht="15.95" customHeight="1" x14ac:dyDescent="0.4">
      <c r="B58" s="22"/>
      <c r="C58" s="35">
        <v>159492</v>
      </c>
      <c r="D58" s="37">
        <v>1263897</v>
      </c>
      <c r="E58" s="36" t="s">
        <v>286</v>
      </c>
      <c r="F58" s="36" t="s">
        <v>9219</v>
      </c>
      <c r="G58" s="1084">
        <v>5690</v>
      </c>
      <c r="H58" s="1082" t="s">
        <v>132</v>
      </c>
      <c r="I58" s="1087" t="s">
        <v>9459</v>
      </c>
    </row>
    <row r="59" spans="2:9" ht="15.95" customHeight="1" x14ac:dyDescent="0.4">
      <c r="B59" s="22"/>
      <c r="C59" s="35">
        <v>159565</v>
      </c>
      <c r="D59" s="37">
        <v>1263925</v>
      </c>
      <c r="E59" s="36" t="s">
        <v>287</v>
      </c>
      <c r="F59" s="36" t="s">
        <v>138</v>
      </c>
      <c r="G59" s="1084">
        <v>5690</v>
      </c>
      <c r="H59" s="1082" t="s">
        <v>132</v>
      </c>
      <c r="I59" s="1087" t="s">
        <v>9459</v>
      </c>
    </row>
    <row r="60" spans="2:9" ht="15.95" customHeight="1" x14ac:dyDescent="0.4">
      <c r="B60" s="22"/>
      <c r="C60" s="35">
        <v>159611</v>
      </c>
      <c r="D60" s="37">
        <v>1263240</v>
      </c>
      <c r="E60" s="36" t="s">
        <v>288</v>
      </c>
      <c r="F60" s="36" t="s">
        <v>139</v>
      </c>
      <c r="G60" s="645">
        <v>5770</v>
      </c>
      <c r="H60" s="1082" t="s">
        <v>7958</v>
      </c>
      <c r="I60" s="1087" t="s">
        <v>9459</v>
      </c>
    </row>
    <row r="61" spans="2:9" ht="15.95" customHeight="1" x14ac:dyDescent="0.4">
      <c r="B61" s="22"/>
      <c r="C61" s="35">
        <v>159646</v>
      </c>
      <c r="D61" s="37">
        <v>1263179</v>
      </c>
      <c r="E61" s="36" t="s">
        <v>289</v>
      </c>
      <c r="F61" s="36" t="s">
        <v>141</v>
      </c>
      <c r="G61" s="645">
        <v>6130</v>
      </c>
      <c r="H61" s="1082" t="s">
        <v>140</v>
      </c>
      <c r="I61" s="1087" t="s">
        <v>9459</v>
      </c>
    </row>
    <row r="62" spans="2:9" ht="15.95" customHeight="1" x14ac:dyDescent="0.4">
      <c r="B62" s="22"/>
      <c r="C62" s="35">
        <v>310166</v>
      </c>
      <c r="D62" s="37">
        <v>1264261</v>
      </c>
      <c r="E62" s="36" t="s">
        <v>290</v>
      </c>
      <c r="F62" s="36" t="s">
        <v>143</v>
      </c>
      <c r="G62" s="645">
        <v>6810</v>
      </c>
      <c r="H62" s="1082" t="s">
        <v>144</v>
      </c>
      <c r="I62" s="1087" t="s">
        <v>9459</v>
      </c>
    </row>
    <row r="63" spans="2:9" ht="15.95" customHeight="1" x14ac:dyDescent="0.4">
      <c r="B63" s="22"/>
      <c r="C63" s="35">
        <v>210005</v>
      </c>
      <c r="D63" s="37">
        <v>1263827</v>
      </c>
      <c r="E63" s="36" t="s">
        <v>146</v>
      </c>
      <c r="F63" s="36" t="s">
        <v>148</v>
      </c>
      <c r="G63" s="1084">
        <v>7010</v>
      </c>
      <c r="H63" s="1082" t="s">
        <v>149</v>
      </c>
      <c r="I63" s="1087" t="s">
        <v>9459</v>
      </c>
    </row>
    <row r="64" spans="2:9" ht="15.95" customHeight="1" x14ac:dyDescent="0.4">
      <c r="B64" s="22"/>
      <c r="C64" s="35">
        <v>218588</v>
      </c>
      <c r="D64" s="37">
        <v>1265618</v>
      </c>
      <c r="E64" s="36" t="s">
        <v>151</v>
      </c>
      <c r="F64" s="36" t="s">
        <v>153</v>
      </c>
      <c r="G64" s="1084">
        <v>7010</v>
      </c>
      <c r="H64" s="1082" t="s">
        <v>149</v>
      </c>
      <c r="I64" s="1087" t="s">
        <v>9459</v>
      </c>
    </row>
    <row r="65" spans="2:9" ht="15.95" customHeight="1" x14ac:dyDescent="0.4">
      <c r="B65" s="22"/>
      <c r="C65" s="35">
        <v>313751</v>
      </c>
      <c r="D65" s="37">
        <v>1263842</v>
      </c>
      <c r="E65" s="36" t="s">
        <v>8029</v>
      </c>
      <c r="F65" s="36" t="s">
        <v>154</v>
      </c>
      <c r="G65" s="1084">
        <v>7010</v>
      </c>
      <c r="H65" s="1082" t="s">
        <v>149</v>
      </c>
      <c r="I65" s="1087" t="s">
        <v>9459</v>
      </c>
    </row>
    <row r="66" spans="2:9" ht="15.95" customHeight="1" x14ac:dyDescent="0.4">
      <c r="B66" s="22"/>
      <c r="C66" s="35">
        <v>159921</v>
      </c>
      <c r="D66" s="37">
        <v>1265824</v>
      </c>
      <c r="E66" s="36" t="s">
        <v>155</v>
      </c>
      <c r="F66" s="36" t="s">
        <v>157</v>
      </c>
      <c r="G66" s="1084">
        <v>7010</v>
      </c>
      <c r="H66" s="1082" t="s">
        <v>149</v>
      </c>
      <c r="I66" s="1087" t="s">
        <v>9459</v>
      </c>
    </row>
    <row r="67" spans="2:9" ht="15.95" customHeight="1" x14ac:dyDescent="0.4">
      <c r="B67" s="22"/>
      <c r="C67" s="35">
        <v>159735</v>
      </c>
      <c r="D67" s="37">
        <v>1265869</v>
      </c>
      <c r="E67" s="36" t="s">
        <v>291</v>
      </c>
      <c r="F67" s="36" t="s">
        <v>159</v>
      </c>
      <c r="G67" s="1084">
        <v>7010</v>
      </c>
      <c r="H67" s="1082" t="s">
        <v>149</v>
      </c>
      <c r="I67" s="1087" t="s">
        <v>9459</v>
      </c>
    </row>
    <row r="68" spans="2:9" ht="15.95" customHeight="1" x14ac:dyDescent="0.4">
      <c r="B68" s="22"/>
      <c r="C68" s="35">
        <v>159701</v>
      </c>
      <c r="D68" s="37">
        <v>1265908</v>
      </c>
      <c r="E68" s="36" t="s">
        <v>292</v>
      </c>
      <c r="F68" s="36" t="s">
        <v>161</v>
      </c>
      <c r="G68" s="1084">
        <v>7010</v>
      </c>
      <c r="H68" s="1082" t="s">
        <v>149</v>
      </c>
      <c r="I68" s="1087" t="s">
        <v>9459</v>
      </c>
    </row>
    <row r="69" spans="2:9" ht="15.95" customHeight="1" x14ac:dyDescent="0.4">
      <c r="B69" s="22"/>
      <c r="C69" s="35">
        <v>159662</v>
      </c>
      <c r="D69" s="37">
        <v>1264009</v>
      </c>
      <c r="E69" s="36" t="s">
        <v>293</v>
      </c>
      <c r="F69" s="36" t="s">
        <v>163</v>
      </c>
      <c r="G69" s="1084">
        <v>7010</v>
      </c>
      <c r="H69" s="1082" t="s">
        <v>149</v>
      </c>
      <c r="I69" s="1087" t="s">
        <v>9459</v>
      </c>
    </row>
    <row r="70" spans="2:9" ht="15.95" customHeight="1" x14ac:dyDescent="0.4">
      <c r="B70" s="22"/>
      <c r="C70" s="35">
        <v>159786</v>
      </c>
      <c r="D70" s="37">
        <v>1263775</v>
      </c>
      <c r="E70" s="36" t="s">
        <v>294</v>
      </c>
      <c r="F70" s="36" t="s">
        <v>165</v>
      </c>
      <c r="G70" s="1084">
        <v>7010</v>
      </c>
      <c r="H70" s="1082" t="s">
        <v>149</v>
      </c>
      <c r="I70" s="1087" t="s">
        <v>9459</v>
      </c>
    </row>
    <row r="71" spans="2:9" ht="15.95" customHeight="1" x14ac:dyDescent="0.4">
      <c r="B71" s="22"/>
      <c r="C71" s="35">
        <v>159841</v>
      </c>
      <c r="D71" s="37">
        <v>1265641</v>
      </c>
      <c r="E71" s="36" t="s">
        <v>295</v>
      </c>
      <c r="F71" s="36" t="s">
        <v>168</v>
      </c>
      <c r="G71" s="1084">
        <v>7010</v>
      </c>
      <c r="H71" s="1082" t="s">
        <v>149</v>
      </c>
      <c r="I71" s="1087" t="s">
        <v>9459</v>
      </c>
    </row>
    <row r="72" spans="2:9" ht="15.95" customHeight="1" x14ac:dyDescent="0.4">
      <c r="B72" s="22"/>
      <c r="C72" s="35">
        <v>159867</v>
      </c>
      <c r="D72" s="37">
        <v>1264042</v>
      </c>
      <c r="E72" s="36" t="s">
        <v>296</v>
      </c>
      <c r="F72" s="36" t="s">
        <v>170</v>
      </c>
      <c r="G72" s="1084">
        <v>7010</v>
      </c>
      <c r="H72" s="1082" t="s">
        <v>149</v>
      </c>
      <c r="I72" s="1087" t="s">
        <v>9459</v>
      </c>
    </row>
    <row r="73" spans="2:9" ht="15.95" customHeight="1" x14ac:dyDescent="0.4">
      <c r="B73" s="22"/>
      <c r="C73" s="35">
        <v>160261</v>
      </c>
      <c r="D73" s="37">
        <v>1264074</v>
      </c>
      <c r="E73" s="36" t="s">
        <v>297</v>
      </c>
      <c r="F73" s="36" t="s">
        <v>8143</v>
      </c>
      <c r="G73" s="1084">
        <v>7010</v>
      </c>
      <c r="H73" s="1082" t="s">
        <v>149</v>
      </c>
      <c r="I73" s="1087" t="s">
        <v>9459</v>
      </c>
    </row>
    <row r="74" spans="2:9" ht="15.95" customHeight="1" x14ac:dyDescent="0.4">
      <c r="B74" s="22"/>
      <c r="C74" s="35">
        <v>159981</v>
      </c>
      <c r="D74" s="37">
        <v>1264307</v>
      </c>
      <c r="E74" s="36" t="s">
        <v>298</v>
      </c>
      <c r="F74" s="36" t="s">
        <v>174</v>
      </c>
      <c r="G74" s="1084">
        <v>7010</v>
      </c>
      <c r="H74" s="1082" t="s">
        <v>149</v>
      </c>
      <c r="I74" s="1087" t="s">
        <v>9459</v>
      </c>
    </row>
    <row r="75" spans="2:9" ht="15.95" customHeight="1" x14ac:dyDescent="0.4">
      <c r="B75" s="22"/>
      <c r="C75" s="35">
        <v>160024</v>
      </c>
      <c r="D75" s="37">
        <v>1264380</v>
      </c>
      <c r="E75" s="36" t="s">
        <v>299</v>
      </c>
      <c r="F75" s="36" t="s">
        <v>177</v>
      </c>
      <c r="G75" s="1084">
        <v>7010</v>
      </c>
      <c r="H75" s="1082" t="s">
        <v>149</v>
      </c>
      <c r="I75" s="1087" t="s">
        <v>9459</v>
      </c>
    </row>
    <row r="76" spans="2:9" ht="15.95" customHeight="1" x14ac:dyDescent="0.4">
      <c r="B76" s="22"/>
      <c r="C76" s="35">
        <v>160067</v>
      </c>
      <c r="D76" s="37">
        <v>1263901</v>
      </c>
      <c r="E76" s="36" t="s">
        <v>300</v>
      </c>
      <c r="F76" s="36" t="s">
        <v>180</v>
      </c>
      <c r="G76" s="1084">
        <v>7010</v>
      </c>
      <c r="H76" s="1082" t="s">
        <v>149</v>
      </c>
      <c r="I76" s="1087" t="s">
        <v>9459</v>
      </c>
    </row>
    <row r="77" spans="2:9" ht="15.95" customHeight="1" x14ac:dyDescent="0.4">
      <c r="B77" s="22"/>
      <c r="C77" s="35">
        <v>160008</v>
      </c>
      <c r="D77" s="37">
        <v>1264467</v>
      </c>
      <c r="E77" s="36" t="s">
        <v>301</v>
      </c>
      <c r="F77" s="36" t="s">
        <v>182</v>
      </c>
      <c r="G77" s="1084">
        <v>7010</v>
      </c>
      <c r="H77" s="1082" t="s">
        <v>149</v>
      </c>
      <c r="I77" s="1087" t="s">
        <v>9459</v>
      </c>
    </row>
    <row r="78" spans="2:9" ht="15.95" customHeight="1" x14ac:dyDescent="0.4">
      <c r="B78" s="22"/>
      <c r="C78" s="35">
        <v>160083</v>
      </c>
      <c r="D78" s="37">
        <v>1263902</v>
      </c>
      <c r="E78" s="36" t="s">
        <v>302</v>
      </c>
      <c r="F78" s="36" t="s">
        <v>185</v>
      </c>
      <c r="G78" s="1084">
        <v>7010</v>
      </c>
      <c r="H78" s="1082" t="s">
        <v>149</v>
      </c>
      <c r="I78" s="1087" t="s">
        <v>9459</v>
      </c>
    </row>
    <row r="79" spans="2:9" ht="15.95" customHeight="1" x14ac:dyDescent="0.4">
      <c r="B79" s="22"/>
      <c r="C79" s="35">
        <v>160105</v>
      </c>
      <c r="D79" s="37">
        <v>1264497</v>
      </c>
      <c r="E79" s="36" t="s">
        <v>303</v>
      </c>
      <c r="F79" s="36" t="s">
        <v>187</v>
      </c>
      <c r="G79" s="1084">
        <v>7010</v>
      </c>
      <c r="H79" s="1082" t="s">
        <v>149</v>
      </c>
      <c r="I79" s="1087" t="s">
        <v>9459</v>
      </c>
    </row>
    <row r="80" spans="2:9" ht="15.95" customHeight="1" x14ac:dyDescent="0.4">
      <c r="B80" s="22"/>
      <c r="C80" s="35">
        <v>160237</v>
      </c>
      <c r="D80" s="37">
        <v>1263904</v>
      </c>
      <c r="E80" s="36" t="s">
        <v>304</v>
      </c>
      <c r="F80" s="36" t="s">
        <v>8141</v>
      </c>
      <c r="G80" s="1084">
        <v>7010</v>
      </c>
      <c r="H80" s="1082" t="s">
        <v>149</v>
      </c>
      <c r="I80" s="1087" t="s">
        <v>9459</v>
      </c>
    </row>
    <row r="81" spans="2:9" ht="15.95" customHeight="1" x14ac:dyDescent="0.4">
      <c r="B81" s="22"/>
      <c r="C81" s="35">
        <v>160121</v>
      </c>
      <c r="D81" s="37">
        <v>1264531</v>
      </c>
      <c r="E81" s="36" t="s">
        <v>305</v>
      </c>
      <c r="F81" s="36" t="s">
        <v>190</v>
      </c>
      <c r="G81" s="1084">
        <v>7010</v>
      </c>
      <c r="H81" s="1082" t="s">
        <v>149</v>
      </c>
      <c r="I81" s="1087" t="s">
        <v>9459</v>
      </c>
    </row>
    <row r="82" spans="2:9" ht="15.95" customHeight="1" x14ac:dyDescent="0.4">
      <c r="B82" s="22"/>
      <c r="C82" s="35">
        <v>160148</v>
      </c>
      <c r="D82" s="37">
        <v>1265995</v>
      </c>
      <c r="E82" s="36" t="s">
        <v>306</v>
      </c>
      <c r="F82" s="36" t="s">
        <v>192</v>
      </c>
      <c r="G82" s="1084">
        <v>7010</v>
      </c>
      <c r="H82" s="1082" t="s">
        <v>149</v>
      </c>
      <c r="I82" s="1087" t="s">
        <v>9459</v>
      </c>
    </row>
    <row r="83" spans="2:9" ht="15.95" customHeight="1" x14ac:dyDescent="0.4">
      <c r="B83" s="22"/>
      <c r="C83" s="35">
        <v>160164</v>
      </c>
      <c r="D83" s="37">
        <v>1264555</v>
      </c>
      <c r="E83" s="36" t="s">
        <v>307</v>
      </c>
      <c r="F83" s="36" t="s">
        <v>195</v>
      </c>
      <c r="G83" s="1084">
        <v>7010</v>
      </c>
      <c r="H83" s="1082" t="s">
        <v>149</v>
      </c>
      <c r="I83" s="1087" t="s">
        <v>9459</v>
      </c>
    </row>
    <row r="84" spans="2:9" ht="15.95" customHeight="1" x14ac:dyDescent="0.4">
      <c r="B84" s="22"/>
      <c r="C84" s="35">
        <v>160172</v>
      </c>
      <c r="D84" s="37">
        <v>1263906</v>
      </c>
      <c r="E84" s="36" t="s">
        <v>308</v>
      </c>
      <c r="F84" s="36" t="s">
        <v>9387</v>
      </c>
      <c r="G84" s="1084">
        <v>7010</v>
      </c>
      <c r="H84" s="1082" t="s">
        <v>149</v>
      </c>
      <c r="I84" s="1087" t="s">
        <v>9459</v>
      </c>
    </row>
    <row r="85" spans="2:9" ht="15.95" customHeight="1" x14ac:dyDescent="0.4">
      <c r="B85" s="22"/>
      <c r="C85" s="35">
        <v>160245</v>
      </c>
      <c r="D85" s="37">
        <v>1264689</v>
      </c>
      <c r="E85" s="36" t="s">
        <v>309</v>
      </c>
      <c r="F85" s="36" t="s">
        <v>199</v>
      </c>
      <c r="G85" s="1084">
        <v>7010</v>
      </c>
      <c r="H85" s="1082" t="s">
        <v>149</v>
      </c>
      <c r="I85" s="1087" t="s">
        <v>9459</v>
      </c>
    </row>
    <row r="86" spans="2:9" ht="15.95" customHeight="1" x14ac:dyDescent="0.4">
      <c r="B86" s="22"/>
      <c r="C86" s="35">
        <v>159671</v>
      </c>
      <c r="D86" s="37">
        <v>1265725</v>
      </c>
      <c r="E86" s="36" t="s">
        <v>310</v>
      </c>
      <c r="F86" s="36" t="s">
        <v>201</v>
      </c>
      <c r="G86" s="1084">
        <v>7010</v>
      </c>
      <c r="H86" s="1082" t="s">
        <v>149</v>
      </c>
      <c r="I86" s="1087" t="s">
        <v>9459</v>
      </c>
    </row>
    <row r="87" spans="2:9" ht="15.95" customHeight="1" x14ac:dyDescent="0.4">
      <c r="B87" s="22"/>
      <c r="C87" s="35">
        <v>159719</v>
      </c>
      <c r="D87" s="37">
        <v>1264797</v>
      </c>
      <c r="E87" s="36" t="s">
        <v>311</v>
      </c>
      <c r="F87" s="36" t="s">
        <v>203</v>
      </c>
      <c r="G87" s="1084">
        <v>7010</v>
      </c>
      <c r="H87" s="1082" t="s">
        <v>149</v>
      </c>
      <c r="I87" s="1087" t="s">
        <v>9459</v>
      </c>
    </row>
    <row r="88" spans="2:9" ht="15.95" customHeight="1" x14ac:dyDescent="0.4">
      <c r="B88" s="22"/>
      <c r="C88" s="35">
        <v>159751</v>
      </c>
      <c r="D88" s="37">
        <v>1265741</v>
      </c>
      <c r="E88" s="36" t="s">
        <v>312</v>
      </c>
      <c r="F88" s="36" t="s">
        <v>204</v>
      </c>
      <c r="G88" s="1084">
        <v>7010</v>
      </c>
      <c r="H88" s="1082" t="s">
        <v>149</v>
      </c>
      <c r="I88" s="1087" t="s">
        <v>9459</v>
      </c>
    </row>
    <row r="89" spans="2:9" ht="15.95" customHeight="1" x14ac:dyDescent="0.4">
      <c r="B89" s="22"/>
      <c r="C89" s="35">
        <v>159794</v>
      </c>
      <c r="D89" s="37">
        <v>1265744</v>
      </c>
      <c r="E89" s="36" t="s">
        <v>313</v>
      </c>
      <c r="F89" s="36" t="s">
        <v>205</v>
      </c>
      <c r="G89" s="1084">
        <v>7010</v>
      </c>
      <c r="H89" s="1082" t="s">
        <v>149</v>
      </c>
      <c r="I89" s="1087" t="s">
        <v>9459</v>
      </c>
    </row>
    <row r="90" spans="2:9" ht="15.95" customHeight="1" x14ac:dyDescent="0.4">
      <c r="B90" s="22"/>
      <c r="C90" s="35">
        <v>159891</v>
      </c>
      <c r="D90" s="37">
        <v>1265755</v>
      </c>
      <c r="E90" s="36" t="s">
        <v>314</v>
      </c>
      <c r="F90" s="36" t="s">
        <v>206</v>
      </c>
      <c r="G90" s="1084">
        <v>7010</v>
      </c>
      <c r="H90" s="1082" t="s">
        <v>149</v>
      </c>
      <c r="I90" s="1087" t="s">
        <v>9459</v>
      </c>
    </row>
    <row r="91" spans="2:9" ht="15.95" customHeight="1" x14ac:dyDescent="0.4">
      <c r="B91" s="22"/>
      <c r="C91" s="35">
        <v>159956</v>
      </c>
      <c r="D91" s="37">
        <v>1264961</v>
      </c>
      <c r="E91" s="36" t="s">
        <v>315</v>
      </c>
      <c r="F91" s="36" t="s">
        <v>207</v>
      </c>
      <c r="G91" s="1084">
        <v>7010</v>
      </c>
      <c r="H91" s="1082" t="s">
        <v>149</v>
      </c>
      <c r="I91" s="1087" t="s">
        <v>9459</v>
      </c>
    </row>
    <row r="92" spans="2:9" ht="15.95" customHeight="1" x14ac:dyDescent="0.4">
      <c r="B92" s="22"/>
      <c r="C92" s="35">
        <v>159972</v>
      </c>
      <c r="D92" s="37">
        <v>1263921</v>
      </c>
      <c r="E92" s="36" t="s">
        <v>316</v>
      </c>
      <c r="F92" s="36" t="s">
        <v>208</v>
      </c>
      <c r="G92" s="1084">
        <v>7010</v>
      </c>
      <c r="H92" s="1082" t="s">
        <v>149</v>
      </c>
      <c r="I92" s="1087" t="s">
        <v>9459</v>
      </c>
    </row>
    <row r="93" spans="2:9" ht="15.95" customHeight="1" x14ac:dyDescent="0.4">
      <c r="B93" s="22"/>
      <c r="C93" s="35">
        <v>159999</v>
      </c>
      <c r="D93" s="37">
        <v>1264975</v>
      </c>
      <c r="E93" s="36" t="s">
        <v>317</v>
      </c>
      <c r="F93" s="36" t="s">
        <v>210</v>
      </c>
      <c r="G93" s="1084">
        <v>7010</v>
      </c>
      <c r="H93" s="1082" t="s">
        <v>149</v>
      </c>
      <c r="I93" s="1087" t="s">
        <v>9459</v>
      </c>
    </row>
    <row r="94" spans="2:9" ht="15.95" customHeight="1" x14ac:dyDescent="0.4">
      <c r="B94" s="22"/>
      <c r="C94" s="35">
        <v>160016</v>
      </c>
      <c r="D94" s="37">
        <v>1265763</v>
      </c>
      <c r="E94" s="36" t="s">
        <v>318</v>
      </c>
      <c r="F94" s="36" t="s">
        <v>211</v>
      </c>
      <c r="G94" s="1084">
        <v>7010</v>
      </c>
      <c r="H94" s="1082" t="s">
        <v>149</v>
      </c>
      <c r="I94" s="1087" t="s">
        <v>9459</v>
      </c>
    </row>
    <row r="95" spans="2:9" ht="15.95" customHeight="1" x14ac:dyDescent="0.4">
      <c r="B95" s="22"/>
      <c r="C95" s="35">
        <v>160059</v>
      </c>
      <c r="D95" s="37">
        <v>1263022</v>
      </c>
      <c r="E95" s="36" t="s">
        <v>319</v>
      </c>
      <c r="F95" s="36" t="s">
        <v>213</v>
      </c>
      <c r="G95" s="1084">
        <v>7010</v>
      </c>
      <c r="H95" s="1082" t="s">
        <v>149</v>
      </c>
      <c r="I95" s="1087" t="s">
        <v>9459</v>
      </c>
    </row>
    <row r="96" spans="2:9" ht="15.95" customHeight="1" x14ac:dyDescent="0.4">
      <c r="B96" s="22"/>
      <c r="C96" s="35">
        <v>327280</v>
      </c>
      <c r="D96" s="37">
        <v>1262921</v>
      </c>
      <c r="E96" s="36" t="s">
        <v>320</v>
      </c>
      <c r="F96" s="36" t="s">
        <v>216</v>
      </c>
      <c r="G96" s="1084">
        <v>7010</v>
      </c>
      <c r="H96" s="1082" t="s">
        <v>149</v>
      </c>
      <c r="I96" s="1087" t="s">
        <v>9459</v>
      </c>
    </row>
    <row r="97" spans="2:9" ht="15.95" customHeight="1" x14ac:dyDescent="0.4">
      <c r="B97" s="22"/>
      <c r="C97" s="35">
        <v>160075</v>
      </c>
      <c r="D97" s="37">
        <v>1263922</v>
      </c>
      <c r="E97" s="36" t="s">
        <v>321</v>
      </c>
      <c r="F97" s="36" t="s">
        <v>218</v>
      </c>
      <c r="G97" s="1084">
        <v>7010</v>
      </c>
      <c r="H97" s="1082" t="s">
        <v>149</v>
      </c>
      <c r="I97" s="1087" t="s">
        <v>9459</v>
      </c>
    </row>
    <row r="98" spans="2:9" ht="15.95" customHeight="1" x14ac:dyDescent="0.4">
      <c r="B98" s="22"/>
      <c r="C98" s="35">
        <v>160091</v>
      </c>
      <c r="D98" s="37">
        <v>1263152</v>
      </c>
      <c r="E98" s="36" t="s">
        <v>251</v>
      </c>
      <c r="F98" s="36" t="s">
        <v>220</v>
      </c>
      <c r="G98" s="1084">
        <v>7010</v>
      </c>
      <c r="H98" s="1082" t="s">
        <v>149</v>
      </c>
      <c r="I98" s="1087" t="s">
        <v>9459</v>
      </c>
    </row>
    <row r="99" spans="2:9" ht="15.95" customHeight="1" x14ac:dyDescent="0.4">
      <c r="B99" s="22"/>
      <c r="C99" s="35">
        <v>160130</v>
      </c>
      <c r="D99" s="37">
        <v>1265922</v>
      </c>
      <c r="E99" s="36" t="s">
        <v>322</v>
      </c>
      <c r="F99" s="36" t="s">
        <v>221</v>
      </c>
      <c r="G99" s="1084">
        <v>7010</v>
      </c>
      <c r="H99" s="1082" t="s">
        <v>149</v>
      </c>
      <c r="I99" s="1087" t="s">
        <v>9459</v>
      </c>
    </row>
    <row r="100" spans="2:9" ht="15.95" customHeight="1" x14ac:dyDescent="0.4">
      <c r="B100" s="22"/>
      <c r="C100" s="35">
        <v>160156</v>
      </c>
      <c r="D100" s="37">
        <v>1263169</v>
      </c>
      <c r="E100" s="36" t="s">
        <v>323</v>
      </c>
      <c r="F100" s="36" t="s">
        <v>223</v>
      </c>
      <c r="G100" s="1084">
        <v>7010</v>
      </c>
      <c r="H100" s="1082" t="s">
        <v>149</v>
      </c>
      <c r="I100" s="1087" t="s">
        <v>9459</v>
      </c>
    </row>
    <row r="101" spans="2:9" ht="15.95" customHeight="1" x14ac:dyDescent="0.4">
      <c r="B101" s="22"/>
      <c r="C101" s="35">
        <v>160253</v>
      </c>
      <c r="D101" s="37">
        <v>1263844</v>
      </c>
      <c r="E101" s="36" t="s">
        <v>225</v>
      </c>
      <c r="F101" s="36" t="s">
        <v>8167</v>
      </c>
      <c r="G101" s="1084">
        <v>7010</v>
      </c>
      <c r="H101" s="1082" t="s">
        <v>149</v>
      </c>
      <c r="I101" s="1087" t="s">
        <v>9459</v>
      </c>
    </row>
    <row r="102" spans="2:9" ht="15.95" customHeight="1" x14ac:dyDescent="0.4">
      <c r="B102" s="22"/>
      <c r="C102" s="35">
        <v>349321</v>
      </c>
      <c r="D102" s="37">
        <v>1266920</v>
      </c>
      <c r="E102" s="36" t="s">
        <v>324</v>
      </c>
      <c r="F102" s="36" t="s">
        <v>227</v>
      </c>
      <c r="G102" s="1084">
        <v>7010</v>
      </c>
      <c r="H102" s="1082" t="s">
        <v>149</v>
      </c>
      <c r="I102" s="1087" t="s">
        <v>9459</v>
      </c>
    </row>
    <row r="103" spans="2:9" ht="15.95" customHeight="1" x14ac:dyDescent="0.4">
      <c r="B103" s="22"/>
      <c r="C103" s="35">
        <v>349313</v>
      </c>
      <c r="D103" s="37">
        <v>1266919</v>
      </c>
      <c r="E103" s="36" t="s">
        <v>7963</v>
      </c>
      <c r="F103" s="36" t="s">
        <v>8166</v>
      </c>
      <c r="G103" s="1084">
        <v>7010</v>
      </c>
      <c r="H103" s="1082" t="s">
        <v>149</v>
      </c>
      <c r="I103" s="1087" t="s">
        <v>9459</v>
      </c>
    </row>
    <row r="104" spans="2:9" ht="15.95" customHeight="1" x14ac:dyDescent="0.4">
      <c r="B104" s="22"/>
      <c r="C104" s="35">
        <v>342556</v>
      </c>
      <c r="D104" s="37">
        <v>1266151</v>
      </c>
      <c r="E104" s="36" t="s">
        <v>325</v>
      </c>
      <c r="F104" s="36" t="s">
        <v>230</v>
      </c>
      <c r="G104" s="1084">
        <v>7010</v>
      </c>
      <c r="H104" s="1082" t="s">
        <v>149</v>
      </c>
      <c r="I104" s="1087" t="s">
        <v>9459</v>
      </c>
    </row>
    <row r="105" spans="2:9" ht="15.95" customHeight="1" x14ac:dyDescent="0.4">
      <c r="B105" s="22"/>
      <c r="C105" s="35">
        <v>159310</v>
      </c>
      <c r="D105" s="37">
        <v>1264318</v>
      </c>
      <c r="E105" s="36" t="s">
        <v>326</v>
      </c>
      <c r="F105" s="36" t="s">
        <v>232</v>
      </c>
      <c r="G105" s="645">
        <v>7043</v>
      </c>
      <c r="H105" s="1082" t="s">
        <v>233</v>
      </c>
      <c r="I105" s="1087" t="s">
        <v>9459</v>
      </c>
    </row>
    <row r="106" spans="2:9" ht="15.95" customHeight="1" x14ac:dyDescent="0.4">
      <c r="B106" s="22"/>
      <c r="C106" s="215">
        <v>160326</v>
      </c>
      <c r="D106" s="216">
        <v>1264507</v>
      </c>
      <c r="E106" s="217" t="s">
        <v>304</v>
      </c>
      <c r="F106" s="217" t="s">
        <v>234</v>
      </c>
      <c r="G106" s="1037">
        <v>7110</v>
      </c>
      <c r="H106" s="1083" t="s">
        <v>235</v>
      </c>
      <c r="I106" s="1087" t="s">
        <v>9459</v>
      </c>
    </row>
    <row r="107" spans="2:9" ht="15.95" customHeight="1" x14ac:dyDescent="0.4">
      <c r="B107" s="22"/>
      <c r="C107" s="215"/>
      <c r="D107" s="216"/>
      <c r="E107" s="217"/>
      <c r="F107" s="217"/>
      <c r="G107" s="1037"/>
      <c r="H107" s="1083"/>
      <c r="I107" s="1087"/>
    </row>
    <row r="108" spans="2:9" ht="15.95" customHeight="1" x14ac:dyDescent="0.4">
      <c r="B108" s="22"/>
      <c r="C108" s="215"/>
      <c r="D108" s="216"/>
      <c r="E108" s="217"/>
      <c r="F108" s="217"/>
      <c r="G108" s="1037"/>
      <c r="H108" s="1083"/>
      <c r="I108" s="1087"/>
    </row>
    <row r="109" spans="2:9" ht="15.95" customHeight="1" x14ac:dyDescent="0.4">
      <c r="B109" s="22"/>
      <c r="C109" s="215"/>
      <c r="D109" s="216"/>
      <c r="E109" s="217"/>
      <c r="F109" s="217"/>
      <c r="G109" s="1037"/>
      <c r="H109" s="1083"/>
      <c r="I109" s="1087"/>
    </row>
    <row r="110" spans="2:9" ht="15.95" customHeight="1" x14ac:dyDescent="0.4">
      <c r="B110" s="22"/>
      <c r="C110" s="215"/>
      <c r="D110" s="216"/>
      <c r="E110" s="217"/>
      <c r="F110" s="217"/>
      <c r="G110" s="1037"/>
      <c r="H110" s="1083"/>
      <c r="I110" s="1087"/>
    </row>
    <row r="111" spans="2:9" ht="15.95" customHeight="1" x14ac:dyDescent="0.4">
      <c r="B111" s="22"/>
      <c r="C111" s="215"/>
      <c r="D111" s="216"/>
      <c r="E111" s="217"/>
      <c r="F111" s="217"/>
      <c r="G111" s="1037"/>
      <c r="H111" s="1083"/>
      <c r="I111" s="1087"/>
    </row>
    <row r="112" spans="2:9" ht="15.95" customHeight="1" x14ac:dyDescent="0.4">
      <c r="B112" s="22"/>
      <c r="C112" s="215"/>
      <c r="D112" s="216"/>
      <c r="E112" s="217"/>
      <c r="F112" s="217"/>
      <c r="G112" s="1037"/>
      <c r="H112" s="1083"/>
      <c r="I112" s="1087"/>
    </row>
    <row r="113" spans="2:9" ht="15.95" customHeight="1" x14ac:dyDescent="0.4">
      <c r="B113" s="22"/>
      <c r="C113" s="215"/>
      <c r="D113" s="216"/>
      <c r="E113" s="217"/>
      <c r="F113" s="217"/>
      <c r="G113" s="1037"/>
      <c r="H113" s="1083"/>
      <c r="I113" s="1087"/>
    </row>
    <row r="114" spans="2:9" ht="15.95" customHeight="1" x14ac:dyDescent="0.4">
      <c r="B114" s="22"/>
      <c r="C114" s="215"/>
      <c r="D114" s="216"/>
      <c r="E114" s="217"/>
      <c r="F114" s="217"/>
      <c r="G114" s="1037"/>
      <c r="H114" s="1083"/>
      <c r="I114" s="1087"/>
    </row>
    <row r="115" spans="2:9" ht="15.95" customHeight="1" x14ac:dyDescent="0.4">
      <c r="B115" s="22"/>
      <c r="C115" s="215"/>
      <c r="D115" s="216"/>
      <c r="E115" s="217"/>
      <c r="F115" s="217"/>
      <c r="G115" s="1037"/>
      <c r="H115" s="1083"/>
      <c r="I115" s="1087"/>
    </row>
    <row r="116" spans="2:9" ht="15.95" customHeight="1" x14ac:dyDescent="0.4">
      <c r="B116" s="22"/>
      <c r="C116" s="215"/>
      <c r="D116" s="216"/>
      <c r="E116" s="217"/>
      <c r="F116" s="217"/>
      <c r="G116" s="1037"/>
      <c r="H116" s="1083"/>
      <c r="I116" s="1087"/>
    </row>
    <row r="117" spans="2:9" ht="15.95" customHeight="1" x14ac:dyDescent="0.4">
      <c r="B117" s="22"/>
      <c r="C117" s="215"/>
      <c r="D117" s="216"/>
      <c r="E117" s="217"/>
      <c r="F117" s="217"/>
      <c r="G117" s="1037"/>
      <c r="H117" s="1083"/>
      <c r="I117" s="1087"/>
    </row>
    <row r="118" spans="2:9" ht="15.95" customHeight="1" x14ac:dyDescent="0.4">
      <c r="B118" s="22"/>
      <c r="C118" s="215"/>
      <c r="D118" s="216"/>
      <c r="E118" s="217"/>
      <c r="F118" s="217"/>
      <c r="G118" s="1037"/>
      <c r="H118" s="1083"/>
      <c r="I118" s="1087"/>
    </row>
    <row r="119" spans="2:9" ht="15.95" customHeight="1" x14ac:dyDescent="0.4">
      <c r="B119" s="22"/>
      <c r="C119" s="215"/>
      <c r="D119" s="216"/>
      <c r="E119" s="217"/>
      <c r="F119" s="217"/>
      <c r="G119" s="1037"/>
      <c r="H119" s="1083"/>
      <c r="I119" s="1087"/>
    </row>
    <row r="120" spans="2:9" ht="15.95" customHeight="1" x14ac:dyDescent="0.4">
      <c r="B120" s="22"/>
      <c r="C120" s="215"/>
      <c r="D120" s="216"/>
      <c r="E120" s="217"/>
      <c r="F120" s="217"/>
      <c r="G120" s="1037"/>
      <c r="H120" s="1083"/>
      <c r="I120" s="1087"/>
    </row>
    <row r="121" spans="2:9" ht="15.95" customHeight="1" x14ac:dyDescent="0.4">
      <c r="B121" s="22"/>
      <c r="C121" s="215"/>
      <c r="D121" s="216"/>
      <c r="E121" s="217"/>
      <c r="F121" s="217"/>
      <c r="G121" s="1037"/>
      <c r="H121" s="1083"/>
      <c r="I121" s="1087"/>
    </row>
    <row r="122" spans="2:9" ht="15.95" customHeight="1" x14ac:dyDescent="0.4">
      <c r="B122" s="22"/>
      <c r="C122" s="215"/>
      <c r="D122" s="216"/>
      <c r="E122" s="217"/>
      <c r="F122" s="217"/>
      <c r="G122" s="1037"/>
      <c r="H122" s="1083"/>
      <c r="I122" s="1087"/>
    </row>
    <row r="123" spans="2:9" ht="15.95" customHeight="1" x14ac:dyDescent="0.4">
      <c r="B123" s="22"/>
      <c r="C123" s="215"/>
      <c r="D123" s="216"/>
      <c r="E123" s="217"/>
      <c r="F123" s="217"/>
      <c r="G123" s="1037"/>
      <c r="H123" s="1083"/>
      <c r="I123" s="1087"/>
    </row>
    <row r="124" spans="2:9" ht="15.95" customHeight="1" x14ac:dyDescent="0.4">
      <c r="B124" s="22"/>
      <c r="C124" s="215"/>
      <c r="D124" s="216"/>
      <c r="E124" s="217"/>
      <c r="F124" s="217"/>
      <c r="G124" s="1037"/>
      <c r="H124" s="1083"/>
      <c r="I124" s="1087"/>
    </row>
    <row r="125" spans="2:9" ht="15.95" customHeight="1" x14ac:dyDescent="0.4">
      <c r="B125" s="22"/>
      <c r="C125" s="215"/>
      <c r="D125" s="216"/>
      <c r="E125" s="217"/>
      <c r="F125" s="217"/>
      <c r="G125" s="1037"/>
      <c r="H125" s="1083"/>
      <c r="I125" s="1087"/>
    </row>
    <row r="126" spans="2:9" ht="15.95" customHeight="1" x14ac:dyDescent="0.4">
      <c r="B126" s="22"/>
      <c r="C126" s="215"/>
      <c r="D126" s="216"/>
      <c r="E126" s="217"/>
      <c r="F126" s="217"/>
      <c r="G126" s="1037"/>
      <c r="H126" s="1083"/>
      <c r="I126" s="1087"/>
    </row>
    <row r="127" spans="2:9" ht="15.95" customHeight="1" x14ac:dyDescent="0.4">
      <c r="B127" s="22"/>
      <c r="C127" s="215"/>
      <c r="D127" s="216"/>
      <c r="E127" s="217"/>
      <c r="F127" s="217"/>
      <c r="G127" s="1037"/>
      <c r="H127" s="1083"/>
      <c r="I127" s="1087"/>
    </row>
    <row r="128" spans="2:9" ht="15.95" customHeight="1" x14ac:dyDescent="0.4">
      <c r="B128" s="22"/>
      <c r="C128" s="215"/>
      <c r="D128" s="216"/>
      <c r="E128" s="217"/>
      <c r="F128" s="217"/>
      <c r="G128" s="1037"/>
      <c r="H128" s="1083"/>
      <c r="I128" s="1087"/>
    </row>
    <row r="129" spans="2:9" ht="15.95" customHeight="1" x14ac:dyDescent="0.4">
      <c r="B129" s="22"/>
      <c r="C129" s="215"/>
      <c r="D129" s="216"/>
      <c r="E129" s="217"/>
      <c r="F129" s="217"/>
      <c r="G129" s="1037"/>
      <c r="H129" s="1083"/>
      <c r="I129" s="1087"/>
    </row>
    <row r="130" spans="2:9" ht="15.95" customHeight="1" x14ac:dyDescent="0.4">
      <c r="B130" s="22"/>
      <c r="C130" s="215"/>
      <c r="D130" s="216"/>
      <c r="E130" s="217"/>
      <c r="F130" s="217"/>
      <c r="G130" s="1037"/>
      <c r="H130" s="1083"/>
      <c r="I130" s="1087"/>
    </row>
    <row r="131" spans="2:9" ht="15.95" customHeight="1" x14ac:dyDescent="0.4">
      <c r="B131" s="22"/>
      <c r="C131" s="215"/>
      <c r="D131" s="216"/>
      <c r="E131" s="217"/>
      <c r="F131" s="217"/>
      <c r="G131" s="1037"/>
      <c r="H131" s="1083"/>
      <c r="I131" s="1087"/>
    </row>
    <row r="132" spans="2:9" ht="15.95" customHeight="1" x14ac:dyDescent="0.4">
      <c r="B132" s="22"/>
      <c r="C132" s="215"/>
      <c r="D132" s="216"/>
      <c r="E132" s="217"/>
      <c r="F132" s="217"/>
      <c r="G132" s="1037"/>
      <c r="H132" s="1083"/>
      <c r="I132" s="1087"/>
    </row>
    <row r="133" spans="2:9" ht="15.95" customHeight="1" x14ac:dyDescent="0.4">
      <c r="B133" s="22"/>
      <c r="C133" s="215"/>
      <c r="D133" s="216"/>
      <c r="E133" s="217"/>
      <c r="F133" s="217"/>
      <c r="G133" s="1037"/>
      <c r="H133" s="1083"/>
      <c r="I133" s="1087"/>
    </row>
    <row r="134" spans="2:9" ht="15.95" customHeight="1" x14ac:dyDescent="0.4">
      <c r="B134" s="22"/>
      <c r="C134" s="215"/>
      <c r="D134" s="216"/>
      <c r="E134" s="217"/>
      <c r="F134" s="217"/>
      <c r="G134" s="1037"/>
      <c r="H134" s="1083"/>
      <c r="I134" s="1087"/>
    </row>
    <row r="135" spans="2:9" ht="15.95" customHeight="1" x14ac:dyDescent="0.4">
      <c r="B135" s="22"/>
      <c r="C135" s="215"/>
      <c r="D135" s="216"/>
      <c r="E135" s="217"/>
      <c r="F135" s="217"/>
      <c r="G135" s="1037"/>
      <c r="H135" s="1083"/>
      <c r="I135" s="1087"/>
    </row>
    <row r="136" spans="2:9" ht="15.95" customHeight="1" x14ac:dyDescent="0.4">
      <c r="B136" s="22"/>
      <c r="C136" s="215"/>
      <c r="D136" s="216"/>
      <c r="E136" s="217"/>
      <c r="F136" s="217"/>
      <c r="G136" s="1037"/>
      <c r="H136" s="1083"/>
      <c r="I136" s="1087"/>
    </row>
    <row r="137" spans="2:9" ht="15.95" customHeight="1" x14ac:dyDescent="0.4">
      <c r="B137" s="22"/>
      <c r="C137" s="215"/>
      <c r="D137" s="216"/>
      <c r="E137" s="217"/>
      <c r="F137" s="217"/>
      <c r="G137" s="1037"/>
      <c r="H137" s="1083"/>
      <c r="I137" s="1087"/>
    </row>
    <row r="138" spans="2:9" ht="15.95" customHeight="1" x14ac:dyDescent="0.4">
      <c r="B138" s="22"/>
      <c r="C138" s="215"/>
      <c r="D138" s="216"/>
      <c r="E138" s="217"/>
      <c r="F138" s="217"/>
      <c r="G138" s="1037"/>
      <c r="H138" s="1083"/>
      <c r="I138" s="1087"/>
    </row>
    <row r="139" spans="2:9" ht="15.95" customHeight="1" x14ac:dyDescent="0.4">
      <c r="B139" s="22"/>
      <c r="C139" s="215"/>
      <c r="D139" s="216"/>
      <c r="E139" s="217"/>
      <c r="F139" s="217"/>
      <c r="G139" s="1037"/>
      <c r="H139" s="1083"/>
      <c r="I139" s="1087"/>
    </row>
    <row r="140" spans="2:9" ht="15.95" customHeight="1" x14ac:dyDescent="0.4">
      <c r="B140" s="22"/>
      <c r="C140" s="215"/>
      <c r="D140" s="216"/>
      <c r="E140" s="217"/>
      <c r="F140" s="217"/>
      <c r="G140" s="1037"/>
      <c r="H140" s="1083"/>
      <c r="I140" s="1087"/>
    </row>
    <row r="141" spans="2:9" ht="15.95" customHeight="1" x14ac:dyDescent="0.4">
      <c r="B141" s="22"/>
      <c r="C141" s="215"/>
      <c r="D141" s="216"/>
      <c r="E141" s="217"/>
      <c r="F141" s="217"/>
      <c r="G141" s="1037"/>
      <c r="H141" s="1083"/>
      <c r="I141" s="1087"/>
    </row>
    <row r="142" spans="2:9" ht="15.95" customHeight="1" x14ac:dyDescent="0.4">
      <c r="B142" s="22"/>
      <c r="C142" s="215"/>
      <c r="D142" s="216"/>
      <c r="E142" s="217"/>
      <c r="F142" s="217"/>
      <c r="G142" s="1037"/>
      <c r="H142" s="1083"/>
      <c r="I142" s="1087"/>
    </row>
    <row r="143" spans="2:9" ht="15.95" customHeight="1" x14ac:dyDescent="0.4">
      <c r="B143" s="22"/>
      <c r="C143" s="215"/>
      <c r="D143" s="216"/>
      <c r="E143" s="217"/>
      <c r="F143" s="217"/>
      <c r="G143" s="1037"/>
      <c r="H143" s="1083"/>
      <c r="I143" s="1087"/>
    </row>
    <row r="144" spans="2:9" ht="15.95" customHeight="1" x14ac:dyDescent="0.4">
      <c r="B144" s="22"/>
      <c r="C144" s="215"/>
      <c r="D144" s="216"/>
      <c r="E144" s="217"/>
      <c r="F144" s="217"/>
      <c r="G144" s="1037"/>
      <c r="H144" s="1083"/>
      <c r="I144" s="1087"/>
    </row>
    <row r="145" spans="2:9" ht="15.95" customHeight="1" x14ac:dyDescent="0.4">
      <c r="B145" s="22"/>
      <c r="C145" s="215"/>
      <c r="D145" s="216"/>
      <c r="E145" s="217"/>
      <c r="F145" s="217"/>
      <c r="G145" s="1037"/>
      <c r="H145" s="1083"/>
      <c r="I145" s="1087"/>
    </row>
    <row r="146" spans="2:9" ht="15.95" customHeight="1" x14ac:dyDescent="0.4">
      <c r="B146" s="22"/>
      <c r="C146" s="215"/>
      <c r="D146" s="216"/>
      <c r="E146" s="217"/>
      <c r="F146" s="217"/>
      <c r="G146" s="1037"/>
      <c r="H146" s="1083"/>
      <c r="I146" s="1087"/>
    </row>
    <row r="147" spans="2:9" ht="15.95" customHeight="1" x14ac:dyDescent="0.4">
      <c r="B147" s="22"/>
      <c r="C147" s="215"/>
      <c r="D147" s="216"/>
      <c r="E147" s="217"/>
      <c r="F147" s="217"/>
      <c r="G147" s="1037"/>
      <c r="H147" s="1083"/>
      <c r="I147" s="1087"/>
    </row>
    <row r="148" spans="2:9" ht="15.95" customHeight="1" x14ac:dyDescent="0.4">
      <c r="B148" s="22"/>
      <c r="C148" s="215"/>
      <c r="D148" s="216"/>
      <c r="E148" s="217"/>
      <c r="F148" s="217"/>
      <c r="G148" s="1037"/>
      <c r="H148" s="1083"/>
      <c r="I148" s="1087"/>
    </row>
    <row r="149" spans="2:9" ht="15.95" customHeight="1" x14ac:dyDescent="0.4">
      <c r="B149" s="22"/>
      <c r="C149" s="215"/>
      <c r="D149" s="216"/>
      <c r="E149" s="217"/>
      <c r="F149" s="217"/>
      <c r="G149" s="1037"/>
      <c r="H149" s="1083"/>
      <c r="I149" s="1087"/>
    </row>
    <row r="150" spans="2:9" ht="15.95" customHeight="1" x14ac:dyDescent="0.4">
      <c r="B150" s="22"/>
      <c r="C150" s="215"/>
      <c r="D150" s="216"/>
      <c r="E150" s="217"/>
      <c r="F150" s="217"/>
      <c r="G150" s="1037"/>
      <c r="H150" s="1083"/>
      <c r="I150" s="1087"/>
    </row>
    <row r="151" spans="2:9" ht="15.95" customHeight="1" x14ac:dyDescent="0.4">
      <c r="B151" s="22"/>
      <c r="C151" s="215"/>
      <c r="D151" s="216"/>
      <c r="E151" s="217"/>
      <c r="F151" s="217"/>
      <c r="G151" s="1037"/>
      <c r="H151" s="1083"/>
      <c r="I151" s="1087"/>
    </row>
    <row r="152" spans="2:9" ht="15.95" customHeight="1" x14ac:dyDescent="0.4">
      <c r="B152" s="22"/>
      <c r="C152" s="215"/>
      <c r="D152" s="216"/>
      <c r="E152" s="217"/>
      <c r="F152" s="217"/>
      <c r="G152" s="1037"/>
      <c r="H152" s="1083"/>
      <c r="I152" s="1087"/>
    </row>
    <row r="153" spans="2:9" ht="15.95" customHeight="1" x14ac:dyDescent="0.4">
      <c r="B153" s="22"/>
      <c r="C153" s="215"/>
      <c r="D153" s="216"/>
      <c r="E153" s="217"/>
      <c r="F153" s="217"/>
      <c r="G153" s="1037"/>
      <c r="H153" s="1083"/>
      <c r="I153" s="1087"/>
    </row>
    <row r="154" spans="2:9" ht="15.95" customHeight="1" x14ac:dyDescent="0.4">
      <c r="B154" s="22"/>
      <c r="C154" s="215"/>
      <c r="D154" s="216"/>
      <c r="E154" s="217"/>
      <c r="F154" s="217"/>
      <c r="G154" s="1037"/>
      <c r="H154" s="1083"/>
      <c r="I154" s="1087"/>
    </row>
    <row r="155" spans="2:9" ht="15.95" customHeight="1" x14ac:dyDescent="0.4">
      <c r="B155" s="22"/>
      <c r="C155" s="215"/>
      <c r="D155" s="216"/>
      <c r="E155" s="217"/>
      <c r="F155" s="217"/>
      <c r="G155" s="1037"/>
      <c r="H155" s="1083"/>
      <c r="I155" s="1087"/>
    </row>
    <row r="156" spans="2:9" ht="15.95" customHeight="1" x14ac:dyDescent="0.4">
      <c r="B156" s="22"/>
      <c r="C156" s="215"/>
      <c r="D156" s="216"/>
      <c r="E156" s="217"/>
      <c r="F156" s="217"/>
      <c r="G156" s="1037"/>
      <c r="H156" s="1083"/>
      <c r="I156" s="1087"/>
    </row>
    <row r="157" spans="2:9" ht="15.95" customHeight="1" x14ac:dyDescent="0.4">
      <c r="B157" s="22"/>
      <c r="C157" s="215"/>
      <c r="D157" s="216"/>
      <c r="E157" s="217"/>
      <c r="F157" s="217"/>
      <c r="G157" s="1037"/>
      <c r="H157" s="1083"/>
      <c r="I157" s="1087"/>
    </row>
    <row r="158" spans="2:9" ht="15.95" customHeight="1" x14ac:dyDescent="0.4">
      <c r="B158" s="22"/>
      <c r="C158" s="215"/>
      <c r="D158" s="216"/>
      <c r="E158" s="217"/>
      <c r="F158" s="217"/>
      <c r="G158" s="1037"/>
      <c r="H158" s="1083"/>
      <c r="I158" s="1087"/>
    </row>
    <row r="159" spans="2:9" ht="15.95" customHeight="1" x14ac:dyDescent="0.4">
      <c r="B159" s="22"/>
      <c r="C159" s="215"/>
      <c r="D159" s="216"/>
      <c r="E159" s="217"/>
      <c r="F159" s="217"/>
      <c r="G159" s="1037"/>
      <c r="H159" s="1083"/>
      <c r="I159" s="1087"/>
    </row>
    <row r="160" spans="2:9" ht="15.95" customHeight="1" x14ac:dyDescent="0.4">
      <c r="B160" s="22"/>
      <c r="C160" s="215"/>
      <c r="D160" s="216"/>
      <c r="E160" s="217"/>
      <c r="F160" s="217"/>
      <c r="G160" s="1037"/>
      <c r="H160" s="1083"/>
      <c r="I160" s="1087"/>
    </row>
    <row r="161" spans="2:9" ht="15.95" customHeight="1" x14ac:dyDescent="0.4">
      <c r="B161" s="22"/>
      <c r="C161" s="215"/>
      <c r="D161" s="216"/>
      <c r="E161" s="217"/>
      <c r="F161" s="217"/>
      <c r="G161" s="1037"/>
      <c r="H161" s="1083"/>
      <c r="I161" s="1087"/>
    </row>
    <row r="162" spans="2:9" ht="15.95" customHeight="1" x14ac:dyDescent="0.4">
      <c r="B162" s="22"/>
      <c r="C162" s="215"/>
      <c r="D162" s="216"/>
      <c r="E162" s="217"/>
      <c r="F162" s="217"/>
      <c r="G162" s="1037"/>
      <c r="H162" s="1083"/>
      <c r="I162" s="1087"/>
    </row>
    <row r="163" spans="2:9" ht="15.95" customHeight="1" x14ac:dyDescent="0.4">
      <c r="B163" s="22"/>
      <c r="C163" s="215"/>
      <c r="D163" s="216"/>
      <c r="E163" s="217"/>
      <c r="F163" s="217"/>
      <c r="G163" s="1037"/>
      <c r="H163" s="1083"/>
      <c r="I163" s="1087"/>
    </row>
    <row r="164" spans="2:9" ht="15.95" customHeight="1" x14ac:dyDescent="0.4">
      <c r="B164" s="22"/>
      <c r="C164" s="215"/>
      <c r="D164" s="216"/>
      <c r="E164" s="217"/>
      <c r="F164" s="217"/>
      <c r="G164" s="1037"/>
      <c r="H164" s="1083"/>
      <c r="I164" s="1087"/>
    </row>
    <row r="165" spans="2:9" ht="15.95" customHeight="1" x14ac:dyDescent="0.4">
      <c r="B165" s="22"/>
      <c r="C165" s="215"/>
      <c r="D165" s="216"/>
      <c r="E165" s="217"/>
      <c r="F165" s="217"/>
      <c r="G165" s="1037"/>
      <c r="H165" s="1083"/>
      <c r="I165" s="1087"/>
    </row>
    <row r="166" spans="2:9" ht="15.95" customHeight="1" x14ac:dyDescent="0.4">
      <c r="B166" s="22"/>
      <c r="C166" s="215"/>
      <c r="D166" s="216"/>
      <c r="E166" s="217"/>
      <c r="F166" s="217"/>
      <c r="G166" s="1037"/>
      <c r="H166" s="1083"/>
      <c r="I166" s="1087"/>
    </row>
    <row r="167" spans="2:9" ht="15.95" customHeight="1" x14ac:dyDescent="0.4">
      <c r="B167" s="22"/>
      <c r="C167" s="215"/>
      <c r="D167" s="216"/>
      <c r="E167" s="217"/>
      <c r="F167" s="217"/>
      <c r="G167" s="1037"/>
      <c r="H167" s="1083"/>
      <c r="I167" s="1087"/>
    </row>
    <row r="168" spans="2:9" ht="15.95" customHeight="1" x14ac:dyDescent="0.4">
      <c r="B168" s="22"/>
      <c r="C168" s="215"/>
      <c r="D168" s="216"/>
      <c r="E168" s="217"/>
      <c r="F168" s="217"/>
      <c r="G168" s="1037"/>
      <c r="H168" s="1083"/>
      <c r="I168" s="1087"/>
    </row>
    <row r="169" spans="2:9" ht="15.95" customHeight="1" x14ac:dyDescent="0.4">
      <c r="B169" s="22"/>
      <c r="C169" s="215"/>
      <c r="D169" s="216"/>
      <c r="E169" s="217"/>
      <c r="F169" s="217"/>
      <c r="G169" s="1037"/>
      <c r="H169" s="1083"/>
      <c r="I169" s="1087"/>
    </row>
    <row r="170" spans="2:9" ht="15.95" customHeight="1" x14ac:dyDescent="0.4">
      <c r="B170" s="22"/>
      <c r="C170" s="215"/>
      <c r="D170" s="216"/>
      <c r="E170" s="217"/>
      <c r="F170" s="217"/>
      <c r="G170" s="1037"/>
      <c r="H170" s="1083"/>
      <c r="I170" s="1087"/>
    </row>
    <row r="171" spans="2:9" ht="15.95" customHeight="1" x14ac:dyDescent="0.4">
      <c r="B171" s="22"/>
      <c r="C171" s="215"/>
      <c r="D171" s="216"/>
      <c r="E171" s="217"/>
      <c r="F171" s="217"/>
      <c r="G171" s="1037"/>
      <c r="H171" s="1083"/>
      <c r="I171" s="1087"/>
    </row>
    <row r="172" spans="2:9" ht="15.95" customHeight="1" x14ac:dyDescent="0.4">
      <c r="B172" s="22"/>
      <c r="C172" s="215"/>
      <c r="D172" s="216"/>
      <c r="E172" s="217"/>
      <c r="F172" s="217"/>
      <c r="G172" s="1037"/>
      <c r="H172" s="1083"/>
      <c r="I172" s="1087"/>
    </row>
    <row r="173" spans="2:9" ht="15.95" customHeight="1" x14ac:dyDescent="0.4">
      <c r="B173" s="22"/>
      <c r="C173" s="215"/>
      <c r="D173" s="216"/>
      <c r="E173" s="217"/>
      <c r="F173" s="217"/>
      <c r="G173" s="1037"/>
      <c r="H173" s="1083"/>
      <c r="I173" s="1087"/>
    </row>
    <row r="174" spans="2:9" ht="15.95" customHeight="1" x14ac:dyDescent="0.4">
      <c r="B174" s="22"/>
      <c r="C174" s="215"/>
      <c r="D174" s="216"/>
      <c r="E174" s="217"/>
      <c r="F174" s="217"/>
      <c r="G174" s="1037"/>
      <c r="H174" s="1083"/>
      <c r="I174" s="1087"/>
    </row>
    <row r="175" spans="2:9" ht="15.95" customHeight="1" x14ac:dyDescent="0.4">
      <c r="B175" s="22"/>
      <c r="C175" s="215"/>
      <c r="D175" s="216"/>
      <c r="E175" s="217"/>
      <c r="F175" s="217"/>
      <c r="G175" s="1037"/>
      <c r="H175" s="1083"/>
      <c r="I175" s="1087"/>
    </row>
    <row r="176" spans="2:9" ht="15.95" customHeight="1" x14ac:dyDescent="0.4">
      <c r="B176" s="22"/>
      <c r="C176" s="215"/>
      <c r="D176" s="216"/>
      <c r="E176" s="217"/>
      <c r="F176" s="217"/>
      <c r="G176" s="1037"/>
      <c r="H176" s="1083"/>
      <c r="I176" s="1087"/>
    </row>
    <row r="177" spans="2:9" ht="15.95" customHeight="1" x14ac:dyDescent="0.4">
      <c r="B177" s="22"/>
      <c r="C177" s="215"/>
      <c r="D177" s="216"/>
      <c r="E177" s="217"/>
      <c r="F177" s="217"/>
      <c r="G177" s="1037"/>
      <c r="H177" s="1083"/>
      <c r="I177" s="1087"/>
    </row>
    <row r="178" spans="2:9" ht="15.95" customHeight="1" x14ac:dyDescent="0.4">
      <c r="B178" s="22"/>
      <c r="C178" s="215"/>
      <c r="D178" s="216"/>
      <c r="E178" s="217"/>
      <c r="F178" s="217"/>
      <c r="G178" s="1037"/>
      <c r="H178" s="1083"/>
      <c r="I178" s="1087"/>
    </row>
    <row r="179" spans="2:9" ht="15.95" customHeight="1" x14ac:dyDescent="0.4">
      <c r="B179" s="22"/>
      <c r="C179" s="215"/>
      <c r="D179" s="216"/>
      <c r="E179" s="217"/>
      <c r="F179" s="217"/>
      <c r="G179" s="1037"/>
      <c r="H179" s="1083"/>
      <c r="I179" s="1087"/>
    </row>
    <row r="180" spans="2:9" ht="15.95" customHeight="1" x14ac:dyDescent="0.4">
      <c r="B180" s="22"/>
      <c r="C180" s="215"/>
      <c r="D180" s="216"/>
      <c r="E180" s="217"/>
      <c r="F180" s="217"/>
      <c r="G180" s="1037"/>
      <c r="H180" s="1083"/>
      <c r="I180" s="1087"/>
    </row>
    <row r="181" spans="2:9" ht="15.95" customHeight="1" x14ac:dyDescent="0.4">
      <c r="B181" s="22"/>
      <c r="C181" s="215"/>
      <c r="D181" s="216"/>
      <c r="E181" s="217"/>
      <c r="F181" s="217"/>
      <c r="G181" s="1037"/>
      <c r="H181" s="1083"/>
      <c r="I181" s="1087"/>
    </row>
    <row r="182" spans="2:9" ht="15.95" customHeight="1" x14ac:dyDescent="0.4">
      <c r="B182" s="22"/>
      <c r="C182" s="215"/>
      <c r="D182" s="216"/>
      <c r="E182" s="217"/>
      <c r="F182" s="217"/>
      <c r="G182" s="1037"/>
      <c r="H182" s="1083"/>
      <c r="I182" s="1087"/>
    </row>
    <row r="183" spans="2:9" ht="15.95" customHeight="1" x14ac:dyDescent="0.4">
      <c r="B183" s="22"/>
      <c r="C183" s="215"/>
      <c r="D183" s="216"/>
      <c r="E183" s="217"/>
      <c r="F183" s="217"/>
      <c r="G183" s="1037"/>
      <c r="H183" s="1083"/>
      <c r="I183" s="1087"/>
    </row>
    <row r="184" spans="2:9" ht="15.95" customHeight="1" x14ac:dyDescent="0.4">
      <c r="B184" s="22"/>
      <c r="C184" s="215"/>
      <c r="D184" s="216"/>
      <c r="E184" s="217"/>
      <c r="F184" s="217"/>
      <c r="G184" s="1037"/>
      <c r="H184" s="1083"/>
      <c r="I184" s="1087"/>
    </row>
    <row r="185" spans="2:9" ht="15.95" customHeight="1" x14ac:dyDescent="0.4">
      <c r="B185" s="22"/>
      <c r="C185" s="215"/>
      <c r="D185" s="216"/>
      <c r="E185" s="217"/>
      <c r="F185" s="217"/>
      <c r="G185" s="1037"/>
      <c r="H185" s="1083"/>
      <c r="I185" s="1087"/>
    </row>
    <row r="186" spans="2:9" ht="15.95" customHeight="1" x14ac:dyDescent="0.4">
      <c r="B186" s="22"/>
      <c r="C186" s="215"/>
      <c r="D186" s="216"/>
      <c r="E186" s="217"/>
      <c r="F186" s="217"/>
      <c r="G186" s="1037"/>
      <c r="H186" s="1083"/>
      <c r="I186" s="1087"/>
    </row>
    <row r="187" spans="2:9" ht="15.95" customHeight="1" x14ac:dyDescent="0.4">
      <c r="B187" s="22"/>
      <c r="C187" s="215"/>
      <c r="D187" s="216"/>
      <c r="E187" s="217"/>
      <c r="F187" s="217"/>
      <c r="G187" s="1037"/>
      <c r="H187" s="1083"/>
      <c r="I187" s="1087"/>
    </row>
    <row r="188" spans="2:9" ht="15.95" customHeight="1" x14ac:dyDescent="0.4">
      <c r="B188" s="22"/>
      <c r="C188" s="215"/>
      <c r="D188" s="216"/>
      <c r="E188" s="217"/>
      <c r="F188" s="217"/>
      <c r="G188" s="1037"/>
      <c r="H188" s="1083"/>
      <c r="I188" s="1087"/>
    </row>
    <row r="189" spans="2:9" ht="15.95" customHeight="1" x14ac:dyDescent="0.4">
      <c r="B189" s="22"/>
      <c r="C189" s="215"/>
      <c r="D189" s="216"/>
      <c r="E189" s="217"/>
      <c r="F189" s="217"/>
      <c r="G189" s="1037"/>
      <c r="H189" s="1083"/>
      <c r="I189" s="1087"/>
    </row>
    <row r="190" spans="2:9" ht="15.95" customHeight="1" x14ac:dyDescent="0.4">
      <c r="B190" s="22"/>
      <c r="C190" s="215"/>
      <c r="D190" s="216"/>
      <c r="E190" s="217"/>
      <c r="F190" s="217"/>
      <c r="G190" s="1037"/>
      <c r="H190" s="1083"/>
      <c r="I190" s="1087"/>
    </row>
    <row r="191" spans="2:9" ht="15.95" customHeight="1" x14ac:dyDescent="0.4">
      <c r="B191" s="22"/>
      <c r="C191" s="215"/>
      <c r="D191" s="216"/>
      <c r="E191" s="217"/>
      <c r="F191" s="217"/>
      <c r="G191" s="1037"/>
      <c r="H191" s="1083"/>
      <c r="I191" s="1087"/>
    </row>
    <row r="192" spans="2:9" ht="15.95" customHeight="1" x14ac:dyDescent="0.4">
      <c r="B192" s="22"/>
      <c r="C192" s="215"/>
      <c r="D192" s="216"/>
      <c r="E192" s="217"/>
      <c r="F192" s="217"/>
      <c r="G192" s="1037"/>
      <c r="H192" s="1083"/>
      <c r="I192" s="1087"/>
    </row>
    <row r="193" spans="2:9" ht="15.95" customHeight="1" x14ac:dyDescent="0.4">
      <c r="B193" s="22"/>
      <c r="C193" s="215"/>
      <c r="D193" s="216"/>
      <c r="E193" s="217"/>
      <c r="F193" s="217"/>
      <c r="G193" s="1037"/>
      <c r="H193" s="1083"/>
      <c r="I193" s="1087"/>
    </row>
    <row r="194" spans="2:9" ht="15.95" customHeight="1" x14ac:dyDescent="0.4">
      <c r="B194" s="22"/>
      <c r="C194" s="215"/>
      <c r="D194" s="216"/>
      <c r="E194" s="217"/>
      <c r="F194" s="217"/>
      <c r="G194" s="1037"/>
      <c r="H194" s="1083"/>
      <c r="I194" s="1087"/>
    </row>
    <row r="195" spans="2:9" ht="15.95" customHeight="1" x14ac:dyDescent="0.4">
      <c r="B195" s="22"/>
      <c r="C195" s="215"/>
      <c r="D195" s="216"/>
      <c r="E195" s="217"/>
      <c r="F195" s="217"/>
      <c r="G195" s="1037"/>
      <c r="H195" s="1083"/>
      <c r="I195" s="1087"/>
    </row>
    <row r="196" spans="2:9" ht="15.95" customHeight="1" x14ac:dyDescent="0.4">
      <c r="B196" s="22"/>
      <c r="C196" s="215"/>
      <c r="D196" s="216"/>
      <c r="E196" s="217"/>
      <c r="F196" s="217"/>
      <c r="G196" s="1037"/>
      <c r="H196" s="1083"/>
      <c r="I196" s="1087"/>
    </row>
    <row r="197" spans="2:9" ht="15.95" customHeight="1" x14ac:dyDescent="0.4">
      <c r="B197" s="22"/>
      <c r="C197" s="215"/>
      <c r="D197" s="216"/>
      <c r="E197" s="217"/>
      <c r="F197" s="217"/>
      <c r="G197" s="1037"/>
      <c r="H197" s="1083"/>
      <c r="I197" s="1087"/>
    </row>
    <row r="198" spans="2:9" ht="15.95" customHeight="1" x14ac:dyDescent="0.4">
      <c r="B198" s="22"/>
      <c r="C198" s="215"/>
      <c r="D198" s="216"/>
      <c r="E198" s="217"/>
      <c r="F198" s="217"/>
      <c r="G198" s="1037"/>
      <c r="H198" s="1083"/>
      <c r="I198" s="1087"/>
    </row>
    <row r="199" spans="2:9" ht="15.95" customHeight="1" x14ac:dyDescent="0.4">
      <c r="B199" s="22"/>
      <c r="C199" s="215"/>
      <c r="D199" s="216"/>
      <c r="E199" s="217"/>
      <c r="F199" s="217"/>
      <c r="G199" s="1037"/>
      <c r="H199" s="1083"/>
      <c r="I199" s="1087"/>
    </row>
    <row r="200" spans="2:9" ht="15.95" customHeight="1" x14ac:dyDescent="0.4">
      <c r="B200" s="22"/>
      <c r="C200" s="215"/>
      <c r="D200" s="216"/>
      <c r="E200" s="217"/>
      <c r="F200" s="217"/>
      <c r="G200" s="1037"/>
      <c r="H200" s="1083"/>
      <c r="I200" s="1087"/>
    </row>
    <row r="201" spans="2:9" ht="15.95" customHeight="1" x14ac:dyDescent="0.4">
      <c r="B201" s="22"/>
      <c r="C201" s="215"/>
      <c r="D201" s="216"/>
      <c r="E201" s="217"/>
      <c r="F201" s="217"/>
      <c r="G201" s="1037"/>
      <c r="H201" s="1083"/>
      <c r="I201" s="1087"/>
    </row>
    <row r="202" spans="2:9" ht="15.95" customHeight="1" x14ac:dyDescent="0.4">
      <c r="B202" s="22"/>
      <c r="C202" s="215"/>
      <c r="D202" s="216"/>
      <c r="E202" s="217"/>
      <c r="F202" s="217"/>
      <c r="G202" s="1037"/>
      <c r="H202" s="1083"/>
      <c r="I202" s="1087"/>
    </row>
    <row r="203" spans="2:9" ht="15.95" customHeight="1" x14ac:dyDescent="0.4">
      <c r="B203" s="22"/>
      <c r="C203" s="215"/>
      <c r="D203" s="216"/>
      <c r="E203" s="217"/>
      <c r="F203" s="217"/>
      <c r="G203" s="1037"/>
      <c r="H203" s="1083"/>
      <c r="I203" s="1087"/>
    </row>
    <row r="204" spans="2:9" ht="15.95" customHeight="1" x14ac:dyDescent="0.4">
      <c r="B204" s="22"/>
      <c r="C204" s="215"/>
      <c r="D204" s="216"/>
      <c r="E204" s="217"/>
      <c r="F204" s="217"/>
      <c r="G204" s="1037"/>
      <c r="H204" s="1083"/>
      <c r="I204" s="1087"/>
    </row>
    <row r="205" spans="2:9" ht="15.95" customHeight="1" x14ac:dyDescent="0.4">
      <c r="B205" s="22"/>
      <c r="C205" s="215"/>
      <c r="D205" s="216"/>
      <c r="E205" s="217"/>
      <c r="F205" s="217"/>
      <c r="G205" s="1037"/>
      <c r="H205" s="1083"/>
      <c r="I205" s="1087"/>
    </row>
    <row r="206" spans="2:9" ht="15.95" customHeight="1" x14ac:dyDescent="0.4">
      <c r="B206" s="22"/>
      <c r="C206" s="215"/>
      <c r="D206" s="216"/>
      <c r="E206" s="217"/>
      <c r="F206" s="217"/>
      <c r="G206" s="1037"/>
      <c r="H206" s="1083"/>
      <c r="I206" s="1087"/>
    </row>
    <row r="207" spans="2:9" ht="15.95" customHeight="1" x14ac:dyDescent="0.4">
      <c r="B207" s="22"/>
      <c r="C207" s="215"/>
      <c r="D207" s="216"/>
      <c r="E207" s="217"/>
      <c r="F207" s="217"/>
      <c r="G207" s="1037"/>
      <c r="H207" s="1083"/>
      <c r="I207" s="1087"/>
    </row>
    <row r="208" spans="2:9" ht="15.95" customHeight="1" x14ac:dyDescent="0.4">
      <c r="B208" s="22"/>
      <c r="C208" s="215"/>
      <c r="D208" s="216"/>
      <c r="E208" s="217"/>
      <c r="F208" s="217"/>
      <c r="G208" s="1037"/>
      <c r="H208" s="1083"/>
      <c r="I208" s="1087"/>
    </row>
    <row r="209" spans="2:9" ht="15.95" customHeight="1" x14ac:dyDescent="0.4">
      <c r="B209" s="22"/>
      <c r="C209" s="215"/>
      <c r="D209" s="216"/>
      <c r="E209" s="217"/>
      <c r="F209" s="217"/>
      <c r="G209" s="1037"/>
      <c r="H209" s="1083"/>
      <c r="I209" s="1087"/>
    </row>
    <row r="210" spans="2:9" ht="15.95" customHeight="1" x14ac:dyDescent="0.4">
      <c r="B210" s="22"/>
      <c r="C210" s="215"/>
      <c r="D210" s="216"/>
      <c r="E210" s="217"/>
      <c r="F210" s="217"/>
      <c r="G210" s="1037"/>
      <c r="H210" s="1083"/>
      <c r="I210" s="1087"/>
    </row>
    <row r="211" spans="2:9" ht="15.95" customHeight="1" x14ac:dyDescent="0.4">
      <c r="B211" s="22"/>
      <c r="C211" s="215"/>
      <c r="D211" s="216"/>
      <c r="E211" s="217"/>
      <c r="F211" s="217"/>
      <c r="G211" s="1037"/>
      <c r="H211" s="1083"/>
      <c r="I211" s="1087"/>
    </row>
    <row r="212" spans="2:9" ht="15.95" customHeight="1" x14ac:dyDescent="0.4">
      <c r="B212" s="22"/>
      <c r="C212" s="215"/>
      <c r="D212" s="216"/>
      <c r="E212" s="217"/>
      <c r="F212" s="217"/>
      <c r="G212" s="1037"/>
      <c r="H212" s="1083"/>
      <c r="I212" s="1087"/>
    </row>
    <row r="213" spans="2:9" ht="15.95" customHeight="1" x14ac:dyDescent="0.4">
      <c r="B213" s="22"/>
      <c r="C213" s="215"/>
      <c r="D213" s="216"/>
      <c r="E213" s="217"/>
      <c r="F213" s="217"/>
      <c r="G213" s="1037"/>
      <c r="H213" s="1083"/>
      <c r="I213" s="1087"/>
    </row>
    <row r="214" spans="2:9" ht="15.95" customHeight="1" x14ac:dyDescent="0.4">
      <c r="B214" s="22"/>
      <c r="C214" s="215"/>
      <c r="D214" s="216"/>
      <c r="E214" s="217"/>
      <c r="F214" s="217"/>
      <c r="G214" s="1037"/>
      <c r="H214" s="1083"/>
      <c r="I214" s="1087"/>
    </row>
    <row r="215" spans="2:9" ht="15.95" customHeight="1" x14ac:dyDescent="0.4">
      <c r="B215" s="22"/>
      <c r="C215" s="215"/>
      <c r="D215" s="216"/>
      <c r="E215" s="217"/>
      <c r="F215" s="217"/>
      <c r="G215" s="1037"/>
      <c r="H215" s="1083"/>
      <c r="I215" s="1087"/>
    </row>
    <row r="216" spans="2:9" ht="15.95" customHeight="1" x14ac:dyDescent="0.4">
      <c r="B216" s="22"/>
      <c r="C216" s="215"/>
      <c r="D216" s="216"/>
      <c r="E216" s="217"/>
      <c r="F216" s="217"/>
      <c r="G216" s="1037"/>
      <c r="H216" s="1083"/>
      <c r="I216" s="1087"/>
    </row>
    <row r="217" spans="2:9" ht="15.95" customHeight="1" x14ac:dyDescent="0.4">
      <c r="B217" s="22"/>
      <c r="C217" s="215"/>
      <c r="D217" s="216"/>
      <c r="E217" s="217"/>
      <c r="F217" s="217"/>
      <c r="G217" s="1037"/>
      <c r="H217" s="1083"/>
      <c r="I217" s="1087"/>
    </row>
    <row r="218" spans="2:9" ht="15.95" customHeight="1" x14ac:dyDescent="0.4">
      <c r="B218" s="22"/>
      <c r="C218" s="215"/>
      <c r="D218" s="216"/>
      <c r="E218" s="217"/>
      <c r="F218" s="217"/>
      <c r="G218" s="1037"/>
      <c r="H218" s="1083"/>
      <c r="I218" s="1087"/>
    </row>
    <row r="219" spans="2:9" ht="15.95" customHeight="1" x14ac:dyDescent="0.4">
      <c r="B219" s="22"/>
      <c r="C219" s="215"/>
      <c r="D219" s="216"/>
      <c r="E219" s="217"/>
      <c r="F219" s="217"/>
      <c r="G219" s="1037"/>
      <c r="H219" s="1083"/>
      <c r="I219" s="1087"/>
    </row>
    <row r="220" spans="2:9" ht="15.95" customHeight="1" x14ac:dyDescent="0.4">
      <c r="B220" s="22"/>
      <c r="C220" s="215"/>
      <c r="D220" s="216"/>
      <c r="E220" s="217"/>
      <c r="F220" s="217"/>
      <c r="G220" s="1037"/>
      <c r="H220" s="1083"/>
      <c r="I220" s="1087"/>
    </row>
    <row r="221" spans="2:9" ht="15.95" customHeight="1" x14ac:dyDescent="0.4">
      <c r="B221" s="22"/>
      <c r="C221" s="215"/>
      <c r="D221" s="216"/>
      <c r="E221" s="217"/>
      <c r="F221" s="217"/>
      <c r="G221" s="1037"/>
      <c r="H221" s="1083"/>
      <c r="I221" s="1087"/>
    </row>
    <row r="222" spans="2:9" ht="15.95" customHeight="1" x14ac:dyDescent="0.4">
      <c r="B222" s="22"/>
      <c r="C222" s="215"/>
      <c r="D222" s="216"/>
      <c r="E222" s="217"/>
      <c r="F222" s="217"/>
      <c r="G222" s="1037"/>
      <c r="H222" s="1083"/>
      <c r="I222" s="1087"/>
    </row>
    <row r="223" spans="2:9" ht="15.95" customHeight="1" x14ac:dyDescent="0.4">
      <c r="B223" s="22"/>
      <c r="C223" s="215"/>
      <c r="D223" s="216"/>
      <c r="E223" s="217"/>
      <c r="F223" s="217"/>
      <c r="G223" s="1037"/>
      <c r="H223" s="1083"/>
      <c r="I223" s="1087"/>
    </row>
    <row r="224" spans="2:9" ht="15.95" customHeight="1" x14ac:dyDescent="0.4">
      <c r="B224" s="22"/>
      <c r="C224" s="215"/>
      <c r="D224" s="216"/>
      <c r="E224" s="217"/>
      <c r="F224" s="217"/>
      <c r="G224" s="1037"/>
      <c r="H224" s="1083"/>
      <c r="I224" s="1087"/>
    </row>
    <row r="225" spans="2:9" ht="15.95" customHeight="1" x14ac:dyDescent="0.4">
      <c r="B225" s="22"/>
      <c r="C225" s="215"/>
      <c r="D225" s="216"/>
      <c r="E225" s="217"/>
      <c r="F225" s="217"/>
      <c r="G225" s="1037"/>
      <c r="H225" s="1083"/>
      <c r="I225" s="1087"/>
    </row>
    <row r="226" spans="2:9" ht="15.95" customHeight="1" x14ac:dyDescent="0.4">
      <c r="B226" s="22"/>
      <c r="C226" s="215"/>
      <c r="D226" s="216"/>
      <c r="E226" s="217"/>
      <c r="F226" s="217"/>
      <c r="G226" s="1037"/>
      <c r="H226" s="1083"/>
      <c r="I226" s="1087"/>
    </row>
    <row r="227" spans="2:9" ht="15.95" customHeight="1" x14ac:dyDescent="0.4">
      <c r="B227" s="22"/>
      <c r="C227" s="215"/>
      <c r="D227" s="216"/>
      <c r="E227" s="217"/>
      <c r="F227" s="217"/>
      <c r="G227" s="1037"/>
      <c r="H227" s="1083"/>
      <c r="I227" s="1087"/>
    </row>
    <row r="228" spans="2:9" ht="15.95" customHeight="1" x14ac:dyDescent="0.4">
      <c r="B228" s="22"/>
      <c r="C228" s="215"/>
      <c r="D228" s="216"/>
      <c r="E228" s="217"/>
      <c r="F228" s="217"/>
      <c r="G228" s="1037"/>
      <c r="H228" s="1083"/>
      <c r="I228" s="1087"/>
    </row>
    <row r="229" spans="2:9" ht="15.95" customHeight="1" x14ac:dyDescent="0.4">
      <c r="B229" s="22"/>
      <c r="C229" s="215"/>
      <c r="D229" s="216"/>
      <c r="E229" s="217"/>
      <c r="F229" s="217"/>
      <c r="G229" s="1037"/>
      <c r="H229" s="1083"/>
      <c r="I229" s="1087"/>
    </row>
    <row r="230" spans="2:9" ht="15.95" customHeight="1" x14ac:dyDescent="0.4">
      <c r="B230" s="22"/>
      <c r="C230" s="215"/>
      <c r="D230" s="216"/>
      <c r="E230" s="217"/>
      <c r="F230" s="217"/>
      <c r="G230" s="1037"/>
      <c r="H230" s="1083"/>
      <c r="I230" s="1087"/>
    </row>
    <row r="231" spans="2:9" ht="15.95" customHeight="1" x14ac:dyDescent="0.4">
      <c r="B231" s="22"/>
      <c r="C231" s="215"/>
      <c r="D231" s="216"/>
      <c r="E231" s="217"/>
      <c r="F231" s="217"/>
      <c r="G231" s="1037"/>
      <c r="H231" s="1083"/>
      <c r="I231" s="1087"/>
    </row>
    <row r="232" spans="2:9" ht="15.95" customHeight="1" x14ac:dyDescent="0.4">
      <c r="B232" s="22"/>
      <c r="C232" s="215"/>
      <c r="D232" s="216"/>
      <c r="E232" s="217"/>
      <c r="F232" s="217"/>
      <c r="G232" s="1037"/>
      <c r="H232" s="1083"/>
      <c r="I232" s="1087"/>
    </row>
    <row r="233" spans="2:9" ht="15.95" customHeight="1" x14ac:dyDescent="0.4">
      <c r="B233" s="22"/>
      <c r="C233" s="215"/>
      <c r="D233" s="216"/>
      <c r="E233" s="217"/>
      <c r="F233" s="217"/>
      <c r="G233" s="1037"/>
      <c r="H233" s="1083"/>
      <c r="I233" s="1087"/>
    </row>
    <row r="234" spans="2:9" ht="15.95" customHeight="1" x14ac:dyDescent="0.4">
      <c r="B234" s="22"/>
      <c r="C234" s="215"/>
      <c r="D234" s="216"/>
      <c r="E234" s="217"/>
      <c r="F234" s="217"/>
      <c r="G234" s="1037"/>
      <c r="H234" s="1083"/>
      <c r="I234" s="1087"/>
    </row>
    <row r="235" spans="2:9" ht="15.95" customHeight="1" x14ac:dyDescent="0.4">
      <c r="B235" s="22"/>
      <c r="C235" s="215"/>
      <c r="D235" s="216"/>
      <c r="E235" s="217"/>
      <c r="F235" s="217"/>
      <c r="G235" s="1037"/>
      <c r="H235" s="1083"/>
      <c r="I235" s="1087"/>
    </row>
    <row r="236" spans="2:9" ht="15.95" customHeight="1" x14ac:dyDescent="0.4">
      <c r="B236" s="22"/>
      <c r="C236" s="215"/>
      <c r="D236" s="216"/>
      <c r="E236" s="217"/>
      <c r="F236" s="217"/>
      <c r="G236" s="1037"/>
      <c r="H236" s="1083"/>
      <c r="I236" s="1087"/>
    </row>
    <row r="237" spans="2:9" ht="15.95" customHeight="1" x14ac:dyDescent="0.4">
      <c r="B237" s="22"/>
      <c r="C237" s="215"/>
      <c r="D237" s="216"/>
      <c r="E237" s="217"/>
      <c r="F237" s="217"/>
      <c r="G237" s="1037"/>
      <c r="H237" s="1083"/>
      <c r="I237" s="1087"/>
    </row>
    <row r="238" spans="2:9" ht="15.95" customHeight="1" x14ac:dyDescent="0.4">
      <c r="B238" s="22"/>
      <c r="C238" s="215"/>
      <c r="D238" s="216"/>
      <c r="E238" s="217"/>
      <c r="F238" s="217"/>
      <c r="G238" s="1037"/>
      <c r="H238" s="1083"/>
      <c r="I238" s="1087"/>
    </row>
    <row r="239" spans="2:9" ht="15.95" customHeight="1" x14ac:dyDescent="0.4">
      <c r="B239" s="22"/>
      <c r="C239" s="215"/>
      <c r="D239" s="216"/>
      <c r="E239" s="217"/>
      <c r="F239" s="217"/>
      <c r="G239" s="1037"/>
      <c r="H239" s="1083"/>
      <c r="I239" s="1087"/>
    </row>
    <row r="240" spans="2:9" ht="15.95" customHeight="1" x14ac:dyDescent="0.4">
      <c r="B240" s="22"/>
      <c r="C240" s="215"/>
      <c r="D240" s="216"/>
      <c r="E240" s="217"/>
      <c r="F240" s="217"/>
      <c r="G240" s="1037"/>
      <c r="H240" s="1083"/>
      <c r="I240" s="1087"/>
    </row>
    <row r="241" spans="2:9" ht="15.95" customHeight="1" x14ac:dyDescent="0.4">
      <c r="B241" s="22"/>
      <c r="C241" s="215"/>
      <c r="D241" s="216"/>
      <c r="E241" s="217"/>
      <c r="F241" s="217"/>
      <c r="G241" s="1037"/>
      <c r="H241" s="1083"/>
      <c r="I241" s="1087"/>
    </row>
    <row r="242" spans="2:9" ht="15.95" customHeight="1" x14ac:dyDescent="0.4">
      <c r="B242" s="22"/>
      <c r="C242" s="215"/>
      <c r="D242" s="216"/>
      <c r="E242" s="217"/>
      <c r="F242" s="217"/>
      <c r="G242" s="1037"/>
      <c r="H242" s="1083"/>
      <c r="I242" s="1087"/>
    </row>
    <row r="243" spans="2:9" ht="15.95" customHeight="1" x14ac:dyDescent="0.4">
      <c r="B243" s="22"/>
      <c r="C243" s="215"/>
      <c r="D243" s="216"/>
      <c r="E243" s="217"/>
      <c r="F243" s="217"/>
      <c r="G243" s="1037"/>
      <c r="H243" s="1083"/>
      <c r="I243" s="1087"/>
    </row>
    <row r="244" spans="2:9" ht="15.95" customHeight="1" x14ac:dyDescent="0.4">
      <c r="B244" s="22"/>
      <c r="C244" s="215"/>
      <c r="D244" s="216"/>
      <c r="E244" s="217"/>
      <c r="F244" s="217"/>
      <c r="G244" s="1037"/>
      <c r="H244" s="1083"/>
      <c r="I244" s="1087"/>
    </row>
    <row r="245" spans="2:9" ht="15.95" customHeight="1" x14ac:dyDescent="0.4">
      <c r="B245" s="22"/>
      <c r="C245" s="215"/>
      <c r="D245" s="216"/>
      <c r="E245" s="217"/>
      <c r="F245" s="217"/>
      <c r="G245" s="1037"/>
      <c r="H245" s="1083"/>
      <c r="I245" s="1087"/>
    </row>
    <row r="246" spans="2:9" ht="15.95" customHeight="1" x14ac:dyDescent="0.4">
      <c r="B246" s="22"/>
      <c r="C246" s="215"/>
      <c r="D246" s="216"/>
      <c r="E246" s="217"/>
      <c r="F246" s="217"/>
      <c r="G246" s="1037"/>
      <c r="H246" s="1083"/>
      <c r="I246" s="1087"/>
    </row>
    <row r="247" spans="2:9" ht="15.95" customHeight="1" x14ac:dyDescent="0.4">
      <c r="B247" s="22"/>
      <c r="C247" s="215"/>
      <c r="D247" s="216"/>
      <c r="E247" s="217"/>
      <c r="F247" s="217"/>
      <c r="G247" s="1037"/>
      <c r="H247" s="1083"/>
      <c r="I247" s="1087"/>
    </row>
    <row r="248" spans="2:9" ht="15.95" customHeight="1" x14ac:dyDescent="0.4">
      <c r="B248" s="22"/>
      <c r="C248" s="215"/>
      <c r="D248" s="216"/>
      <c r="E248" s="217"/>
      <c r="F248" s="217"/>
      <c r="G248" s="1037"/>
      <c r="H248" s="1083"/>
      <c r="I248" s="1087"/>
    </row>
    <row r="249" spans="2:9" ht="15.95" customHeight="1" x14ac:dyDescent="0.4">
      <c r="B249" s="22"/>
      <c r="C249" s="215"/>
      <c r="D249" s="216"/>
      <c r="E249" s="217"/>
      <c r="F249" s="217"/>
      <c r="G249" s="1037"/>
      <c r="H249" s="1083"/>
      <c r="I249" s="1087"/>
    </row>
    <row r="250" spans="2:9" ht="15.95" customHeight="1" x14ac:dyDescent="0.4">
      <c r="B250" s="22"/>
      <c r="C250" s="215"/>
      <c r="D250" s="216"/>
      <c r="E250" s="217"/>
      <c r="F250" s="217"/>
      <c r="G250" s="1037"/>
      <c r="H250" s="1083"/>
      <c r="I250" s="1087"/>
    </row>
    <row r="251" spans="2:9" ht="15.95" customHeight="1" x14ac:dyDescent="0.4">
      <c r="B251" s="22"/>
      <c r="C251" s="215"/>
      <c r="D251" s="216"/>
      <c r="E251" s="217"/>
      <c r="F251" s="217"/>
      <c r="G251" s="1037"/>
      <c r="H251" s="1083"/>
      <c r="I251" s="1087"/>
    </row>
    <row r="252" spans="2:9" ht="15.95" customHeight="1" x14ac:dyDescent="0.4">
      <c r="B252" s="22"/>
      <c r="C252" s="215"/>
      <c r="D252" s="216"/>
      <c r="E252" s="217"/>
      <c r="F252" s="217"/>
      <c r="G252" s="1037"/>
      <c r="H252" s="1083"/>
      <c r="I252" s="1087"/>
    </row>
    <row r="253" spans="2:9" ht="15.95" customHeight="1" x14ac:dyDescent="0.4">
      <c r="B253" s="22"/>
      <c r="C253" s="215"/>
      <c r="D253" s="216"/>
      <c r="E253" s="217"/>
      <c r="F253" s="217"/>
      <c r="G253" s="1037"/>
      <c r="H253" s="1083"/>
      <c r="I253" s="1087"/>
    </row>
    <row r="254" spans="2:9" ht="15.95" customHeight="1" x14ac:dyDescent="0.4">
      <c r="B254" s="22"/>
      <c r="C254" s="215"/>
      <c r="D254" s="216"/>
      <c r="E254" s="217"/>
      <c r="F254" s="217"/>
      <c r="G254" s="1037"/>
      <c r="H254" s="1083"/>
      <c r="I254" s="1087"/>
    </row>
    <row r="255" spans="2:9" ht="15.95" customHeight="1" x14ac:dyDescent="0.4">
      <c r="B255" s="22"/>
      <c r="C255" s="215"/>
      <c r="D255" s="216"/>
      <c r="E255" s="217"/>
      <c r="F255" s="217"/>
      <c r="G255" s="1037"/>
      <c r="H255" s="1083"/>
      <c r="I255" s="1087"/>
    </row>
    <row r="256" spans="2:9" ht="15.95" customHeight="1" x14ac:dyDescent="0.4">
      <c r="B256" s="22"/>
      <c r="C256" s="215"/>
      <c r="D256" s="216"/>
      <c r="E256" s="217"/>
      <c r="F256" s="217"/>
      <c r="G256" s="1037"/>
      <c r="H256" s="1083"/>
      <c r="I256" s="1087"/>
    </row>
    <row r="257" spans="2:9" ht="15.95" customHeight="1" x14ac:dyDescent="0.4">
      <c r="B257" s="22"/>
      <c r="C257" s="215"/>
      <c r="D257" s="216"/>
      <c r="E257" s="217"/>
      <c r="F257" s="217"/>
      <c r="G257" s="1037"/>
      <c r="H257" s="1083"/>
      <c r="I257" s="1087"/>
    </row>
    <row r="258" spans="2:9" ht="15.95" customHeight="1" x14ac:dyDescent="0.4">
      <c r="B258" s="22"/>
      <c r="C258" s="215"/>
      <c r="D258" s="216"/>
      <c r="E258" s="217"/>
      <c r="F258" s="217"/>
      <c r="G258" s="1037"/>
      <c r="H258" s="1083"/>
      <c r="I258" s="1087"/>
    </row>
    <row r="259" spans="2:9" ht="15.95" customHeight="1" x14ac:dyDescent="0.4">
      <c r="B259" s="22"/>
      <c r="C259" s="215"/>
      <c r="D259" s="216"/>
      <c r="E259" s="217"/>
      <c r="F259" s="217"/>
      <c r="G259" s="1037"/>
      <c r="H259" s="1083"/>
      <c r="I259" s="1087"/>
    </row>
    <row r="260" spans="2:9" ht="15.95" customHeight="1" x14ac:dyDescent="0.4">
      <c r="B260" s="22"/>
      <c r="C260" s="215"/>
      <c r="D260" s="216"/>
      <c r="E260" s="217"/>
      <c r="F260" s="217"/>
      <c r="G260" s="1037"/>
      <c r="H260" s="1083"/>
      <c r="I260" s="1087"/>
    </row>
    <row r="261" spans="2:9" ht="15.95" customHeight="1" x14ac:dyDescent="0.4">
      <c r="B261" s="22"/>
      <c r="C261" s="215"/>
      <c r="D261" s="216"/>
      <c r="E261" s="217"/>
      <c r="F261" s="217"/>
      <c r="G261" s="1037"/>
      <c r="H261" s="1083"/>
      <c r="I261" s="1087"/>
    </row>
    <row r="262" spans="2:9" ht="15.95" customHeight="1" x14ac:dyDescent="0.4">
      <c r="B262" s="22"/>
      <c r="C262" s="215"/>
      <c r="D262" s="216"/>
      <c r="E262" s="217"/>
      <c r="F262" s="217"/>
      <c r="G262" s="1037"/>
      <c r="H262" s="1083"/>
      <c r="I262" s="1087"/>
    </row>
    <row r="263" spans="2:9" ht="15.95" customHeight="1" x14ac:dyDescent="0.4">
      <c r="B263" s="22"/>
      <c r="C263" s="215"/>
      <c r="D263" s="216"/>
      <c r="E263" s="217"/>
      <c r="F263" s="217"/>
      <c r="G263" s="1037"/>
      <c r="H263" s="1083"/>
      <c r="I263" s="1087"/>
    </row>
    <row r="264" spans="2:9" ht="15.95" customHeight="1" x14ac:dyDescent="0.4">
      <c r="B264" s="22"/>
      <c r="C264" s="215"/>
      <c r="D264" s="216"/>
      <c r="E264" s="217"/>
      <c r="F264" s="217"/>
      <c r="G264" s="1037"/>
      <c r="H264" s="1083"/>
      <c r="I264" s="1087"/>
    </row>
    <row r="265" spans="2:9" ht="15.95" customHeight="1" x14ac:dyDescent="0.4">
      <c r="B265" s="22"/>
      <c r="C265" s="215"/>
      <c r="D265" s="216"/>
      <c r="E265" s="217"/>
      <c r="F265" s="217"/>
      <c r="G265" s="1037"/>
      <c r="H265" s="1083"/>
      <c r="I265" s="1087"/>
    </row>
    <row r="266" spans="2:9" ht="15.95" customHeight="1" x14ac:dyDescent="0.4">
      <c r="B266" s="22"/>
      <c r="C266" s="215"/>
      <c r="D266" s="216"/>
      <c r="E266" s="217"/>
      <c r="F266" s="217"/>
      <c r="G266" s="1037"/>
      <c r="H266" s="1083"/>
      <c r="I266" s="1087"/>
    </row>
    <row r="267" spans="2:9" ht="15.95" customHeight="1" x14ac:dyDescent="0.4">
      <c r="B267" s="22"/>
      <c r="C267" s="218"/>
      <c r="D267" s="219"/>
      <c r="E267" s="217"/>
      <c r="F267" s="217"/>
      <c r="G267" s="1037"/>
      <c r="H267" s="1083"/>
      <c r="I267" s="1087"/>
    </row>
    <row r="268" spans="2:9" ht="15.95" customHeight="1" thickBot="1" x14ac:dyDescent="0.45">
      <c r="B268" s="22"/>
      <c r="C268" s="220">
        <v>200000</v>
      </c>
      <c r="D268" s="221">
        <v>2000000</v>
      </c>
      <c r="E268" s="222" t="s">
        <v>7919</v>
      </c>
      <c r="F268" s="223" t="s">
        <v>7923</v>
      </c>
      <c r="G268" s="646"/>
      <c r="H268" s="1085" t="s">
        <v>7920</v>
      </c>
      <c r="I268" s="1087"/>
    </row>
    <row r="269" spans="2:9" ht="15.95" customHeight="1" thickBot="1" x14ac:dyDescent="0.45">
      <c r="B269" s="24"/>
      <c r="C269" s="25"/>
      <c r="D269" s="26"/>
      <c r="E269" s="26"/>
      <c r="F269" s="27"/>
      <c r="G269" s="25"/>
      <c r="H269" s="27"/>
      <c r="I269" s="1087"/>
    </row>
    <row r="270" spans="2:9" ht="15.95" customHeight="1" thickTop="1" x14ac:dyDescent="0.4"/>
  </sheetData>
  <sheetProtection selectLockedCells="1"/>
  <mergeCells count="2">
    <mergeCell ref="G35:G36"/>
    <mergeCell ref="G4:H4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39" fitToWidth="2" fitToHeight="3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129"/>
  <sheetViews>
    <sheetView topLeftCell="A91" workbookViewId="0">
      <selection activeCell="B119" sqref="A119:XFD119"/>
    </sheetView>
  </sheetViews>
  <sheetFormatPr defaultRowHeight="15" x14ac:dyDescent="0.25"/>
  <cols>
    <col min="1" max="1" width="17.140625" customWidth="1"/>
    <col min="2" max="2" width="57.85546875" customWidth="1"/>
  </cols>
  <sheetData>
    <row r="1" spans="1:2" x14ac:dyDescent="0.25">
      <c r="A1" t="s">
        <v>9461</v>
      </c>
      <c r="B1" t="s">
        <v>9462</v>
      </c>
    </row>
    <row r="2" spans="1:2" x14ac:dyDescent="0.25">
      <c r="A2">
        <v>20700</v>
      </c>
      <c r="B2" t="s">
        <v>7889</v>
      </c>
    </row>
    <row r="3" spans="1:2" x14ac:dyDescent="0.25">
      <c r="A3">
        <v>20007</v>
      </c>
      <c r="B3" t="s">
        <v>7890</v>
      </c>
    </row>
    <row r="4" spans="1:2" x14ac:dyDescent="0.25">
      <c r="A4">
        <v>20000</v>
      </c>
      <c r="B4" t="s">
        <v>7891</v>
      </c>
    </row>
    <row r="5" spans="1:2" x14ac:dyDescent="0.25">
      <c r="A5">
        <v>20007</v>
      </c>
      <c r="B5" t="s">
        <v>7890</v>
      </c>
    </row>
    <row r="6" spans="1:2" x14ac:dyDescent="0.25">
      <c r="A6">
        <v>20000</v>
      </c>
      <c r="B6" t="s">
        <v>7891</v>
      </c>
    </row>
    <row r="7" spans="1:2" x14ac:dyDescent="0.25">
      <c r="A7">
        <v>20007</v>
      </c>
      <c r="B7" t="s">
        <v>7890</v>
      </c>
    </row>
    <row r="8" spans="1:2" x14ac:dyDescent="0.25">
      <c r="A8">
        <v>20006</v>
      </c>
      <c r="B8" t="s">
        <v>7894</v>
      </c>
    </row>
    <row r="9" spans="1:2" x14ac:dyDescent="0.25">
      <c r="A9">
        <v>20008</v>
      </c>
      <c r="B9" t="s">
        <v>7895</v>
      </c>
    </row>
    <row r="10" spans="1:2" x14ac:dyDescent="0.25">
      <c r="A10">
        <v>20100</v>
      </c>
      <c r="B10" t="s">
        <v>7896</v>
      </c>
    </row>
    <row r="11" spans="1:2" x14ac:dyDescent="0.25">
      <c r="A11">
        <v>20109</v>
      </c>
      <c r="B11" t="s">
        <v>7897</v>
      </c>
    </row>
    <row r="12" spans="1:2" x14ac:dyDescent="0.25">
      <c r="A12">
        <v>91200</v>
      </c>
      <c r="B12" t="s">
        <v>7898</v>
      </c>
    </row>
    <row r="13" spans="1:2" x14ac:dyDescent="0.25">
      <c r="A13">
        <v>20600</v>
      </c>
      <c r="B13" t="s">
        <v>7900</v>
      </c>
    </row>
    <row r="14" spans="1:2" x14ac:dyDescent="0.25">
      <c r="A14">
        <v>92600</v>
      </c>
      <c r="B14" t="s">
        <v>7901</v>
      </c>
    </row>
    <row r="15" spans="1:2" x14ac:dyDescent="0.25">
      <c r="A15">
        <v>20600</v>
      </c>
      <c r="B15" t="s">
        <v>7900</v>
      </c>
    </row>
    <row r="16" spans="1:2" x14ac:dyDescent="0.25">
      <c r="A16">
        <v>91200</v>
      </c>
      <c r="B16" t="s">
        <v>7903</v>
      </c>
    </row>
    <row r="17" spans="1:2" x14ac:dyDescent="0.25">
      <c r="A17">
        <v>20200</v>
      </c>
      <c r="B17" t="s">
        <v>7904</v>
      </c>
    </row>
    <row r="18" spans="1:2" x14ac:dyDescent="0.25">
      <c r="A18">
        <v>8000</v>
      </c>
      <c r="B18" t="s">
        <v>7889</v>
      </c>
    </row>
    <row r="19" spans="1:2" x14ac:dyDescent="0.25">
      <c r="A19">
        <v>20700</v>
      </c>
      <c r="B19" t="s">
        <v>7889</v>
      </c>
    </row>
    <row r="20" spans="1:2" x14ac:dyDescent="0.25">
      <c r="A20">
        <v>20300</v>
      </c>
      <c r="B20" t="s">
        <v>7905</v>
      </c>
    </row>
    <row r="21" spans="1:2" x14ac:dyDescent="0.25">
      <c r="A21">
        <v>20800</v>
      </c>
      <c r="B21" t="s">
        <v>7906</v>
      </c>
    </row>
    <row r="22" spans="1:2" x14ac:dyDescent="0.25">
      <c r="A22">
        <v>1700</v>
      </c>
      <c r="B22" t="s">
        <v>7908</v>
      </c>
    </row>
    <row r="23" spans="1:2" x14ac:dyDescent="0.25">
      <c r="A23">
        <v>20900</v>
      </c>
      <c r="B23" t="s">
        <v>7909</v>
      </c>
    </row>
    <row r="24" spans="1:2" x14ac:dyDescent="0.25">
      <c r="A24">
        <v>11600</v>
      </c>
      <c r="B24" t="s">
        <v>7942</v>
      </c>
    </row>
    <row r="25" spans="1:2" x14ac:dyDescent="0.25">
      <c r="A25">
        <v>10005</v>
      </c>
      <c r="B25" t="s">
        <v>7892</v>
      </c>
    </row>
    <row r="26" spans="1:2" x14ac:dyDescent="0.25">
      <c r="A26">
        <v>10006</v>
      </c>
      <c r="B26" t="s">
        <v>7910</v>
      </c>
    </row>
    <row r="27" spans="1:2" x14ac:dyDescent="0.25">
      <c r="A27">
        <v>10004</v>
      </c>
      <c r="B27" t="s">
        <v>7894</v>
      </c>
    </row>
    <row r="28" spans="1:2" x14ac:dyDescent="0.25">
      <c r="A28">
        <v>10005</v>
      </c>
      <c r="B28" t="s">
        <v>7892</v>
      </c>
    </row>
    <row r="29" spans="1:2" x14ac:dyDescent="0.25">
      <c r="A29">
        <v>10000</v>
      </c>
      <c r="B29" t="s">
        <v>7891</v>
      </c>
    </row>
    <row r="30" spans="1:2" x14ac:dyDescent="0.25">
      <c r="A30">
        <v>10004</v>
      </c>
      <c r="B30" t="s">
        <v>7894</v>
      </c>
    </row>
    <row r="31" spans="1:2" x14ac:dyDescent="0.25">
      <c r="A31">
        <v>10000</v>
      </c>
      <c r="B31" t="s">
        <v>7891</v>
      </c>
    </row>
    <row r="32" spans="1:2" x14ac:dyDescent="0.25">
      <c r="A32">
        <v>10005</v>
      </c>
      <c r="B32" t="s">
        <v>7892</v>
      </c>
    </row>
    <row r="33" spans="1:2" x14ac:dyDescent="0.25">
      <c r="A33">
        <v>10000</v>
      </c>
      <c r="B33" t="s">
        <v>7891</v>
      </c>
    </row>
    <row r="34" spans="1:2" x14ac:dyDescent="0.25">
      <c r="A34">
        <v>10005</v>
      </c>
      <c r="B34" t="s">
        <v>7892</v>
      </c>
    </row>
    <row r="35" spans="1:2" x14ac:dyDescent="0.25">
      <c r="A35">
        <v>10000</v>
      </c>
      <c r="B35" t="s">
        <v>7891</v>
      </c>
    </row>
    <row r="36" spans="1:2" x14ac:dyDescent="0.25">
      <c r="A36">
        <v>10005</v>
      </c>
      <c r="B36" t="s">
        <v>7892</v>
      </c>
    </row>
    <row r="37" spans="1:2" x14ac:dyDescent="0.25">
      <c r="A37">
        <v>10016</v>
      </c>
      <c r="B37" t="s">
        <v>7943</v>
      </c>
    </row>
    <row r="38" spans="1:2" x14ac:dyDescent="0.25">
      <c r="A38">
        <v>10101</v>
      </c>
      <c r="B38" t="s">
        <v>7911</v>
      </c>
    </row>
    <row r="39" spans="1:2" x14ac:dyDescent="0.25">
      <c r="A39">
        <v>10102</v>
      </c>
      <c r="B39" t="s">
        <v>7897</v>
      </c>
    </row>
    <row r="40" spans="1:2" x14ac:dyDescent="0.25">
      <c r="A40">
        <v>92600</v>
      </c>
      <c r="B40" t="s">
        <v>7901</v>
      </c>
    </row>
    <row r="41" spans="1:2" x14ac:dyDescent="0.25">
      <c r="A41">
        <v>91200</v>
      </c>
      <c r="B41" t="s">
        <v>7898</v>
      </c>
    </row>
    <row r="42" spans="1:2" x14ac:dyDescent="0.25">
      <c r="A42">
        <v>50833</v>
      </c>
      <c r="B42" t="s">
        <v>7912</v>
      </c>
    </row>
    <row r="43" spans="1:2" x14ac:dyDescent="0.25">
      <c r="A43">
        <v>50833</v>
      </c>
      <c r="B43" t="s">
        <v>7912</v>
      </c>
    </row>
    <row r="44" spans="1:2" x14ac:dyDescent="0.25">
      <c r="A44">
        <v>50833</v>
      </c>
      <c r="B44" t="s">
        <v>7912</v>
      </c>
    </row>
    <row r="45" spans="1:2" x14ac:dyDescent="0.25">
      <c r="A45">
        <v>50833</v>
      </c>
      <c r="B45" t="s">
        <v>7912</v>
      </c>
    </row>
    <row r="46" spans="1:2" x14ac:dyDescent="0.25">
      <c r="A46">
        <v>50833</v>
      </c>
      <c r="B46" t="s">
        <v>7912</v>
      </c>
    </row>
    <row r="47" spans="1:2" x14ac:dyDescent="0.25">
      <c r="A47">
        <v>50314</v>
      </c>
      <c r="B47" t="s">
        <v>7918</v>
      </c>
    </row>
    <row r="48" spans="1:2" x14ac:dyDescent="0.25">
      <c r="A48">
        <v>92600</v>
      </c>
      <c r="B48" t="s">
        <v>7901</v>
      </c>
    </row>
    <row r="49" spans="1:2" x14ac:dyDescent="0.25">
      <c r="A49">
        <v>1200</v>
      </c>
      <c r="B49" t="s">
        <v>7945</v>
      </c>
    </row>
    <row r="50" spans="1:2" x14ac:dyDescent="0.25">
      <c r="A50">
        <v>12000</v>
      </c>
      <c r="B50" t="s">
        <v>7945</v>
      </c>
    </row>
    <row r="51" spans="1:2" x14ac:dyDescent="0.25">
      <c r="A51">
        <v>11900</v>
      </c>
      <c r="B51" t="s">
        <v>7946</v>
      </c>
    </row>
    <row r="52" spans="1:2" x14ac:dyDescent="0.25">
      <c r="A52">
        <v>11500</v>
      </c>
      <c r="B52" t="s">
        <v>7947</v>
      </c>
    </row>
    <row r="53" spans="1:2" x14ac:dyDescent="0.25">
      <c r="A53">
        <v>8000</v>
      </c>
      <c r="B53" t="s">
        <v>7889</v>
      </c>
    </row>
    <row r="54" spans="1:2" x14ac:dyDescent="0.25">
      <c r="A54">
        <v>10000</v>
      </c>
      <c r="B54" t="s">
        <v>7891</v>
      </c>
    </row>
    <row r="55" spans="1:2" x14ac:dyDescent="0.25">
      <c r="A55">
        <v>10000</v>
      </c>
      <c r="B55" t="s">
        <v>7891</v>
      </c>
    </row>
    <row r="56" spans="1:2" x14ac:dyDescent="0.25">
      <c r="A56">
        <v>10005</v>
      </c>
      <c r="B56" t="s">
        <v>7892</v>
      </c>
    </row>
    <row r="57" spans="1:2" x14ac:dyDescent="0.25">
      <c r="A57">
        <v>10007</v>
      </c>
      <c r="B57" t="s">
        <v>7893</v>
      </c>
    </row>
    <row r="58" spans="1:2" x14ac:dyDescent="0.25">
      <c r="A58">
        <v>10007</v>
      </c>
      <c r="B58" t="s">
        <v>7893</v>
      </c>
    </row>
    <row r="59" spans="1:2" x14ac:dyDescent="0.25">
      <c r="A59">
        <v>10007</v>
      </c>
      <c r="B59" t="s">
        <v>7893</v>
      </c>
    </row>
    <row r="60" spans="1:2" x14ac:dyDescent="0.25">
      <c r="A60">
        <v>10007</v>
      </c>
      <c r="B60" t="s">
        <v>7893</v>
      </c>
    </row>
    <row r="61" spans="1:2" x14ac:dyDescent="0.25">
      <c r="A61">
        <v>10100</v>
      </c>
      <c r="B61" t="s">
        <v>7896</v>
      </c>
    </row>
    <row r="62" spans="1:2" x14ac:dyDescent="0.25">
      <c r="A62">
        <v>10100</v>
      </c>
      <c r="B62" t="s">
        <v>7896</v>
      </c>
    </row>
    <row r="63" spans="1:2" x14ac:dyDescent="0.25">
      <c r="A63">
        <v>10200</v>
      </c>
      <c r="B63" t="s">
        <v>7899</v>
      </c>
    </row>
    <row r="64" spans="1:2" x14ac:dyDescent="0.25">
      <c r="A64">
        <v>10200</v>
      </c>
      <c r="B64" t="s">
        <v>7899</v>
      </c>
    </row>
    <row r="65" spans="1:2" x14ac:dyDescent="0.25">
      <c r="A65">
        <v>10200</v>
      </c>
      <c r="B65" t="s">
        <v>7899</v>
      </c>
    </row>
    <row r="66" spans="1:2" x14ac:dyDescent="0.25">
      <c r="A66">
        <v>10219</v>
      </c>
      <c r="B66" t="s">
        <v>7902</v>
      </c>
    </row>
    <row r="67" spans="1:2" x14ac:dyDescent="0.25">
      <c r="A67">
        <v>10220</v>
      </c>
      <c r="B67" t="s">
        <v>7902</v>
      </c>
    </row>
    <row r="68" spans="1:2" x14ac:dyDescent="0.25">
      <c r="A68">
        <v>10300</v>
      </c>
      <c r="B68" t="s">
        <v>7904</v>
      </c>
    </row>
    <row r="69" spans="1:2" x14ac:dyDescent="0.25">
      <c r="A69">
        <v>10400</v>
      </c>
      <c r="B69" t="s">
        <v>7889</v>
      </c>
    </row>
    <row r="70" spans="1:2" x14ac:dyDescent="0.25">
      <c r="A70">
        <v>10400</v>
      </c>
      <c r="B70" t="s">
        <v>7889</v>
      </c>
    </row>
    <row r="71" spans="1:2" x14ac:dyDescent="0.25">
      <c r="A71">
        <v>10500</v>
      </c>
      <c r="B71" t="s">
        <v>7905</v>
      </c>
    </row>
    <row r="72" spans="1:2" x14ac:dyDescent="0.25">
      <c r="A72">
        <v>10600</v>
      </c>
      <c r="B72" t="s">
        <v>7907</v>
      </c>
    </row>
    <row r="73" spans="1:2" x14ac:dyDescent="0.25">
      <c r="A73">
        <v>10700</v>
      </c>
      <c r="B73" t="s">
        <v>7908</v>
      </c>
    </row>
    <row r="74" spans="1:2" x14ac:dyDescent="0.25">
      <c r="A74">
        <v>10800</v>
      </c>
      <c r="B74" t="s">
        <v>7909</v>
      </c>
    </row>
    <row r="75" spans="1:2" x14ac:dyDescent="0.25">
      <c r="A75">
        <v>23600</v>
      </c>
      <c r="B75" t="s">
        <v>7942</v>
      </c>
    </row>
    <row r="76" spans="1:2" x14ac:dyDescent="0.25">
      <c r="A76">
        <v>20000</v>
      </c>
      <c r="B76" t="s">
        <v>7891</v>
      </c>
    </row>
    <row r="77" spans="1:2" x14ac:dyDescent="0.25">
      <c r="A77">
        <v>20000</v>
      </c>
      <c r="B77" t="s">
        <v>7891</v>
      </c>
    </row>
    <row r="78" spans="1:2" x14ac:dyDescent="0.25">
      <c r="A78">
        <v>20000</v>
      </c>
      <c r="B78" t="s">
        <v>7891</v>
      </c>
    </row>
    <row r="79" spans="1:2" x14ac:dyDescent="0.25">
      <c r="A79">
        <v>20006</v>
      </c>
      <c r="B79" t="s">
        <v>7894</v>
      </c>
    </row>
    <row r="80" spans="1:2" x14ac:dyDescent="0.25">
      <c r="A80">
        <v>20006</v>
      </c>
      <c r="B80" t="s">
        <v>7894</v>
      </c>
    </row>
    <row r="81" spans="1:2" x14ac:dyDescent="0.25">
      <c r="A81">
        <v>20006</v>
      </c>
      <c r="B81" t="s">
        <v>7894</v>
      </c>
    </row>
    <row r="82" spans="1:2" x14ac:dyDescent="0.25">
      <c r="A82">
        <v>20008</v>
      </c>
      <c r="B82" t="s">
        <v>7895</v>
      </c>
    </row>
    <row r="83" spans="1:2" x14ac:dyDescent="0.25">
      <c r="A83">
        <v>20008</v>
      </c>
      <c r="B83" t="s">
        <v>7895</v>
      </c>
    </row>
    <row r="84" spans="1:2" x14ac:dyDescent="0.25">
      <c r="A84">
        <v>20010</v>
      </c>
      <c r="B84" t="s">
        <v>7892</v>
      </c>
    </row>
    <row r="85" spans="1:2" x14ac:dyDescent="0.25">
      <c r="A85">
        <v>20010</v>
      </c>
      <c r="B85" t="s">
        <v>7892</v>
      </c>
    </row>
    <row r="86" spans="1:2" x14ac:dyDescent="0.25">
      <c r="A86">
        <v>20013</v>
      </c>
      <c r="B86" t="s">
        <v>7893</v>
      </c>
    </row>
    <row r="87" spans="1:2" x14ac:dyDescent="0.25">
      <c r="A87">
        <v>20013</v>
      </c>
      <c r="B87" t="s">
        <v>7893</v>
      </c>
    </row>
    <row r="88" spans="1:2" x14ac:dyDescent="0.25">
      <c r="A88">
        <v>20027</v>
      </c>
      <c r="B88" t="s">
        <v>7943</v>
      </c>
    </row>
    <row r="89" spans="1:2" x14ac:dyDescent="0.25">
      <c r="A89">
        <v>20100</v>
      </c>
      <c r="B89" t="s">
        <v>7896</v>
      </c>
    </row>
    <row r="90" spans="1:2" x14ac:dyDescent="0.25">
      <c r="A90">
        <v>20100</v>
      </c>
      <c r="B90" t="s">
        <v>7896</v>
      </c>
    </row>
    <row r="91" spans="1:2" x14ac:dyDescent="0.25">
      <c r="A91">
        <v>20600</v>
      </c>
      <c r="B91" t="s">
        <v>7900</v>
      </c>
    </row>
    <row r="92" spans="1:2" x14ac:dyDescent="0.25">
      <c r="A92">
        <v>20600</v>
      </c>
      <c r="B92" t="s">
        <v>7900</v>
      </c>
    </row>
    <row r="93" spans="1:2" x14ac:dyDescent="0.25">
      <c r="A93">
        <v>22000</v>
      </c>
      <c r="B93" t="s">
        <v>7944</v>
      </c>
    </row>
    <row r="94" spans="1:2" x14ac:dyDescent="0.25">
      <c r="A94">
        <v>50001</v>
      </c>
      <c r="B94" t="s">
        <v>7913</v>
      </c>
    </row>
    <row r="95" spans="1:2" x14ac:dyDescent="0.25">
      <c r="A95">
        <v>50101</v>
      </c>
      <c r="B95" t="s">
        <v>7914</v>
      </c>
    </row>
    <row r="96" spans="1:2" x14ac:dyDescent="0.25">
      <c r="A96">
        <v>50103</v>
      </c>
      <c r="B96" t="s">
        <v>7915</v>
      </c>
    </row>
    <row r="97" spans="1:2" x14ac:dyDescent="0.25">
      <c r="A97">
        <v>50201</v>
      </c>
      <c r="B97" t="s">
        <v>7916</v>
      </c>
    </row>
    <row r="98" spans="1:2" x14ac:dyDescent="0.25">
      <c r="A98">
        <v>50302</v>
      </c>
      <c r="B98" t="s">
        <v>7917</v>
      </c>
    </row>
    <row r="99" spans="1:2" x14ac:dyDescent="0.25">
      <c r="A99">
        <v>50833</v>
      </c>
      <c r="B99" t="s">
        <v>7912</v>
      </c>
    </row>
    <row r="100" spans="1:2" x14ac:dyDescent="0.25">
      <c r="A100">
        <v>91200</v>
      </c>
      <c r="B100" t="s">
        <v>7898</v>
      </c>
    </row>
    <row r="101" spans="1:2" x14ac:dyDescent="0.25">
      <c r="A101">
        <v>12000</v>
      </c>
      <c r="B101" t="s">
        <v>7945</v>
      </c>
    </row>
    <row r="102" spans="1:2" x14ac:dyDescent="0.25">
      <c r="A102">
        <v>21900</v>
      </c>
      <c r="B102" t="s">
        <v>7945</v>
      </c>
    </row>
    <row r="103" spans="1:2" x14ac:dyDescent="0.25">
      <c r="A103">
        <v>21800</v>
      </c>
      <c r="B103" t="s">
        <v>7946</v>
      </c>
    </row>
    <row r="104" spans="1:2" x14ac:dyDescent="0.25">
      <c r="A104">
        <v>22400</v>
      </c>
      <c r="B104" t="s">
        <v>7947</v>
      </c>
    </row>
    <row r="105" spans="1:2" x14ac:dyDescent="0.25">
      <c r="A105">
        <v>21200</v>
      </c>
      <c r="B105" t="s">
        <v>7948</v>
      </c>
    </row>
    <row r="106" spans="1:2" x14ac:dyDescent="0.25">
      <c r="A106">
        <v>21300</v>
      </c>
      <c r="B106" t="s">
        <v>7949</v>
      </c>
    </row>
    <row r="107" spans="1:2" x14ac:dyDescent="0.25">
      <c r="A107">
        <v>21600</v>
      </c>
      <c r="B107" t="s">
        <v>7950</v>
      </c>
    </row>
    <row r="108" spans="1:2" x14ac:dyDescent="0.25">
      <c r="A108">
        <v>20400</v>
      </c>
      <c r="B108" t="s">
        <v>7951</v>
      </c>
    </row>
    <row r="109" spans="1:2" x14ac:dyDescent="0.25">
      <c r="A109">
        <v>20500</v>
      </c>
      <c r="B109" t="s">
        <v>7952</v>
      </c>
    </row>
    <row r="110" spans="1:2" x14ac:dyDescent="0.25">
      <c r="A110">
        <v>20600</v>
      </c>
      <c r="B110" t="s">
        <v>7900</v>
      </c>
    </row>
    <row r="111" spans="1:2" x14ac:dyDescent="0.25">
      <c r="A111">
        <v>99900</v>
      </c>
    </row>
    <row r="112" spans="1:2" x14ac:dyDescent="0.25">
      <c r="A112">
        <v>93000</v>
      </c>
    </row>
    <row r="113" spans="1:1" x14ac:dyDescent="0.25">
      <c r="A113">
        <v>98101</v>
      </c>
    </row>
    <row r="114" spans="1:1" x14ac:dyDescent="0.25">
      <c r="A114">
        <v>22786</v>
      </c>
    </row>
    <row r="115" spans="1:1" x14ac:dyDescent="0.25">
      <c r="A115">
        <v>22749</v>
      </c>
    </row>
    <row r="116" spans="1:1" x14ac:dyDescent="0.25">
      <c r="A116">
        <v>22783</v>
      </c>
    </row>
    <row r="117" spans="1:1" x14ac:dyDescent="0.25">
      <c r="A117">
        <v>22784</v>
      </c>
    </row>
    <row r="118" spans="1:1" x14ac:dyDescent="0.25">
      <c r="A118">
        <v>22779</v>
      </c>
    </row>
    <row r="119" spans="1:1" x14ac:dyDescent="0.25">
      <c r="A119">
        <v>98000</v>
      </c>
    </row>
    <row r="120" spans="1:1" x14ac:dyDescent="0.25">
      <c r="A120">
        <v>98101</v>
      </c>
    </row>
    <row r="121" spans="1:1" x14ac:dyDescent="0.25">
      <c r="A121">
        <v>98102</v>
      </c>
    </row>
    <row r="122" spans="1:1" x14ac:dyDescent="0.25">
      <c r="A122">
        <v>98103</v>
      </c>
    </row>
    <row r="123" spans="1:1" x14ac:dyDescent="0.25">
      <c r="A123">
        <v>98104</v>
      </c>
    </row>
    <row r="124" spans="1:1" x14ac:dyDescent="0.25">
      <c r="A124">
        <v>98105</v>
      </c>
    </row>
    <row r="125" spans="1:1" x14ac:dyDescent="0.25">
      <c r="A125">
        <v>98106</v>
      </c>
    </row>
    <row r="126" spans="1:1" x14ac:dyDescent="0.25">
      <c r="A126">
        <v>98107</v>
      </c>
    </row>
    <row r="127" spans="1:1" x14ac:dyDescent="0.25">
      <c r="A127">
        <v>98108</v>
      </c>
    </row>
    <row r="128" spans="1:1" x14ac:dyDescent="0.25">
      <c r="A128">
        <v>98109</v>
      </c>
    </row>
    <row r="129" spans="1:1" x14ac:dyDescent="0.25">
      <c r="A129">
        <v>98110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F3854"/>
  <sheetViews>
    <sheetView showRowColHeaders="0" topLeftCell="C1" zoomScale="155" zoomScaleNormal="155" workbookViewId="0">
      <pane ySplit="4" topLeftCell="A1743" activePane="bottomLeft" state="frozen"/>
      <selection activeCell="G6" sqref="G6:Q6"/>
      <selection pane="bottomLeft" activeCell="G6" sqref="G6:Q6"/>
    </sheetView>
  </sheetViews>
  <sheetFormatPr defaultRowHeight="11.25" x14ac:dyDescent="0.2"/>
  <cols>
    <col min="1" max="1" width="1.7109375" style="165" customWidth="1"/>
    <col min="2" max="2" width="3" style="165" customWidth="1"/>
    <col min="3" max="3" width="9.42578125" style="165" bestFit="1" customWidth="1"/>
    <col min="4" max="4" width="3" style="165" bestFit="1" customWidth="1"/>
    <col min="5" max="5" width="67.7109375" style="165" bestFit="1" customWidth="1"/>
    <col min="6" max="7" width="3" style="165" customWidth="1"/>
    <col min="8" max="256" width="9.140625" style="165"/>
    <col min="257" max="258" width="3" style="165" customWidth="1"/>
    <col min="259" max="259" width="8" style="165" bestFit="1" customWidth="1"/>
    <col min="260" max="260" width="3" style="165" bestFit="1" customWidth="1"/>
    <col min="261" max="261" width="67.7109375" style="165" bestFit="1" customWidth="1"/>
    <col min="262" max="263" width="3" style="165" customWidth="1"/>
    <col min="264" max="512" width="9.140625" style="165"/>
    <col min="513" max="514" width="3" style="165" customWidth="1"/>
    <col min="515" max="515" width="8" style="165" bestFit="1" customWidth="1"/>
    <col min="516" max="516" width="3" style="165" bestFit="1" customWidth="1"/>
    <col min="517" max="517" width="67.7109375" style="165" bestFit="1" customWidth="1"/>
    <col min="518" max="519" width="3" style="165" customWidth="1"/>
    <col min="520" max="768" width="9.140625" style="165"/>
    <col min="769" max="770" width="3" style="165" customWidth="1"/>
    <col min="771" max="771" width="8" style="165" bestFit="1" customWidth="1"/>
    <col min="772" max="772" width="3" style="165" bestFit="1" customWidth="1"/>
    <col min="773" max="773" width="67.7109375" style="165" bestFit="1" customWidth="1"/>
    <col min="774" max="775" width="3" style="165" customWidth="1"/>
    <col min="776" max="1024" width="9.140625" style="165"/>
    <col min="1025" max="1026" width="3" style="165" customWidth="1"/>
    <col min="1027" max="1027" width="8" style="165" bestFit="1" customWidth="1"/>
    <col min="1028" max="1028" width="3" style="165" bestFit="1" customWidth="1"/>
    <col min="1029" max="1029" width="67.7109375" style="165" bestFit="1" customWidth="1"/>
    <col min="1030" max="1031" width="3" style="165" customWidth="1"/>
    <col min="1032" max="1280" width="9.140625" style="165"/>
    <col min="1281" max="1282" width="3" style="165" customWidth="1"/>
    <col min="1283" max="1283" width="8" style="165" bestFit="1" customWidth="1"/>
    <col min="1284" max="1284" width="3" style="165" bestFit="1" customWidth="1"/>
    <col min="1285" max="1285" width="67.7109375" style="165" bestFit="1" customWidth="1"/>
    <col min="1286" max="1287" width="3" style="165" customWidth="1"/>
    <col min="1288" max="1536" width="9.140625" style="165"/>
    <col min="1537" max="1538" width="3" style="165" customWidth="1"/>
    <col min="1539" max="1539" width="8" style="165" bestFit="1" customWidth="1"/>
    <col min="1540" max="1540" width="3" style="165" bestFit="1" customWidth="1"/>
    <col min="1541" max="1541" width="67.7109375" style="165" bestFit="1" customWidth="1"/>
    <col min="1542" max="1543" width="3" style="165" customWidth="1"/>
    <col min="1544" max="1792" width="9.140625" style="165"/>
    <col min="1793" max="1794" width="3" style="165" customWidth="1"/>
    <col min="1795" max="1795" width="8" style="165" bestFit="1" customWidth="1"/>
    <col min="1796" max="1796" width="3" style="165" bestFit="1" customWidth="1"/>
    <col min="1797" max="1797" width="67.7109375" style="165" bestFit="1" customWidth="1"/>
    <col min="1798" max="1799" width="3" style="165" customWidth="1"/>
    <col min="1800" max="2048" width="9.140625" style="165"/>
    <col min="2049" max="2050" width="3" style="165" customWidth="1"/>
    <col min="2051" max="2051" width="8" style="165" bestFit="1" customWidth="1"/>
    <col min="2052" max="2052" width="3" style="165" bestFit="1" customWidth="1"/>
    <col min="2053" max="2053" width="67.7109375" style="165" bestFit="1" customWidth="1"/>
    <col min="2054" max="2055" width="3" style="165" customWidth="1"/>
    <col min="2056" max="2304" width="9.140625" style="165"/>
    <col min="2305" max="2306" width="3" style="165" customWidth="1"/>
    <col min="2307" max="2307" width="8" style="165" bestFit="1" customWidth="1"/>
    <col min="2308" max="2308" width="3" style="165" bestFit="1" customWidth="1"/>
    <col min="2309" max="2309" width="67.7109375" style="165" bestFit="1" customWidth="1"/>
    <col min="2310" max="2311" width="3" style="165" customWidth="1"/>
    <col min="2312" max="2560" width="9.140625" style="165"/>
    <col min="2561" max="2562" width="3" style="165" customWidth="1"/>
    <col min="2563" max="2563" width="8" style="165" bestFit="1" customWidth="1"/>
    <col min="2564" max="2564" width="3" style="165" bestFit="1" customWidth="1"/>
    <col min="2565" max="2565" width="67.7109375" style="165" bestFit="1" customWidth="1"/>
    <col min="2566" max="2567" width="3" style="165" customWidth="1"/>
    <col min="2568" max="2816" width="9.140625" style="165"/>
    <col min="2817" max="2818" width="3" style="165" customWidth="1"/>
    <col min="2819" max="2819" width="8" style="165" bestFit="1" customWidth="1"/>
    <col min="2820" max="2820" width="3" style="165" bestFit="1" customWidth="1"/>
    <col min="2821" max="2821" width="67.7109375" style="165" bestFit="1" customWidth="1"/>
    <col min="2822" max="2823" width="3" style="165" customWidth="1"/>
    <col min="2824" max="3072" width="9.140625" style="165"/>
    <col min="3073" max="3074" width="3" style="165" customWidth="1"/>
    <col min="3075" max="3075" width="8" style="165" bestFit="1" customWidth="1"/>
    <col min="3076" max="3076" width="3" style="165" bestFit="1" customWidth="1"/>
    <col min="3077" max="3077" width="67.7109375" style="165" bestFit="1" customWidth="1"/>
    <col min="3078" max="3079" width="3" style="165" customWidth="1"/>
    <col min="3080" max="3328" width="9.140625" style="165"/>
    <col min="3329" max="3330" width="3" style="165" customWidth="1"/>
    <col min="3331" max="3331" width="8" style="165" bestFit="1" customWidth="1"/>
    <col min="3332" max="3332" width="3" style="165" bestFit="1" customWidth="1"/>
    <col min="3333" max="3333" width="67.7109375" style="165" bestFit="1" customWidth="1"/>
    <col min="3334" max="3335" width="3" style="165" customWidth="1"/>
    <col min="3336" max="3584" width="9.140625" style="165"/>
    <col min="3585" max="3586" width="3" style="165" customWidth="1"/>
    <col min="3587" max="3587" width="8" style="165" bestFit="1" customWidth="1"/>
    <col min="3588" max="3588" width="3" style="165" bestFit="1" customWidth="1"/>
    <col min="3589" max="3589" width="67.7109375" style="165" bestFit="1" customWidth="1"/>
    <col min="3590" max="3591" width="3" style="165" customWidth="1"/>
    <col min="3592" max="3840" width="9.140625" style="165"/>
    <col min="3841" max="3842" width="3" style="165" customWidth="1"/>
    <col min="3843" max="3843" width="8" style="165" bestFit="1" customWidth="1"/>
    <col min="3844" max="3844" width="3" style="165" bestFit="1" customWidth="1"/>
    <col min="3845" max="3845" width="67.7109375" style="165" bestFit="1" customWidth="1"/>
    <col min="3846" max="3847" width="3" style="165" customWidth="1"/>
    <col min="3848" max="4096" width="9.140625" style="165"/>
    <col min="4097" max="4098" width="3" style="165" customWidth="1"/>
    <col min="4099" max="4099" width="8" style="165" bestFit="1" customWidth="1"/>
    <col min="4100" max="4100" width="3" style="165" bestFit="1" customWidth="1"/>
    <col min="4101" max="4101" width="67.7109375" style="165" bestFit="1" customWidth="1"/>
    <col min="4102" max="4103" width="3" style="165" customWidth="1"/>
    <col min="4104" max="4352" width="9.140625" style="165"/>
    <col min="4353" max="4354" width="3" style="165" customWidth="1"/>
    <col min="4355" max="4355" width="8" style="165" bestFit="1" customWidth="1"/>
    <col min="4356" max="4356" width="3" style="165" bestFit="1" customWidth="1"/>
    <col min="4357" max="4357" width="67.7109375" style="165" bestFit="1" customWidth="1"/>
    <col min="4358" max="4359" width="3" style="165" customWidth="1"/>
    <col min="4360" max="4608" width="9.140625" style="165"/>
    <col min="4609" max="4610" width="3" style="165" customWidth="1"/>
    <col min="4611" max="4611" width="8" style="165" bestFit="1" customWidth="1"/>
    <col min="4612" max="4612" width="3" style="165" bestFit="1" customWidth="1"/>
    <col min="4613" max="4613" width="67.7109375" style="165" bestFit="1" customWidth="1"/>
    <col min="4614" max="4615" width="3" style="165" customWidth="1"/>
    <col min="4616" max="4864" width="9.140625" style="165"/>
    <col min="4865" max="4866" width="3" style="165" customWidth="1"/>
    <col min="4867" max="4867" width="8" style="165" bestFit="1" customWidth="1"/>
    <col min="4868" max="4868" width="3" style="165" bestFit="1" customWidth="1"/>
    <col min="4869" max="4869" width="67.7109375" style="165" bestFit="1" customWidth="1"/>
    <col min="4870" max="4871" width="3" style="165" customWidth="1"/>
    <col min="4872" max="5120" width="9.140625" style="165"/>
    <col min="5121" max="5122" width="3" style="165" customWidth="1"/>
    <col min="5123" max="5123" width="8" style="165" bestFit="1" customWidth="1"/>
    <col min="5124" max="5124" width="3" style="165" bestFit="1" customWidth="1"/>
    <col min="5125" max="5125" width="67.7109375" style="165" bestFit="1" customWidth="1"/>
    <col min="5126" max="5127" width="3" style="165" customWidth="1"/>
    <col min="5128" max="5376" width="9.140625" style="165"/>
    <col min="5377" max="5378" width="3" style="165" customWidth="1"/>
    <col min="5379" max="5379" width="8" style="165" bestFit="1" customWidth="1"/>
    <col min="5380" max="5380" width="3" style="165" bestFit="1" customWidth="1"/>
    <col min="5381" max="5381" width="67.7109375" style="165" bestFit="1" customWidth="1"/>
    <col min="5382" max="5383" width="3" style="165" customWidth="1"/>
    <col min="5384" max="5632" width="9.140625" style="165"/>
    <col min="5633" max="5634" width="3" style="165" customWidth="1"/>
    <col min="5635" max="5635" width="8" style="165" bestFit="1" customWidth="1"/>
    <col min="5636" max="5636" width="3" style="165" bestFit="1" customWidth="1"/>
    <col min="5637" max="5637" width="67.7109375" style="165" bestFit="1" customWidth="1"/>
    <col min="5638" max="5639" width="3" style="165" customWidth="1"/>
    <col min="5640" max="5888" width="9.140625" style="165"/>
    <col min="5889" max="5890" width="3" style="165" customWidth="1"/>
    <col min="5891" max="5891" width="8" style="165" bestFit="1" customWidth="1"/>
    <col min="5892" max="5892" width="3" style="165" bestFit="1" customWidth="1"/>
    <col min="5893" max="5893" width="67.7109375" style="165" bestFit="1" customWidth="1"/>
    <col min="5894" max="5895" width="3" style="165" customWidth="1"/>
    <col min="5896" max="6144" width="9.140625" style="165"/>
    <col min="6145" max="6146" width="3" style="165" customWidth="1"/>
    <col min="6147" max="6147" width="8" style="165" bestFit="1" customWidth="1"/>
    <col min="6148" max="6148" width="3" style="165" bestFit="1" customWidth="1"/>
    <col min="6149" max="6149" width="67.7109375" style="165" bestFit="1" customWidth="1"/>
    <col min="6150" max="6151" width="3" style="165" customWidth="1"/>
    <col min="6152" max="6400" width="9.140625" style="165"/>
    <col min="6401" max="6402" width="3" style="165" customWidth="1"/>
    <col min="6403" max="6403" width="8" style="165" bestFit="1" customWidth="1"/>
    <col min="6404" max="6404" width="3" style="165" bestFit="1" customWidth="1"/>
    <col min="6405" max="6405" width="67.7109375" style="165" bestFit="1" customWidth="1"/>
    <col min="6406" max="6407" width="3" style="165" customWidth="1"/>
    <col min="6408" max="6656" width="9.140625" style="165"/>
    <col min="6657" max="6658" width="3" style="165" customWidth="1"/>
    <col min="6659" max="6659" width="8" style="165" bestFit="1" customWidth="1"/>
    <col min="6660" max="6660" width="3" style="165" bestFit="1" customWidth="1"/>
    <col min="6661" max="6661" width="67.7109375" style="165" bestFit="1" customWidth="1"/>
    <col min="6662" max="6663" width="3" style="165" customWidth="1"/>
    <col min="6664" max="6912" width="9.140625" style="165"/>
    <col min="6913" max="6914" width="3" style="165" customWidth="1"/>
    <col min="6915" max="6915" width="8" style="165" bestFit="1" customWidth="1"/>
    <col min="6916" max="6916" width="3" style="165" bestFit="1" customWidth="1"/>
    <col min="6917" max="6917" width="67.7109375" style="165" bestFit="1" customWidth="1"/>
    <col min="6918" max="6919" width="3" style="165" customWidth="1"/>
    <col min="6920" max="7168" width="9.140625" style="165"/>
    <col min="7169" max="7170" width="3" style="165" customWidth="1"/>
    <col min="7171" max="7171" width="8" style="165" bestFit="1" customWidth="1"/>
    <col min="7172" max="7172" width="3" style="165" bestFit="1" customWidth="1"/>
    <col min="7173" max="7173" width="67.7109375" style="165" bestFit="1" customWidth="1"/>
    <col min="7174" max="7175" width="3" style="165" customWidth="1"/>
    <col min="7176" max="7424" width="9.140625" style="165"/>
    <col min="7425" max="7426" width="3" style="165" customWidth="1"/>
    <col min="7427" max="7427" width="8" style="165" bestFit="1" customWidth="1"/>
    <col min="7428" max="7428" width="3" style="165" bestFit="1" customWidth="1"/>
    <col min="7429" max="7429" width="67.7109375" style="165" bestFit="1" customWidth="1"/>
    <col min="7430" max="7431" width="3" style="165" customWidth="1"/>
    <col min="7432" max="7680" width="9.140625" style="165"/>
    <col min="7681" max="7682" width="3" style="165" customWidth="1"/>
    <col min="7683" max="7683" width="8" style="165" bestFit="1" customWidth="1"/>
    <col min="7684" max="7684" width="3" style="165" bestFit="1" customWidth="1"/>
    <col min="7685" max="7685" width="67.7109375" style="165" bestFit="1" customWidth="1"/>
    <col min="7686" max="7687" width="3" style="165" customWidth="1"/>
    <col min="7688" max="7936" width="9.140625" style="165"/>
    <col min="7937" max="7938" width="3" style="165" customWidth="1"/>
    <col min="7939" max="7939" width="8" style="165" bestFit="1" customWidth="1"/>
    <col min="7940" max="7940" width="3" style="165" bestFit="1" customWidth="1"/>
    <col min="7941" max="7941" width="67.7109375" style="165" bestFit="1" customWidth="1"/>
    <col min="7942" max="7943" width="3" style="165" customWidth="1"/>
    <col min="7944" max="8192" width="9.140625" style="165"/>
    <col min="8193" max="8194" width="3" style="165" customWidth="1"/>
    <col min="8195" max="8195" width="8" style="165" bestFit="1" customWidth="1"/>
    <col min="8196" max="8196" width="3" style="165" bestFit="1" customWidth="1"/>
    <col min="8197" max="8197" width="67.7109375" style="165" bestFit="1" customWidth="1"/>
    <col min="8198" max="8199" width="3" style="165" customWidth="1"/>
    <col min="8200" max="8448" width="9.140625" style="165"/>
    <col min="8449" max="8450" width="3" style="165" customWidth="1"/>
    <col min="8451" max="8451" width="8" style="165" bestFit="1" customWidth="1"/>
    <col min="8452" max="8452" width="3" style="165" bestFit="1" customWidth="1"/>
    <col min="8453" max="8453" width="67.7109375" style="165" bestFit="1" customWidth="1"/>
    <col min="8454" max="8455" width="3" style="165" customWidth="1"/>
    <col min="8456" max="8704" width="9.140625" style="165"/>
    <col min="8705" max="8706" width="3" style="165" customWidth="1"/>
    <col min="8707" max="8707" width="8" style="165" bestFit="1" customWidth="1"/>
    <col min="8708" max="8708" width="3" style="165" bestFit="1" customWidth="1"/>
    <col min="8709" max="8709" width="67.7109375" style="165" bestFit="1" customWidth="1"/>
    <col min="8710" max="8711" width="3" style="165" customWidth="1"/>
    <col min="8712" max="8960" width="9.140625" style="165"/>
    <col min="8961" max="8962" width="3" style="165" customWidth="1"/>
    <col min="8963" max="8963" width="8" style="165" bestFit="1" customWidth="1"/>
    <col min="8964" max="8964" width="3" style="165" bestFit="1" customWidth="1"/>
    <col min="8965" max="8965" width="67.7109375" style="165" bestFit="1" customWidth="1"/>
    <col min="8966" max="8967" width="3" style="165" customWidth="1"/>
    <col min="8968" max="9216" width="9.140625" style="165"/>
    <col min="9217" max="9218" width="3" style="165" customWidth="1"/>
    <col min="9219" max="9219" width="8" style="165" bestFit="1" customWidth="1"/>
    <col min="9220" max="9220" width="3" style="165" bestFit="1" customWidth="1"/>
    <col min="9221" max="9221" width="67.7109375" style="165" bestFit="1" customWidth="1"/>
    <col min="9222" max="9223" width="3" style="165" customWidth="1"/>
    <col min="9224" max="9472" width="9.140625" style="165"/>
    <col min="9473" max="9474" width="3" style="165" customWidth="1"/>
    <col min="9475" max="9475" width="8" style="165" bestFit="1" customWidth="1"/>
    <col min="9476" max="9476" width="3" style="165" bestFit="1" customWidth="1"/>
    <col min="9477" max="9477" width="67.7109375" style="165" bestFit="1" customWidth="1"/>
    <col min="9478" max="9479" width="3" style="165" customWidth="1"/>
    <col min="9480" max="9728" width="9.140625" style="165"/>
    <col min="9729" max="9730" width="3" style="165" customWidth="1"/>
    <col min="9731" max="9731" width="8" style="165" bestFit="1" customWidth="1"/>
    <col min="9732" max="9732" width="3" style="165" bestFit="1" customWidth="1"/>
    <col min="9733" max="9733" width="67.7109375" style="165" bestFit="1" customWidth="1"/>
    <col min="9734" max="9735" width="3" style="165" customWidth="1"/>
    <col min="9736" max="9984" width="9.140625" style="165"/>
    <col min="9985" max="9986" width="3" style="165" customWidth="1"/>
    <col min="9987" max="9987" width="8" style="165" bestFit="1" customWidth="1"/>
    <col min="9988" max="9988" width="3" style="165" bestFit="1" customWidth="1"/>
    <col min="9989" max="9989" width="67.7109375" style="165" bestFit="1" customWidth="1"/>
    <col min="9990" max="9991" width="3" style="165" customWidth="1"/>
    <col min="9992" max="10240" width="9.140625" style="165"/>
    <col min="10241" max="10242" width="3" style="165" customWidth="1"/>
    <col min="10243" max="10243" width="8" style="165" bestFit="1" customWidth="1"/>
    <col min="10244" max="10244" width="3" style="165" bestFit="1" customWidth="1"/>
    <col min="10245" max="10245" width="67.7109375" style="165" bestFit="1" customWidth="1"/>
    <col min="10246" max="10247" width="3" style="165" customWidth="1"/>
    <col min="10248" max="10496" width="9.140625" style="165"/>
    <col min="10497" max="10498" width="3" style="165" customWidth="1"/>
    <col min="10499" max="10499" width="8" style="165" bestFit="1" customWidth="1"/>
    <col min="10500" max="10500" width="3" style="165" bestFit="1" customWidth="1"/>
    <col min="10501" max="10501" width="67.7109375" style="165" bestFit="1" customWidth="1"/>
    <col min="10502" max="10503" width="3" style="165" customWidth="1"/>
    <col min="10504" max="10752" width="9.140625" style="165"/>
    <col min="10753" max="10754" width="3" style="165" customWidth="1"/>
    <col min="10755" max="10755" width="8" style="165" bestFit="1" customWidth="1"/>
    <col min="10756" max="10756" width="3" style="165" bestFit="1" customWidth="1"/>
    <col min="10757" max="10757" width="67.7109375" style="165" bestFit="1" customWidth="1"/>
    <col min="10758" max="10759" width="3" style="165" customWidth="1"/>
    <col min="10760" max="11008" width="9.140625" style="165"/>
    <col min="11009" max="11010" width="3" style="165" customWidth="1"/>
    <col min="11011" max="11011" width="8" style="165" bestFit="1" customWidth="1"/>
    <col min="11012" max="11012" width="3" style="165" bestFit="1" customWidth="1"/>
    <col min="11013" max="11013" width="67.7109375" style="165" bestFit="1" customWidth="1"/>
    <col min="11014" max="11015" width="3" style="165" customWidth="1"/>
    <col min="11016" max="11264" width="9.140625" style="165"/>
    <col min="11265" max="11266" width="3" style="165" customWidth="1"/>
    <col min="11267" max="11267" width="8" style="165" bestFit="1" customWidth="1"/>
    <col min="11268" max="11268" width="3" style="165" bestFit="1" customWidth="1"/>
    <col min="11269" max="11269" width="67.7109375" style="165" bestFit="1" customWidth="1"/>
    <col min="11270" max="11271" width="3" style="165" customWidth="1"/>
    <col min="11272" max="11520" width="9.140625" style="165"/>
    <col min="11521" max="11522" width="3" style="165" customWidth="1"/>
    <col min="11523" max="11523" width="8" style="165" bestFit="1" customWidth="1"/>
    <col min="11524" max="11524" width="3" style="165" bestFit="1" customWidth="1"/>
    <col min="11525" max="11525" width="67.7109375" style="165" bestFit="1" customWidth="1"/>
    <col min="11526" max="11527" width="3" style="165" customWidth="1"/>
    <col min="11528" max="11776" width="9.140625" style="165"/>
    <col min="11777" max="11778" width="3" style="165" customWidth="1"/>
    <col min="11779" max="11779" width="8" style="165" bestFit="1" customWidth="1"/>
    <col min="11780" max="11780" width="3" style="165" bestFit="1" customWidth="1"/>
    <col min="11781" max="11781" width="67.7109375" style="165" bestFit="1" customWidth="1"/>
    <col min="11782" max="11783" width="3" style="165" customWidth="1"/>
    <col min="11784" max="12032" width="9.140625" style="165"/>
    <col min="12033" max="12034" width="3" style="165" customWidth="1"/>
    <col min="12035" max="12035" width="8" style="165" bestFit="1" customWidth="1"/>
    <col min="12036" max="12036" width="3" style="165" bestFit="1" customWidth="1"/>
    <col min="12037" max="12037" width="67.7109375" style="165" bestFit="1" customWidth="1"/>
    <col min="12038" max="12039" width="3" style="165" customWidth="1"/>
    <col min="12040" max="12288" width="9.140625" style="165"/>
    <col min="12289" max="12290" width="3" style="165" customWidth="1"/>
    <col min="12291" max="12291" width="8" style="165" bestFit="1" customWidth="1"/>
    <col min="12292" max="12292" width="3" style="165" bestFit="1" customWidth="1"/>
    <col min="12293" max="12293" width="67.7109375" style="165" bestFit="1" customWidth="1"/>
    <col min="12294" max="12295" width="3" style="165" customWidth="1"/>
    <col min="12296" max="12544" width="9.140625" style="165"/>
    <col min="12545" max="12546" width="3" style="165" customWidth="1"/>
    <col min="12547" max="12547" width="8" style="165" bestFit="1" customWidth="1"/>
    <col min="12548" max="12548" width="3" style="165" bestFit="1" customWidth="1"/>
    <col min="12549" max="12549" width="67.7109375" style="165" bestFit="1" customWidth="1"/>
    <col min="12550" max="12551" width="3" style="165" customWidth="1"/>
    <col min="12552" max="12800" width="9.140625" style="165"/>
    <col min="12801" max="12802" width="3" style="165" customWidth="1"/>
    <col min="12803" max="12803" width="8" style="165" bestFit="1" customWidth="1"/>
    <col min="12804" max="12804" width="3" style="165" bestFit="1" customWidth="1"/>
    <col min="12805" max="12805" width="67.7109375" style="165" bestFit="1" customWidth="1"/>
    <col min="12806" max="12807" width="3" style="165" customWidth="1"/>
    <col min="12808" max="13056" width="9.140625" style="165"/>
    <col min="13057" max="13058" width="3" style="165" customWidth="1"/>
    <col min="13059" max="13059" width="8" style="165" bestFit="1" customWidth="1"/>
    <col min="13060" max="13060" width="3" style="165" bestFit="1" customWidth="1"/>
    <col min="13061" max="13061" width="67.7109375" style="165" bestFit="1" customWidth="1"/>
    <col min="13062" max="13063" width="3" style="165" customWidth="1"/>
    <col min="13064" max="13312" width="9.140625" style="165"/>
    <col min="13313" max="13314" width="3" style="165" customWidth="1"/>
    <col min="13315" max="13315" width="8" style="165" bestFit="1" customWidth="1"/>
    <col min="13316" max="13316" width="3" style="165" bestFit="1" customWidth="1"/>
    <col min="13317" max="13317" width="67.7109375" style="165" bestFit="1" customWidth="1"/>
    <col min="13318" max="13319" width="3" style="165" customWidth="1"/>
    <col min="13320" max="13568" width="9.140625" style="165"/>
    <col min="13569" max="13570" width="3" style="165" customWidth="1"/>
    <col min="13571" max="13571" width="8" style="165" bestFit="1" customWidth="1"/>
    <col min="13572" max="13572" width="3" style="165" bestFit="1" customWidth="1"/>
    <col min="13573" max="13573" width="67.7109375" style="165" bestFit="1" customWidth="1"/>
    <col min="13574" max="13575" width="3" style="165" customWidth="1"/>
    <col min="13576" max="13824" width="9.140625" style="165"/>
    <col min="13825" max="13826" width="3" style="165" customWidth="1"/>
    <col min="13827" max="13827" width="8" style="165" bestFit="1" customWidth="1"/>
    <col min="13828" max="13828" width="3" style="165" bestFit="1" customWidth="1"/>
    <col min="13829" max="13829" width="67.7109375" style="165" bestFit="1" customWidth="1"/>
    <col min="13830" max="13831" width="3" style="165" customWidth="1"/>
    <col min="13832" max="14080" width="9.140625" style="165"/>
    <col min="14081" max="14082" width="3" style="165" customWidth="1"/>
    <col min="14083" max="14083" width="8" style="165" bestFit="1" customWidth="1"/>
    <col min="14084" max="14084" width="3" style="165" bestFit="1" customWidth="1"/>
    <col min="14085" max="14085" width="67.7109375" style="165" bestFit="1" customWidth="1"/>
    <col min="14086" max="14087" width="3" style="165" customWidth="1"/>
    <col min="14088" max="14336" width="9.140625" style="165"/>
    <col min="14337" max="14338" width="3" style="165" customWidth="1"/>
    <col min="14339" max="14339" width="8" style="165" bestFit="1" customWidth="1"/>
    <col min="14340" max="14340" width="3" style="165" bestFit="1" customWidth="1"/>
    <col min="14341" max="14341" width="67.7109375" style="165" bestFit="1" customWidth="1"/>
    <col min="14342" max="14343" width="3" style="165" customWidth="1"/>
    <col min="14344" max="14592" width="9.140625" style="165"/>
    <col min="14593" max="14594" width="3" style="165" customWidth="1"/>
    <col min="14595" max="14595" width="8" style="165" bestFit="1" customWidth="1"/>
    <col min="14596" max="14596" width="3" style="165" bestFit="1" customWidth="1"/>
    <col min="14597" max="14597" width="67.7109375" style="165" bestFit="1" customWidth="1"/>
    <col min="14598" max="14599" width="3" style="165" customWidth="1"/>
    <col min="14600" max="14848" width="9.140625" style="165"/>
    <col min="14849" max="14850" width="3" style="165" customWidth="1"/>
    <col min="14851" max="14851" width="8" style="165" bestFit="1" customWidth="1"/>
    <col min="14852" max="14852" width="3" style="165" bestFit="1" customWidth="1"/>
    <col min="14853" max="14853" width="67.7109375" style="165" bestFit="1" customWidth="1"/>
    <col min="14854" max="14855" width="3" style="165" customWidth="1"/>
    <col min="14856" max="15104" width="9.140625" style="165"/>
    <col min="15105" max="15106" width="3" style="165" customWidth="1"/>
    <col min="15107" max="15107" width="8" style="165" bestFit="1" customWidth="1"/>
    <col min="15108" max="15108" width="3" style="165" bestFit="1" customWidth="1"/>
    <col min="15109" max="15109" width="67.7109375" style="165" bestFit="1" customWidth="1"/>
    <col min="15110" max="15111" width="3" style="165" customWidth="1"/>
    <col min="15112" max="15360" width="9.140625" style="165"/>
    <col min="15361" max="15362" width="3" style="165" customWidth="1"/>
    <col min="15363" max="15363" width="8" style="165" bestFit="1" customWidth="1"/>
    <col min="15364" max="15364" width="3" style="165" bestFit="1" customWidth="1"/>
    <col min="15365" max="15365" width="67.7109375" style="165" bestFit="1" customWidth="1"/>
    <col min="15366" max="15367" width="3" style="165" customWidth="1"/>
    <col min="15368" max="15616" width="9.140625" style="165"/>
    <col min="15617" max="15618" width="3" style="165" customWidth="1"/>
    <col min="15619" max="15619" width="8" style="165" bestFit="1" customWidth="1"/>
    <col min="15620" max="15620" width="3" style="165" bestFit="1" customWidth="1"/>
    <col min="15621" max="15621" width="67.7109375" style="165" bestFit="1" customWidth="1"/>
    <col min="15622" max="15623" width="3" style="165" customWidth="1"/>
    <col min="15624" max="15872" width="9.140625" style="165"/>
    <col min="15873" max="15874" width="3" style="165" customWidth="1"/>
    <col min="15875" max="15875" width="8" style="165" bestFit="1" customWidth="1"/>
    <col min="15876" max="15876" width="3" style="165" bestFit="1" customWidth="1"/>
    <col min="15877" max="15877" width="67.7109375" style="165" bestFit="1" customWidth="1"/>
    <col min="15878" max="15879" width="3" style="165" customWidth="1"/>
    <col min="15880" max="16128" width="9.140625" style="165"/>
    <col min="16129" max="16130" width="3" style="165" customWidth="1"/>
    <col min="16131" max="16131" width="8" style="165" bestFit="1" customWidth="1"/>
    <col min="16132" max="16132" width="3" style="165" bestFit="1" customWidth="1"/>
    <col min="16133" max="16133" width="67.7109375" style="165" bestFit="1" customWidth="1"/>
    <col min="16134" max="16135" width="3" style="165" customWidth="1"/>
    <col min="16136" max="16384" width="9.140625" style="165"/>
  </cols>
  <sheetData>
    <row r="2" spans="2:6" ht="12" thickBot="1" x14ac:dyDescent="0.25"/>
    <row r="3" spans="2:6" ht="15" customHeight="1" thickTop="1" x14ac:dyDescent="0.2">
      <c r="B3" s="166"/>
      <c r="C3" s="167"/>
      <c r="D3" s="167"/>
      <c r="E3" s="167"/>
      <c r="F3" s="168"/>
    </row>
    <row r="4" spans="2:6" ht="15" x14ac:dyDescent="0.25">
      <c r="B4" s="169"/>
      <c r="C4" s="673" t="s">
        <v>409</v>
      </c>
      <c r="D4" s="674" t="s">
        <v>410</v>
      </c>
      <c r="E4" s="675" t="s">
        <v>411</v>
      </c>
      <c r="F4" s="170"/>
    </row>
    <row r="5" spans="2:6" ht="15" x14ac:dyDescent="0.25">
      <c r="B5" s="169"/>
      <c r="C5" s="676">
        <v>3331988</v>
      </c>
      <c r="D5" s="677">
        <v>0</v>
      </c>
      <c r="E5" s="678" t="s">
        <v>8217</v>
      </c>
      <c r="F5" s="170"/>
    </row>
    <row r="6" spans="2:6" ht="15" x14ac:dyDescent="0.25">
      <c r="B6" s="169"/>
      <c r="C6" s="679">
        <v>3283292</v>
      </c>
      <c r="D6" s="677">
        <v>3</v>
      </c>
      <c r="E6" s="678" t="s">
        <v>8217</v>
      </c>
      <c r="F6" s="170"/>
    </row>
    <row r="7" spans="2:6" ht="15" x14ac:dyDescent="0.25">
      <c r="B7" s="169"/>
      <c r="C7" s="679">
        <v>3054679</v>
      </c>
      <c r="D7" s="677">
        <v>6</v>
      </c>
      <c r="E7" s="678" t="s">
        <v>412</v>
      </c>
      <c r="F7" s="170"/>
    </row>
    <row r="8" spans="2:6" ht="15" x14ac:dyDescent="0.25">
      <c r="B8" s="169"/>
      <c r="C8" s="679">
        <v>3100083</v>
      </c>
      <c r="D8" s="677">
        <v>5</v>
      </c>
      <c r="E8" s="678" t="s">
        <v>413</v>
      </c>
      <c r="F8" s="170"/>
    </row>
    <row r="9" spans="2:6" ht="15" x14ac:dyDescent="0.25">
      <c r="B9" s="169"/>
      <c r="C9" s="679">
        <v>3046979</v>
      </c>
      <c r="D9" s="677">
        <v>1</v>
      </c>
      <c r="E9" s="678" t="s">
        <v>414</v>
      </c>
      <c r="F9" s="170"/>
    </row>
    <row r="10" spans="2:6" ht="15" x14ac:dyDescent="0.25">
      <c r="B10" s="169"/>
      <c r="C10" s="679">
        <v>3046980</v>
      </c>
      <c r="D10" s="677">
        <v>5</v>
      </c>
      <c r="E10" s="678" t="s">
        <v>415</v>
      </c>
      <c r="F10" s="170"/>
    </row>
    <row r="11" spans="2:6" ht="15" x14ac:dyDescent="0.25">
      <c r="B11" s="169"/>
      <c r="C11" s="679">
        <v>3046981</v>
      </c>
      <c r="D11" s="677">
        <v>3</v>
      </c>
      <c r="E11" s="678" t="s">
        <v>416</v>
      </c>
      <c r="F11" s="170"/>
    </row>
    <row r="12" spans="2:6" ht="15" x14ac:dyDescent="0.25">
      <c r="B12" s="169"/>
      <c r="C12" s="679">
        <v>3046982</v>
      </c>
      <c r="D12" s="677">
        <v>1</v>
      </c>
      <c r="E12" s="678" t="s">
        <v>417</v>
      </c>
      <c r="F12" s="170"/>
    </row>
    <row r="13" spans="2:6" ht="15" x14ac:dyDescent="0.25">
      <c r="B13" s="169"/>
      <c r="C13" s="679">
        <v>3046983</v>
      </c>
      <c r="D13" s="677">
        <v>0</v>
      </c>
      <c r="E13" s="678" t="s">
        <v>418</v>
      </c>
      <c r="F13" s="170"/>
    </row>
    <row r="14" spans="2:6" ht="15" x14ac:dyDescent="0.25">
      <c r="B14" s="169"/>
      <c r="C14" s="679">
        <v>3075027</v>
      </c>
      <c r="D14" s="677">
        <v>0</v>
      </c>
      <c r="E14" s="678" t="s">
        <v>419</v>
      </c>
      <c r="F14" s="170"/>
    </row>
    <row r="15" spans="2:6" ht="15" x14ac:dyDescent="0.25">
      <c r="B15" s="169"/>
      <c r="C15" s="679">
        <v>3046984</v>
      </c>
      <c r="D15" s="677">
        <v>8</v>
      </c>
      <c r="E15" s="678" t="s">
        <v>420</v>
      </c>
      <c r="F15" s="170"/>
    </row>
    <row r="16" spans="2:6" ht="15" x14ac:dyDescent="0.25">
      <c r="B16" s="169"/>
      <c r="C16" s="679">
        <v>3103117</v>
      </c>
      <c r="D16" s="677">
        <v>0</v>
      </c>
      <c r="E16" s="678" t="s">
        <v>421</v>
      </c>
      <c r="F16" s="170"/>
    </row>
    <row r="17" spans="2:6" ht="15" x14ac:dyDescent="0.25">
      <c r="B17" s="169"/>
      <c r="C17" s="679">
        <v>3114277</v>
      </c>
      <c r="D17" s="677">
        <v>0</v>
      </c>
      <c r="E17" s="678" t="s">
        <v>422</v>
      </c>
      <c r="F17" s="170"/>
    </row>
    <row r="18" spans="2:6" ht="15" x14ac:dyDescent="0.25">
      <c r="B18" s="169"/>
      <c r="C18" s="679">
        <v>3093786</v>
      </c>
      <c r="D18" s="677">
        <v>8</v>
      </c>
      <c r="E18" s="678" t="s">
        <v>423</v>
      </c>
      <c r="F18" s="170"/>
    </row>
    <row r="19" spans="2:6" ht="15" x14ac:dyDescent="0.25">
      <c r="B19" s="169"/>
      <c r="C19" s="679">
        <v>3162127</v>
      </c>
      <c r="D19" s="677">
        <v>9</v>
      </c>
      <c r="E19" s="678" t="s">
        <v>424</v>
      </c>
      <c r="F19" s="170"/>
    </row>
    <row r="20" spans="2:6" ht="15" x14ac:dyDescent="0.25">
      <c r="B20" s="169"/>
      <c r="C20" s="679">
        <v>3046985</v>
      </c>
      <c r="D20" s="677">
        <v>6</v>
      </c>
      <c r="E20" s="678" t="s">
        <v>425</v>
      </c>
      <c r="F20" s="170"/>
    </row>
    <row r="21" spans="2:6" ht="15" x14ac:dyDescent="0.25">
      <c r="B21" s="169"/>
      <c r="C21" s="679">
        <v>3046986</v>
      </c>
      <c r="D21" s="677">
        <v>4</v>
      </c>
      <c r="E21" s="678" t="s">
        <v>426</v>
      </c>
      <c r="F21" s="170"/>
    </row>
    <row r="22" spans="2:6" ht="15" x14ac:dyDescent="0.25">
      <c r="B22" s="169"/>
      <c r="C22" s="679">
        <v>3046987</v>
      </c>
      <c r="D22" s="677">
        <v>2</v>
      </c>
      <c r="E22" s="678" t="s">
        <v>427</v>
      </c>
      <c r="F22" s="170"/>
    </row>
    <row r="23" spans="2:6" ht="15" x14ac:dyDescent="0.25">
      <c r="B23" s="169"/>
      <c r="C23" s="679">
        <v>3046988</v>
      </c>
      <c r="D23" s="677">
        <v>1</v>
      </c>
      <c r="E23" s="678" t="s">
        <v>428</v>
      </c>
      <c r="F23" s="170"/>
    </row>
    <row r="24" spans="2:6" ht="15" x14ac:dyDescent="0.25">
      <c r="B24" s="169"/>
      <c r="C24" s="679">
        <v>3046989</v>
      </c>
      <c r="D24" s="677">
        <v>9</v>
      </c>
      <c r="E24" s="678" t="s">
        <v>429</v>
      </c>
      <c r="F24" s="170"/>
    </row>
    <row r="25" spans="2:6" ht="15" x14ac:dyDescent="0.25">
      <c r="B25" s="169"/>
      <c r="C25" s="679">
        <v>3046990</v>
      </c>
      <c r="D25" s="677">
        <v>2</v>
      </c>
      <c r="E25" s="678" t="s">
        <v>430</v>
      </c>
      <c r="F25" s="170"/>
    </row>
    <row r="26" spans="2:6" ht="15" x14ac:dyDescent="0.25">
      <c r="B26" s="169"/>
      <c r="C26" s="679">
        <v>3176461</v>
      </c>
      <c r="D26" s="677">
        <v>4</v>
      </c>
      <c r="E26" s="678" t="s">
        <v>431</v>
      </c>
      <c r="F26" s="170"/>
    </row>
    <row r="27" spans="2:6" ht="15" x14ac:dyDescent="0.25">
      <c r="B27" s="169"/>
      <c r="C27" s="679">
        <v>3046991</v>
      </c>
      <c r="D27" s="677">
        <v>1</v>
      </c>
      <c r="E27" s="678" t="s">
        <v>432</v>
      </c>
      <c r="F27" s="170"/>
    </row>
    <row r="28" spans="2:6" ht="15" x14ac:dyDescent="0.25">
      <c r="B28" s="169"/>
      <c r="C28" s="679">
        <v>3046992</v>
      </c>
      <c r="D28" s="677">
        <v>9</v>
      </c>
      <c r="E28" s="678" t="s">
        <v>433</v>
      </c>
      <c r="F28" s="170"/>
    </row>
    <row r="29" spans="2:6" ht="15" x14ac:dyDescent="0.25">
      <c r="B29" s="169"/>
      <c r="C29" s="679">
        <v>3046993</v>
      </c>
      <c r="D29" s="677">
        <v>7</v>
      </c>
      <c r="E29" s="678" t="s">
        <v>434</v>
      </c>
      <c r="F29" s="170"/>
    </row>
    <row r="30" spans="2:6" ht="15" x14ac:dyDescent="0.25">
      <c r="B30" s="169"/>
      <c r="C30" s="679">
        <v>3046994</v>
      </c>
      <c r="D30" s="677">
        <v>5</v>
      </c>
      <c r="E30" s="678" t="s">
        <v>435</v>
      </c>
      <c r="F30" s="170"/>
    </row>
    <row r="31" spans="2:6" ht="15" x14ac:dyDescent="0.25">
      <c r="B31" s="169"/>
      <c r="C31" s="679">
        <v>3226819</v>
      </c>
      <c r="D31" s="677">
        <v>0</v>
      </c>
      <c r="E31" s="678" t="s">
        <v>8218</v>
      </c>
      <c r="F31" s="170"/>
    </row>
    <row r="32" spans="2:6" ht="15" x14ac:dyDescent="0.25">
      <c r="B32" s="169"/>
      <c r="C32" s="679">
        <v>3008716</v>
      </c>
      <c r="D32" s="677">
        <v>3</v>
      </c>
      <c r="E32" s="678" t="s">
        <v>436</v>
      </c>
      <c r="F32" s="170"/>
    </row>
    <row r="33" spans="2:6" ht="15" x14ac:dyDescent="0.25">
      <c r="B33" s="169"/>
      <c r="C33" s="679">
        <v>3249595</v>
      </c>
      <c r="D33" s="677">
        <v>1</v>
      </c>
      <c r="E33" s="678" t="s">
        <v>8219</v>
      </c>
      <c r="F33" s="170"/>
    </row>
    <row r="34" spans="2:6" ht="15" x14ac:dyDescent="0.25">
      <c r="B34" s="169"/>
      <c r="C34" s="679">
        <v>3046995</v>
      </c>
      <c r="D34" s="677">
        <v>3</v>
      </c>
      <c r="E34" s="678" t="s">
        <v>437</v>
      </c>
      <c r="F34" s="170"/>
    </row>
    <row r="35" spans="2:6" ht="15" x14ac:dyDescent="0.25">
      <c r="B35" s="169"/>
      <c r="C35" s="679">
        <v>3046996</v>
      </c>
      <c r="D35" s="677">
        <v>1</v>
      </c>
      <c r="E35" s="678" t="s">
        <v>438</v>
      </c>
      <c r="F35" s="170"/>
    </row>
    <row r="36" spans="2:6" ht="15" x14ac:dyDescent="0.25">
      <c r="B36" s="169"/>
      <c r="C36" s="679">
        <v>3046997</v>
      </c>
      <c r="D36" s="677">
        <v>0</v>
      </c>
      <c r="E36" s="678" t="s">
        <v>439</v>
      </c>
      <c r="F36" s="170"/>
    </row>
    <row r="37" spans="2:6" ht="15" x14ac:dyDescent="0.25">
      <c r="B37" s="169"/>
      <c r="C37" s="679">
        <v>3046998</v>
      </c>
      <c r="D37" s="677">
        <v>8</v>
      </c>
      <c r="E37" s="678" t="s">
        <v>440</v>
      </c>
      <c r="F37" s="170"/>
    </row>
    <row r="38" spans="2:6" ht="15" x14ac:dyDescent="0.25">
      <c r="B38" s="169"/>
      <c r="C38" s="679">
        <v>3131888</v>
      </c>
      <c r="D38" s="677">
        <v>6</v>
      </c>
      <c r="E38" s="678" t="s">
        <v>441</v>
      </c>
      <c r="F38" s="170"/>
    </row>
    <row r="39" spans="2:6" ht="15" x14ac:dyDescent="0.25">
      <c r="B39" s="169"/>
      <c r="C39" s="679">
        <v>3212281</v>
      </c>
      <c r="D39" s="677">
        <v>1</v>
      </c>
      <c r="E39" s="678" t="s">
        <v>8220</v>
      </c>
      <c r="F39" s="170"/>
    </row>
    <row r="40" spans="2:6" ht="15" x14ac:dyDescent="0.25">
      <c r="B40" s="169"/>
      <c r="C40" s="679">
        <v>3158416</v>
      </c>
      <c r="D40" s="677">
        <v>1</v>
      </c>
      <c r="E40" s="678" t="s">
        <v>442</v>
      </c>
      <c r="F40" s="170"/>
    </row>
    <row r="41" spans="2:6" ht="15" x14ac:dyDescent="0.25">
      <c r="B41" s="169"/>
      <c r="C41" s="679">
        <v>3179444</v>
      </c>
      <c r="D41" s="677">
        <v>1</v>
      </c>
      <c r="E41" s="678" t="s">
        <v>443</v>
      </c>
      <c r="F41" s="170"/>
    </row>
    <row r="42" spans="2:6" ht="15" x14ac:dyDescent="0.25">
      <c r="B42" s="169"/>
      <c r="C42" s="679">
        <v>3131885</v>
      </c>
      <c r="D42" s="677">
        <v>1</v>
      </c>
      <c r="E42" s="678" t="s">
        <v>444</v>
      </c>
      <c r="F42" s="170"/>
    </row>
    <row r="43" spans="2:6" ht="15" x14ac:dyDescent="0.25">
      <c r="B43" s="169"/>
      <c r="C43" s="679">
        <v>3158317</v>
      </c>
      <c r="D43" s="677">
        <v>2</v>
      </c>
      <c r="E43" s="678" t="s">
        <v>445</v>
      </c>
      <c r="F43" s="170"/>
    </row>
    <row r="44" spans="2:6" ht="15" x14ac:dyDescent="0.25">
      <c r="B44" s="169"/>
      <c r="C44" s="679">
        <v>3140435</v>
      </c>
      <c r="D44" s="677">
        <v>9</v>
      </c>
      <c r="E44" s="678" t="s">
        <v>446</v>
      </c>
      <c r="F44" s="170"/>
    </row>
    <row r="45" spans="2:6" ht="15" x14ac:dyDescent="0.25">
      <c r="B45" s="169"/>
      <c r="C45" s="679">
        <v>3071996</v>
      </c>
      <c r="D45" s="677">
        <v>8</v>
      </c>
      <c r="E45" s="678" t="s">
        <v>447</v>
      </c>
      <c r="F45" s="170"/>
    </row>
    <row r="46" spans="2:6" ht="15" x14ac:dyDescent="0.25">
      <c r="B46" s="169"/>
      <c r="C46" s="679">
        <v>3076264</v>
      </c>
      <c r="D46" s="677">
        <v>2</v>
      </c>
      <c r="E46" s="678" t="s">
        <v>448</v>
      </c>
      <c r="F46" s="170"/>
    </row>
    <row r="47" spans="2:6" ht="15" x14ac:dyDescent="0.25">
      <c r="B47" s="169"/>
      <c r="C47" s="679">
        <v>3074357</v>
      </c>
      <c r="D47" s="677">
        <v>5</v>
      </c>
      <c r="E47" s="678" t="s">
        <v>449</v>
      </c>
      <c r="F47" s="170"/>
    </row>
    <row r="48" spans="2:6" ht="15" x14ac:dyDescent="0.25">
      <c r="B48" s="169"/>
      <c r="C48" s="679">
        <v>3088304</v>
      </c>
      <c r="D48" s="677">
        <v>1</v>
      </c>
      <c r="E48" s="678" t="s">
        <v>450</v>
      </c>
      <c r="F48" s="170"/>
    </row>
    <row r="49" spans="2:6" ht="15" x14ac:dyDescent="0.25">
      <c r="B49" s="169"/>
      <c r="C49" s="679">
        <v>3078270</v>
      </c>
      <c r="D49" s="677">
        <v>8</v>
      </c>
      <c r="E49" s="678" t="s">
        <v>451</v>
      </c>
      <c r="F49" s="170"/>
    </row>
    <row r="50" spans="2:6" ht="15" x14ac:dyDescent="0.25">
      <c r="B50" s="169"/>
      <c r="C50" s="679">
        <v>3078269</v>
      </c>
      <c r="D50" s="677">
        <v>4</v>
      </c>
      <c r="E50" s="678" t="s">
        <v>452</v>
      </c>
      <c r="F50" s="170"/>
    </row>
    <row r="51" spans="2:6" ht="15" x14ac:dyDescent="0.25">
      <c r="B51" s="169"/>
      <c r="C51" s="679">
        <v>3075252</v>
      </c>
      <c r="D51" s="677">
        <v>3</v>
      </c>
      <c r="E51" s="678" t="s">
        <v>453</v>
      </c>
      <c r="F51" s="170"/>
    </row>
    <row r="52" spans="2:6" ht="15" x14ac:dyDescent="0.25">
      <c r="B52" s="169"/>
      <c r="C52" s="679">
        <v>3237322</v>
      </c>
      <c r="D52" s="677">
        <v>8</v>
      </c>
      <c r="E52" s="678" t="s">
        <v>8221</v>
      </c>
      <c r="F52" s="170"/>
    </row>
    <row r="53" spans="2:6" ht="15" x14ac:dyDescent="0.25">
      <c r="B53" s="169"/>
      <c r="C53" s="679">
        <v>3298388</v>
      </c>
      <c r="D53" s="677">
        <v>3</v>
      </c>
      <c r="E53" s="678" t="s">
        <v>8222</v>
      </c>
      <c r="F53" s="170"/>
    </row>
    <row r="54" spans="2:6" ht="15" x14ac:dyDescent="0.25">
      <c r="B54" s="169"/>
      <c r="C54" s="679">
        <v>2961950</v>
      </c>
      <c r="D54" s="677">
        <v>5</v>
      </c>
      <c r="E54" s="678" t="s">
        <v>454</v>
      </c>
      <c r="F54" s="170"/>
    </row>
    <row r="55" spans="2:6" ht="15" x14ac:dyDescent="0.25">
      <c r="B55" s="169"/>
      <c r="C55" s="679">
        <v>3076293</v>
      </c>
      <c r="D55" s="677">
        <v>6</v>
      </c>
      <c r="E55" s="678" t="s">
        <v>455</v>
      </c>
      <c r="F55" s="170"/>
    </row>
    <row r="56" spans="2:6" ht="15" x14ac:dyDescent="0.25">
      <c r="B56" s="169"/>
      <c r="C56" s="679">
        <v>3100650</v>
      </c>
      <c r="D56" s="677">
        <v>7</v>
      </c>
      <c r="E56" s="678" t="s">
        <v>456</v>
      </c>
      <c r="F56" s="170"/>
    </row>
    <row r="57" spans="2:6" ht="15" x14ac:dyDescent="0.25">
      <c r="B57" s="169"/>
      <c r="C57" s="679">
        <v>3070386</v>
      </c>
      <c r="D57" s="677">
        <v>7</v>
      </c>
      <c r="E57" s="678" t="s">
        <v>457</v>
      </c>
      <c r="F57" s="170"/>
    </row>
    <row r="58" spans="2:6" ht="15" x14ac:dyDescent="0.25">
      <c r="B58" s="169"/>
      <c r="C58" s="679">
        <v>3046999</v>
      </c>
      <c r="D58" s="677">
        <v>6</v>
      </c>
      <c r="E58" s="678" t="s">
        <v>458</v>
      </c>
      <c r="F58" s="170"/>
    </row>
    <row r="59" spans="2:6" ht="15" x14ac:dyDescent="0.25">
      <c r="B59" s="169"/>
      <c r="C59" s="679">
        <v>3047000</v>
      </c>
      <c r="D59" s="677">
        <v>5</v>
      </c>
      <c r="E59" s="678" t="s">
        <v>459</v>
      </c>
      <c r="F59" s="170"/>
    </row>
    <row r="60" spans="2:6" ht="15" x14ac:dyDescent="0.25">
      <c r="B60" s="169"/>
      <c r="C60" s="679">
        <v>3047001</v>
      </c>
      <c r="D60" s="677">
        <v>3</v>
      </c>
      <c r="E60" s="678" t="s">
        <v>460</v>
      </c>
      <c r="F60" s="170"/>
    </row>
    <row r="61" spans="2:6" ht="15" x14ac:dyDescent="0.25">
      <c r="B61" s="169"/>
      <c r="C61" s="679">
        <v>3232874</v>
      </c>
      <c r="D61" s="677">
        <v>5</v>
      </c>
      <c r="E61" s="678" t="s">
        <v>8223</v>
      </c>
      <c r="F61" s="170"/>
    </row>
    <row r="62" spans="2:6" ht="15" x14ac:dyDescent="0.25">
      <c r="B62" s="169"/>
      <c r="C62" s="679">
        <v>3234940</v>
      </c>
      <c r="D62" s="677">
        <v>8</v>
      </c>
      <c r="E62" s="678" t="s">
        <v>8224</v>
      </c>
      <c r="F62" s="170"/>
    </row>
    <row r="63" spans="2:6" ht="15" x14ac:dyDescent="0.25">
      <c r="B63" s="169"/>
      <c r="C63" s="679">
        <v>3289870</v>
      </c>
      <c r="D63" s="677">
        <v>3</v>
      </c>
      <c r="E63" s="678" t="s">
        <v>8225</v>
      </c>
      <c r="F63" s="170"/>
    </row>
    <row r="64" spans="2:6" ht="15" x14ac:dyDescent="0.25">
      <c r="B64" s="169"/>
      <c r="C64" s="679">
        <v>3047002</v>
      </c>
      <c r="D64" s="677">
        <v>1</v>
      </c>
      <c r="E64" s="678" t="s">
        <v>461</v>
      </c>
      <c r="F64" s="170"/>
    </row>
    <row r="65" spans="2:6" ht="15" x14ac:dyDescent="0.25">
      <c r="B65" s="169"/>
      <c r="C65" s="679">
        <v>3047003</v>
      </c>
      <c r="D65" s="677">
        <v>0</v>
      </c>
      <c r="E65" s="678" t="s">
        <v>462</v>
      </c>
      <c r="F65" s="170"/>
    </row>
    <row r="66" spans="2:6" ht="15" x14ac:dyDescent="0.25">
      <c r="B66" s="169"/>
      <c r="C66" s="679">
        <v>3047004</v>
      </c>
      <c r="D66" s="677">
        <v>8</v>
      </c>
      <c r="E66" s="678" t="s">
        <v>463</v>
      </c>
      <c r="F66" s="170"/>
    </row>
    <row r="67" spans="2:6" ht="15" x14ac:dyDescent="0.25">
      <c r="B67" s="169"/>
      <c r="C67" s="679">
        <v>3047005</v>
      </c>
      <c r="D67" s="677">
        <v>6</v>
      </c>
      <c r="E67" s="678" t="s">
        <v>464</v>
      </c>
      <c r="F67" s="170"/>
    </row>
    <row r="68" spans="2:6" ht="15" x14ac:dyDescent="0.25">
      <c r="B68" s="169"/>
      <c r="C68" s="679">
        <v>3047006</v>
      </c>
      <c r="D68" s="677">
        <v>4</v>
      </c>
      <c r="E68" s="678" t="s">
        <v>465</v>
      </c>
      <c r="F68" s="170"/>
    </row>
    <row r="69" spans="2:6" ht="15" x14ac:dyDescent="0.25">
      <c r="B69" s="169"/>
      <c r="C69" s="679">
        <v>3127019</v>
      </c>
      <c r="D69" s="677">
        <v>1</v>
      </c>
      <c r="E69" s="678" t="s">
        <v>466</v>
      </c>
      <c r="F69" s="170"/>
    </row>
    <row r="70" spans="2:6" ht="15" x14ac:dyDescent="0.25">
      <c r="B70" s="169"/>
      <c r="C70" s="679">
        <v>3047007</v>
      </c>
      <c r="D70" s="677">
        <v>2</v>
      </c>
      <c r="E70" s="678" t="s">
        <v>467</v>
      </c>
      <c r="F70" s="170"/>
    </row>
    <row r="71" spans="2:6" ht="15" x14ac:dyDescent="0.25">
      <c r="B71" s="169"/>
      <c r="C71" s="679">
        <v>3047008</v>
      </c>
      <c r="D71" s="677">
        <v>1</v>
      </c>
      <c r="E71" s="678" t="s">
        <v>468</v>
      </c>
      <c r="F71" s="170"/>
    </row>
    <row r="72" spans="2:6" ht="15" x14ac:dyDescent="0.25">
      <c r="B72" s="169"/>
      <c r="C72" s="679">
        <v>3047009</v>
      </c>
      <c r="D72" s="677">
        <v>9</v>
      </c>
      <c r="E72" s="678" t="s">
        <v>469</v>
      </c>
      <c r="F72" s="170"/>
    </row>
    <row r="73" spans="2:6" ht="15" x14ac:dyDescent="0.25">
      <c r="B73" s="169"/>
      <c r="C73" s="679">
        <v>3047010</v>
      </c>
      <c r="D73" s="677">
        <v>2</v>
      </c>
      <c r="E73" s="678" t="s">
        <v>470</v>
      </c>
      <c r="F73" s="170"/>
    </row>
    <row r="74" spans="2:6" ht="15" x14ac:dyDescent="0.25">
      <c r="B74" s="169"/>
      <c r="C74" s="679">
        <v>3054544</v>
      </c>
      <c r="D74" s="677">
        <v>7</v>
      </c>
      <c r="E74" s="678" t="s">
        <v>471</v>
      </c>
      <c r="F74" s="170"/>
    </row>
    <row r="75" spans="2:6" ht="15" x14ac:dyDescent="0.25">
      <c r="B75" s="169"/>
      <c r="C75" s="679">
        <v>3054504</v>
      </c>
      <c r="D75" s="677">
        <v>8</v>
      </c>
      <c r="E75" s="678" t="s">
        <v>472</v>
      </c>
      <c r="F75" s="170"/>
    </row>
    <row r="76" spans="2:6" ht="15" x14ac:dyDescent="0.25">
      <c r="B76" s="169"/>
      <c r="C76" s="679">
        <v>3054521</v>
      </c>
      <c r="D76" s="677">
        <v>8</v>
      </c>
      <c r="E76" s="678" t="s">
        <v>473</v>
      </c>
      <c r="F76" s="170"/>
    </row>
    <row r="77" spans="2:6" ht="15" x14ac:dyDescent="0.25">
      <c r="B77" s="169"/>
      <c r="C77" s="679">
        <v>3054545</v>
      </c>
      <c r="D77" s="677">
        <v>5</v>
      </c>
      <c r="E77" s="678" t="s">
        <v>474</v>
      </c>
      <c r="F77" s="170"/>
    </row>
    <row r="78" spans="2:6" ht="15" x14ac:dyDescent="0.25">
      <c r="B78" s="169"/>
      <c r="C78" s="679">
        <v>3054505</v>
      </c>
      <c r="D78" s="677">
        <v>6</v>
      </c>
      <c r="E78" s="678" t="s">
        <v>475</v>
      </c>
      <c r="F78" s="170"/>
    </row>
    <row r="79" spans="2:6" ht="15" x14ac:dyDescent="0.25">
      <c r="B79" s="169"/>
      <c r="C79" s="679">
        <v>3054503</v>
      </c>
      <c r="D79" s="677">
        <v>0</v>
      </c>
      <c r="E79" s="678" t="s">
        <v>476</v>
      </c>
      <c r="F79" s="170"/>
    </row>
    <row r="80" spans="2:6" ht="15" x14ac:dyDescent="0.25">
      <c r="B80" s="169"/>
      <c r="C80" s="679">
        <v>3054567</v>
      </c>
      <c r="D80" s="677">
        <v>6</v>
      </c>
      <c r="E80" s="678" t="s">
        <v>477</v>
      </c>
      <c r="F80" s="170"/>
    </row>
    <row r="81" spans="2:6" ht="15" x14ac:dyDescent="0.25">
      <c r="B81" s="169"/>
      <c r="C81" s="679">
        <v>3054605</v>
      </c>
      <c r="D81" s="677">
        <v>2</v>
      </c>
      <c r="E81" s="678" t="s">
        <v>478</v>
      </c>
      <c r="F81" s="170"/>
    </row>
    <row r="82" spans="2:6" ht="15" x14ac:dyDescent="0.25">
      <c r="B82" s="169"/>
      <c r="C82" s="679">
        <v>3054647</v>
      </c>
      <c r="D82" s="677">
        <v>8</v>
      </c>
      <c r="E82" s="678" t="s">
        <v>479</v>
      </c>
      <c r="F82" s="170"/>
    </row>
    <row r="83" spans="2:6" ht="15" x14ac:dyDescent="0.25">
      <c r="B83" s="169"/>
      <c r="C83" s="679">
        <v>3054574</v>
      </c>
      <c r="D83" s="677">
        <v>9</v>
      </c>
      <c r="E83" s="678" t="s">
        <v>480</v>
      </c>
      <c r="F83" s="170"/>
    </row>
    <row r="84" spans="2:6" ht="15" x14ac:dyDescent="0.25">
      <c r="B84" s="169"/>
      <c r="C84" s="679">
        <v>3054680</v>
      </c>
      <c r="D84" s="677">
        <v>0</v>
      </c>
      <c r="E84" s="678" t="s">
        <v>481</v>
      </c>
      <c r="F84" s="170"/>
    </row>
    <row r="85" spans="2:6" ht="15" x14ac:dyDescent="0.25">
      <c r="B85" s="169"/>
      <c r="C85" s="679">
        <v>3054653</v>
      </c>
      <c r="D85" s="677">
        <v>2</v>
      </c>
      <c r="E85" s="678" t="s">
        <v>482</v>
      </c>
      <c r="F85" s="170"/>
    </row>
    <row r="86" spans="2:6" ht="15" x14ac:dyDescent="0.25">
      <c r="B86" s="169"/>
      <c r="C86" s="679">
        <v>3054609</v>
      </c>
      <c r="D86" s="677">
        <v>5</v>
      </c>
      <c r="E86" s="678" t="s">
        <v>483</v>
      </c>
      <c r="F86" s="170"/>
    </row>
    <row r="87" spans="2:6" ht="15" x14ac:dyDescent="0.25">
      <c r="B87" s="169"/>
      <c r="C87" s="679">
        <v>3054550</v>
      </c>
      <c r="D87" s="677">
        <v>1</v>
      </c>
      <c r="E87" s="678" t="s">
        <v>484</v>
      </c>
      <c r="F87" s="170"/>
    </row>
    <row r="88" spans="2:6" ht="15" x14ac:dyDescent="0.25">
      <c r="B88" s="169"/>
      <c r="C88" s="679">
        <v>3054628</v>
      </c>
      <c r="D88" s="677">
        <v>1</v>
      </c>
      <c r="E88" s="678" t="s">
        <v>485</v>
      </c>
      <c r="F88" s="170"/>
    </row>
    <row r="89" spans="2:6" ht="15" x14ac:dyDescent="0.25">
      <c r="B89" s="169"/>
      <c r="C89" s="679">
        <v>3054501</v>
      </c>
      <c r="D89" s="677">
        <v>3</v>
      </c>
      <c r="E89" s="678" t="s">
        <v>486</v>
      </c>
      <c r="F89" s="170"/>
    </row>
    <row r="90" spans="2:6" ht="15" x14ac:dyDescent="0.25">
      <c r="B90" s="169"/>
      <c r="C90" s="679">
        <v>3054570</v>
      </c>
      <c r="D90" s="677">
        <v>6</v>
      </c>
      <c r="E90" s="678" t="s">
        <v>487</v>
      </c>
      <c r="F90" s="170"/>
    </row>
    <row r="91" spans="2:6" ht="15" x14ac:dyDescent="0.25">
      <c r="B91" s="169"/>
      <c r="C91" s="679">
        <v>3054595</v>
      </c>
      <c r="D91" s="677">
        <v>1</v>
      </c>
      <c r="E91" s="678" t="s">
        <v>488</v>
      </c>
      <c r="F91" s="170"/>
    </row>
    <row r="92" spans="2:6" ht="15" x14ac:dyDescent="0.25">
      <c r="B92" s="169"/>
      <c r="C92" s="679">
        <v>3054657</v>
      </c>
      <c r="D92" s="677">
        <v>5</v>
      </c>
      <c r="E92" s="678" t="s">
        <v>489</v>
      </c>
      <c r="F92" s="170"/>
    </row>
    <row r="93" spans="2:6" ht="15" x14ac:dyDescent="0.25">
      <c r="B93" s="169"/>
      <c r="C93" s="679">
        <v>3054506</v>
      </c>
      <c r="D93" s="677">
        <v>4</v>
      </c>
      <c r="E93" s="678" t="s">
        <v>490</v>
      </c>
      <c r="F93" s="170"/>
    </row>
    <row r="94" spans="2:6" ht="15" x14ac:dyDescent="0.25">
      <c r="B94" s="169"/>
      <c r="C94" s="679">
        <v>3054507</v>
      </c>
      <c r="D94" s="677">
        <v>2</v>
      </c>
      <c r="E94" s="678" t="s">
        <v>491</v>
      </c>
      <c r="F94" s="170"/>
    </row>
    <row r="95" spans="2:6" ht="15" x14ac:dyDescent="0.25">
      <c r="B95" s="169"/>
      <c r="C95" s="679">
        <v>3054522</v>
      </c>
      <c r="D95" s="677">
        <v>6</v>
      </c>
      <c r="E95" s="678" t="s">
        <v>492</v>
      </c>
      <c r="F95" s="170"/>
    </row>
    <row r="96" spans="2:6" ht="15" x14ac:dyDescent="0.25">
      <c r="B96" s="169"/>
      <c r="C96" s="679">
        <v>3054511</v>
      </c>
      <c r="D96" s="677">
        <v>1</v>
      </c>
      <c r="E96" s="678" t="s">
        <v>493</v>
      </c>
      <c r="F96" s="170"/>
    </row>
    <row r="97" spans="2:6" ht="15" x14ac:dyDescent="0.25">
      <c r="B97" s="169"/>
      <c r="C97" s="679">
        <v>3054557</v>
      </c>
      <c r="D97" s="677">
        <v>9</v>
      </c>
      <c r="E97" s="678" t="s">
        <v>494</v>
      </c>
      <c r="F97" s="170"/>
    </row>
    <row r="98" spans="2:6" ht="15" x14ac:dyDescent="0.25">
      <c r="B98" s="169"/>
      <c r="C98" s="679">
        <v>3054603</v>
      </c>
      <c r="D98" s="677">
        <v>6</v>
      </c>
      <c r="E98" s="678" t="s">
        <v>495</v>
      </c>
      <c r="F98" s="170"/>
    </row>
    <row r="99" spans="2:6" ht="15" x14ac:dyDescent="0.25">
      <c r="B99" s="169"/>
      <c r="C99" s="679">
        <v>3047011</v>
      </c>
      <c r="D99" s="677">
        <v>1</v>
      </c>
      <c r="E99" s="678" t="s">
        <v>496</v>
      </c>
      <c r="F99" s="170"/>
    </row>
    <row r="100" spans="2:6" ht="15" x14ac:dyDescent="0.25">
      <c r="B100" s="169"/>
      <c r="C100" s="679">
        <v>3047012</v>
      </c>
      <c r="D100" s="677">
        <v>9</v>
      </c>
      <c r="E100" s="678" t="s">
        <v>497</v>
      </c>
      <c r="F100" s="170"/>
    </row>
    <row r="101" spans="2:6" ht="15" x14ac:dyDescent="0.25">
      <c r="B101" s="169"/>
      <c r="C101" s="679">
        <v>3047013</v>
      </c>
      <c r="D101" s="677">
        <v>7</v>
      </c>
      <c r="E101" s="678" t="s">
        <v>498</v>
      </c>
      <c r="F101" s="170"/>
    </row>
    <row r="102" spans="2:6" ht="15" x14ac:dyDescent="0.25">
      <c r="B102" s="169"/>
      <c r="C102" s="679">
        <v>3047014</v>
      </c>
      <c r="D102" s="677">
        <v>5</v>
      </c>
      <c r="E102" s="678" t="s">
        <v>499</v>
      </c>
      <c r="F102" s="170"/>
    </row>
    <row r="103" spans="2:6" ht="15" x14ac:dyDescent="0.25">
      <c r="B103" s="169"/>
      <c r="C103" s="679">
        <v>3047015</v>
      </c>
      <c r="D103" s="677">
        <v>3</v>
      </c>
      <c r="E103" s="678" t="s">
        <v>500</v>
      </c>
      <c r="F103" s="170"/>
    </row>
    <row r="104" spans="2:6" ht="15" x14ac:dyDescent="0.25">
      <c r="B104" s="169"/>
      <c r="C104" s="679">
        <v>2961970</v>
      </c>
      <c r="D104" s="677">
        <v>0</v>
      </c>
      <c r="E104" s="678" t="s">
        <v>501</v>
      </c>
      <c r="F104" s="170"/>
    </row>
    <row r="105" spans="2:6" ht="15" x14ac:dyDescent="0.25">
      <c r="B105" s="169"/>
      <c r="C105" s="679">
        <v>2961801</v>
      </c>
      <c r="D105" s="677">
        <v>1</v>
      </c>
      <c r="E105" s="678" t="s">
        <v>502</v>
      </c>
      <c r="F105" s="170"/>
    </row>
    <row r="106" spans="2:6" ht="15" x14ac:dyDescent="0.25">
      <c r="B106" s="169"/>
      <c r="C106" s="679">
        <v>2973270</v>
      </c>
      <c r="D106" s="677">
        <v>1</v>
      </c>
      <c r="E106" s="678" t="s">
        <v>503</v>
      </c>
      <c r="F106" s="170"/>
    </row>
    <row r="107" spans="2:6" ht="15" x14ac:dyDescent="0.25">
      <c r="B107" s="169"/>
      <c r="C107" s="679">
        <v>2974452</v>
      </c>
      <c r="D107" s="677">
        <v>1</v>
      </c>
      <c r="E107" s="678" t="s">
        <v>504</v>
      </c>
      <c r="F107" s="170"/>
    </row>
    <row r="108" spans="2:6" ht="15" x14ac:dyDescent="0.25">
      <c r="B108" s="169"/>
      <c r="C108" s="679">
        <v>3090477</v>
      </c>
      <c r="D108" s="677">
        <v>3</v>
      </c>
      <c r="E108" s="678" t="s">
        <v>505</v>
      </c>
      <c r="F108" s="170"/>
    </row>
    <row r="109" spans="2:6" ht="15" x14ac:dyDescent="0.25">
      <c r="B109" s="169"/>
      <c r="C109" s="679">
        <v>3047016</v>
      </c>
      <c r="D109" s="677">
        <v>1</v>
      </c>
      <c r="E109" s="678" t="s">
        <v>506</v>
      </c>
      <c r="F109" s="170"/>
    </row>
    <row r="110" spans="2:6" ht="15" x14ac:dyDescent="0.25">
      <c r="B110" s="169"/>
      <c r="C110" s="679">
        <v>3136777</v>
      </c>
      <c r="D110" s="677">
        <v>1</v>
      </c>
      <c r="E110" s="678" t="s">
        <v>507</v>
      </c>
      <c r="F110" s="170"/>
    </row>
    <row r="111" spans="2:6" ht="15" x14ac:dyDescent="0.25">
      <c r="B111" s="169"/>
      <c r="C111" s="679">
        <v>3119713</v>
      </c>
      <c r="D111" s="677">
        <v>2</v>
      </c>
      <c r="E111" s="678" t="s">
        <v>508</v>
      </c>
      <c r="F111" s="170"/>
    </row>
    <row r="112" spans="2:6" ht="15" x14ac:dyDescent="0.25">
      <c r="B112" s="169"/>
      <c r="C112" s="679">
        <v>3047017</v>
      </c>
      <c r="D112" s="677">
        <v>0</v>
      </c>
      <c r="E112" s="678" t="s">
        <v>509</v>
      </c>
      <c r="F112" s="170"/>
    </row>
    <row r="113" spans="2:6" ht="15" x14ac:dyDescent="0.25">
      <c r="B113" s="169"/>
      <c r="C113" s="679">
        <v>3047018</v>
      </c>
      <c r="D113" s="677">
        <v>8</v>
      </c>
      <c r="E113" s="678" t="s">
        <v>510</v>
      </c>
      <c r="F113" s="170"/>
    </row>
    <row r="114" spans="2:6" ht="15" x14ac:dyDescent="0.25">
      <c r="B114" s="169"/>
      <c r="C114" s="679">
        <v>3047019</v>
      </c>
      <c r="D114" s="677">
        <v>6</v>
      </c>
      <c r="E114" s="678" t="s">
        <v>511</v>
      </c>
      <c r="F114" s="170"/>
    </row>
    <row r="115" spans="2:6" ht="15" x14ac:dyDescent="0.25">
      <c r="B115" s="169"/>
      <c r="C115" s="679">
        <v>3047020</v>
      </c>
      <c r="D115" s="677">
        <v>0</v>
      </c>
      <c r="E115" s="678" t="s">
        <v>512</v>
      </c>
      <c r="F115" s="170"/>
    </row>
    <row r="116" spans="2:6" ht="15" x14ac:dyDescent="0.25">
      <c r="B116" s="169"/>
      <c r="C116" s="679">
        <v>3047021</v>
      </c>
      <c r="D116" s="677">
        <v>8</v>
      </c>
      <c r="E116" s="678" t="s">
        <v>513</v>
      </c>
      <c r="F116" s="170"/>
    </row>
    <row r="117" spans="2:6" ht="15" x14ac:dyDescent="0.25">
      <c r="B117" s="169"/>
      <c r="C117" s="679">
        <v>3047022</v>
      </c>
      <c r="D117" s="677">
        <v>6</v>
      </c>
      <c r="E117" s="678" t="s">
        <v>514</v>
      </c>
      <c r="F117" s="170"/>
    </row>
    <row r="118" spans="2:6" ht="15" x14ac:dyDescent="0.25">
      <c r="B118" s="169"/>
      <c r="C118" s="679">
        <v>3047023</v>
      </c>
      <c r="D118" s="677">
        <v>4</v>
      </c>
      <c r="E118" s="678" t="s">
        <v>515</v>
      </c>
      <c r="F118" s="170"/>
    </row>
    <row r="119" spans="2:6" ht="15" x14ac:dyDescent="0.25">
      <c r="B119" s="169"/>
      <c r="C119" s="679">
        <v>3047024</v>
      </c>
      <c r="D119" s="677">
        <v>2</v>
      </c>
      <c r="E119" s="678" t="s">
        <v>516</v>
      </c>
      <c r="F119" s="170"/>
    </row>
    <row r="120" spans="2:6" ht="15" x14ac:dyDescent="0.25">
      <c r="B120" s="169"/>
      <c r="C120" s="679">
        <v>3047025</v>
      </c>
      <c r="D120" s="677">
        <v>1</v>
      </c>
      <c r="E120" s="678" t="s">
        <v>517</v>
      </c>
      <c r="F120" s="170"/>
    </row>
    <row r="121" spans="2:6" ht="15" x14ac:dyDescent="0.25">
      <c r="B121" s="169"/>
      <c r="C121" s="679">
        <v>3047026</v>
      </c>
      <c r="D121" s="677">
        <v>9</v>
      </c>
      <c r="E121" s="678" t="s">
        <v>518</v>
      </c>
      <c r="F121" s="170"/>
    </row>
    <row r="122" spans="2:6" ht="15" x14ac:dyDescent="0.25">
      <c r="B122" s="169"/>
      <c r="C122" s="679">
        <v>3047027</v>
      </c>
      <c r="D122" s="677">
        <v>7</v>
      </c>
      <c r="E122" s="678" t="s">
        <v>519</v>
      </c>
      <c r="F122" s="170"/>
    </row>
    <row r="123" spans="2:6" ht="15" x14ac:dyDescent="0.25">
      <c r="B123" s="169"/>
      <c r="C123" s="679">
        <v>3047028</v>
      </c>
      <c r="D123" s="677">
        <v>5</v>
      </c>
      <c r="E123" s="678" t="s">
        <v>520</v>
      </c>
      <c r="F123" s="170"/>
    </row>
    <row r="124" spans="2:6" ht="15" x14ac:dyDescent="0.25">
      <c r="B124" s="169"/>
      <c r="C124" s="679">
        <v>3047029</v>
      </c>
      <c r="D124" s="677">
        <v>3</v>
      </c>
      <c r="E124" s="678" t="s">
        <v>521</v>
      </c>
      <c r="F124" s="170"/>
    </row>
    <row r="125" spans="2:6" ht="15" x14ac:dyDescent="0.25">
      <c r="B125" s="169"/>
      <c r="C125" s="679">
        <v>3047030</v>
      </c>
      <c r="D125" s="677">
        <v>7</v>
      </c>
      <c r="E125" s="678" t="s">
        <v>522</v>
      </c>
      <c r="F125" s="170"/>
    </row>
    <row r="126" spans="2:6" ht="15" x14ac:dyDescent="0.25">
      <c r="B126" s="169"/>
      <c r="C126" s="679">
        <v>3047031</v>
      </c>
      <c r="D126" s="677">
        <v>5</v>
      </c>
      <c r="E126" s="678" t="s">
        <v>523</v>
      </c>
      <c r="F126" s="170"/>
    </row>
    <row r="127" spans="2:6" ht="15" x14ac:dyDescent="0.25">
      <c r="B127" s="169"/>
      <c r="C127" s="679">
        <v>3047032</v>
      </c>
      <c r="D127" s="677">
        <v>3</v>
      </c>
      <c r="E127" s="678" t="s">
        <v>524</v>
      </c>
      <c r="F127" s="170"/>
    </row>
    <row r="128" spans="2:6" ht="15" x14ac:dyDescent="0.25">
      <c r="B128" s="169"/>
      <c r="C128" s="679">
        <v>3047033</v>
      </c>
      <c r="D128" s="677">
        <v>1</v>
      </c>
      <c r="E128" s="678" t="s">
        <v>525</v>
      </c>
      <c r="F128" s="170"/>
    </row>
    <row r="129" spans="2:6" ht="15" x14ac:dyDescent="0.25">
      <c r="B129" s="169"/>
      <c r="C129" s="679">
        <v>3051348</v>
      </c>
      <c r="D129" s="677">
        <v>1</v>
      </c>
      <c r="E129" s="678" t="s">
        <v>526</v>
      </c>
      <c r="F129" s="170"/>
    </row>
    <row r="130" spans="2:6" ht="15" x14ac:dyDescent="0.25">
      <c r="B130" s="169"/>
      <c r="C130" s="679">
        <v>3047034</v>
      </c>
      <c r="D130" s="677">
        <v>0</v>
      </c>
      <c r="E130" s="678" t="s">
        <v>527</v>
      </c>
      <c r="F130" s="170"/>
    </row>
    <row r="131" spans="2:6" ht="15" x14ac:dyDescent="0.25">
      <c r="B131" s="169"/>
      <c r="C131" s="679">
        <v>3047035</v>
      </c>
      <c r="D131" s="677">
        <v>8</v>
      </c>
      <c r="E131" s="678" t="s">
        <v>528</v>
      </c>
      <c r="F131" s="170"/>
    </row>
    <row r="132" spans="2:6" ht="15" x14ac:dyDescent="0.25">
      <c r="B132" s="169"/>
      <c r="C132" s="679">
        <v>3047036</v>
      </c>
      <c r="D132" s="677">
        <v>6</v>
      </c>
      <c r="E132" s="678" t="s">
        <v>529</v>
      </c>
      <c r="F132" s="170"/>
    </row>
    <row r="133" spans="2:6" ht="15" x14ac:dyDescent="0.25">
      <c r="B133" s="169"/>
      <c r="C133" s="679">
        <v>3047037</v>
      </c>
      <c r="D133" s="677">
        <v>4</v>
      </c>
      <c r="E133" s="678" t="s">
        <v>530</v>
      </c>
      <c r="F133" s="170"/>
    </row>
    <row r="134" spans="2:6" ht="15" x14ac:dyDescent="0.25">
      <c r="B134" s="169"/>
      <c r="C134" s="679">
        <v>3047038</v>
      </c>
      <c r="D134" s="677">
        <v>2</v>
      </c>
      <c r="E134" s="678" t="s">
        <v>531</v>
      </c>
      <c r="F134" s="170"/>
    </row>
    <row r="135" spans="2:6" ht="15" x14ac:dyDescent="0.25">
      <c r="B135" s="169"/>
      <c r="C135" s="679">
        <v>3047039</v>
      </c>
      <c r="D135" s="677">
        <v>1</v>
      </c>
      <c r="E135" s="678" t="s">
        <v>532</v>
      </c>
      <c r="F135" s="170"/>
    </row>
    <row r="136" spans="2:6" ht="15" x14ac:dyDescent="0.25">
      <c r="B136" s="169"/>
      <c r="C136" s="679">
        <v>3047040</v>
      </c>
      <c r="D136" s="677">
        <v>4</v>
      </c>
      <c r="E136" s="678" t="s">
        <v>533</v>
      </c>
      <c r="F136" s="170"/>
    </row>
    <row r="137" spans="2:6" ht="15" x14ac:dyDescent="0.25">
      <c r="B137" s="169"/>
      <c r="C137" s="679">
        <v>3047041</v>
      </c>
      <c r="D137" s="677">
        <v>2</v>
      </c>
      <c r="E137" s="678" t="s">
        <v>534</v>
      </c>
      <c r="F137" s="170"/>
    </row>
    <row r="138" spans="2:6" ht="15" x14ac:dyDescent="0.25">
      <c r="B138" s="169"/>
      <c r="C138" s="679">
        <v>3047042</v>
      </c>
      <c r="D138" s="677">
        <v>1</v>
      </c>
      <c r="E138" s="678" t="s">
        <v>535</v>
      </c>
      <c r="F138" s="170"/>
    </row>
    <row r="139" spans="2:6" ht="15" x14ac:dyDescent="0.25">
      <c r="B139" s="169"/>
      <c r="C139" s="679">
        <v>3047043</v>
      </c>
      <c r="D139" s="677">
        <v>9</v>
      </c>
      <c r="E139" s="678" t="s">
        <v>536</v>
      </c>
      <c r="F139" s="170"/>
    </row>
    <row r="140" spans="2:6" ht="15" x14ac:dyDescent="0.25">
      <c r="B140" s="169"/>
      <c r="C140" s="679">
        <v>3047044</v>
      </c>
      <c r="D140" s="677">
        <v>7</v>
      </c>
      <c r="E140" s="678" t="s">
        <v>537</v>
      </c>
      <c r="F140" s="170"/>
    </row>
    <row r="141" spans="2:6" ht="15" x14ac:dyDescent="0.25">
      <c r="B141" s="169"/>
      <c r="C141" s="679">
        <v>3047045</v>
      </c>
      <c r="D141" s="677">
        <v>5</v>
      </c>
      <c r="E141" s="678" t="s">
        <v>538</v>
      </c>
      <c r="F141" s="170"/>
    </row>
    <row r="142" spans="2:6" ht="15" x14ac:dyDescent="0.25">
      <c r="B142" s="169"/>
      <c r="C142" s="679">
        <v>3350772</v>
      </c>
      <c r="D142" s="677">
        <v>4</v>
      </c>
      <c r="E142" s="678" t="s">
        <v>8226</v>
      </c>
      <c r="F142" s="170"/>
    </row>
    <row r="143" spans="2:6" ht="15" x14ac:dyDescent="0.25">
      <c r="B143" s="169"/>
      <c r="C143" s="679">
        <v>3103123</v>
      </c>
      <c r="D143" s="677">
        <v>4</v>
      </c>
      <c r="E143" s="678" t="s">
        <v>539</v>
      </c>
      <c r="F143" s="170"/>
    </row>
    <row r="144" spans="2:6" ht="15" x14ac:dyDescent="0.25">
      <c r="B144" s="169"/>
      <c r="C144" s="679">
        <v>3083220</v>
      </c>
      <c r="D144" s="677">
        <v>9</v>
      </c>
      <c r="E144" s="678" t="s">
        <v>540</v>
      </c>
      <c r="F144" s="170"/>
    </row>
    <row r="145" spans="2:6" ht="15" x14ac:dyDescent="0.25">
      <c r="B145" s="169"/>
      <c r="C145" s="679">
        <v>3072902</v>
      </c>
      <c r="D145" s="677">
        <v>5</v>
      </c>
      <c r="E145" s="678" t="s">
        <v>541</v>
      </c>
      <c r="F145" s="170"/>
    </row>
    <row r="146" spans="2:6" ht="15" x14ac:dyDescent="0.25">
      <c r="B146" s="169"/>
      <c r="C146" s="679">
        <v>3047046</v>
      </c>
      <c r="D146" s="677">
        <v>3</v>
      </c>
      <c r="E146" s="678" t="s">
        <v>542</v>
      </c>
      <c r="F146" s="170"/>
    </row>
    <row r="147" spans="2:6" ht="15" x14ac:dyDescent="0.25">
      <c r="B147" s="169"/>
      <c r="C147" s="679">
        <v>3218681</v>
      </c>
      <c r="D147" s="677">
        <v>9</v>
      </c>
      <c r="E147" s="678" t="s">
        <v>8227</v>
      </c>
      <c r="F147" s="170"/>
    </row>
    <row r="148" spans="2:6" ht="15" x14ac:dyDescent="0.25">
      <c r="B148" s="169"/>
      <c r="C148" s="679">
        <v>3047047</v>
      </c>
      <c r="D148" s="677">
        <v>1</v>
      </c>
      <c r="E148" s="678" t="s">
        <v>543</v>
      </c>
      <c r="F148" s="170"/>
    </row>
    <row r="149" spans="2:6" ht="15" x14ac:dyDescent="0.25">
      <c r="B149" s="169"/>
      <c r="C149" s="679">
        <v>3098488</v>
      </c>
      <c r="D149" s="677">
        <v>2</v>
      </c>
      <c r="E149" s="678" t="s">
        <v>544</v>
      </c>
      <c r="F149" s="170"/>
    </row>
    <row r="150" spans="2:6" ht="15" x14ac:dyDescent="0.25">
      <c r="B150" s="169"/>
      <c r="C150" s="679">
        <v>3070968</v>
      </c>
      <c r="D150" s="677">
        <v>7</v>
      </c>
      <c r="E150" s="678" t="s">
        <v>545</v>
      </c>
      <c r="F150" s="170"/>
    </row>
    <row r="151" spans="2:6" ht="15" x14ac:dyDescent="0.25">
      <c r="B151" s="169"/>
      <c r="C151" s="679">
        <v>3047048</v>
      </c>
      <c r="D151" s="677">
        <v>0</v>
      </c>
      <c r="E151" s="678" t="s">
        <v>546</v>
      </c>
      <c r="F151" s="170"/>
    </row>
    <row r="152" spans="2:6" ht="15" x14ac:dyDescent="0.25">
      <c r="B152" s="169"/>
      <c r="C152" s="679">
        <v>3047049</v>
      </c>
      <c r="D152" s="677">
        <v>8</v>
      </c>
      <c r="E152" s="678" t="s">
        <v>547</v>
      </c>
      <c r="F152" s="170"/>
    </row>
    <row r="153" spans="2:6" ht="15" x14ac:dyDescent="0.25">
      <c r="B153" s="169"/>
      <c r="C153" s="679">
        <v>3291763</v>
      </c>
      <c r="D153" s="677">
        <v>5</v>
      </c>
      <c r="E153" s="678" t="s">
        <v>8228</v>
      </c>
      <c r="F153" s="170"/>
    </row>
    <row r="154" spans="2:6" ht="15" x14ac:dyDescent="0.25">
      <c r="B154" s="169"/>
      <c r="C154" s="679">
        <v>3047050</v>
      </c>
      <c r="D154" s="677">
        <v>1</v>
      </c>
      <c r="E154" s="678" t="s">
        <v>548</v>
      </c>
      <c r="F154" s="170"/>
    </row>
    <row r="155" spans="2:6" ht="15" x14ac:dyDescent="0.25">
      <c r="B155" s="169"/>
      <c r="C155" s="679">
        <v>3249846</v>
      </c>
      <c r="D155" s="677">
        <v>2</v>
      </c>
      <c r="E155" s="678" t="s">
        <v>8229</v>
      </c>
      <c r="F155" s="170"/>
    </row>
    <row r="156" spans="2:6" ht="15" x14ac:dyDescent="0.25">
      <c r="B156" s="169"/>
      <c r="C156" s="679">
        <v>3047051</v>
      </c>
      <c r="D156" s="677">
        <v>0</v>
      </c>
      <c r="E156" s="678" t="s">
        <v>549</v>
      </c>
      <c r="F156" s="170"/>
    </row>
    <row r="157" spans="2:6" ht="15" x14ac:dyDescent="0.25">
      <c r="B157" s="169"/>
      <c r="C157" s="679">
        <v>3047052</v>
      </c>
      <c r="D157" s="677">
        <v>8</v>
      </c>
      <c r="E157" s="678" t="s">
        <v>550</v>
      </c>
      <c r="F157" s="170"/>
    </row>
    <row r="158" spans="2:6" ht="15" x14ac:dyDescent="0.25">
      <c r="B158" s="169"/>
      <c r="C158" s="679">
        <v>3047053</v>
      </c>
      <c r="D158" s="677">
        <v>6</v>
      </c>
      <c r="E158" s="678" t="s">
        <v>551</v>
      </c>
      <c r="F158" s="170"/>
    </row>
    <row r="159" spans="2:6" ht="15" x14ac:dyDescent="0.25">
      <c r="B159" s="169"/>
      <c r="C159" s="679">
        <v>3157360</v>
      </c>
      <c r="D159" s="677">
        <v>6</v>
      </c>
      <c r="E159" s="678" t="s">
        <v>552</v>
      </c>
      <c r="F159" s="170"/>
    </row>
    <row r="160" spans="2:6" ht="15" x14ac:dyDescent="0.25">
      <c r="B160" s="169"/>
      <c r="C160" s="679">
        <v>3143434</v>
      </c>
      <c r="D160" s="677">
        <v>7</v>
      </c>
      <c r="E160" s="678" t="s">
        <v>553</v>
      </c>
      <c r="F160" s="170"/>
    </row>
    <row r="161" spans="2:6" ht="15" x14ac:dyDescent="0.25">
      <c r="B161" s="169"/>
      <c r="C161" s="679">
        <v>3047054</v>
      </c>
      <c r="D161" s="677">
        <v>4</v>
      </c>
      <c r="E161" s="678" t="s">
        <v>554</v>
      </c>
      <c r="F161" s="170"/>
    </row>
    <row r="162" spans="2:6" ht="15" x14ac:dyDescent="0.25">
      <c r="B162" s="169"/>
      <c r="C162" s="679">
        <v>3047055</v>
      </c>
      <c r="D162" s="677">
        <v>2</v>
      </c>
      <c r="E162" s="678" t="s">
        <v>555</v>
      </c>
      <c r="F162" s="170"/>
    </row>
    <row r="163" spans="2:6" ht="15" x14ac:dyDescent="0.25">
      <c r="B163" s="169"/>
      <c r="C163" s="679">
        <v>3047056</v>
      </c>
      <c r="D163" s="677">
        <v>1</v>
      </c>
      <c r="E163" s="678" t="s">
        <v>556</v>
      </c>
      <c r="F163" s="170"/>
    </row>
    <row r="164" spans="2:6" ht="15" x14ac:dyDescent="0.25">
      <c r="B164" s="169"/>
      <c r="C164" s="679">
        <v>3047057</v>
      </c>
      <c r="D164" s="677">
        <v>9</v>
      </c>
      <c r="E164" s="678" t="s">
        <v>557</v>
      </c>
      <c r="F164" s="170"/>
    </row>
    <row r="165" spans="2:6" ht="15" x14ac:dyDescent="0.25">
      <c r="B165" s="169"/>
      <c r="C165" s="679">
        <v>3047058</v>
      </c>
      <c r="D165" s="677">
        <v>7</v>
      </c>
      <c r="E165" s="678" t="s">
        <v>558</v>
      </c>
      <c r="F165" s="170"/>
    </row>
    <row r="166" spans="2:6" ht="15" x14ac:dyDescent="0.25">
      <c r="B166" s="169"/>
      <c r="C166" s="679">
        <v>3047059</v>
      </c>
      <c r="D166" s="677">
        <v>5</v>
      </c>
      <c r="E166" s="678" t="s">
        <v>559</v>
      </c>
      <c r="F166" s="170"/>
    </row>
    <row r="167" spans="2:6" ht="15" x14ac:dyDescent="0.25">
      <c r="B167" s="169"/>
      <c r="C167" s="679">
        <v>3047060</v>
      </c>
      <c r="D167" s="677">
        <v>9</v>
      </c>
      <c r="E167" s="678" t="s">
        <v>560</v>
      </c>
      <c r="F167" s="170"/>
    </row>
    <row r="168" spans="2:6" ht="15" x14ac:dyDescent="0.25">
      <c r="B168" s="169"/>
      <c r="C168" s="679">
        <v>3103105</v>
      </c>
      <c r="D168" s="677">
        <v>6</v>
      </c>
      <c r="E168" s="678" t="s">
        <v>561</v>
      </c>
      <c r="F168" s="170"/>
    </row>
    <row r="169" spans="2:6" ht="15" x14ac:dyDescent="0.25">
      <c r="B169" s="169"/>
      <c r="C169" s="679">
        <v>3103122</v>
      </c>
      <c r="D169" s="677">
        <v>6</v>
      </c>
      <c r="E169" s="678" t="s">
        <v>562</v>
      </c>
      <c r="F169" s="170"/>
    </row>
    <row r="170" spans="2:6" ht="15" x14ac:dyDescent="0.25">
      <c r="B170" s="169"/>
      <c r="C170" s="679">
        <v>2961099</v>
      </c>
      <c r="D170" s="677">
        <v>1</v>
      </c>
      <c r="E170" s="678" t="s">
        <v>563</v>
      </c>
      <c r="F170" s="170"/>
    </row>
    <row r="171" spans="2:6" ht="15" x14ac:dyDescent="0.25">
      <c r="B171" s="169"/>
      <c r="C171" s="679">
        <v>3047061</v>
      </c>
      <c r="D171" s="677">
        <v>7</v>
      </c>
      <c r="E171" s="678" t="s">
        <v>564</v>
      </c>
      <c r="F171" s="170"/>
    </row>
    <row r="172" spans="2:6" ht="15" x14ac:dyDescent="0.25">
      <c r="B172" s="169"/>
      <c r="C172" s="679">
        <v>3289100</v>
      </c>
      <c r="D172" s="677">
        <v>8</v>
      </c>
      <c r="E172" s="678" t="s">
        <v>8230</v>
      </c>
      <c r="F172" s="170"/>
    </row>
    <row r="173" spans="2:6" ht="15" x14ac:dyDescent="0.25">
      <c r="B173" s="169"/>
      <c r="C173" s="679">
        <v>2961100</v>
      </c>
      <c r="D173" s="677">
        <v>8</v>
      </c>
      <c r="E173" s="678" t="s">
        <v>565</v>
      </c>
      <c r="F173" s="170"/>
    </row>
    <row r="174" spans="2:6" ht="15" x14ac:dyDescent="0.25">
      <c r="B174" s="169"/>
      <c r="C174" s="679">
        <v>3106793</v>
      </c>
      <c r="D174" s="677">
        <v>0</v>
      </c>
      <c r="E174" s="678" t="s">
        <v>566</v>
      </c>
      <c r="F174" s="170"/>
    </row>
    <row r="175" spans="2:6" ht="15" x14ac:dyDescent="0.25">
      <c r="B175" s="169"/>
      <c r="C175" s="679">
        <v>3067767</v>
      </c>
      <c r="D175" s="677">
        <v>0</v>
      </c>
      <c r="E175" s="678" t="s">
        <v>567</v>
      </c>
      <c r="F175" s="170"/>
    </row>
    <row r="176" spans="2:6" ht="15" x14ac:dyDescent="0.25">
      <c r="B176" s="169"/>
      <c r="C176" s="679">
        <v>3083065</v>
      </c>
      <c r="D176" s="677">
        <v>6</v>
      </c>
      <c r="E176" s="678" t="s">
        <v>568</v>
      </c>
      <c r="F176" s="170"/>
    </row>
    <row r="177" spans="2:6" ht="15" x14ac:dyDescent="0.25">
      <c r="B177" s="169"/>
      <c r="C177" s="679">
        <v>3098487</v>
      </c>
      <c r="D177" s="677">
        <v>4</v>
      </c>
      <c r="E177" s="678" t="s">
        <v>569</v>
      </c>
      <c r="F177" s="170"/>
    </row>
    <row r="178" spans="2:6" ht="15" x14ac:dyDescent="0.25">
      <c r="B178" s="169"/>
      <c r="C178" s="679">
        <v>3156510</v>
      </c>
      <c r="D178" s="677">
        <v>7</v>
      </c>
      <c r="E178" s="678" t="s">
        <v>570</v>
      </c>
      <c r="F178" s="170"/>
    </row>
    <row r="179" spans="2:6" ht="15" x14ac:dyDescent="0.25">
      <c r="B179" s="169"/>
      <c r="C179" s="679">
        <v>3047062</v>
      </c>
      <c r="D179" s="677">
        <v>5</v>
      </c>
      <c r="E179" s="678" t="s">
        <v>571</v>
      </c>
      <c r="F179" s="170"/>
    </row>
    <row r="180" spans="2:6" ht="15" x14ac:dyDescent="0.25">
      <c r="B180" s="169"/>
      <c r="C180" s="679">
        <v>3079893</v>
      </c>
      <c r="D180" s="677">
        <v>1</v>
      </c>
      <c r="E180" s="678" t="s">
        <v>572</v>
      </c>
      <c r="F180" s="170"/>
    </row>
    <row r="181" spans="2:6" ht="15" x14ac:dyDescent="0.25">
      <c r="B181" s="169"/>
      <c r="C181" s="679">
        <v>3047063</v>
      </c>
      <c r="D181" s="677">
        <v>3</v>
      </c>
      <c r="E181" s="678" t="s">
        <v>573</v>
      </c>
      <c r="F181" s="170"/>
    </row>
    <row r="182" spans="2:6" ht="15" x14ac:dyDescent="0.25">
      <c r="B182" s="169"/>
      <c r="C182" s="679">
        <v>3070559</v>
      </c>
      <c r="D182" s="677">
        <v>2</v>
      </c>
      <c r="E182" s="678" t="s">
        <v>574</v>
      </c>
      <c r="F182" s="170"/>
    </row>
    <row r="183" spans="2:6" ht="15" x14ac:dyDescent="0.25">
      <c r="B183" s="169"/>
      <c r="C183" s="679">
        <v>3149549</v>
      </c>
      <c r="D183" s="677">
        <v>4</v>
      </c>
      <c r="E183" s="678" t="s">
        <v>575</v>
      </c>
      <c r="F183" s="170"/>
    </row>
    <row r="184" spans="2:6" ht="15" x14ac:dyDescent="0.25">
      <c r="B184" s="169"/>
      <c r="C184" s="679">
        <v>3309198</v>
      </c>
      <c r="D184" s="677">
        <v>6</v>
      </c>
      <c r="E184" s="678" t="s">
        <v>8231</v>
      </c>
      <c r="F184" s="170"/>
    </row>
    <row r="185" spans="2:6" ht="15" x14ac:dyDescent="0.25">
      <c r="B185" s="169"/>
      <c r="C185" s="679">
        <v>3076286</v>
      </c>
      <c r="D185" s="677">
        <v>3</v>
      </c>
      <c r="E185" s="678" t="s">
        <v>576</v>
      </c>
      <c r="F185" s="170"/>
    </row>
    <row r="186" spans="2:6" ht="15" x14ac:dyDescent="0.25">
      <c r="B186" s="169"/>
      <c r="C186" s="679">
        <v>2961101</v>
      </c>
      <c r="D186" s="677">
        <v>6</v>
      </c>
      <c r="E186" s="678" t="s">
        <v>577</v>
      </c>
      <c r="F186" s="170"/>
    </row>
    <row r="187" spans="2:6" ht="15" x14ac:dyDescent="0.25">
      <c r="B187" s="169"/>
      <c r="C187" s="679">
        <v>3295273</v>
      </c>
      <c r="D187" s="677">
        <v>2</v>
      </c>
      <c r="E187" s="678" t="s">
        <v>8232</v>
      </c>
      <c r="F187" s="170"/>
    </row>
    <row r="188" spans="2:6" ht="15" x14ac:dyDescent="0.25">
      <c r="B188" s="169"/>
      <c r="C188" s="679">
        <v>3153530</v>
      </c>
      <c r="D188" s="677">
        <v>5</v>
      </c>
      <c r="E188" s="678" t="s">
        <v>578</v>
      </c>
      <c r="F188" s="170"/>
    </row>
    <row r="189" spans="2:6" ht="15" x14ac:dyDescent="0.25">
      <c r="B189" s="169"/>
      <c r="C189" s="679">
        <v>3307525</v>
      </c>
      <c r="D189" s="677">
        <v>5</v>
      </c>
      <c r="E189" s="678" t="s">
        <v>8233</v>
      </c>
      <c r="F189" s="170"/>
    </row>
    <row r="190" spans="2:6" ht="15" x14ac:dyDescent="0.25">
      <c r="B190" s="169"/>
      <c r="C190" s="679">
        <v>3047064</v>
      </c>
      <c r="D190" s="677">
        <v>1</v>
      </c>
      <c r="E190" s="678" t="s">
        <v>579</v>
      </c>
      <c r="F190" s="170"/>
    </row>
    <row r="191" spans="2:6" ht="15" x14ac:dyDescent="0.25">
      <c r="B191" s="169"/>
      <c r="C191" s="679">
        <v>3047065</v>
      </c>
      <c r="D191" s="677">
        <v>0</v>
      </c>
      <c r="E191" s="678" t="s">
        <v>580</v>
      </c>
      <c r="F191" s="170"/>
    </row>
    <row r="192" spans="2:6" ht="15" x14ac:dyDescent="0.25">
      <c r="B192" s="169"/>
      <c r="C192" s="679">
        <v>3047066</v>
      </c>
      <c r="D192" s="677">
        <v>8</v>
      </c>
      <c r="E192" s="678" t="s">
        <v>581</v>
      </c>
      <c r="F192" s="170"/>
    </row>
    <row r="193" spans="2:6" ht="15" x14ac:dyDescent="0.25">
      <c r="B193" s="169"/>
      <c r="C193" s="679">
        <v>3047067</v>
      </c>
      <c r="D193" s="677">
        <v>6</v>
      </c>
      <c r="E193" s="678" t="s">
        <v>582</v>
      </c>
      <c r="F193" s="170"/>
    </row>
    <row r="194" spans="2:6" ht="15" x14ac:dyDescent="0.25">
      <c r="B194" s="169"/>
      <c r="C194" s="679">
        <v>3047068</v>
      </c>
      <c r="D194" s="677">
        <v>4</v>
      </c>
      <c r="E194" s="678" t="s">
        <v>583</v>
      </c>
      <c r="F194" s="170"/>
    </row>
    <row r="195" spans="2:6" ht="15" x14ac:dyDescent="0.25">
      <c r="B195" s="169"/>
      <c r="C195" s="679">
        <v>3047069</v>
      </c>
      <c r="D195" s="677">
        <v>2</v>
      </c>
      <c r="E195" s="678" t="s">
        <v>584</v>
      </c>
      <c r="F195" s="170"/>
    </row>
    <row r="196" spans="2:6" ht="15" x14ac:dyDescent="0.25">
      <c r="B196" s="169"/>
      <c r="C196" s="679">
        <v>3047070</v>
      </c>
      <c r="D196" s="677">
        <v>6</v>
      </c>
      <c r="E196" s="678" t="s">
        <v>585</v>
      </c>
      <c r="F196" s="170"/>
    </row>
    <row r="197" spans="2:6" ht="15" x14ac:dyDescent="0.25">
      <c r="B197" s="169"/>
      <c r="C197" s="679">
        <v>3047071</v>
      </c>
      <c r="D197" s="677">
        <v>4</v>
      </c>
      <c r="E197" s="678" t="s">
        <v>586</v>
      </c>
      <c r="F197" s="170"/>
    </row>
    <row r="198" spans="2:6" ht="15" x14ac:dyDescent="0.25">
      <c r="B198" s="169"/>
      <c r="C198" s="679">
        <v>3047072</v>
      </c>
      <c r="D198" s="677">
        <v>2</v>
      </c>
      <c r="E198" s="678" t="s">
        <v>587</v>
      </c>
      <c r="F198" s="170"/>
    </row>
    <row r="199" spans="2:6" ht="15" x14ac:dyDescent="0.25">
      <c r="B199" s="169"/>
      <c r="C199" s="679">
        <v>3047073</v>
      </c>
      <c r="D199" s="677">
        <v>1</v>
      </c>
      <c r="E199" s="678" t="s">
        <v>588</v>
      </c>
      <c r="F199" s="170"/>
    </row>
    <row r="200" spans="2:6" ht="15" x14ac:dyDescent="0.25">
      <c r="B200" s="169"/>
      <c r="C200" s="679">
        <v>3047074</v>
      </c>
      <c r="D200" s="677">
        <v>9</v>
      </c>
      <c r="E200" s="678" t="s">
        <v>589</v>
      </c>
      <c r="F200" s="170"/>
    </row>
    <row r="201" spans="2:6" ht="15" x14ac:dyDescent="0.25">
      <c r="B201" s="169"/>
      <c r="C201" s="679">
        <v>3047075</v>
      </c>
      <c r="D201" s="677">
        <v>7</v>
      </c>
      <c r="E201" s="678" t="s">
        <v>590</v>
      </c>
      <c r="F201" s="170"/>
    </row>
    <row r="202" spans="2:6" ht="15" x14ac:dyDescent="0.25">
      <c r="B202" s="169"/>
      <c r="C202" s="679">
        <v>3047076</v>
      </c>
      <c r="D202" s="677">
        <v>5</v>
      </c>
      <c r="E202" s="678" t="s">
        <v>591</v>
      </c>
      <c r="F202" s="170"/>
    </row>
    <row r="203" spans="2:6" ht="15" x14ac:dyDescent="0.25">
      <c r="B203" s="169"/>
      <c r="C203" s="679">
        <v>3047077</v>
      </c>
      <c r="D203" s="677">
        <v>3</v>
      </c>
      <c r="E203" s="678" t="s">
        <v>592</v>
      </c>
      <c r="F203" s="170"/>
    </row>
    <row r="204" spans="2:6" ht="15" x14ac:dyDescent="0.25">
      <c r="B204" s="169"/>
      <c r="C204" s="679">
        <v>3047078</v>
      </c>
      <c r="D204" s="677">
        <v>1</v>
      </c>
      <c r="E204" s="678" t="s">
        <v>593</v>
      </c>
      <c r="F204" s="170"/>
    </row>
    <row r="205" spans="2:6" ht="15" x14ac:dyDescent="0.25">
      <c r="B205" s="169"/>
      <c r="C205" s="679">
        <v>3047079</v>
      </c>
      <c r="D205" s="677">
        <v>0</v>
      </c>
      <c r="E205" s="678" t="s">
        <v>594</v>
      </c>
      <c r="F205" s="170"/>
    </row>
    <row r="206" spans="2:6" ht="15" x14ac:dyDescent="0.25">
      <c r="B206" s="169"/>
      <c r="C206" s="679">
        <v>3047080</v>
      </c>
      <c r="D206" s="677">
        <v>3</v>
      </c>
      <c r="E206" s="678" t="s">
        <v>595</v>
      </c>
      <c r="F206" s="170"/>
    </row>
    <row r="207" spans="2:6" ht="15" x14ac:dyDescent="0.25">
      <c r="B207" s="169"/>
      <c r="C207" s="679">
        <v>3047081</v>
      </c>
      <c r="D207" s="677">
        <v>1</v>
      </c>
      <c r="E207" s="678" t="s">
        <v>596</v>
      </c>
      <c r="F207" s="170"/>
    </row>
    <row r="208" spans="2:6" ht="15" x14ac:dyDescent="0.25">
      <c r="B208" s="169"/>
      <c r="C208" s="679">
        <v>3047082</v>
      </c>
      <c r="D208" s="677">
        <v>0</v>
      </c>
      <c r="E208" s="678" t="s">
        <v>597</v>
      </c>
      <c r="F208" s="170"/>
    </row>
    <row r="209" spans="2:6" ht="15" x14ac:dyDescent="0.25">
      <c r="B209" s="169"/>
      <c r="C209" s="679">
        <v>3047083</v>
      </c>
      <c r="D209" s="677">
        <v>8</v>
      </c>
      <c r="E209" s="678" t="s">
        <v>598</v>
      </c>
      <c r="F209" s="170"/>
    </row>
    <row r="210" spans="2:6" ht="15" x14ac:dyDescent="0.25">
      <c r="B210" s="169"/>
      <c r="C210" s="679">
        <v>3047084</v>
      </c>
      <c r="D210" s="677">
        <v>6</v>
      </c>
      <c r="E210" s="678" t="s">
        <v>599</v>
      </c>
      <c r="F210" s="170"/>
    </row>
    <row r="211" spans="2:6" ht="15" x14ac:dyDescent="0.25">
      <c r="B211" s="169"/>
      <c r="C211" s="679">
        <v>3047085</v>
      </c>
      <c r="D211" s="677">
        <v>4</v>
      </c>
      <c r="E211" s="678" t="s">
        <v>600</v>
      </c>
      <c r="F211" s="170"/>
    </row>
    <row r="212" spans="2:6" ht="15" x14ac:dyDescent="0.25">
      <c r="B212" s="169"/>
      <c r="C212" s="679">
        <v>3070204</v>
      </c>
      <c r="D212" s="677">
        <v>6</v>
      </c>
      <c r="E212" s="678" t="s">
        <v>601</v>
      </c>
      <c r="F212" s="170"/>
    </row>
    <row r="213" spans="2:6" ht="15" x14ac:dyDescent="0.25">
      <c r="B213" s="169"/>
      <c r="C213" s="679">
        <v>3047086</v>
      </c>
      <c r="D213" s="677">
        <v>2</v>
      </c>
      <c r="E213" s="678" t="s">
        <v>602</v>
      </c>
      <c r="F213" s="170"/>
    </row>
    <row r="214" spans="2:6" ht="15" x14ac:dyDescent="0.25">
      <c r="B214" s="169"/>
      <c r="C214" s="679">
        <v>3100648</v>
      </c>
      <c r="D214" s="677">
        <v>5</v>
      </c>
      <c r="E214" s="678" t="s">
        <v>603</v>
      </c>
      <c r="F214" s="170"/>
    </row>
    <row r="215" spans="2:6" ht="15" x14ac:dyDescent="0.25">
      <c r="B215" s="169"/>
      <c r="C215" s="679">
        <v>3047087</v>
      </c>
      <c r="D215" s="677">
        <v>1</v>
      </c>
      <c r="E215" s="678" t="s">
        <v>604</v>
      </c>
      <c r="F215" s="170"/>
    </row>
    <row r="216" spans="2:6" ht="15" x14ac:dyDescent="0.25">
      <c r="B216" s="169"/>
      <c r="C216" s="679">
        <v>3047088</v>
      </c>
      <c r="D216" s="677">
        <v>9</v>
      </c>
      <c r="E216" s="678" t="s">
        <v>605</v>
      </c>
      <c r="F216" s="170"/>
    </row>
    <row r="217" spans="2:6" ht="15" x14ac:dyDescent="0.25">
      <c r="B217" s="169"/>
      <c r="C217" s="679">
        <v>3047089</v>
      </c>
      <c r="D217" s="677">
        <v>7</v>
      </c>
      <c r="E217" s="678" t="s">
        <v>606</v>
      </c>
      <c r="F217" s="170"/>
    </row>
    <row r="218" spans="2:6" ht="15" x14ac:dyDescent="0.25">
      <c r="B218" s="169"/>
      <c r="C218" s="679">
        <v>3047090</v>
      </c>
      <c r="D218" s="677">
        <v>1</v>
      </c>
      <c r="E218" s="678" t="s">
        <v>607</v>
      </c>
      <c r="F218" s="170"/>
    </row>
    <row r="219" spans="2:6" ht="15" x14ac:dyDescent="0.25">
      <c r="B219" s="169"/>
      <c r="C219" s="679">
        <v>3047091</v>
      </c>
      <c r="D219" s="677">
        <v>9</v>
      </c>
      <c r="E219" s="678" t="s">
        <v>608</v>
      </c>
      <c r="F219" s="170"/>
    </row>
    <row r="220" spans="2:6" ht="15" x14ac:dyDescent="0.25">
      <c r="B220" s="169"/>
      <c r="C220" s="679">
        <v>3047092</v>
      </c>
      <c r="D220" s="677">
        <v>7</v>
      </c>
      <c r="E220" s="678" t="s">
        <v>609</v>
      </c>
      <c r="F220" s="170"/>
    </row>
    <row r="221" spans="2:6" ht="15" x14ac:dyDescent="0.25">
      <c r="B221" s="169"/>
      <c r="C221" s="679">
        <v>3047093</v>
      </c>
      <c r="D221" s="677">
        <v>5</v>
      </c>
      <c r="E221" s="678" t="s">
        <v>610</v>
      </c>
      <c r="F221" s="170"/>
    </row>
    <row r="222" spans="2:6" ht="15" x14ac:dyDescent="0.25">
      <c r="B222" s="169"/>
      <c r="C222" s="679">
        <v>3106794</v>
      </c>
      <c r="D222" s="677">
        <v>8</v>
      </c>
      <c r="E222" s="678" t="s">
        <v>611</v>
      </c>
      <c r="F222" s="170"/>
    </row>
    <row r="223" spans="2:6" ht="15" x14ac:dyDescent="0.25">
      <c r="B223" s="169"/>
      <c r="C223" s="679">
        <v>3155481</v>
      </c>
      <c r="D223" s="677">
        <v>4</v>
      </c>
      <c r="E223" s="678" t="s">
        <v>612</v>
      </c>
      <c r="F223" s="170"/>
    </row>
    <row r="224" spans="2:6" ht="15" x14ac:dyDescent="0.25">
      <c r="B224" s="169"/>
      <c r="C224" s="679">
        <v>3076289</v>
      </c>
      <c r="D224" s="677">
        <v>8</v>
      </c>
      <c r="E224" s="678" t="s">
        <v>613</v>
      </c>
      <c r="F224" s="170"/>
    </row>
    <row r="225" spans="2:6" ht="15" x14ac:dyDescent="0.25">
      <c r="B225" s="169"/>
      <c r="C225" s="679">
        <v>3275591</v>
      </c>
      <c r="D225" s="677">
        <v>1</v>
      </c>
      <c r="E225" s="678" t="s">
        <v>8234</v>
      </c>
      <c r="F225" s="170"/>
    </row>
    <row r="226" spans="2:6" ht="15" x14ac:dyDescent="0.25">
      <c r="B226" s="169"/>
      <c r="C226" s="679">
        <v>3069176</v>
      </c>
      <c r="D226" s="677">
        <v>1</v>
      </c>
      <c r="E226" s="678" t="s">
        <v>614</v>
      </c>
      <c r="F226" s="170"/>
    </row>
    <row r="227" spans="2:6" ht="15" x14ac:dyDescent="0.25">
      <c r="B227" s="169"/>
      <c r="C227" s="679">
        <v>3047094</v>
      </c>
      <c r="D227" s="677">
        <v>3</v>
      </c>
      <c r="E227" s="678" t="s">
        <v>615</v>
      </c>
      <c r="F227" s="170"/>
    </row>
    <row r="228" spans="2:6" ht="15" x14ac:dyDescent="0.25">
      <c r="B228" s="169"/>
      <c r="C228" s="679">
        <v>2982061</v>
      </c>
      <c r="D228" s="677">
        <v>8</v>
      </c>
      <c r="E228" s="678" t="s">
        <v>616</v>
      </c>
      <c r="F228" s="170"/>
    </row>
    <row r="229" spans="2:6" ht="15" x14ac:dyDescent="0.25">
      <c r="B229" s="169"/>
      <c r="C229" s="679">
        <v>3073721</v>
      </c>
      <c r="D229" s="677">
        <v>4</v>
      </c>
      <c r="E229" s="678" t="s">
        <v>617</v>
      </c>
      <c r="F229" s="170"/>
    </row>
    <row r="230" spans="2:6" ht="15" x14ac:dyDescent="0.25">
      <c r="B230" s="169"/>
      <c r="C230" s="679">
        <v>2962168</v>
      </c>
      <c r="D230" s="677">
        <v>2</v>
      </c>
      <c r="E230" s="678" t="s">
        <v>618</v>
      </c>
      <c r="F230" s="170"/>
    </row>
    <row r="231" spans="2:6" ht="15" x14ac:dyDescent="0.25">
      <c r="B231" s="169"/>
      <c r="C231" s="679">
        <v>3047095</v>
      </c>
      <c r="D231" s="677">
        <v>1</v>
      </c>
      <c r="E231" s="678" t="s">
        <v>619</v>
      </c>
      <c r="F231" s="170"/>
    </row>
    <row r="232" spans="2:6" ht="15" x14ac:dyDescent="0.25">
      <c r="B232" s="169"/>
      <c r="C232" s="679">
        <v>3229634</v>
      </c>
      <c r="D232" s="677">
        <v>7</v>
      </c>
      <c r="E232" s="678" t="s">
        <v>8235</v>
      </c>
      <c r="F232" s="170"/>
    </row>
    <row r="233" spans="2:6" ht="15" x14ac:dyDescent="0.25">
      <c r="B233" s="169"/>
      <c r="C233" s="679">
        <v>3047096</v>
      </c>
      <c r="D233" s="677">
        <v>0</v>
      </c>
      <c r="E233" s="678" t="s">
        <v>620</v>
      </c>
      <c r="F233" s="170"/>
    </row>
    <row r="234" spans="2:6" ht="15" x14ac:dyDescent="0.25">
      <c r="B234" s="169"/>
      <c r="C234" s="679">
        <v>3047097</v>
      </c>
      <c r="D234" s="677">
        <v>8</v>
      </c>
      <c r="E234" s="678" t="s">
        <v>621</v>
      </c>
      <c r="F234" s="170"/>
    </row>
    <row r="235" spans="2:6" ht="15" x14ac:dyDescent="0.25">
      <c r="B235" s="169"/>
      <c r="C235" s="679">
        <v>3047098</v>
      </c>
      <c r="D235" s="677">
        <v>6</v>
      </c>
      <c r="E235" s="678" t="s">
        <v>622</v>
      </c>
      <c r="F235" s="170"/>
    </row>
    <row r="236" spans="2:6" ht="15" x14ac:dyDescent="0.25">
      <c r="B236" s="169"/>
      <c r="C236" s="679">
        <v>3047099</v>
      </c>
      <c r="D236" s="677">
        <v>4</v>
      </c>
      <c r="E236" s="678" t="s">
        <v>623</v>
      </c>
      <c r="F236" s="170"/>
    </row>
    <row r="237" spans="2:6" ht="15" x14ac:dyDescent="0.25">
      <c r="B237" s="169"/>
      <c r="C237" s="679">
        <v>3047100</v>
      </c>
      <c r="D237" s="677">
        <v>1</v>
      </c>
      <c r="E237" s="678" t="s">
        <v>624</v>
      </c>
      <c r="F237" s="170"/>
    </row>
    <row r="238" spans="2:6" ht="15" x14ac:dyDescent="0.25">
      <c r="B238" s="169"/>
      <c r="C238" s="679">
        <v>3047101</v>
      </c>
      <c r="D238" s="677">
        <v>0</v>
      </c>
      <c r="E238" s="678" t="s">
        <v>625</v>
      </c>
      <c r="F238" s="170"/>
    </row>
    <row r="239" spans="2:6" ht="15" x14ac:dyDescent="0.25">
      <c r="B239" s="169"/>
      <c r="C239" s="679">
        <v>3047102</v>
      </c>
      <c r="D239" s="677">
        <v>8</v>
      </c>
      <c r="E239" s="678" t="s">
        <v>626</v>
      </c>
      <c r="F239" s="170"/>
    </row>
    <row r="240" spans="2:6" ht="15" x14ac:dyDescent="0.25">
      <c r="B240" s="169"/>
      <c r="C240" s="679">
        <v>3047103</v>
      </c>
      <c r="D240" s="677">
        <v>6</v>
      </c>
      <c r="E240" s="678" t="s">
        <v>627</v>
      </c>
      <c r="F240" s="170"/>
    </row>
    <row r="241" spans="2:6" ht="15" x14ac:dyDescent="0.25">
      <c r="B241" s="169"/>
      <c r="C241" s="679">
        <v>3047104</v>
      </c>
      <c r="D241" s="677">
        <v>4</v>
      </c>
      <c r="E241" s="678" t="s">
        <v>628</v>
      </c>
      <c r="F241" s="170"/>
    </row>
    <row r="242" spans="2:6" ht="15" x14ac:dyDescent="0.25">
      <c r="B242" s="169"/>
      <c r="C242" s="679">
        <v>3047105</v>
      </c>
      <c r="D242" s="677">
        <v>2</v>
      </c>
      <c r="E242" s="678" t="s">
        <v>629</v>
      </c>
      <c r="F242" s="170"/>
    </row>
    <row r="243" spans="2:6" ht="15" x14ac:dyDescent="0.25">
      <c r="B243" s="169"/>
      <c r="C243" s="679">
        <v>3047106</v>
      </c>
      <c r="D243" s="677">
        <v>1</v>
      </c>
      <c r="E243" s="678" t="s">
        <v>630</v>
      </c>
      <c r="F243" s="170"/>
    </row>
    <row r="244" spans="2:6" ht="15" x14ac:dyDescent="0.25">
      <c r="B244" s="169"/>
      <c r="C244" s="679">
        <v>3047107</v>
      </c>
      <c r="D244" s="677">
        <v>9</v>
      </c>
      <c r="E244" s="678" t="s">
        <v>631</v>
      </c>
      <c r="F244" s="170"/>
    </row>
    <row r="245" spans="2:6" ht="15" x14ac:dyDescent="0.25">
      <c r="B245" s="169"/>
      <c r="C245" s="679">
        <v>3047108</v>
      </c>
      <c r="D245" s="677">
        <v>7</v>
      </c>
      <c r="E245" s="678" t="s">
        <v>632</v>
      </c>
      <c r="F245" s="170"/>
    </row>
    <row r="246" spans="2:6" ht="15" x14ac:dyDescent="0.25">
      <c r="B246" s="169"/>
      <c r="C246" s="679">
        <v>3047109</v>
      </c>
      <c r="D246" s="677">
        <v>5</v>
      </c>
      <c r="E246" s="678" t="s">
        <v>633</v>
      </c>
      <c r="F246" s="170"/>
    </row>
    <row r="247" spans="2:6" ht="15" x14ac:dyDescent="0.25">
      <c r="B247" s="169"/>
      <c r="C247" s="679">
        <v>3047110</v>
      </c>
      <c r="D247" s="677">
        <v>9</v>
      </c>
      <c r="E247" s="678" t="s">
        <v>634</v>
      </c>
      <c r="F247" s="170"/>
    </row>
    <row r="248" spans="2:6" ht="15" x14ac:dyDescent="0.25">
      <c r="B248" s="169"/>
      <c r="C248" s="679">
        <v>3047111</v>
      </c>
      <c r="D248" s="677">
        <v>7</v>
      </c>
      <c r="E248" s="678" t="s">
        <v>635</v>
      </c>
      <c r="F248" s="170"/>
    </row>
    <row r="249" spans="2:6" ht="15" x14ac:dyDescent="0.25">
      <c r="B249" s="169"/>
      <c r="C249" s="679">
        <v>3212280</v>
      </c>
      <c r="D249" s="677">
        <v>2</v>
      </c>
      <c r="E249" s="678" t="s">
        <v>8236</v>
      </c>
      <c r="F249" s="170"/>
    </row>
    <row r="250" spans="2:6" ht="15" x14ac:dyDescent="0.25">
      <c r="B250" s="169"/>
      <c r="C250" s="679">
        <v>3047112</v>
      </c>
      <c r="D250" s="677">
        <v>5</v>
      </c>
      <c r="E250" s="678" t="s">
        <v>636</v>
      </c>
      <c r="F250" s="170"/>
    </row>
    <row r="251" spans="2:6" ht="15" x14ac:dyDescent="0.25">
      <c r="B251" s="169"/>
      <c r="C251" s="679">
        <v>3186614</v>
      </c>
      <c r="D251" s="677">
        <v>0</v>
      </c>
      <c r="E251" s="678" t="s">
        <v>637</v>
      </c>
      <c r="F251" s="170"/>
    </row>
    <row r="252" spans="2:6" ht="15" x14ac:dyDescent="0.25">
      <c r="B252" s="169"/>
      <c r="C252" s="679">
        <v>3047113</v>
      </c>
      <c r="D252" s="677">
        <v>3</v>
      </c>
      <c r="E252" s="678" t="s">
        <v>638</v>
      </c>
      <c r="F252" s="170"/>
    </row>
    <row r="253" spans="2:6" ht="15" x14ac:dyDescent="0.25">
      <c r="B253" s="169"/>
      <c r="C253" s="679">
        <v>3047114</v>
      </c>
      <c r="D253" s="677">
        <v>1</v>
      </c>
      <c r="E253" s="678" t="s">
        <v>639</v>
      </c>
      <c r="F253" s="170"/>
    </row>
    <row r="254" spans="2:6" ht="15" x14ac:dyDescent="0.25">
      <c r="B254" s="169"/>
      <c r="C254" s="679">
        <v>3047115</v>
      </c>
      <c r="D254" s="677">
        <v>0</v>
      </c>
      <c r="E254" s="678" t="s">
        <v>640</v>
      </c>
      <c r="F254" s="170"/>
    </row>
    <row r="255" spans="2:6" ht="15" x14ac:dyDescent="0.25">
      <c r="B255" s="169"/>
      <c r="C255" s="679">
        <v>3075271</v>
      </c>
      <c r="D255" s="677">
        <v>0</v>
      </c>
      <c r="E255" s="678" t="s">
        <v>641</v>
      </c>
      <c r="F255" s="170"/>
    </row>
    <row r="256" spans="2:6" ht="15" x14ac:dyDescent="0.25">
      <c r="B256" s="169"/>
      <c r="C256" s="679">
        <v>3276718</v>
      </c>
      <c r="D256" s="677">
        <v>8</v>
      </c>
      <c r="E256" s="678" t="s">
        <v>8237</v>
      </c>
      <c r="F256" s="170"/>
    </row>
    <row r="257" spans="2:6" ht="15" x14ac:dyDescent="0.25">
      <c r="B257" s="169"/>
      <c r="C257" s="679">
        <v>3163922</v>
      </c>
      <c r="D257" s="677">
        <v>4</v>
      </c>
      <c r="E257" s="678" t="s">
        <v>642</v>
      </c>
      <c r="F257" s="170"/>
    </row>
    <row r="258" spans="2:6" ht="15" x14ac:dyDescent="0.25">
      <c r="B258" s="169"/>
      <c r="C258" s="679">
        <v>3047116</v>
      </c>
      <c r="D258" s="677">
        <v>8</v>
      </c>
      <c r="E258" s="678" t="s">
        <v>643</v>
      </c>
      <c r="F258" s="170"/>
    </row>
    <row r="259" spans="2:6" ht="15" x14ac:dyDescent="0.25">
      <c r="B259" s="169"/>
      <c r="C259" s="679">
        <v>3047117</v>
      </c>
      <c r="D259" s="677">
        <v>6</v>
      </c>
      <c r="E259" s="678" t="s">
        <v>644</v>
      </c>
      <c r="F259" s="170"/>
    </row>
    <row r="260" spans="2:6" ht="15" x14ac:dyDescent="0.25">
      <c r="B260" s="169"/>
      <c r="C260" s="679">
        <v>3047118</v>
      </c>
      <c r="D260" s="677">
        <v>4</v>
      </c>
      <c r="E260" s="678" t="s">
        <v>645</v>
      </c>
      <c r="F260" s="170"/>
    </row>
    <row r="261" spans="2:6" ht="15" x14ac:dyDescent="0.25">
      <c r="B261" s="169"/>
      <c r="C261" s="679">
        <v>3047119</v>
      </c>
      <c r="D261" s="677">
        <v>2</v>
      </c>
      <c r="E261" s="678" t="s">
        <v>646</v>
      </c>
      <c r="F261" s="170"/>
    </row>
    <row r="262" spans="2:6" ht="15" x14ac:dyDescent="0.25">
      <c r="B262" s="169"/>
      <c r="C262" s="679">
        <v>3047120</v>
      </c>
      <c r="D262" s="677">
        <v>6</v>
      </c>
      <c r="E262" s="678" t="s">
        <v>647</v>
      </c>
      <c r="F262" s="170"/>
    </row>
    <row r="263" spans="2:6" ht="15" x14ac:dyDescent="0.25">
      <c r="B263" s="169"/>
      <c r="C263" s="679">
        <v>3047121</v>
      </c>
      <c r="D263" s="677">
        <v>4</v>
      </c>
      <c r="E263" s="678" t="s">
        <v>648</v>
      </c>
      <c r="F263" s="170"/>
    </row>
    <row r="264" spans="2:6" ht="15" x14ac:dyDescent="0.25">
      <c r="B264" s="169"/>
      <c r="C264" s="679">
        <v>3047122</v>
      </c>
      <c r="D264" s="677">
        <v>2</v>
      </c>
      <c r="E264" s="678" t="s">
        <v>649</v>
      </c>
      <c r="F264" s="170"/>
    </row>
    <row r="265" spans="2:6" ht="15" x14ac:dyDescent="0.25">
      <c r="B265" s="169"/>
      <c r="C265" s="679">
        <v>3047123</v>
      </c>
      <c r="D265" s="677">
        <v>1</v>
      </c>
      <c r="E265" s="678" t="s">
        <v>650</v>
      </c>
      <c r="F265" s="170"/>
    </row>
    <row r="266" spans="2:6" ht="15" x14ac:dyDescent="0.25">
      <c r="B266" s="169"/>
      <c r="C266" s="679">
        <v>3047124</v>
      </c>
      <c r="D266" s="677">
        <v>9</v>
      </c>
      <c r="E266" s="678" t="s">
        <v>651</v>
      </c>
      <c r="F266" s="170"/>
    </row>
    <row r="267" spans="2:6" ht="15" x14ac:dyDescent="0.25">
      <c r="B267" s="169"/>
      <c r="C267" s="679">
        <v>3047125</v>
      </c>
      <c r="D267" s="677">
        <v>7</v>
      </c>
      <c r="E267" s="678" t="s">
        <v>652</v>
      </c>
      <c r="F267" s="170"/>
    </row>
    <row r="268" spans="2:6" ht="15" x14ac:dyDescent="0.25">
      <c r="B268" s="169"/>
      <c r="C268" s="679">
        <v>3047126</v>
      </c>
      <c r="D268" s="677">
        <v>5</v>
      </c>
      <c r="E268" s="678" t="s">
        <v>653</v>
      </c>
      <c r="F268" s="170"/>
    </row>
    <row r="269" spans="2:6" ht="15" x14ac:dyDescent="0.25">
      <c r="B269" s="169"/>
      <c r="C269" s="679">
        <v>3047127</v>
      </c>
      <c r="D269" s="677">
        <v>3</v>
      </c>
      <c r="E269" s="678" t="s">
        <v>654</v>
      </c>
      <c r="F269" s="170"/>
    </row>
    <row r="270" spans="2:6" ht="15" x14ac:dyDescent="0.25">
      <c r="B270" s="169"/>
      <c r="C270" s="679">
        <v>3047128</v>
      </c>
      <c r="D270" s="677">
        <v>1</v>
      </c>
      <c r="E270" s="678" t="s">
        <v>655</v>
      </c>
      <c r="F270" s="170"/>
    </row>
    <row r="271" spans="2:6" ht="15" x14ac:dyDescent="0.25">
      <c r="B271" s="169"/>
      <c r="C271" s="679">
        <v>3047129</v>
      </c>
      <c r="D271" s="677">
        <v>0</v>
      </c>
      <c r="E271" s="678" t="s">
        <v>656</v>
      </c>
      <c r="F271" s="170"/>
    </row>
    <row r="272" spans="2:6" ht="15" x14ac:dyDescent="0.25">
      <c r="B272" s="169"/>
      <c r="C272" s="679">
        <v>3114280</v>
      </c>
      <c r="D272" s="677">
        <v>0</v>
      </c>
      <c r="E272" s="678" t="s">
        <v>657</v>
      </c>
      <c r="F272" s="170"/>
    </row>
    <row r="273" spans="2:6" ht="15" x14ac:dyDescent="0.25">
      <c r="B273" s="169"/>
      <c r="C273" s="679">
        <v>3047130</v>
      </c>
      <c r="D273" s="677">
        <v>3</v>
      </c>
      <c r="E273" s="678" t="s">
        <v>658</v>
      </c>
      <c r="F273" s="170"/>
    </row>
    <row r="274" spans="2:6" ht="15" x14ac:dyDescent="0.25">
      <c r="B274" s="169"/>
      <c r="C274" s="679">
        <v>3047131</v>
      </c>
      <c r="D274" s="677">
        <v>1</v>
      </c>
      <c r="E274" s="678" t="s">
        <v>659</v>
      </c>
      <c r="F274" s="170"/>
    </row>
    <row r="275" spans="2:6" ht="15" x14ac:dyDescent="0.25">
      <c r="B275" s="169"/>
      <c r="C275" s="679">
        <v>3047132</v>
      </c>
      <c r="D275" s="677">
        <v>0</v>
      </c>
      <c r="E275" s="678" t="s">
        <v>660</v>
      </c>
      <c r="F275" s="170"/>
    </row>
    <row r="276" spans="2:6" ht="15" x14ac:dyDescent="0.25">
      <c r="B276" s="169"/>
      <c r="C276" s="679">
        <v>3047133</v>
      </c>
      <c r="D276" s="677">
        <v>8</v>
      </c>
      <c r="E276" s="678" t="s">
        <v>661</v>
      </c>
      <c r="F276" s="170"/>
    </row>
    <row r="277" spans="2:6" ht="15" x14ac:dyDescent="0.25">
      <c r="B277" s="169"/>
      <c r="C277" s="679">
        <v>3047134</v>
      </c>
      <c r="D277" s="677">
        <v>6</v>
      </c>
      <c r="E277" s="678" t="s">
        <v>662</v>
      </c>
      <c r="F277" s="170"/>
    </row>
    <row r="278" spans="2:6" ht="15" x14ac:dyDescent="0.25">
      <c r="B278" s="169"/>
      <c r="C278" s="679">
        <v>3047135</v>
      </c>
      <c r="D278" s="677">
        <v>4</v>
      </c>
      <c r="E278" s="678" t="s">
        <v>663</v>
      </c>
      <c r="F278" s="170"/>
    </row>
    <row r="279" spans="2:6" ht="15" x14ac:dyDescent="0.25">
      <c r="B279" s="169"/>
      <c r="C279" s="679">
        <v>3047136</v>
      </c>
      <c r="D279" s="677">
        <v>2</v>
      </c>
      <c r="E279" s="678" t="s">
        <v>664</v>
      </c>
      <c r="F279" s="170"/>
    </row>
    <row r="280" spans="2:6" ht="15" x14ac:dyDescent="0.25">
      <c r="B280" s="169"/>
      <c r="C280" s="679">
        <v>3047137</v>
      </c>
      <c r="D280" s="677">
        <v>1</v>
      </c>
      <c r="E280" s="678" t="s">
        <v>665</v>
      </c>
      <c r="F280" s="170"/>
    </row>
    <row r="281" spans="2:6" ht="15" x14ac:dyDescent="0.25">
      <c r="B281" s="169"/>
      <c r="C281" s="679">
        <v>3047138</v>
      </c>
      <c r="D281" s="677">
        <v>9</v>
      </c>
      <c r="E281" s="678" t="s">
        <v>666</v>
      </c>
      <c r="F281" s="170"/>
    </row>
    <row r="282" spans="2:6" ht="15" x14ac:dyDescent="0.25">
      <c r="B282" s="169"/>
      <c r="C282" s="679">
        <v>3047139</v>
      </c>
      <c r="D282" s="677">
        <v>7</v>
      </c>
      <c r="E282" s="678" t="s">
        <v>667</v>
      </c>
      <c r="F282" s="170"/>
    </row>
    <row r="283" spans="2:6" ht="15" x14ac:dyDescent="0.25">
      <c r="B283" s="169"/>
      <c r="C283" s="679">
        <v>3047140</v>
      </c>
      <c r="D283" s="677">
        <v>1</v>
      </c>
      <c r="E283" s="678" t="s">
        <v>668</v>
      </c>
      <c r="F283" s="170"/>
    </row>
    <row r="284" spans="2:6" ht="15" x14ac:dyDescent="0.25">
      <c r="B284" s="169"/>
      <c r="C284" s="679">
        <v>3047141</v>
      </c>
      <c r="D284" s="677">
        <v>9</v>
      </c>
      <c r="E284" s="678" t="s">
        <v>669</v>
      </c>
      <c r="F284" s="170"/>
    </row>
    <row r="285" spans="2:6" ht="15" x14ac:dyDescent="0.25">
      <c r="B285" s="169"/>
      <c r="C285" s="679">
        <v>3047142</v>
      </c>
      <c r="D285" s="677">
        <v>7</v>
      </c>
      <c r="E285" s="678" t="s">
        <v>670</v>
      </c>
      <c r="F285" s="170"/>
    </row>
    <row r="286" spans="2:6" ht="15" x14ac:dyDescent="0.25">
      <c r="B286" s="169"/>
      <c r="C286" s="679">
        <v>3047143</v>
      </c>
      <c r="D286" s="677">
        <v>5</v>
      </c>
      <c r="E286" s="678" t="s">
        <v>671</v>
      </c>
      <c r="F286" s="170"/>
    </row>
    <row r="287" spans="2:6" ht="15" x14ac:dyDescent="0.25">
      <c r="B287" s="169"/>
      <c r="C287" s="679">
        <v>3047144</v>
      </c>
      <c r="D287" s="677">
        <v>3</v>
      </c>
      <c r="E287" s="678" t="s">
        <v>672</v>
      </c>
      <c r="F287" s="170"/>
    </row>
    <row r="288" spans="2:6" ht="15" x14ac:dyDescent="0.25">
      <c r="B288" s="169"/>
      <c r="C288" s="679">
        <v>3047145</v>
      </c>
      <c r="D288" s="677">
        <v>1</v>
      </c>
      <c r="E288" s="678" t="s">
        <v>673</v>
      </c>
      <c r="F288" s="170"/>
    </row>
    <row r="289" spans="2:6" ht="15" x14ac:dyDescent="0.25">
      <c r="B289" s="169"/>
      <c r="C289" s="679">
        <v>3047146</v>
      </c>
      <c r="D289" s="677">
        <v>0</v>
      </c>
      <c r="E289" s="678" t="s">
        <v>674</v>
      </c>
      <c r="F289" s="170"/>
    </row>
    <row r="290" spans="2:6" ht="15" x14ac:dyDescent="0.25">
      <c r="B290" s="169"/>
      <c r="C290" s="679">
        <v>3047147</v>
      </c>
      <c r="D290" s="677">
        <v>8</v>
      </c>
      <c r="E290" s="678" t="s">
        <v>675</v>
      </c>
      <c r="F290" s="170"/>
    </row>
    <row r="291" spans="2:6" ht="15" x14ac:dyDescent="0.25">
      <c r="B291" s="169"/>
      <c r="C291" s="679">
        <v>3047148</v>
      </c>
      <c r="D291" s="677">
        <v>6</v>
      </c>
      <c r="E291" s="678" t="s">
        <v>676</v>
      </c>
      <c r="F291" s="170"/>
    </row>
    <row r="292" spans="2:6" ht="15" x14ac:dyDescent="0.25">
      <c r="B292" s="169"/>
      <c r="C292" s="679">
        <v>3047149</v>
      </c>
      <c r="D292" s="677">
        <v>4</v>
      </c>
      <c r="E292" s="678" t="s">
        <v>677</v>
      </c>
      <c r="F292" s="170"/>
    </row>
    <row r="293" spans="2:6" ht="15" x14ac:dyDescent="0.25">
      <c r="B293" s="169"/>
      <c r="C293" s="679">
        <v>3047150</v>
      </c>
      <c r="D293" s="677">
        <v>8</v>
      </c>
      <c r="E293" s="678" t="s">
        <v>678</v>
      </c>
      <c r="F293" s="170"/>
    </row>
    <row r="294" spans="2:6" ht="15" x14ac:dyDescent="0.25">
      <c r="B294" s="169"/>
      <c r="C294" s="679">
        <v>3047151</v>
      </c>
      <c r="D294" s="677">
        <v>6</v>
      </c>
      <c r="E294" s="678" t="s">
        <v>679</v>
      </c>
      <c r="F294" s="170"/>
    </row>
    <row r="295" spans="2:6" ht="15" x14ac:dyDescent="0.25">
      <c r="B295" s="169"/>
      <c r="C295" s="679">
        <v>3253890</v>
      </c>
      <c r="D295" s="677">
        <v>1</v>
      </c>
      <c r="E295" s="678" t="s">
        <v>8238</v>
      </c>
      <c r="F295" s="170"/>
    </row>
    <row r="296" spans="2:6" ht="15" x14ac:dyDescent="0.25">
      <c r="B296" s="169"/>
      <c r="C296" s="679">
        <v>3047152</v>
      </c>
      <c r="D296" s="677">
        <v>4</v>
      </c>
      <c r="E296" s="678" t="s">
        <v>680</v>
      </c>
      <c r="F296" s="170"/>
    </row>
    <row r="297" spans="2:6" ht="15" x14ac:dyDescent="0.25">
      <c r="B297" s="169"/>
      <c r="C297" s="679">
        <v>3047153</v>
      </c>
      <c r="D297" s="677">
        <v>2</v>
      </c>
      <c r="E297" s="678" t="s">
        <v>681</v>
      </c>
      <c r="F297" s="170"/>
    </row>
    <row r="298" spans="2:6" ht="15" x14ac:dyDescent="0.25">
      <c r="B298" s="169"/>
      <c r="C298" s="679">
        <v>3047154</v>
      </c>
      <c r="D298" s="677">
        <v>1</v>
      </c>
      <c r="E298" s="678" t="s">
        <v>682</v>
      </c>
      <c r="F298" s="170"/>
    </row>
    <row r="299" spans="2:6" ht="15" x14ac:dyDescent="0.25">
      <c r="B299" s="169"/>
      <c r="C299" s="679">
        <v>2962409</v>
      </c>
      <c r="D299" s="677">
        <v>6</v>
      </c>
      <c r="E299" s="678" t="s">
        <v>683</v>
      </c>
      <c r="F299" s="170"/>
    </row>
    <row r="300" spans="2:6" ht="15" x14ac:dyDescent="0.25">
      <c r="B300" s="169"/>
      <c r="C300" s="679">
        <v>2962410</v>
      </c>
      <c r="D300" s="677">
        <v>0</v>
      </c>
      <c r="E300" s="678" t="s">
        <v>684</v>
      </c>
      <c r="F300" s="170"/>
    </row>
    <row r="301" spans="2:6" ht="15" x14ac:dyDescent="0.25">
      <c r="B301" s="169"/>
      <c r="C301" s="679">
        <v>2962412</v>
      </c>
      <c r="D301" s="677">
        <v>6</v>
      </c>
      <c r="E301" s="678" t="s">
        <v>685</v>
      </c>
      <c r="F301" s="170"/>
    </row>
    <row r="302" spans="2:6" ht="15" x14ac:dyDescent="0.25">
      <c r="B302" s="169"/>
      <c r="C302" s="679">
        <v>2961102</v>
      </c>
      <c r="D302" s="677">
        <v>4</v>
      </c>
      <c r="E302" s="678" t="s">
        <v>686</v>
      </c>
      <c r="F302" s="170"/>
    </row>
    <row r="303" spans="2:6" ht="15" x14ac:dyDescent="0.25">
      <c r="B303" s="169"/>
      <c r="C303" s="679">
        <v>2962413</v>
      </c>
      <c r="D303" s="677">
        <v>4</v>
      </c>
      <c r="E303" s="678" t="s">
        <v>687</v>
      </c>
      <c r="F303" s="170"/>
    </row>
    <row r="304" spans="2:6" ht="15" x14ac:dyDescent="0.25">
      <c r="B304" s="169"/>
      <c r="C304" s="679">
        <v>2962328</v>
      </c>
      <c r="D304" s="677">
        <v>6</v>
      </c>
      <c r="E304" s="678" t="s">
        <v>688</v>
      </c>
      <c r="F304" s="170"/>
    </row>
    <row r="305" spans="2:6" ht="15" x14ac:dyDescent="0.25">
      <c r="B305" s="169"/>
      <c r="C305" s="679">
        <v>2962414</v>
      </c>
      <c r="D305" s="677">
        <v>2</v>
      </c>
      <c r="E305" s="678" t="s">
        <v>689</v>
      </c>
      <c r="F305" s="170"/>
    </row>
    <row r="306" spans="2:6" ht="15" x14ac:dyDescent="0.25">
      <c r="B306" s="169"/>
      <c r="C306" s="679">
        <v>2962415</v>
      </c>
      <c r="D306" s="677">
        <v>1</v>
      </c>
      <c r="E306" s="678" t="s">
        <v>690</v>
      </c>
      <c r="F306" s="170"/>
    </row>
    <row r="307" spans="2:6" ht="15" x14ac:dyDescent="0.25">
      <c r="B307" s="169"/>
      <c r="C307" s="679">
        <v>2961103</v>
      </c>
      <c r="D307" s="677">
        <v>2</v>
      </c>
      <c r="E307" s="678" t="s">
        <v>691</v>
      </c>
      <c r="F307" s="170"/>
    </row>
    <row r="308" spans="2:6" ht="15" x14ac:dyDescent="0.25">
      <c r="B308" s="169"/>
      <c r="C308" s="679">
        <v>2961104</v>
      </c>
      <c r="D308" s="677">
        <v>1</v>
      </c>
      <c r="E308" s="678" t="s">
        <v>692</v>
      </c>
      <c r="F308" s="170"/>
    </row>
    <row r="309" spans="2:6" ht="15" x14ac:dyDescent="0.25">
      <c r="B309" s="169"/>
      <c r="C309" s="679">
        <v>2961105</v>
      </c>
      <c r="D309" s="677">
        <v>9</v>
      </c>
      <c r="E309" s="678" t="s">
        <v>693</v>
      </c>
      <c r="F309" s="170"/>
    </row>
    <row r="310" spans="2:6" ht="15" x14ac:dyDescent="0.25">
      <c r="B310" s="169"/>
      <c r="C310" s="679">
        <v>2962416</v>
      </c>
      <c r="D310" s="677">
        <v>9</v>
      </c>
      <c r="E310" s="678" t="s">
        <v>694</v>
      </c>
      <c r="F310" s="170"/>
    </row>
    <row r="311" spans="2:6" ht="15" x14ac:dyDescent="0.25">
      <c r="B311" s="169"/>
      <c r="C311" s="679">
        <v>2962417</v>
      </c>
      <c r="D311" s="677">
        <v>7</v>
      </c>
      <c r="E311" s="678" t="s">
        <v>695</v>
      </c>
      <c r="F311" s="170"/>
    </row>
    <row r="312" spans="2:6" ht="15" x14ac:dyDescent="0.25">
      <c r="B312" s="169"/>
      <c r="C312" s="679">
        <v>2962418</v>
      </c>
      <c r="D312" s="677">
        <v>5</v>
      </c>
      <c r="E312" s="678" t="s">
        <v>696</v>
      </c>
      <c r="F312" s="170"/>
    </row>
    <row r="313" spans="2:6" ht="15" x14ac:dyDescent="0.25">
      <c r="B313" s="169"/>
      <c r="C313" s="679">
        <v>2961106</v>
      </c>
      <c r="D313" s="677">
        <v>7</v>
      </c>
      <c r="E313" s="678" t="s">
        <v>697</v>
      </c>
      <c r="F313" s="170"/>
    </row>
    <row r="314" spans="2:6" ht="15" x14ac:dyDescent="0.25">
      <c r="B314" s="169"/>
      <c r="C314" s="679">
        <v>2962419</v>
      </c>
      <c r="D314" s="677">
        <v>3</v>
      </c>
      <c r="E314" s="678" t="s">
        <v>698</v>
      </c>
      <c r="F314" s="170"/>
    </row>
    <row r="315" spans="2:6" ht="15" x14ac:dyDescent="0.25">
      <c r="B315" s="169"/>
      <c r="C315" s="679">
        <v>2962420</v>
      </c>
      <c r="D315" s="677">
        <v>7</v>
      </c>
      <c r="E315" s="678" t="s">
        <v>699</v>
      </c>
      <c r="F315" s="170"/>
    </row>
    <row r="316" spans="2:6" ht="15" x14ac:dyDescent="0.25">
      <c r="B316" s="169"/>
      <c r="C316" s="679">
        <v>2962421</v>
      </c>
      <c r="D316" s="677">
        <v>5</v>
      </c>
      <c r="E316" s="678" t="s">
        <v>700</v>
      </c>
      <c r="F316" s="170"/>
    </row>
    <row r="317" spans="2:6" ht="15" x14ac:dyDescent="0.25">
      <c r="B317" s="169"/>
      <c r="C317" s="679">
        <v>2962169</v>
      </c>
      <c r="D317" s="677">
        <v>1</v>
      </c>
      <c r="E317" s="678" t="s">
        <v>701</v>
      </c>
      <c r="F317" s="170"/>
    </row>
    <row r="318" spans="2:6" ht="15" x14ac:dyDescent="0.25">
      <c r="B318" s="169"/>
      <c r="C318" s="679">
        <v>2962411</v>
      </c>
      <c r="D318" s="677">
        <v>8</v>
      </c>
      <c r="E318" s="678" t="s">
        <v>702</v>
      </c>
      <c r="F318" s="170"/>
    </row>
    <row r="319" spans="2:6" ht="15" x14ac:dyDescent="0.25">
      <c r="B319" s="169"/>
      <c r="C319" s="679">
        <v>2962422</v>
      </c>
      <c r="D319" s="677">
        <v>3</v>
      </c>
      <c r="E319" s="678" t="s">
        <v>703</v>
      </c>
      <c r="F319" s="170"/>
    </row>
    <row r="320" spans="2:6" ht="15" x14ac:dyDescent="0.25">
      <c r="B320" s="169"/>
      <c r="C320" s="679">
        <v>2961107</v>
      </c>
      <c r="D320" s="677">
        <v>5</v>
      </c>
      <c r="E320" s="678" t="s">
        <v>704</v>
      </c>
      <c r="F320" s="170"/>
    </row>
    <row r="321" spans="2:6" ht="15" x14ac:dyDescent="0.25">
      <c r="B321" s="169"/>
      <c r="C321" s="679">
        <v>2962423</v>
      </c>
      <c r="D321" s="677">
        <v>1</v>
      </c>
      <c r="E321" s="678" t="s">
        <v>705</v>
      </c>
      <c r="F321" s="170"/>
    </row>
    <row r="322" spans="2:6" ht="15" x14ac:dyDescent="0.25">
      <c r="B322" s="169"/>
      <c r="C322" s="679">
        <v>2962424</v>
      </c>
      <c r="D322" s="677">
        <v>0</v>
      </c>
      <c r="E322" s="678" t="s">
        <v>706</v>
      </c>
      <c r="F322" s="170"/>
    </row>
    <row r="323" spans="2:6" ht="15" x14ac:dyDescent="0.25">
      <c r="B323" s="169"/>
      <c r="C323" s="679">
        <v>2962425</v>
      </c>
      <c r="D323" s="677">
        <v>8</v>
      </c>
      <c r="E323" s="678" t="s">
        <v>707</v>
      </c>
      <c r="F323" s="170"/>
    </row>
    <row r="324" spans="2:6" ht="15" x14ac:dyDescent="0.25">
      <c r="B324" s="169"/>
      <c r="C324" s="679">
        <v>2962426</v>
      </c>
      <c r="D324" s="677">
        <v>6</v>
      </c>
      <c r="E324" s="678" t="s">
        <v>708</v>
      </c>
      <c r="F324" s="170"/>
    </row>
    <row r="325" spans="2:6" ht="15" x14ac:dyDescent="0.25">
      <c r="B325" s="169"/>
      <c r="C325" s="679">
        <v>2962427</v>
      </c>
      <c r="D325" s="677">
        <v>4</v>
      </c>
      <c r="E325" s="678" t="s">
        <v>709</v>
      </c>
      <c r="F325" s="170"/>
    </row>
    <row r="326" spans="2:6" ht="15" x14ac:dyDescent="0.25">
      <c r="B326" s="169"/>
      <c r="C326" s="679">
        <v>2962428</v>
      </c>
      <c r="D326" s="677">
        <v>2</v>
      </c>
      <c r="E326" s="678" t="s">
        <v>710</v>
      </c>
      <c r="F326" s="170"/>
    </row>
    <row r="327" spans="2:6" ht="15" x14ac:dyDescent="0.25">
      <c r="B327" s="169"/>
      <c r="C327" s="679">
        <v>2962429</v>
      </c>
      <c r="D327" s="677">
        <v>1</v>
      </c>
      <c r="E327" s="678" t="s">
        <v>711</v>
      </c>
      <c r="F327" s="170"/>
    </row>
    <row r="328" spans="2:6" ht="15" x14ac:dyDescent="0.25">
      <c r="B328" s="169"/>
      <c r="C328" s="679">
        <v>2962430</v>
      </c>
      <c r="D328" s="677">
        <v>4</v>
      </c>
      <c r="E328" s="678" t="s">
        <v>712</v>
      </c>
      <c r="F328" s="170"/>
    </row>
    <row r="329" spans="2:6" ht="15" x14ac:dyDescent="0.25">
      <c r="B329" s="169"/>
      <c r="C329" s="679">
        <v>2962431</v>
      </c>
      <c r="D329" s="677">
        <v>2</v>
      </c>
      <c r="E329" s="678" t="s">
        <v>713</v>
      </c>
      <c r="F329" s="170"/>
    </row>
    <row r="330" spans="2:6" ht="15" x14ac:dyDescent="0.25">
      <c r="B330" s="169"/>
      <c r="C330" s="679">
        <v>2962432</v>
      </c>
      <c r="D330" s="677">
        <v>1</v>
      </c>
      <c r="E330" s="678" t="s">
        <v>714</v>
      </c>
      <c r="F330" s="170"/>
    </row>
    <row r="331" spans="2:6" ht="15" x14ac:dyDescent="0.25">
      <c r="B331" s="169"/>
      <c r="C331" s="679">
        <v>3047155</v>
      </c>
      <c r="D331" s="677">
        <v>9</v>
      </c>
      <c r="E331" s="678" t="s">
        <v>715</v>
      </c>
      <c r="F331" s="170"/>
    </row>
    <row r="332" spans="2:6" ht="15" x14ac:dyDescent="0.25">
      <c r="B332" s="169"/>
      <c r="C332" s="679">
        <v>3047156</v>
      </c>
      <c r="D332" s="677">
        <v>7</v>
      </c>
      <c r="E332" s="678" t="s">
        <v>716</v>
      </c>
      <c r="F332" s="170"/>
    </row>
    <row r="333" spans="2:6" ht="15" x14ac:dyDescent="0.25">
      <c r="B333" s="169"/>
      <c r="C333" s="679">
        <v>3047157</v>
      </c>
      <c r="D333" s="677">
        <v>5</v>
      </c>
      <c r="E333" s="678" t="s">
        <v>717</v>
      </c>
      <c r="F333" s="170"/>
    </row>
    <row r="334" spans="2:6" ht="15" x14ac:dyDescent="0.25">
      <c r="B334" s="169"/>
      <c r="C334" s="679">
        <v>3047158</v>
      </c>
      <c r="D334" s="677">
        <v>3</v>
      </c>
      <c r="E334" s="678" t="s">
        <v>718</v>
      </c>
      <c r="F334" s="170"/>
    </row>
    <row r="335" spans="2:6" ht="15" x14ac:dyDescent="0.25">
      <c r="B335" s="169"/>
      <c r="C335" s="679">
        <v>3047159</v>
      </c>
      <c r="D335" s="677">
        <v>1</v>
      </c>
      <c r="E335" s="678" t="s">
        <v>719</v>
      </c>
      <c r="F335" s="170"/>
    </row>
    <row r="336" spans="2:6" ht="15" x14ac:dyDescent="0.25">
      <c r="B336" s="169"/>
      <c r="C336" s="679">
        <v>3047160</v>
      </c>
      <c r="D336" s="677">
        <v>5</v>
      </c>
      <c r="E336" s="678" t="s">
        <v>720</v>
      </c>
      <c r="F336" s="170"/>
    </row>
    <row r="337" spans="2:6" ht="15" x14ac:dyDescent="0.25">
      <c r="B337" s="169"/>
      <c r="C337" s="679">
        <v>2982056</v>
      </c>
      <c r="D337" s="677">
        <v>1</v>
      </c>
      <c r="E337" s="678" t="s">
        <v>721</v>
      </c>
      <c r="F337" s="170"/>
    </row>
    <row r="338" spans="2:6" ht="15" x14ac:dyDescent="0.25">
      <c r="B338" s="169"/>
      <c r="C338" s="679">
        <v>3047161</v>
      </c>
      <c r="D338" s="677">
        <v>3</v>
      </c>
      <c r="E338" s="678" t="s">
        <v>722</v>
      </c>
      <c r="F338" s="170"/>
    </row>
    <row r="339" spans="2:6" ht="15" x14ac:dyDescent="0.25">
      <c r="B339" s="169"/>
      <c r="C339" s="679">
        <v>3047162</v>
      </c>
      <c r="D339" s="677">
        <v>1</v>
      </c>
      <c r="E339" s="678" t="s">
        <v>723</v>
      </c>
      <c r="F339" s="170"/>
    </row>
    <row r="340" spans="2:6" ht="15" x14ac:dyDescent="0.25">
      <c r="B340" s="169"/>
      <c r="C340" s="679">
        <v>3047163</v>
      </c>
      <c r="D340" s="677">
        <v>0</v>
      </c>
      <c r="E340" s="678" t="s">
        <v>724</v>
      </c>
      <c r="F340" s="170"/>
    </row>
    <row r="341" spans="2:6" ht="15" x14ac:dyDescent="0.25">
      <c r="B341" s="169"/>
      <c r="C341" s="679">
        <v>3047164</v>
      </c>
      <c r="D341" s="677">
        <v>8</v>
      </c>
      <c r="E341" s="678" t="s">
        <v>725</v>
      </c>
      <c r="F341" s="170"/>
    </row>
    <row r="342" spans="2:6" ht="15" x14ac:dyDescent="0.25">
      <c r="B342" s="169"/>
      <c r="C342" s="679">
        <v>3047165</v>
      </c>
      <c r="D342" s="677">
        <v>6</v>
      </c>
      <c r="E342" s="678" t="s">
        <v>726</v>
      </c>
      <c r="F342" s="170"/>
    </row>
    <row r="343" spans="2:6" ht="15" x14ac:dyDescent="0.25">
      <c r="B343" s="169"/>
      <c r="C343" s="679">
        <v>3047166</v>
      </c>
      <c r="D343" s="677">
        <v>4</v>
      </c>
      <c r="E343" s="678" t="s">
        <v>727</v>
      </c>
      <c r="F343" s="170"/>
    </row>
    <row r="344" spans="2:6" ht="15" x14ac:dyDescent="0.25">
      <c r="B344" s="169"/>
      <c r="C344" s="679">
        <v>3047167</v>
      </c>
      <c r="D344" s="677">
        <v>2</v>
      </c>
      <c r="E344" s="678" t="s">
        <v>728</v>
      </c>
      <c r="F344" s="170"/>
    </row>
    <row r="345" spans="2:6" ht="15" x14ac:dyDescent="0.25">
      <c r="B345" s="169"/>
      <c r="C345" s="679">
        <v>3100898</v>
      </c>
      <c r="D345" s="677">
        <v>4</v>
      </c>
      <c r="E345" s="678" t="s">
        <v>729</v>
      </c>
      <c r="F345" s="170"/>
    </row>
    <row r="346" spans="2:6" ht="15" x14ac:dyDescent="0.25">
      <c r="B346" s="169"/>
      <c r="C346" s="679">
        <v>2961108</v>
      </c>
      <c r="D346" s="677">
        <v>3</v>
      </c>
      <c r="E346" s="678" t="s">
        <v>730</v>
      </c>
      <c r="F346" s="170"/>
    </row>
    <row r="347" spans="2:6" ht="15" x14ac:dyDescent="0.25">
      <c r="B347" s="169"/>
      <c r="C347" s="679">
        <v>2961804</v>
      </c>
      <c r="D347" s="677">
        <v>5</v>
      </c>
      <c r="E347" s="678" t="s">
        <v>731</v>
      </c>
      <c r="F347" s="170"/>
    </row>
    <row r="348" spans="2:6" ht="15" x14ac:dyDescent="0.25">
      <c r="B348" s="169"/>
      <c r="C348" s="679">
        <v>3088113</v>
      </c>
      <c r="D348" s="677">
        <v>7</v>
      </c>
      <c r="E348" s="678" t="s">
        <v>732</v>
      </c>
      <c r="F348" s="170"/>
    </row>
    <row r="349" spans="2:6" ht="15" x14ac:dyDescent="0.25">
      <c r="B349" s="169"/>
      <c r="C349" s="679">
        <v>2961109</v>
      </c>
      <c r="D349" s="677">
        <v>1</v>
      </c>
      <c r="E349" s="678" t="s">
        <v>733</v>
      </c>
      <c r="F349" s="170"/>
    </row>
    <row r="350" spans="2:6" ht="15" x14ac:dyDescent="0.25">
      <c r="B350" s="169"/>
      <c r="C350" s="679">
        <v>3047168</v>
      </c>
      <c r="D350" s="677">
        <v>1</v>
      </c>
      <c r="E350" s="678" t="s">
        <v>734</v>
      </c>
      <c r="F350" s="170"/>
    </row>
    <row r="351" spans="2:6" ht="15" x14ac:dyDescent="0.25">
      <c r="B351" s="169"/>
      <c r="C351" s="679">
        <v>3047169</v>
      </c>
      <c r="D351" s="677">
        <v>9</v>
      </c>
      <c r="E351" s="678" t="s">
        <v>735</v>
      </c>
      <c r="F351" s="170"/>
    </row>
    <row r="352" spans="2:6" ht="15" x14ac:dyDescent="0.25">
      <c r="B352" s="169"/>
      <c r="C352" s="679">
        <v>3047170</v>
      </c>
      <c r="D352" s="677">
        <v>2</v>
      </c>
      <c r="E352" s="678" t="s">
        <v>736</v>
      </c>
      <c r="F352" s="170"/>
    </row>
    <row r="353" spans="2:6" ht="15" x14ac:dyDescent="0.25">
      <c r="B353" s="169"/>
      <c r="C353" s="679">
        <v>3047171</v>
      </c>
      <c r="D353" s="677">
        <v>1</v>
      </c>
      <c r="E353" s="678" t="s">
        <v>737</v>
      </c>
      <c r="F353" s="170"/>
    </row>
    <row r="354" spans="2:6" ht="15" x14ac:dyDescent="0.25">
      <c r="B354" s="169"/>
      <c r="C354" s="679">
        <v>3047172</v>
      </c>
      <c r="D354" s="677">
        <v>9</v>
      </c>
      <c r="E354" s="678" t="s">
        <v>738</v>
      </c>
      <c r="F354" s="170"/>
    </row>
    <row r="355" spans="2:6" ht="15" x14ac:dyDescent="0.25">
      <c r="B355" s="169"/>
      <c r="C355" s="679">
        <v>3047173</v>
      </c>
      <c r="D355" s="677">
        <v>7</v>
      </c>
      <c r="E355" s="678" t="s">
        <v>739</v>
      </c>
      <c r="F355" s="170"/>
    </row>
    <row r="356" spans="2:6" ht="15" x14ac:dyDescent="0.25">
      <c r="B356" s="169"/>
      <c r="C356" s="679">
        <v>3047174</v>
      </c>
      <c r="D356" s="677">
        <v>5</v>
      </c>
      <c r="E356" s="678" t="s">
        <v>740</v>
      </c>
      <c r="F356" s="170"/>
    </row>
    <row r="357" spans="2:6" ht="15" x14ac:dyDescent="0.25">
      <c r="B357" s="169"/>
      <c r="C357" s="679">
        <v>3047175</v>
      </c>
      <c r="D357" s="677">
        <v>3</v>
      </c>
      <c r="E357" s="678" t="s">
        <v>741</v>
      </c>
      <c r="F357" s="170"/>
    </row>
    <row r="358" spans="2:6" ht="15" x14ac:dyDescent="0.25">
      <c r="B358" s="169"/>
      <c r="C358" s="679">
        <v>3047176</v>
      </c>
      <c r="D358" s="677">
        <v>1</v>
      </c>
      <c r="E358" s="678" t="s">
        <v>742</v>
      </c>
      <c r="F358" s="170"/>
    </row>
    <row r="359" spans="2:6" ht="15" x14ac:dyDescent="0.25">
      <c r="B359" s="169"/>
      <c r="C359" s="679">
        <v>3047177</v>
      </c>
      <c r="D359" s="677">
        <v>0</v>
      </c>
      <c r="E359" s="678" t="s">
        <v>743</v>
      </c>
      <c r="F359" s="170"/>
    </row>
    <row r="360" spans="2:6" ht="15" x14ac:dyDescent="0.25">
      <c r="B360" s="169"/>
      <c r="C360" s="679">
        <v>3183614</v>
      </c>
      <c r="D360" s="677">
        <v>3</v>
      </c>
      <c r="E360" s="678" t="s">
        <v>744</v>
      </c>
      <c r="F360" s="170"/>
    </row>
    <row r="361" spans="2:6" ht="15" x14ac:dyDescent="0.25">
      <c r="B361" s="169"/>
      <c r="C361" s="679">
        <v>3163921</v>
      </c>
      <c r="D361" s="677">
        <v>6</v>
      </c>
      <c r="E361" s="678" t="s">
        <v>745</v>
      </c>
      <c r="F361" s="170"/>
    </row>
    <row r="362" spans="2:6" ht="15" x14ac:dyDescent="0.25">
      <c r="B362" s="169"/>
      <c r="C362" s="679">
        <v>3151164</v>
      </c>
      <c r="D362" s="677">
        <v>3</v>
      </c>
      <c r="E362" s="678" t="s">
        <v>746</v>
      </c>
      <c r="F362" s="170"/>
    </row>
    <row r="363" spans="2:6" ht="15" x14ac:dyDescent="0.25">
      <c r="B363" s="169"/>
      <c r="C363" s="679">
        <v>3176469</v>
      </c>
      <c r="D363" s="677">
        <v>0</v>
      </c>
      <c r="E363" s="678" t="s">
        <v>747</v>
      </c>
      <c r="F363" s="170"/>
    </row>
    <row r="364" spans="2:6" ht="15" x14ac:dyDescent="0.25">
      <c r="B364" s="169"/>
      <c r="C364" s="679">
        <v>3122811</v>
      </c>
      <c r="D364" s="677">
        <v>9</v>
      </c>
      <c r="E364" s="678" t="s">
        <v>748</v>
      </c>
      <c r="F364" s="170"/>
    </row>
    <row r="365" spans="2:6" ht="15" x14ac:dyDescent="0.25">
      <c r="B365" s="169"/>
      <c r="C365" s="679">
        <v>3183609</v>
      </c>
      <c r="D365" s="677">
        <v>7</v>
      </c>
      <c r="E365" s="678" t="s">
        <v>749</v>
      </c>
      <c r="F365" s="170"/>
    </row>
    <row r="366" spans="2:6" ht="15" x14ac:dyDescent="0.25">
      <c r="B366" s="169"/>
      <c r="C366" s="679">
        <v>3163933</v>
      </c>
      <c r="D366" s="677">
        <v>0</v>
      </c>
      <c r="E366" s="678" t="s">
        <v>750</v>
      </c>
      <c r="F366" s="170"/>
    </row>
    <row r="367" spans="2:6" ht="15" x14ac:dyDescent="0.25">
      <c r="B367" s="169"/>
      <c r="C367" s="679">
        <v>3310429</v>
      </c>
      <c r="D367" s="677">
        <v>8</v>
      </c>
      <c r="E367" s="678" t="s">
        <v>8239</v>
      </c>
      <c r="F367" s="170"/>
    </row>
    <row r="368" spans="2:6" ht="15" x14ac:dyDescent="0.25">
      <c r="B368" s="169"/>
      <c r="C368" s="679">
        <v>2962170</v>
      </c>
      <c r="D368" s="677">
        <v>4</v>
      </c>
      <c r="E368" s="678" t="s">
        <v>751</v>
      </c>
      <c r="F368" s="170"/>
    </row>
    <row r="369" spans="2:6" ht="15" x14ac:dyDescent="0.25">
      <c r="B369" s="169"/>
      <c r="C369" s="679">
        <v>3084473</v>
      </c>
      <c r="D369" s="677">
        <v>8</v>
      </c>
      <c r="E369" s="678" t="s">
        <v>752</v>
      </c>
      <c r="F369" s="170"/>
    </row>
    <row r="370" spans="2:6" ht="15" x14ac:dyDescent="0.25">
      <c r="B370" s="169"/>
      <c r="C370" s="679">
        <v>3072906</v>
      </c>
      <c r="D370" s="677">
        <v>8</v>
      </c>
      <c r="E370" s="678" t="s">
        <v>753</v>
      </c>
      <c r="F370" s="170"/>
    </row>
    <row r="371" spans="2:6" ht="15" x14ac:dyDescent="0.25">
      <c r="B371" s="169"/>
      <c r="C371" s="679">
        <v>3092161</v>
      </c>
      <c r="D371" s="677">
        <v>9</v>
      </c>
      <c r="E371" s="678" t="s">
        <v>754</v>
      </c>
      <c r="F371" s="170"/>
    </row>
    <row r="372" spans="2:6" ht="15" x14ac:dyDescent="0.25">
      <c r="B372" s="169"/>
      <c r="C372" s="679">
        <v>2962329</v>
      </c>
      <c r="D372" s="677">
        <v>4</v>
      </c>
      <c r="E372" s="678" t="s">
        <v>755</v>
      </c>
      <c r="F372" s="170"/>
    </row>
    <row r="373" spans="2:6" ht="15" x14ac:dyDescent="0.25">
      <c r="B373" s="169"/>
      <c r="C373" s="679">
        <v>3047178</v>
      </c>
      <c r="D373" s="677">
        <v>8</v>
      </c>
      <c r="E373" s="678" t="s">
        <v>756</v>
      </c>
      <c r="F373" s="170"/>
    </row>
    <row r="374" spans="2:6" ht="15" x14ac:dyDescent="0.25">
      <c r="B374" s="169"/>
      <c r="C374" s="679">
        <v>3276436</v>
      </c>
      <c r="D374" s="677">
        <v>7</v>
      </c>
      <c r="E374" s="678" t="s">
        <v>8240</v>
      </c>
      <c r="F374" s="170"/>
    </row>
    <row r="375" spans="2:6" ht="15" x14ac:dyDescent="0.25">
      <c r="B375" s="169"/>
      <c r="C375" s="679">
        <v>3276703</v>
      </c>
      <c r="D375" s="677">
        <v>0</v>
      </c>
      <c r="E375" s="678" t="s">
        <v>8241</v>
      </c>
      <c r="F375" s="170"/>
    </row>
    <row r="376" spans="2:6" ht="15" x14ac:dyDescent="0.25">
      <c r="B376" s="169"/>
      <c r="C376" s="679">
        <v>2962330</v>
      </c>
      <c r="D376" s="677">
        <v>8</v>
      </c>
      <c r="E376" s="678" t="s">
        <v>757</v>
      </c>
      <c r="F376" s="170"/>
    </row>
    <row r="377" spans="2:6" ht="15" x14ac:dyDescent="0.25">
      <c r="B377" s="169"/>
      <c r="C377" s="679">
        <v>3073717</v>
      </c>
      <c r="D377" s="677">
        <v>6</v>
      </c>
      <c r="E377" s="678" t="s">
        <v>758</v>
      </c>
      <c r="F377" s="170"/>
    </row>
    <row r="378" spans="2:6" ht="15" x14ac:dyDescent="0.25">
      <c r="B378" s="169"/>
      <c r="C378" s="679">
        <v>2962331</v>
      </c>
      <c r="D378" s="677">
        <v>6</v>
      </c>
      <c r="E378" s="678" t="s">
        <v>759</v>
      </c>
      <c r="F378" s="170"/>
    </row>
    <row r="379" spans="2:6" ht="15" x14ac:dyDescent="0.25">
      <c r="B379" s="169"/>
      <c r="C379" s="679">
        <v>2962171</v>
      </c>
      <c r="D379" s="677">
        <v>2</v>
      </c>
      <c r="E379" s="678" t="s">
        <v>760</v>
      </c>
      <c r="F379" s="170"/>
    </row>
    <row r="380" spans="2:6" ht="15" x14ac:dyDescent="0.25">
      <c r="B380" s="169"/>
      <c r="C380" s="679">
        <v>3087520</v>
      </c>
      <c r="D380" s="677">
        <v>0</v>
      </c>
      <c r="E380" s="678" t="s">
        <v>761</v>
      </c>
      <c r="F380" s="170"/>
    </row>
    <row r="381" spans="2:6" ht="15" x14ac:dyDescent="0.25">
      <c r="B381" s="169"/>
      <c r="C381" s="679">
        <v>3143431</v>
      </c>
      <c r="D381" s="677">
        <v>2</v>
      </c>
      <c r="E381" s="678" t="s">
        <v>762</v>
      </c>
      <c r="F381" s="170"/>
    </row>
    <row r="382" spans="2:6" ht="15" x14ac:dyDescent="0.25">
      <c r="B382" s="169"/>
      <c r="C382" s="679">
        <v>2962332</v>
      </c>
      <c r="D382" s="677">
        <v>4</v>
      </c>
      <c r="E382" s="678" t="s">
        <v>763</v>
      </c>
      <c r="F382" s="170"/>
    </row>
    <row r="383" spans="2:6" ht="15" x14ac:dyDescent="0.25">
      <c r="B383" s="169"/>
      <c r="C383" s="679">
        <v>3098471</v>
      </c>
      <c r="D383" s="677">
        <v>8</v>
      </c>
      <c r="E383" s="678" t="s">
        <v>764</v>
      </c>
      <c r="F383" s="170"/>
    </row>
    <row r="384" spans="2:6" ht="15" x14ac:dyDescent="0.25">
      <c r="B384" s="169"/>
      <c r="C384" s="679">
        <v>2961110</v>
      </c>
      <c r="D384" s="677">
        <v>5</v>
      </c>
      <c r="E384" s="678" t="s">
        <v>765</v>
      </c>
      <c r="F384" s="170"/>
    </row>
    <row r="385" spans="2:6" ht="15" x14ac:dyDescent="0.25">
      <c r="B385" s="169"/>
      <c r="C385" s="679">
        <v>3229639</v>
      </c>
      <c r="D385" s="677">
        <v>8</v>
      </c>
      <c r="E385" s="678" t="s">
        <v>8242</v>
      </c>
      <c r="F385" s="170"/>
    </row>
    <row r="386" spans="2:6" ht="15" x14ac:dyDescent="0.25">
      <c r="B386" s="169"/>
      <c r="C386" s="679">
        <v>2962172</v>
      </c>
      <c r="D386" s="677">
        <v>1</v>
      </c>
      <c r="E386" s="678" t="s">
        <v>766</v>
      </c>
      <c r="F386" s="170"/>
    </row>
    <row r="387" spans="2:6" ht="15" x14ac:dyDescent="0.25">
      <c r="B387" s="169"/>
      <c r="C387" s="679">
        <v>3157397</v>
      </c>
      <c r="D387" s="677">
        <v>5</v>
      </c>
      <c r="E387" s="678" t="s">
        <v>767</v>
      </c>
      <c r="F387" s="170"/>
    </row>
    <row r="388" spans="2:6" ht="15" x14ac:dyDescent="0.25">
      <c r="B388" s="169"/>
      <c r="C388" s="679">
        <v>2962173</v>
      </c>
      <c r="D388" s="677">
        <v>9</v>
      </c>
      <c r="E388" s="678" t="s">
        <v>768</v>
      </c>
      <c r="F388" s="170"/>
    </row>
    <row r="389" spans="2:6" ht="15" x14ac:dyDescent="0.25">
      <c r="B389" s="169"/>
      <c r="C389" s="679">
        <v>3127020</v>
      </c>
      <c r="D389" s="677">
        <v>4</v>
      </c>
      <c r="E389" s="678" t="s">
        <v>769</v>
      </c>
      <c r="F389" s="170"/>
    </row>
    <row r="390" spans="2:6" ht="15" x14ac:dyDescent="0.25">
      <c r="B390" s="169"/>
      <c r="C390" s="679">
        <v>3081181</v>
      </c>
      <c r="D390" s="677">
        <v>3</v>
      </c>
      <c r="E390" s="678" t="s">
        <v>770</v>
      </c>
      <c r="F390" s="170"/>
    </row>
    <row r="391" spans="2:6" ht="15" x14ac:dyDescent="0.25">
      <c r="B391" s="169"/>
      <c r="C391" s="679">
        <v>2961111</v>
      </c>
      <c r="D391" s="677">
        <v>3</v>
      </c>
      <c r="E391" s="678" t="s">
        <v>771</v>
      </c>
      <c r="F391" s="170"/>
    </row>
    <row r="392" spans="2:6" ht="15" x14ac:dyDescent="0.25">
      <c r="B392" s="169"/>
      <c r="C392" s="679">
        <v>2962376</v>
      </c>
      <c r="D392" s="677">
        <v>6</v>
      </c>
      <c r="E392" s="678" t="s">
        <v>772</v>
      </c>
      <c r="F392" s="170"/>
    </row>
    <row r="393" spans="2:6" ht="15" x14ac:dyDescent="0.25">
      <c r="B393" s="169"/>
      <c r="C393" s="679">
        <v>2961112</v>
      </c>
      <c r="D393" s="677">
        <v>1</v>
      </c>
      <c r="E393" s="678" t="s">
        <v>773</v>
      </c>
      <c r="F393" s="170"/>
    </row>
    <row r="394" spans="2:6" ht="15" x14ac:dyDescent="0.25">
      <c r="B394" s="169"/>
      <c r="C394" s="679">
        <v>2961113</v>
      </c>
      <c r="D394" s="677">
        <v>0</v>
      </c>
      <c r="E394" s="678" t="s">
        <v>774</v>
      </c>
      <c r="F394" s="170"/>
    </row>
    <row r="395" spans="2:6" ht="15" x14ac:dyDescent="0.25">
      <c r="B395" s="169"/>
      <c r="C395" s="679">
        <v>3072908</v>
      </c>
      <c r="D395" s="677">
        <v>4</v>
      </c>
      <c r="E395" s="678" t="s">
        <v>775</v>
      </c>
      <c r="F395" s="170"/>
    </row>
    <row r="396" spans="2:6" ht="15" x14ac:dyDescent="0.25">
      <c r="B396" s="169"/>
      <c r="C396" s="679">
        <v>2961114</v>
      </c>
      <c r="D396" s="677">
        <v>8</v>
      </c>
      <c r="E396" s="678" t="s">
        <v>776</v>
      </c>
      <c r="F396" s="170"/>
    </row>
    <row r="397" spans="2:6" ht="15" x14ac:dyDescent="0.25">
      <c r="B397" s="169"/>
      <c r="C397" s="679">
        <v>3310421</v>
      </c>
      <c r="D397" s="677">
        <v>2</v>
      </c>
      <c r="E397" s="678" t="s">
        <v>8243</v>
      </c>
      <c r="F397" s="170"/>
    </row>
    <row r="398" spans="2:6" ht="15" x14ac:dyDescent="0.25">
      <c r="B398" s="169"/>
      <c r="C398" s="679">
        <v>2961115</v>
      </c>
      <c r="D398" s="677">
        <v>6</v>
      </c>
      <c r="E398" s="678" t="s">
        <v>777</v>
      </c>
      <c r="F398" s="170"/>
    </row>
    <row r="399" spans="2:6" ht="15" x14ac:dyDescent="0.25">
      <c r="B399" s="169"/>
      <c r="C399" s="679">
        <v>3156815</v>
      </c>
      <c r="D399" s="677">
        <v>7</v>
      </c>
      <c r="E399" s="678" t="s">
        <v>778</v>
      </c>
      <c r="F399" s="170"/>
    </row>
    <row r="400" spans="2:6" ht="15" x14ac:dyDescent="0.25">
      <c r="B400" s="169"/>
      <c r="C400" s="679">
        <v>2961116</v>
      </c>
      <c r="D400" s="677">
        <v>4</v>
      </c>
      <c r="E400" s="678" t="s">
        <v>779</v>
      </c>
      <c r="F400" s="170"/>
    </row>
    <row r="401" spans="2:6" ht="15" x14ac:dyDescent="0.25">
      <c r="B401" s="169"/>
      <c r="C401" s="679">
        <v>2962174</v>
      </c>
      <c r="D401" s="677">
        <v>7</v>
      </c>
      <c r="E401" s="678" t="s">
        <v>780</v>
      </c>
      <c r="F401" s="170"/>
    </row>
    <row r="402" spans="2:6" ht="15" x14ac:dyDescent="0.25">
      <c r="B402" s="169"/>
      <c r="C402" s="679">
        <v>3072910</v>
      </c>
      <c r="D402" s="677">
        <v>6</v>
      </c>
      <c r="E402" s="678" t="s">
        <v>781</v>
      </c>
      <c r="F402" s="170"/>
    </row>
    <row r="403" spans="2:6" ht="15" x14ac:dyDescent="0.25">
      <c r="B403" s="169"/>
      <c r="C403" s="679">
        <v>2961117</v>
      </c>
      <c r="D403" s="677">
        <v>2</v>
      </c>
      <c r="E403" s="678" t="s">
        <v>782</v>
      </c>
      <c r="F403" s="170"/>
    </row>
    <row r="404" spans="2:6" ht="15" x14ac:dyDescent="0.25">
      <c r="B404" s="169"/>
      <c r="C404" s="679">
        <v>3087526</v>
      </c>
      <c r="D404" s="677">
        <v>9</v>
      </c>
      <c r="E404" s="678" t="s">
        <v>783</v>
      </c>
      <c r="F404" s="170"/>
    </row>
    <row r="405" spans="2:6" ht="15" x14ac:dyDescent="0.25">
      <c r="B405" s="169"/>
      <c r="C405" s="679">
        <v>2962377</v>
      </c>
      <c r="D405" s="677">
        <v>4</v>
      </c>
      <c r="E405" s="678" t="s">
        <v>784</v>
      </c>
      <c r="F405" s="170"/>
    </row>
    <row r="406" spans="2:6" ht="15" x14ac:dyDescent="0.25">
      <c r="B406" s="169"/>
      <c r="C406" s="679">
        <v>2961118</v>
      </c>
      <c r="D406" s="677">
        <v>1</v>
      </c>
      <c r="E406" s="678" t="s">
        <v>785</v>
      </c>
      <c r="F406" s="170"/>
    </row>
    <row r="407" spans="2:6" ht="15" x14ac:dyDescent="0.25">
      <c r="B407" s="169"/>
      <c r="C407" s="679">
        <v>3150393</v>
      </c>
      <c r="D407" s="677">
        <v>4</v>
      </c>
      <c r="E407" s="678" t="s">
        <v>786</v>
      </c>
      <c r="F407" s="170"/>
    </row>
    <row r="408" spans="2:6" ht="15" x14ac:dyDescent="0.25">
      <c r="B408" s="169"/>
      <c r="C408" s="679">
        <v>3110515</v>
      </c>
      <c r="D408" s="677">
        <v>7</v>
      </c>
      <c r="E408" s="678" t="s">
        <v>787</v>
      </c>
      <c r="F408" s="170"/>
    </row>
    <row r="409" spans="2:6" ht="15" x14ac:dyDescent="0.25">
      <c r="B409" s="169"/>
      <c r="C409" s="679">
        <v>2961119</v>
      </c>
      <c r="D409" s="677">
        <v>9</v>
      </c>
      <c r="E409" s="678" t="s">
        <v>788</v>
      </c>
      <c r="F409" s="170"/>
    </row>
    <row r="410" spans="2:6" ht="15" x14ac:dyDescent="0.25">
      <c r="B410" s="169"/>
      <c r="C410" s="679">
        <v>2961120</v>
      </c>
      <c r="D410" s="677">
        <v>2</v>
      </c>
      <c r="E410" s="678" t="s">
        <v>789</v>
      </c>
      <c r="F410" s="170"/>
    </row>
    <row r="411" spans="2:6" ht="15" x14ac:dyDescent="0.25">
      <c r="B411" s="169"/>
      <c r="C411" s="679">
        <v>2961121</v>
      </c>
      <c r="D411" s="677">
        <v>1</v>
      </c>
      <c r="E411" s="678" t="s">
        <v>790</v>
      </c>
      <c r="F411" s="170"/>
    </row>
    <row r="412" spans="2:6" ht="15" x14ac:dyDescent="0.25">
      <c r="B412" s="169"/>
      <c r="C412" s="679">
        <v>3143432</v>
      </c>
      <c r="D412" s="677">
        <v>1</v>
      </c>
      <c r="E412" s="678" t="s">
        <v>791</v>
      </c>
      <c r="F412" s="170"/>
    </row>
    <row r="413" spans="2:6" ht="15" x14ac:dyDescent="0.25">
      <c r="B413" s="169"/>
      <c r="C413" s="679">
        <v>2962378</v>
      </c>
      <c r="D413" s="677">
        <v>2</v>
      </c>
      <c r="E413" s="678" t="s">
        <v>792</v>
      </c>
      <c r="F413" s="170"/>
    </row>
    <row r="414" spans="2:6" ht="15" x14ac:dyDescent="0.25">
      <c r="B414" s="169"/>
      <c r="C414" s="679">
        <v>3158543</v>
      </c>
      <c r="D414" s="677">
        <v>4</v>
      </c>
      <c r="E414" s="678" t="s">
        <v>793</v>
      </c>
      <c r="F414" s="170"/>
    </row>
    <row r="415" spans="2:6" ht="15" x14ac:dyDescent="0.25">
      <c r="B415" s="169"/>
      <c r="C415" s="679">
        <v>3153452</v>
      </c>
      <c r="D415" s="677">
        <v>0</v>
      </c>
      <c r="E415" s="678" t="s">
        <v>794</v>
      </c>
      <c r="F415" s="170"/>
    </row>
    <row r="416" spans="2:6" ht="15" x14ac:dyDescent="0.25">
      <c r="B416" s="169"/>
      <c r="C416" s="679">
        <v>3088847</v>
      </c>
      <c r="D416" s="677">
        <v>6</v>
      </c>
      <c r="E416" s="678" t="s">
        <v>795</v>
      </c>
      <c r="F416" s="170"/>
    </row>
    <row r="417" spans="2:6" ht="15" x14ac:dyDescent="0.25">
      <c r="B417" s="169"/>
      <c r="C417" s="679">
        <v>3139811</v>
      </c>
      <c r="D417" s="677">
        <v>1</v>
      </c>
      <c r="E417" s="678" t="s">
        <v>796</v>
      </c>
      <c r="F417" s="170"/>
    </row>
    <row r="418" spans="2:6" ht="15" x14ac:dyDescent="0.25">
      <c r="B418" s="169"/>
      <c r="C418" s="679">
        <v>3086239</v>
      </c>
      <c r="D418" s="677">
        <v>6</v>
      </c>
      <c r="E418" s="678" t="s">
        <v>797</v>
      </c>
      <c r="F418" s="170"/>
    </row>
    <row r="419" spans="2:6" ht="15" x14ac:dyDescent="0.25">
      <c r="B419" s="169"/>
      <c r="C419" s="679">
        <v>3340446</v>
      </c>
      <c r="D419" s="677">
        <v>1</v>
      </c>
      <c r="E419" s="678" t="s">
        <v>8244</v>
      </c>
      <c r="F419" s="170"/>
    </row>
    <row r="420" spans="2:6" ht="15" x14ac:dyDescent="0.25">
      <c r="B420" s="169"/>
      <c r="C420" s="679">
        <v>3078870</v>
      </c>
      <c r="D420" s="677">
        <v>6</v>
      </c>
      <c r="E420" s="678" t="s">
        <v>798</v>
      </c>
      <c r="F420" s="170"/>
    </row>
    <row r="421" spans="2:6" ht="15" x14ac:dyDescent="0.25">
      <c r="B421" s="169"/>
      <c r="C421" s="679">
        <v>3310413</v>
      </c>
      <c r="D421" s="677">
        <v>1</v>
      </c>
      <c r="E421" s="678" t="s">
        <v>8245</v>
      </c>
      <c r="F421" s="170"/>
    </row>
    <row r="422" spans="2:6" ht="15" x14ac:dyDescent="0.25">
      <c r="B422" s="169"/>
      <c r="C422" s="679">
        <v>3244567</v>
      </c>
      <c r="D422" s="677">
        <v>9</v>
      </c>
      <c r="E422" s="678" t="s">
        <v>8246</v>
      </c>
      <c r="F422" s="170"/>
    </row>
    <row r="423" spans="2:6" ht="15" x14ac:dyDescent="0.25">
      <c r="B423" s="169"/>
      <c r="C423" s="679">
        <v>3353859</v>
      </c>
      <c r="D423" s="677">
        <v>0</v>
      </c>
      <c r="E423" s="678" t="s">
        <v>8247</v>
      </c>
      <c r="F423" s="170"/>
    </row>
    <row r="424" spans="2:6" ht="15" x14ac:dyDescent="0.25">
      <c r="B424" s="169"/>
      <c r="C424" s="679">
        <v>3143444</v>
      </c>
      <c r="D424" s="677">
        <v>4</v>
      </c>
      <c r="E424" s="678" t="s">
        <v>799</v>
      </c>
      <c r="F424" s="170"/>
    </row>
    <row r="425" spans="2:6" ht="15" x14ac:dyDescent="0.25">
      <c r="B425" s="169"/>
      <c r="C425" s="679">
        <v>3079568</v>
      </c>
      <c r="D425" s="677">
        <v>1</v>
      </c>
      <c r="E425" s="678" t="s">
        <v>800</v>
      </c>
      <c r="F425" s="170"/>
    </row>
    <row r="426" spans="2:6" ht="15" x14ac:dyDescent="0.25">
      <c r="B426" s="169"/>
      <c r="C426" s="679">
        <v>3091667</v>
      </c>
      <c r="D426" s="677">
        <v>4</v>
      </c>
      <c r="E426" s="678" t="s">
        <v>801</v>
      </c>
      <c r="F426" s="170"/>
    </row>
    <row r="427" spans="2:6" ht="15" x14ac:dyDescent="0.25">
      <c r="B427" s="169"/>
      <c r="C427" s="679">
        <v>2961122</v>
      </c>
      <c r="D427" s="677">
        <v>9</v>
      </c>
      <c r="E427" s="678" t="s">
        <v>802</v>
      </c>
      <c r="F427" s="170"/>
    </row>
    <row r="428" spans="2:6" ht="15" x14ac:dyDescent="0.25">
      <c r="B428" s="169"/>
      <c r="C428" s="679">
        <v>3276684</v>
      </c>
      <c r="D428" s="677">
        <v>0</v>
      </c>
      <c r="E428" s="678" t="s">
        <v>8248</v>
      </c>
      <c r="F428" s="170"/>
    </row>
    <row r="429" spans="2:6" ht="15" x14ac:dyDescent="0.25">
      <c r="B429" s="169"/>
      <c r="C429" s="679">
        <v>3081529</v>
      </c>
      <c r="D429" s="677">
        <v>1</v>
      </c>
      <c r="E429" s="678" t="s">
        <v>803</v>
      </c>
      <c r="F429" s="170"/>
    </row>
    <row r="430" spans="2:6" ht="15" x14ac:dyDescent="0.25">
      <c r="B430" s="169"/>
      <c r="C430" s="679">
        <v>3339985</v>
      </c>
      <c r="D430" s="677">
        <v>9</v>
      </c>
      <c r="E430" s="678" t="s">
        <v>8249</v>
      </c>
      <c r="F430" s="170"/>
    </row>
    <row r="431" spans="2:6" ht="15" x14ac:dyDescent="0.25">
      <c r="B431" s="169"/>
      <c r="C431" s="679">
        <v>3219037</v>
      </c>
      <c r="D431" s="677">
        <v>9</v>
      </c>
      <c r="E431" s="678" t="s">
        <v>8250</v>
      </c>
      <c r="F431" s="170"/>
    </row>
    <row r="432" spans="2:6" ht="15" x14ac:dyDescent="0.25">
      <c r="B432" s="169"/>
      <c r="C432" s="679">
        <v>3087497</v>
      </c>
      <c r="D432" s="677">
        <v>1</v>
      </c>
      <c r="E432" s="678" t="s">
        <v>804</v>
      </c>
      <c r="F432" s="170"/>
    </row>
    <row r="433" spans="2:6" ht="15" x14ac:dyDescent="0.25">
      <c r="B433" s="169"/>
      <c r="C433" s="679">
        <v>2961123</v>
      </c>
      <c r="D433" s="677">
        <v>7</v>
      </c>
      <c r="E433" s="678" t="s">
        <v>805</v>
      </c>
      <c r="F433" s="170"/>
    </row>
    <row r="434" spans="2:6" ht="15" x14ac:dyDescent="0.25">
      <c r="B434" s="169"/>
      <c r="C434" s="679">
        <v>3088271</v>
      </c>
      <c r="D434" s="677">
        <v>1</v>
      </c>
      <c r="E434" s="678" t="s">
        <v>806</v>
      </c>
      <c r="F434" s="170"/>
    </row>
    <row r="435" spans="2:6" ht="15" x14ac:dyDescent="0.25">
      <c r="B435" s="169"/>
      <c r="C435" s="679">
        <v>3143433</v>
      </c>
      <c r="D435" s="677">
        <v>9</v>
      </c>
      <c r="E435" s="678" t="s">
        <v>807</v>
      </c>
      <c r="F435" s="170"/>
    </row>
    <row r="436" spans="2:6" ht="15" x14ac:dyDescent="0.25">
      <c r="B436" s="169"/>
      <c r="C436" s="679">
        <v>3058045</v>
      </c>
      <c r="D436" s="677">
        <v>5</v>
      </c>
      <c r="E436" s="678" t="s">
        <v>808</v>
      </c>
      <c r="F436" s="170"/>
    </row>
    <row r="437" spans="2:6" ht="15" x14ac:dyDescent="0.25">
      <c r="B437" s="169"/>
      <c r="C437" s="679">
        <v>2962379</v>
      </c>
      <c r="D437" s="677">
        <v>1</v>
      </c>
      <c r="E437" s="678" t="s">
        <v>809</v>
      </c>
      <c r="F437" s="170"/>
    </row>
    <row r="438" spans="2:6" ht="15" x14ac:dyDescent="0.25">
      <c r="B438" s="169"/>
      <c r="C438" s="679">
        <v>3047179</v>
      </c>
      <c r="D438" s="677">
        <v>6</v>
      </c>
      <c r="E438" s="678" t="s">
        <v>810</v>
      </c>
      <c r="F438" s="170"/>
    </row>
    <row r="439" spans="2:6" ht="15" x14ac:dyDescent="0.25">
      <c r="B439" s="169"/>
      <c r="C439" s="679">
        <v>3086238</v>
      </c>
      <c r="D439" s="677">
        <v>8</v>
      </c>
      <c r="E439" s="678" t="s">
        <v>811</v>
      </c>
      <c r="F439" s="170"/>
    </row>
    <row r="440" spans="2:6" ht="15" x14ac:dyDescent="0.25">
      <c r="B440" s="169"/>
      <c r="C440" s="679">
        <v>2962175</v>
      </c>
      <c r="D440" s="677">
        <v>5</v>
      </c>
      <c r="E440" s="678" t="s">
        <v>812</v>
      </c>
      <c r="F440" s="170"/>
    </row>
    <row r="441" spans="2:6" ht="15" x14ac:dyDescent="0.25">
      <c r="B441" s="169"/>
      <c r="C441" s="679">
        <v>3237293</v>
      </c>
      <c r="D441" s="677">
        <v>1</v>
      </c>
      <c r="E441" s="678" t="s">
        <v>8251</v>
      </c>
      <c r="F441" s="170"/>
    </row>
    <row r="442" spans="2:6" ht="15" x14ac:dyDescent="0.25">
      <c r="B442" s="169"/>
      <c r="C442" s="679">
        <v>3076296</v>
      </c>
      <c r="D442" s="677">
        <v>1</v>
      </c>
      <c r="E442" s="678" t="s">
        <v>813</v>
      </c>
      <c r="F442" s="170"/>
    </row>
    <row r="443" spans="2:6" ht="15" x14ac:dyDescent="0.25">
      <c r="B443" s="169"/>
      <c r="C443" s="679">
        <v>3058034</v>
      </c>
      <c r="D443" s="677">
        <v>0</v>
      </c>
      <c r="E443" s="678" t="s">
        <v>814</v>
      </c>
      <c r="F443" s="170"/>
    </row>
    <row r="444" spans="2:6" ht="15" x14ac:dyDescent="0.25">
      <c r="B444" s="169"/>
      <c r="C444" s="679">
        <v>3090271</v>
      </c>
      <c r="D444" s="677">
        <v>1</v>
      </c>
      <c r="E444" s="678" t="s">
        <v>815</v>
      </c>
      <c r="F444" s="170"/>
    </row>
    <row r="445" spans="2:6" ht="15" x14ac:dyDescent="0.25">
      <c r="B445" s="169"/>
      <c r="C445" s="679">
        <v>2961124</v>
      </c>
      <c r="D445" s="677">
        <v>5</v>
      </c>
      <c r="E445" s="678" t="s">
        <v>816</v>
      </c>
      <c r="F445" s="170"/>
    </row>
    <row r="446" spans="2:6" ht="15" x14ac:dyDescent="0.25">
      <c r="B446" s="169"/>
      <c r="C446" s="679">
        <v>3352155</v>
      </c>
      <c r="D446" s="677">
        <v>7</v>
      </c>
      <c r="E446" s="678" t="s">
        <v>8252</v>
      </c>
      <c r="F446" s="170"/>
    </row>
    <row r="447" spans="2:6" ht="15" x14ac:dyDescent="0.25">
      <c r="B447" s="169"/>
      <c r="C447" s="679">
        <v>3300059</v>
      </c>
      <c r="D447" s="677">
        <v>0</v>
      </c>
      <c r="E447" s="678" t="s">
        <v>8253</v>
      </c>
      <c r="F447" s="170"/>
    </row>
    <row r="448" spans="2:6" ht="15" x14ac:dyDescent="0.25">
      <c r="B448" s="169"/>
      <c r="C448" s="679">
        <v>3219045</v>
      </c>
      <c r="D448" s="677">
        <v>0</v>
      </c>
      <c r="E448" s="678" t="s">
        <v>8254</v>
      </c>
      <c r="F448" s="170"/>
    </row>
    <row r="449" spans="2:6" ht="15" x14ac:dyDescent="0.25">
      <c r="B449" s="169"/>
      <c r="C449" s="679">
        <v>3075060</v>
      </c>
      <c r="D449" s="677">
        <v>1</v>
      </c>
      <c r="E449" s="678" t="s">
        <v>817</v>
      </c>
      <c r="F449" s="170"/>
    </row>
    <row r="450" spans="2:6" ht="15" x14ac:dyDescent="0.25">
      <c r="B450" s="169"/>
      <c r="C450" s="679">
        <v>3138172</v>
      </c>
      <c r="D450" s="677">
        <v>3</v>
      </c>
      <c r="E450" s="678" t="s">
        <v>818</v>
      </c>
      <c r="F450" s="170"/>
    </row>
    <row r="451" spans="2:6" ht="15" x14ac:dyDescent="0.25">
      <c r="B451" s="169"/>
      <c r="C451" s="679">
        <v>3310423</v>
      </c>
      <c r="D451" s="677">
        <v>9</v>
      </c>
      <c r="E451" s="678" t="s">
        <v>8255</v>
      </c>
      <c r="F451" s="170"/>
    </row>
    <row r="452" spans="2:6" ht="15" x14ac:dyDescent="0.25">
      <c r="B452" s="169"/>
      <c r="C452" s="679">
        <v>3296009</v>
      </c>
      <c r="D452" s="677">
        <v>3</v>
      </c>
      <c r="E452" s="678" t="s">
        <v>8256</v>
      </c>
      <c r="F452" s="170"/>
    </row>
    <row r="453" spans="2:6" ht="15" x14ac:dyDescent="0.25">
      <c r="B453" s="169"/>
      <c r="C453" s="679">
        <v>3047180</v>
      </c>
      <c r="D453" s="677">
        <v>0</v>
      </c>
      <c r="E453" s="678" t="s">
        <v>819</v>
      </c>
      <c r="F453" s="170"/>
    </row>
    <row r="454" spans="2:6" ht="15" x14ac:dyDescent="0.25">
      <c r="B454" s="169"/>
      <c r="C454" s="679">
        <v>3047181</v>
      </c>
      <c r="D454" s="677">
        <v>8</v>
      </c>
      <c r="E454" s="678" t="s">
        <v>820</v>
      </c>
      <c r="F454" s="170"/>
    </row>
    <row r="455" spans="2:6" ht="15" x14ac:dyDescent="0.25">
      <c r="B455" s="169"/>
      <c r="C455" s="679">
        <v>3047182</v>
      </c>
      <c r="D455" s="677">
        <v>6</v>
      </c>
      <c r="E455" s="678" t="s">
        <v>821</v>
      </c>
      <c r="F455" s="170"/>
    </row>
    <row r="456" spans="2:6" ht="15" x14ac:dyDescent="0.25">
      <c r="B456" s="169"/>
      <c r="C456" s="679">
        <v>3047183</v>
      </c>
      <c r="D456" s="677">
        <v>4</v>
      </c>
      <c r="E456" s="678" t="s">
        <v>822</v>
      </c>
      <c r="F456" s="170"/>
    </row>
    <row r="457" spans="2:6" ht="15" x14ac:dyDescent="0.25">
      <c r="B457" s="169"/>
      <c r="C457" s="679">
        <v>3047184</v>
      </c>
      <c r="D457" s="677">
        <v>2</v>
      </c>
      <c r="E457" s="678" t="s">
        <v>823</v>
      </c>
      <c r="F457" s="170"/>
    </row>
    <row r="458" spans="2:6" ht="15" x14ac:dyDescent="0.25">
      <c r="B458" s="169"/>
      <c r="C458" s="679">
        <v>3047185</v>
      </c>
      <c r="D458" s="677">
        <v>1</v>
      </c>
      <c r="E458" s="678" t="s">
        <v>824</v>
      </c>
      <c r="F458" s="170"/>
    </row>
    <row r="459" spans="2:6" ht="15" x14ac:dyDescent="0.25">
      <c r="B459" s="169"/>
      <c r="C459" s="679">
        <v>3047186</v>
      </c>
      <c r="D459" s="677">
        <v>9</v>
      </c>
      <c r="E459" s="678" t="s">
        <v>825</v>
      </c>
      <c r="F459" s="170"/>
    </row>
    <row r="460" spans="2:6" ht="15" x14ac:dyDescent="0.25">
      <c r="B460" s="169"/>
      <c r="C460" s="679">
        <v>3047187</v>
      </c>
      <c r="D460" s="677">
        <v>7</v>
      </c>
      <c r="E460" s="678" t="s">
        <v>826</v>
      </c>
      <c r="F460" s="170"/>
    </row>
    <row r="461" spans="2:6" ht="15" x14ac:dyDescent="0.25">
      <c r="B461" s="169"/>
      <c r="C461" s="679">
        <v>3047188</v>
      </c>
      <c r="D461" s="677">
        <v>5</v>
      </c>
      <c r="E461" s="678" t="s">
        <v>827</v>
      </c>
      <c r="F461" s="170"/>
    </row>
    <row r="462" spans="2:6" ht="15" x14ac:dyDescent="0.25">
      <c r="B462" s="169"/>
      <c r="C462" s="679">
        <v>3047189</v>
      </c>
      <c r="D462" s="677">
        <v>3</v>
      </c>
      <c r="E462" s="678" t="s">
        <v>828</v>
      </c>
      <c r="F462" s="170"/>
    </row>
    <row r="463" spans="2:6" ht="15" x14ac:dyDescent="0.25">
      <c r="B463" s="169"/>
      <c r="C463" s="679">
        <v>3047190</v>
      </c>
      <c r="D463" s="677">
        <v>7</v>
      </c>
      <c r="E463" s="678" t="s">
        <v>829</v>
      </c>
      <c r="F463" s="170"/>
    </row>
    <row r="464" spans="2:6" ht="15" x14ac:dyDescent="0.25">
      <c r="B464" s="169"/>
      <c r="C464" s="679">
        <v>3285803</v>
      </c>
      <c r="D464" s="677">
        <v>5</v>
      </c>
      <c r="E464" s="678" t="s">
        <v>8257</v>
      </c>
      <c r="F464" s="170"/>
    </row>
    <row r="465" spans="2:6" ht="15" x14ac:dyDescent="0.25">
      <c r="B465" s="169"/>
      <c r="C465" s="679">
        <v>3047191</v>
      </c>
      <c r="D465" s="677">
        <v>5</v>
      </c>
      <c r="E465" s="678" t="s">
        <v>830</v>
      </c>
      <c r="F465" s="170"/>
    </row>
    <row r="466" spans="2:6" ht="15" x14ac:dyDescent="0.25">
      <c r="B466" s="169"/>
      <c r="C466" s="679">
        <v>3047192</v>
      </c>
      <c r="D466" s="677">
        <v>3</v>
      </c>
      <c r="E466" s="678" t="s">
        <v>831</v>
      </c>
      <c r="F466" s="170"/>
    </row>
    <row r="467" spans="2:6" ht="15" x14ac:dyDescent="0.25">
      <c r="B467" s="169"/>
      <c r="C467" s="679">
        <v>3047193</v>
      </c>
      <c r="D467" s="677">
        <v>1</v>
      </c>
      <c r="E467" s="678" t="s">
        <v>832</v>
      </c>
      <c r="F467" s="170"/>
    </row>
    <row r="468" spans="2:6" ht="15" x14ac:dyDescent="0.25">
      <c r="B468" s="169"/>
      <c r="C468" s="679">
        <v>3047194</v>
      </c>
      <c r="D468" s="677">
        <v>0</v>
      </c>
      <c r="E468" s="678" t="s">
        <v>833</v>
      </c>
      <c r="F468" s="170"/>
    </row>
    <row r="469" spans="2:6" ht="15" x14ac:dyDescent="0.25">
      <c r="B469" s="169"/>
      <c r="C469" s="679">
        <v>3047195</v>
      </c>
      <c r="D469" s="677">
        <v>8</v>
      </c>
      <c r="E469" s="678" t="s">
        <v>834</v>
      </c>
      <c r="F469" s="170"/>
    </row>
    <row r="470" spans="2:6" ht="15" x14ac:dyDescent="0.25">
      <c r="B470" s="169"/>
      <c r="C470" s="679">
        <v>3047196</v>
      </c>
      <c r="D470" s="677">
        <v>6</v>
      </c>
      <c r="E470" s="678" t="s">
        <v>835</v>
      </c>
      <c r="F470" s="170"/>
    </row>
    <row r="471" spans="2:6" ht="15" x14ac:dyDescent="0.25">
      <c r="B471" s="169"/>
      <c r="C471" s="679">
        <v>3047197</v>
      </c>
      <c r="D471" s="677">
        <v>4</v>
      </c>
      <c r="E471" s="678" t="s">
        <v>836</v>
      </c>
      <c r="F471" s="170"/>
    </row>
    <row r="472" spans="2:6" ht="15" x14ac:dyDescent="0.25">
      <c r="B472" s="169"/>
      <c r="C472" s="679">
        <v>3047198</v>
      </c>
      <c r="D472" s="677">
        <v>2</v>
      </c>
      <c r="E472" s="678" t="s">
        <v>837</v>
      </c>
      <c r="F472" s="170"/>
    </row>
    <row r="473" spans="2:6" ht="15" x14ac:dyDescent="0.25">
      <c r="B473" s="169"/>
      <c r="C473" s="679">
        <v>3047199</v>
      </c>
      <c r="D473" s="677">
        <v>1</v>
      </c>
      <c r="E473" s="678" t="s">
        <v>838</v>
      </c>
      <c r="F473" s="170"/>
    </row>
    <row r="474" spans="2:6" ht="15" x14ac:dyDescent="0.25">
      <c r="B474" s="169"/>
      <c r="C474" s="679">
        <v>3047200</v>
      </c>
      <c r="D474" s="677">
        <v>8</v>
      </c>
      <c r="E474" s="678" t="s">
        <v>839</v>
      </c>
      <c r="F474" s="170"/>
    </row>
    <row r="475" spans="2:6" ht="15" x14ac:dyDescent="0.25">
      <c r="B475" s="169"/>
      <c r="C475" s="679">
        <v>3047201</v>
      </c>
      <c r="D475" s="677">
        <v>6</v>
      </c>
      <c r="E475" s="678" t="s">
        <v>840</v>
      </c>
      <c r="F475" s="170"/>
    </row>
    <row r="476" spans="2:6" ht="15" x14ac:dyDescent="0.25">
      <c r="B476" s="169"/>
      <c r="C476" s="679">
        <v>3047202</v>
      </c>
      <c r="D476" s="677">
        <v>4</v>
      </c>
      <c r="E476" s="678" t="s">
        <v>841</v>
      </c>
      <c r="F476" s="170"/>
    </row>
    <row r="477" spans="2:6" ht="15" x14ac:dyDescent="0.25">
      <c r="B477" s="169"/>
      <c r="C477" s="679">
        <v>3285753</v>
      </c>
      <c r="D477" s="677">
        <v>5</v>
      </c>
      <c r="E477" s="678" t="s">
        <v>8258</v>
      </c>
      <c r="F477" s="170"/>
    </row>
    <row r="478" spans="2:6" ht="15" x14ac:dyDescent="0.25">
      <c r="B478" s="169"/>
      <c r="C478" s="679">
        <v>3047203</v>
      </c>
      <c r="D478" s="677">
        <v>2</v>
      </c>
      <c r="E478" s="678" t="s">
        <v>842</v>
      </c>
      <c r="F478" s="170"/>
    </row>
    <row r="479" spans="2:6" ht="15" x14ac:dyDescent="0.25">
      <c r="B479" s="169"/>
      <c r="C479" s="679">
        <v>3047204</v>
      </c>
      <c r="D479" s="677">
        <v>1</v>
      </c>
      <c r="E479" s="678" t="s">
        <v>843</v>
      </c>
      <c r="F479" s="170"/>
    </row>
    <row r="480" spans="2:6" ht="15" x14ac:dyDescent="0.25">
      <c r="B480" s="169"/>
      <c r="C480" s="679">
        <v>3047205</v>
      </c>
      <c r="D480" s="677">
        <v>9</v>
      </c>
      <c r="E480" s="678" t="s">
        <v>844</v>
      </c>
      <c r="F480" s="170"/>
    </row>
    <row r="481" spans="2:6" ht="15" x14ac:dyDescent="0.25">
      <c r="B481" s="169"/>
      <c r="C481" s="679">
        <v>3047206</v>
      </c>
      <c r="D481" s="677">
        <v>7</v>
      </c>
      <c r="E481" s="678" t="s">
        <v>845</v>
      </c>
      <c r="F481" s="170"/>
    </row>
    <row r="482" spans="2:6" ht="15" x14ac:dyDescent="0.25">
      <c r="B482" s="169"/>
      <c r="C482" s="679">
        <v>3047207</v>
      </c>
      <c r="D482" s="677">
        <v>5</v>
      </c>
      <c r="E482" s="678" t="s">
        <v>846</v>
      </c>
      <c r="F482" s="170"/>
    </row>
    <row r="483" spans="2:6" ht="15" x14ac:dyDescent="0.25">
      <c r="B483" s="169"/>
      <c r="C483" s="679">
        <v>3047208</v>
      </c>
      <c r="D483" s="677">
        <v>3</v>
      </c>
      <c r="E483" s="678" t="s">
        <v>847</v>
      </c>
      <c r="F483" s="170"/>
    </row>
    <row r="484" spans="2:6" ht="15" x14ac:dyDescent="0.25">
      <c r="B484" s="169"/>
      <c r="C484" s="679">
        <v>3047209</v>
      </c>
      <c r="D484" s="677">
        <v>1</v>
      </c>
      <c r="E484" s="678" t="s">
        <v>848</v>
      </c>
      <c r="F484" s="170"/>
    </row>
    <row r="485" spans="2:6" ht="15" x14ac:dyDescent="0.25">
      <c r="B485" s="169"/>
      <c r="C485" s="679">
        <v>3078781</v>
      </c>
      <c r="D485" s="677">
        <v>5</v>
      </c>
      <c r="E485" s="678" t="s">
        <v>849</v>
      </c>
      <c r="F485" s="170"/>
    </row>
    <row r="486" spans="2:6" ht="15" x14ac:dyDescent="0.25">
      <c r="B486" s="169"/>
      <c r="C486" s="679">
        <v>2974448</v>
      </c>
      <c r="D486" s="677">
        <v>2</v>
      </c>
      <c r="E486" s="678" t="s">
        <v>850</v>
      </c>
      <c r="F486" s="170"/>
    </row>
    <row r="487" spans="2:6" ht="15" x14ac:dyDescent="0.25">
      <c r="B487" s="169"/>
      <c r="C487" s="679">
        <v>3137564</v>
      </c>
      <c r="D487" s="677">
        <v>2</v>
      </c>
      <c r="E487" s="678" t="s">
        <v>851</v>
      </c>
      <c r="F487" s="170"/>
    </row>
    <row r="488" spans="2:6" ht="15" x14ac:dyDescent="0.25">
      <c r="B488" s="169"/>
      <c r="C488" s="679">
        <v>2974457</v>
      </c>
      <c r="D488" s="677">
        <v>1</v>
      </c>
      <c r="E488" s="678" t="s">
        <v>852</v>
      </c>
      <c r="F488" s="170"/>
    </row>
    <row r="489" spans="2:6" ht="15" x14ac:dyDescent="0.25">
      <c r="B489" s="169"/>
      <c r="C489" s="679">
        <v>3306713</v>
      </c>
      <c r="D489" s="677">
        <v>9</v>
      </c>
      <c r="E489" s="678" t="s">
        <v>8259</v>
      </c>
      <c r="F489" s="170"/>
    </row>
    <row r="490" spans="2:6" ht="15" x14ac:dyDescent="0.25">
      <c r="B490" s="169"/>
      <c r="C490" s="679">
        <v>3047210</v>
      </c>
      <c r="D490" s="677">
        <v>5</v>
      </c>
      <c r="E490" s="678" t="s">
        <v>853</v>
      </c>
      <c r="F490" s="170"/>
    </row>
    <row r="491" spans="2:6" ht="15" x14ac:dyDescent="0.25">
      <c r="B491" s="169"/>
      <c r="C491" s="679">
        <v>3047211</v>
      </c>
      <c r="D491" s="677">
        <v>3</v>
      </c>
      <c r="E491" s="678" t="s">
        <v>854</v>
      </c>
      <c r="F491" s="170"/>
    </row>
    <row r="492" spans="2:6" ht="15" x14ac:dyDescent="0.25">
      <c r="B492" s="169"/>
      <c r="C492" s="679">
        <v>3047212</v>
      </c>
      <c r="D492" s="677">
        <v>1</v>
      </c>
      <c r="E492" s="678" t="s">
        <v>855</v>
      </c>
      <c r="F492" s="170"/>
    </row>
    <row r="493" spans="2:6" ht="15" x14ac:dyDescent="0.25">
      <c r="B493" s="169"/>
      <c r="C493" s="679">
        <v>3047213</v>
      </c>
      <c r="D493" s="677">
        <v>0</v>
      </c>
      <c r="E493" s="678" t="s">
        <v>856</v>
      </c>
      <c r="F493" s="170"/>
    </row>
    <row r="494" spans="2:6" ht="15" x14ac:dyDescent="0.25">
      <c r="B494" s="169"/>
      <c r="C494" s="679">
        <v>3047214</v>
      </c>
      <c r="D494" s="677">
        <v>8</v>
      </c>
      <c r="E494" s="678" t="s">
        <v>857</v>
      </c>
      <c r="F494" s="170"/>
    </row>
    <row r="495" spans="2:6" ht="15" x14ac:dyDescent="0.25">
      <c r="B495" s="169"/>
      <c r="C495" s="679">
        <v>3047221</v>
      </c>
      <c r="D495" s="677">
        <v>1</v>
      </c>
      <c r="E495" s="678" t="s">
        <v>858</v>
      </c>
      <c r="F495" s="170"/>
    </row>
    <row r="496" spans="2:6" ht="15" x14ac:dyDescent="0.25">
      <c r="B496" s="169"/>
      <c r="C496" s="679">
        <v>3047222</v>
      </c>
      <c r="D496" s="677">
        <v>9</v>
      </c>
      <c r="E496" s="678" t="s">
        <v>859</v>
      </c>
      <c r="F496" s="170"/>
    </row>
    <row r="497" spans="2:6" ht="15" x14ac:dyDescent="0.25">
      <c r="B497" s="169"/>
      <c r="C497" s="679">
        <v>3047223</v>
      </c>
      <c r="D497" s="677">
        <v>7</v>
      </c>
      <c r="E497" s="678" t="s">
        <v>860</v>
      </c>
      <c r="F497" s="170"/>
    </row>
    <row r="498" spans="2:6" ht="15" x14ac:dyDescent="0.25">
      <c r="B498" s="169"/>
      <c r="C498" s="679">
        <v>3047224</v>
      </c>
      <c r="D498" s="677">
        <v>5</v>
      </c>
      <c r="E498" s="678" t="s">
        <v>861</v>
      </c>
      <c r="F498" s="170"/>
    </row>
    <row r="499" spans="2:6" ht="15" x14ac:dyDescent="0.25">
      <c r="B499" s="169"/>
      <c r="C499" s="679">
        <v>3051349</v>
      </c>
      <c r="D499" s="677">
        <v>9</v>
      </c>
      <c r="E499" s="678" t="s">
        <v>862</v>
      </c>
      <c r="F499" s="170"/>
    </row>
    <row r="500" spans="2:6" ht="15" x14ac:dyDescent="0.25">
      <c r="B500" s="169"/>
      <c r="C500" s="679">
        <v>3047225</v>
      </c>
      <c r="D500" s="677">
        <v>3</v>
      </c>
      <c r="E500" s="678" t="s">
        <v>863</v>
      </c>
      <c r="F500" s="170"/>
    </row>
    <row r="501" spans="2:6" ht="15" x14ac:dyDescent="0.25">
      <c r="B501" s="169"/>
      <c r="C501" s="679">
        <v>3047226</v>
      </c>
      <c r="D501" s="677">
        <v>1</v>
      </c>
      <c r="E501" s="678" t="s">
        <v>864</v>
      </c>
      <c r="F501" s="170"/>
    </row>
    <row r="502" spans="2:6" ht="15" x14ac:dyDescent="0.25">
      <c r="B502" s="169"/>
      <c r="C502" s="679">
        <v>3051357</v>
      </c>
      <c r="D502" s="677">
        <v>0</v>
      </c>
      <c r="E502" s="678" t="s">
        <v>865</v>
      </c>
      <c r="F502" s="170"/>
    </row>
    <row r="503" spans="2:6" ht="15" x14ac:dyDescent="0.25">
      <c r="B503" s="169"/>
      <c r="C503" s="679">
        <v>3051356</v>
      </c>
      <c r="D503" s="677">
        <v>1</v>
      </c>
      <c r="E503" s="678" t="s">
        <v>866</v>
      </c>
      <c r="F503" s="170"/>
    </row>
    <row r="504" spans="2:6" ht="15" x14ac:dyDescent="0.25">
      <c r="B504" s="169"/>
      <c r="C504" s="679">
        <v>3047227</v>
      </c>
      <c r="D504" s="677">
        <v>0</v>
      </c>
      <c r="E504" s="678" t="s">
        <v>867</v>
      </c>
      <c r="F504" s="170"/>
    </row>
    <row r="505" spans="2:6" ht="15" x14ac:dyDescent="0.25">
      <c r="B505" s="169"/>
      <c r="C505" s="679">
        <v>3047228</v>
      </c>
      <c r="D505" s="677">
        <v>8</v>
      </c>
      <c r="E505" s="678" t="s">
        <v>868</v>
      </c>
      <c r="F505" s="170"/>
    </row>
    <row r="506" spans="2:6" ht="15" x14ac:dyDescent="0.25">
      <c r="B506" s="169"/>
      <c r="C506" s="679">
        <v>3047229</v>
      </c>
      <c r="D506" s="677">
        <v>6</v>
      </c>
      <c r="E506" s="678" t="s">
        <v>869</v>
      </c>
      <c r="F506" s="170"/>
    </row>
    <row r="507" spans="2:6" ht="15" x14ac:dyDescent="0.25">
      <c r="B507" s="169"/>
      <c r="C507" s="679">
        <v>3047230</v>
      </c>
      <c r="D507" s="677">
        <v>0</v>
      </c>
      <c r="E507" s="678" t="s">
        <v>870</v>
      </c>
      <c r="F507" s="170"/>
    </row>
    <row r="508" spans="2:6" ht="15" x14ac:dyDescent="0.25">
      <c r="B508" s="169"/>
      <c r="C508" s="679">
        <v>3047231</v>
      </c>
      <c r="D508" s="677">
        <v>8</v>
      </c>
      <c r="E508" s="678" t="s">
        <v>871</v>
      </c>
      <c r="F508" s="170"/>
    </row>
    <row r="509" spans="2:6" ht="15" x14ac:dyDescent="0.25">
      <c r="B509" s="169"/>
      <c r="C509" s="679">
        <v>3047232</v>
      </c>
      <c r="D509" s="677">
        <v>6</v>
      </c>
      <c r="E509" s="678" t="s">
        <v>872</v>
      </c>
      <c r="F509" s="170"/>
    </row>
    <row r="510" spans="2:6" ht="15" x14ac:dyDescent="0.25">
      <c r="B510" s="169"/>
      <c r="C510" s="679">
        <v>3047233</v>
      </c>
      <c r="D510" s="677">
        <v>4</v>
      </c>
      <c r="E510" s="678" t="s">
        <v>873</v>
      </c>
      <c r="F510" s="170"/>
    </row>
    <row r="511" spans="2:6" ht="15" x14ac:dyDescent="0.25">
      <c r="B511" s="169"/>
      <c r="C511" s="679">
        <v>3047234</v>
      </c>
      <c r="D511" s="677">
        <v>2</v>
      </c>
      <c r="E511" s="678" t="s">
        <v>874</v>
      </c>
      <c r="F511" s="170"/>
    </row>
    <row r="512" spans="2:6" ht="15" x14ac:dyDescent="0.25">
      <c r="B512" s="169"/>
      <c r="C512" s="679">
        <v>3047235</v>
      </c>
      <c r="D512" s="677">
        <v>1</v>
      </c>
      <c r="E512" s="678" t="s">
        <v>875</v>
      </c>
      <c r="F512" s="170"/>
    </row>
    <row r="513" spans="2:6" ht="15" x14ac:dyDescent="0.25">
      <c r="B513" s="169"/>
      <c r="C513" s="679">
        <v>3047236</v>
      </c>
      <c r="D513" s="677">
        <v>9</v>
      </c>
      <c r="E513" s="678" t="s">
        <v>876</v>
      </c>
      <c r="F513" s="170"/>
    </row>
    <row r="514" spans="2:6" ht="15" x14ac:dyDescent="0.25">
      <c r="B514" s="169"/>
      <c r="C514" s="679">
        <v>3047237</v>
      </c>
      <c r="D514" s="677">
        <v>7</v>
      </c>
      <c r="E514" s="678" t="s">
        <v>877</v>
      </c>
      <c r="F514" s="170"/>
    </row>
    <row r="515" spans="2:6" ht="15" x14ac:dyDescent="0.25">
      <c r="B515" s="169"/>
      <c r="C515" s="679">
        <v>3047238</v>
      </c>
      <c r="D515" s="677">
        <v>5</v>
      </c>
      <c r="E515" s="678" t="s">
        <v>878</v>
      </c>
      <c r="F515" s="170"/>
    </row>
    <row r="516" spans="2:6" ht="15" x14ac:dyDescent="0.25">
      <c r="B516" s="169"/>
      <c r="C516" s="679">
        <v>3047239</v>
      </c>
      <c r="D516" s="677">
        <v>3</v>
      </c>
      <c r="E516" s="678" t="s">
        <v>879</v>
      </c>
      <c r="F516" s="170"/>
    </row>
    <row r="517" spans="2:6" ht="15" x14ac:dyDescent="0.25">
      <c r="B517" s="169"/>
      <c r="C517" s="679">
        <v>3047240</v>
      </c>
      <c r="D517" s="677">
        <v>7</v>
      </c>
      <c r="E517" s="678" t="s">
        <v>880</v>
      </c>
      <c r="F517" s="170"/>
    </row>
    <row r="518" spans="2:6" ht="15" x14ac:dyDescent="0.25">
      <c r="B518" s="169"/>
      <c r="C518" s="679">
        <v>3047241</v>
      </c>
      <c r="D518" s="677">
        <v>5</v>
      </c>
      <c r="E518" s="678" t="s">
        <v>881</v>
      </c>
      <c r="F518" s="170"/>
    </row>
    <row r="519" spans="2:6" ht="15" x14ac:dyDescent="0.25">
      <c r="B519" s="169"/>
      <c r="C519" s="679">
        <v>3047242</v>
      </c>
      <c r="D519" s="677">
        <v>3</v>
      </c>
      <c r="E519" s="678" t="s">
        <v>882</v>
      </c>
      <c r="F519" s="170"/>
    </row>
    <row r="520" spans="2:6" ht="15" x14ac:dyDescent="0.25">
      <c r="B520" s="169"/>
      <c r="C520" s="679">
        <v>3047243</v>
      </c>
      <c r="D520" s="677">
        <v>1</v>
      </c>
      <c r="E520" s="678" t="s">
        <v>883</v>
      </c>
      <c r="F520" s="170"/>
    </row>
    <row r="521" spans="2:6" ht="15" x14ac:dyDescent="0.25">
      <c r="B521" s="169"/>
      <c r="C521" s="679">
        <v>3047244</v>
      </c>
      <c r="D521" s="677">
        <v>0</v>
      </c>
      <c r="E521" s="678" t="s">
        <v>884</v>
      </c>
      <c r="F521" s="170"/>
    </row>
    <row r="522" spans="2:6" ht="15" x14ac:dyDescent="0.25">
      <c r="B522" s="169"/>
      <c r="C522" s="679">
        <v>3047245</v>
      </c>
      <c r="D522" s="677">
        <v>8</v>
      </c>
      <c r="E522" s="678" t="s">
        <v>885</v>
      </c>
      <c r="F522" s="170"/>
    </row>
    <row r="523" spans="2:6" ht="15" x14ac:dyDescent="0.25">
      <c r="B523" s="169"/>
      <c r="C523" s="679">
        <v>3047246</v>
      </c>
      <c r="D523" s="677">
        <v>6</v>
      </c>
      <c r="E523" s="678" t="s">
        <v>886</v>
      </c>
      <c r="F523" s="170"/>
    </row>
    <row r="524" spans="2:6" ht="15" x14ac:dyDescent="0.25">
      <c r="B524" s="169"/>
      <c r="C524" s="679">
        <v>3047247</v>
      </c>
      <c r="D524" s="677">
        <v>4</v>
      </c>
      <c r="E524" s="678" t="s">
        <v>887</v>
      </c>
      <c r="F524" s="170"/>
    </row>
    <row r="525" spans="2:6" ht="15" x14ac:dyDescent="0.25">
      <c r="B525" s="169"/>
      <c r="C525" s="679">
        <v>3047248</v>
      </c>
      <c r="D525" s="677">
        <v>2</v>
      </c>
      <c r="E525" s="678" t="s">
        <v>888</v>
      </c>
      <c r="F525" s="170"/>
    </row>
    <row r="526" spans="2:6" ht="15" x14ac:dyDescent="0.25">
      <c r="B526" s="169"/>
      <c r="C526" s="679">
        <v>3047249</v>
      </c>
      <c r="D526" s="677">
        <v>1</v>
      </c>
      <c r="E526" s="678" t="s">
        <v>889</v>
      </c>
      <c r="F526" s="170"/>
    </row>
    <row r="527" spans="2:6" ht="15" x14ac:dyDescent="0.25">
      <c r="B527" s="169"/>
      <c r="C527" s="679">
        <v>3047250</v>
      </c>
      <c r="D527" s="677">
        <v>4</v>
      </c>
      <c r="E527" s="678" t="s">
        <v>890</v>
      </c>
      <c r="F527" s="170"/>
    </row>
    <row r="528" spans="2:6" ht="15" x14ac:dyDescent="0.25">
      <c r="B528" s="169"/>
      <c r="C528" s="679">
        <v>3047251</v>
      </c>
      <c r="D528" s="677">
        <v>2</v>
      </c>
      <c r="E528" s="678" t="s">
        <v>891</v>
      </c>
      <c r="F528" s="170"/>
    </row>
    <row r="529" spans="2:6" ht="15" x14ac:dyDescent="0.25">
      <c r="B529" s="169"/>
      <c r="C529" s="679">
        <v>3047252</v>
      </c>
      <c r="D529" s="677">
        <v>1</v>
      </c>
      <c r="E529" s="678" t="s">
        <v>892</v>
      </c>
      <c r="F529" s="170"/>
    </row>
    <row r="530" spans="2:6" ht="15" x14ac:dyDescent="0.25">
      <c r="B530" s="169"/>
      <c r="C530" s="679">
        <v>3047253</v>
      </c>
      <c r="D530" s="677">
        <v>9</v>
      </c>
      <c r="E530" s="678" t="s">
        <v>893</v>
      </c>
      <c r="F530" s="170"/>
    </row>
    <row r="531" spans="2:6" ht="15" x14ac:dyDescent="0.25">
      <c r="B531" s="169"/>
      <c r="C531" s="679">
        <v>3047254</v>
      </c>
      <c r="D531" s="677">
        <v>7</v>
      </c>
      <c r="E531" s="678" t="s">
        <v>894</v>
      </c>
      <c r="F531" s="170"/>
    </row>
    <row r="532" spans="2:6" ht="15" x14ac:dyDescent="0.25">
      <c r="B532" s="169"/>
      <c r="C532" s="679">
        <v>3047255</v>
      </c>
      <c r="D532" s="677">
        <v>5</v>
      </c>
      <c r="E532" s="678" t="s">
        <v>895</v>
      </c>
      <c r="F532" s="170"/>
    </row>
    <row r="533" spans="2:6" ht="15" x14ac:dyDescent="0.25">
      <c r="B533" s="169"/>
      <c r="C533" s="679">
        <v>3047256</v>
      </c>
      <c r="D533" s="677">
        <v>3</v>
      </c>
      <c r="E533" s="678" t="s">
        <v>896</v>
      </c>
      <c r="F533" s="170"/>
    </row>
    <row r="534" spans="2:6" ht="15" x14ac:dyDescent="0.25">
      <c r="B534" s="169"/>
      <c r="C534" s="679">
        <v>3047257</v>
      </c>
      <c r="D534" s="677">
        <v>1</v>
      </c>
      <c r="E534" s="678" t="s">
        <v>897</v>
      </c>
      <c r="F534" s="170"/>
    </row>
    <row r="535" spans="2:6" ht="15" x14ac:dyDescent="0.25">
      <c r="B535" s="169"/>
      <c r="C535" s="679">
        <v>3047258</v>
      </c>
      <c r="D535" s="677">
        <v>0</v>
      </c>
      <c r="E535" s="678" t="s">
        <v>898</v>
      </c>
      <c r="F535" s="170"/>
    </row>
    <row r="536" spans="2:6" ht="15" x14ac:dyDescent="0.25">
      <c r="B536" s="169"/>
      <c r="C536" s="679">
        <v>3047259</v>
      </c>
      <c r="D536" s="677">
        <v>8</v>
      </c>
      <c r="E536" s="678" t="s">
        <v>899</v>
      </c>
      <c r="F536" s="170"/>
    </row>
    <row r="537" spans="2:6" ht="15" x14ac:dyDescent="0.25">
      <c r="B537" s="169"/>
      <c r="C537" s="679">
        <v>3047260</v>
      </c>
      <c r="D537" s="677">
        <v>1</v>
      </c>
      <c r="E537" s="678" t="s">
        <v>900</v>
      </c>
      <c r="F537" s="170"/>
    </row>
    <row r="538" spans="2:6" ht="15" x14ac:dyDescent="0.25">
      <c r="B538" s="169"/>
      <c r="C538" s="679">
        <v>3071150</v>
      </c>
      <c r="D538" s="677">
        <v>9</v>
      </c>
      <c r="E538" s="678" t="s">
        <v>901</v>
      </c>
      <c r="F538" s="170"/>
    </row>
    <row r="539" spans="2:6" ht="15" x14ac:dyDescent="0.25">
      <c r="B539" s="169"/>
      <c r="C539" s="679">
        <v>3047261</v>
      </c>
      <c r="D539" s="677">
        <v>0</v>
      </c>
      <c r="E539" s="678" t="s">
        <v>902</v>
      </c>
      <c r="F539" s="170"/>
    </row>
    <row r="540" spans="2:6" ht="15" x14ac:dyDescent="0.25">
      <c r="B540" s="169"/>
      <c r="C540" s="679">
        <v>3073735</v>
      </c>
      <c r="D540" s="677">
        <v>4</v>
      </c>
      <c r="E540" s="678" t="s">
        <v>903</v>
      </c>
      <c r="F540" s="170"/>
    </row>
    <row r="541" spans="2:6" ht="15" x14ac:dyDescent="0.25">
      <c r="B541" s="169"/>
      <c r="C541" s="679">
        <v>3047262</v>
      </c>
      <c r="D541" s="677">
        <v>8</v>
      </c>
      <c r="E541" s="678" t="s">
        <v>904</v>
      </c>
      <c r="F541" s="170"/>
    </row>
    <row r="542" spans="2:6" ht="15" x14ac:dyDescent="0.25">
      <c r="B542" s="169"/>
      <c r="C542" s="679">
        <v>3047263</v>
      </c>
      <c r="D542" s="677">
        <v>6</v>
      </c>
      <c r="E542" s="678" t="s">
        <v>905</v>
      </c>
      <c r="F542" s="170"/>
    </row>
    <row r="543" spans="2:6" ht="15" x14ac:dyDescent="0.25">
      <c r="B543" s="169"/>
      <c r="C543" s="679">
        <v>3047264</v>
      </c>
      <c r="D543" s="677">
        <v>4</v>
      </c>
      <c r="E543" s="678" t="s">
        <v>906</v>
      </c>
      <c r="F543" s="170"/>
    </row>
    <row r="544" spans="2:6" ht="15" x14ac:dyDescent="0.25">
      <c r="B544" s="169"/>
      <c r="C544" s="679">
        <v>3047265</v>
      </c>
      <c r="D544" s="677">
        <v>2</v>
      </c>
      <c r="E544" s="678" t="s">
        <v>907</v>
      </c>
      <c r="F544" s="170"/>
    </row>
    <row r="545" spans="2:6" ht="15" x14ac:dyDescent="0.25">
      <c r="B545" s="169"/>
      <c r="C545" s="679">
        <v>3047266</v>
      </c>
      <c r="D545" s="677">
        <v>1</v>
      </c>
      <c r="E545" s="678" t="s">
        <v>908</v>
      </c>
      <c r="F545" s="170"/>
    </row>
    <row r="546" spans="2:6" ht="15" x14ac:dyDescent="0.25">
      <c r="B546" s="169"/>
      <c r="C546" s="679">
        <v>3047267</v>
      </c>
      <c r="D546" s="677">
        <v>9</v>
      </c>
      <c r="E546" s="678" t="s">
        <v>909</v>
      </c>
      <c r="F546" s="170"/>
    </row>
    <row r="547" spans="2:6" ht="15" x14ac:dyDescent="0.25">
      <c r="B547" s="169"/>
      <c r="C547" s="679">
        <v>3047268</v>
      </c>
      <c r="D547" s="677">
        <v>7</v>
      </c>
      <c r="E547" s="678" t="s">
        <v>910</v>
      </c>
      <c r="F547" s="170"/>
    </row>
    <row r="548" spans="2:6" ht="15" x14ac:dyDescent="0.25">
      <c r="B548" s="169"/>
      <c r="C548" s="679">
        <v>3047269</v>
      </c>
      <c r="D548" s="677">
        <v>5</v>
      </c>
      <c r="E548" s="678" t="s">
        <v>911</v>
      </c>
      <c r="F548" s="170"/>
    </row>
    <row r="549" spans="2:6" ht="15" x14ac:dyDescent="0.25">
      <c r="B549" s="169"/>
      <c r="C549" s="679">
        <v>3070385</v>
      </c>
      <c r="D549" s="677">
        <v>9</v>
      </c>
      <c r="E549" s="678" t="s">
        <v>912</v>
      </c>
      <c r="F549" s="170"/>
    </row>
    <row r="550" spans="2:6" ht="15" x14ac:dyDescent="0.25">
      <c r="B550" s="169"/>
      <c r="C550" s="679">
        <v>3073722</v>
      </c>
      <c r="D550" s="677">
        <v>2</v>
      </c>
      <c r="E550" s="678" t="s">
        <v>913</v>
      </c>
      <c r="F550" s="170"/>
    </row>
    <row r="551" spans="2:6" ht="15" x14ac:dyDescent="0.25">
      <c r="B551" s="169"/>
      <c r="C551" s="679">
        <v>3074344</v>
      </c>
      <c r="D551" s="677">
        <v>3</v>
      </c>
      <c r="E551" s="678" t="s">
        <v>914</v>
      </c>
      <c r="F551" s="170"/>
    </row>
    <row r="552" spans="2:6" ht="15" x14ac:dyDescent="0.25">
      <c r="B552" s="169"/>
      <c r="C552" s="679">
        <v>3074361</v>
      </c>
      <c r="D552" s="677">
        <v>3</v>
      </c>
      <c r="E552" s="678" t="s">
        <v>915</v>
      </c>
      <c r="F552" s="170"/>
    </row>
    <row r="553" spans="2:6" ht="15" x14ac:dyDescent="0.25">
      <c r="B553" s="169"/>
      <c r="C553" s="679">
        <v>3047270</v>
      </c>
      <c r="D553" s="677">
        <v>9</v>
      </c>
      <c r="E553" s="678" t="s">
        <v>916</v>
      </c>
      <c r="F553" s="170"/>
    </row>
    <row r="554" spans="2:6" ht="15" x14ac:dyDescent="0.25">
      <c r="B554" s="169"/>
      <c r="C554" s="679">
        <v>3047271</v>
      </c>
      <c r="D554" s="677">
        <v>7</v>
      </c>
      <c r="E554" s="678" t="s">
        <v>917</v>
      </c>
      <c r="F554" s="170"/>
    </row>
    <row r="555" spans="2:6" ht="15" x14ac:dyDescent="0.25">
      <c r="B555" s="169"/>
      <c r="C555" s="679">
        <v>3047272</v>
      </c>
      <c r="D555" s="677">
        <v>5</v>
      </c>
      <c r="E555" s="678" t="s">
        <v>918</v>
      </c>
      <c r="F555" s="170"/>
    </row>
    <row r="556" spans="2:6" ht="15" x14ac:dyDescent="0.25">
      <c r="B556" s="169"/>
      <c r="C556" s="679">
        <v>3047273</v>
      </c>
      <c r="D556" s="677">
        <v>3</v>
      </c>
      <c r="E556" s="678" t="s">
        <v>919</v>
      </c>
      <c r="F556" s="170"/>
    </row>
    <row r="557" spans="2:6" ht="15" x14ac:dyDescent="0.25">
      <c r="B557" s="169"/>
      <c r="C557" s="679">
        <v>3047274</v>
      </c>
      <c r="D557" s="677">
        <v>1</v>
      </c>
      <c r="E557" s="678" t="s">
        <v>920</v>
      </c>
      <c r="F557" s="170"/>
    </row>
    <row r="558" spans="2:6" ht="15" x14ac:dyDescent="0.25">
      <c r="B558" s="169"/>
      <c r="C558" s="679">
        <v>3047275</v>
      </c>
      <c r="D558" s="677">
        <v>0</v>
      </c>
      <c r="E558" s="678" t="s">
        <v>921</v>
      </c>
      <c r="F558" s="170"/>
    </row>
    <row r="559" spans="2:6" ht="15" x14ac:dyDescent="0.25">
      <c r="B559" s="169"/>
      <c r="C559" s="679">
        <v>3047276</v>
      </c>
      <c r="D559" s="677">
        <v>8</v>
      </c>
      <c r="E559" s="678" t="s">
        <v>922</v>
      </c>
      <c r="F559" s="170"/>
    </row>
    <row r="560" spans="2:6" ht="15" x14ac:dyDescent="0.25">
      <c r="B560" s="169"/>
      <c r="C560" s="679">
        <v>3047277</v>
      </c>
      <c r="D560" s="677">
        <v>6</v>
      </c>
      <c r="E560" s="678" t="s">
        <v>923</v>
      </c>
      <c r="F560" s="170"/>
    </row>
    <row r="561" spans="2:6" ht="15" x14ac:dyDescent="0.25">
      <c r="B561" s="169"/>
      <c r="C561" s="679">
        <v>3047278</v>
      </c>
      <c r="D561" s="677">
        <v>4</v>
      </c>
      <c r="E561" s="678" t="s">
        <v>924</v>
      </c>
      <c r="F561" s="170"/>
    </row>
    <row r="562" spans="2:6" ht="15" x14ac:dyDescent="0.25">
      <c r="B562" s="169"/>
      <c r="C562" s="679">
        <v>3047279</v>
      </c>
      <c r="D562" s="677">
        <v>2</v>
      </c>
      <c r="E562" s="678" t="s">
        <v>925</v>
      </c>
      <c r="F562" s="170"/>
    </row>
    <row r="563" spans="2:6" ht="15" x14ac:dyDescent="0.25">
      <c r="B563" s="169"/>
      <c r="C563" s="679">
        <v>3047280</v>
      </c>
      <c r="D563" s="677">
        <v>6</v>
      </c>
      <c r="E563" s="678" t="s">
        <v>926</v>
      </c>
      <c r="F563" s="170"/>
    </row>
    <row r="564" spans="2:6" ht="15" x14ac:dyDescent="0.25">
      <c r="B564" s="169"/>
      <c r="C564" s="679">
        <v>3047281</v>
      </c>
      <c r="D564" s="677">
        <v>4</v>
      </c>
      <c r="E564" s="678" t="s">
        <v>927</v>
      </c>
      <c r="F564" s="170"/>
    </row>
    <row r="565" spans="2:6" ht="15" x14ac:dyDescent="0.25">
      <c r="B565" s="169"/>
      <c r="C565" s="679">
        <v>3047282</v>
      </c>
      <c r="D565" s="677">
        <v>2</v>
      </c>
      <c r="E565" s="678" t="s">
        <v>928</v>
      </c>
      <c r="F565" s="170"/>
    </row>
    <row r="566" spans="2:6" ht="15" x14ac:dyDescent="0.25">
      <c r="B566" s="169"/>
      <c r="C566" s="679">
        <v>3047283</v>
      </c>
      <c r="D566" s="677">
        <v>1</v>
      </c>
      <c r="E566" s="678" t="s">
        <v>929</v>
      </c>
      <c r="F566" s="170"/>
    </row>
    <row r="567" spans="2:6" ht="15" x14ac:dyDescent="0.25">
      <c r="B567" s="169"/>
      <c r="C567" s="679">
        <v>3047284</v>
      </c>
      <c r="D567" s="677">
        <v>9</v>
      </c>
      <c r="E567" s="678" t="s">
        <v>930</v>
      </c>
      <c r="F567" s="170"/>
    </row>
    <row r="568" spans="2:6" ht="15" x14ac:dyDescent="0.25">
      <c r="B568" s="169"/>
      <c r="C568" s="679">
        <v>3047285</v>
      </c>
      <c r="D568" s="677">
        <v>7</v>
      </c>
      <c r="E568" s="678" t="s">
        <v>931</v>
      </c>
      <c r="F568" s="170"/>
    </row>
    <row r="569" spans="2:6" ht="15" x14ac:dyDescent="0.25">
      <c r="B569" s="169"/>
      <c r="C569" s="679">
        <v>3047286</v>
      </c>
      <c r="D569" s="677">
        <v>5</v>
      </c>
      <c r="E569" s="678" t="s">
        <v>932</v>
      </c>
      <c r="F569" s="170"/>
    </row>
    <row r="570" spans="2:6" ht="15" x14ac:dyDescent="0.25">
      <c r="B570" s="169"/>
      <c r="C570" s="679">
        <v>3047287</v>
      </c>
      <c r="D570" s="677">
        <v>3</v>
      </c>
      <c r="E570" s="678" t="s">
        <v>933</v>
      </c>
      <c r="F570" s="170"/>
    </row>
    <row r="571" spans="2:6" ht="15" x14ac:dyDescent="0.25">
      <c r="B571" s="169"/>
      <c r="C571" s="679">
        <v>3047288</v>
      </c>
      <c r="D571" s="677">
        <v>1</v>
      </c>
      <c r="E571" s="678" t="s">
        <v>934</v>
      </c>
      <c r="F571" s="170"/>
    </row>
    <row r="572" spans="2:6" ht="15" x14ac:dyDescent="0.25">
      <c r="B572" s="169"/>
      <c r="C572" s="679">
        <v>3047289</v>
      </c>
      <c r="D572" s="677">
        <v>0</v>
      </c>
      <c r="E572" s="678" t="s">
        <v>935</v>
      </c>
      <c r="F572" s="170"/>
    </row>
    <row r="573" spans="2:6" ht="15" x14ac:dyDescent="0.25">
      <c r="B573" s="169"/>
      <c r="C573" s="679">
        <v>3047290</v>
      </c>
      <c r="D573" s="677">
        <v>3</v>
      </c>
      <c r="E573" s="678" t="s">
        <v>936</v>
      </c>
      <c r="F573" s="170"/>
    </row>
    <row r="574" spans="2:6" ht="15" x14ac:dyDescent="0.25">
      <c r="B574" s="169"/>
      <c r="C574" s="679">
        <v>3047291</v>
      </c>
      <c r="D574" s="677">
        <v>1</v>
      </c>
      <c r="E574" s="678" t="s">
        <v>937</v>
      </c>
      <c r="F574" s="170"/>
    </row>
    <row r="575" spans="2:6" ht="15" x14ac:dyDescent="0.25">
      <c r="B575" s="169"/>
      <c r="C575" s="679">
        <v>3047292</v>
      </c>
      <c r="D575" s="677">
        <v>0</v>
      </c>
      <c r="E575" s="678" t="s">
        <v>938</v>
      </c>
      <c r="F575" s="170"/>
    </row>
    <row r="576" spans="2:6" ht="15" x14ac:dyDescent="0.25">
      <c r="B576" s="169"/>
      <c r="C576" s="679">
        <v>3047293</v>
      </c>
      <c r="D576" s="677">
        <v>8</v>
      </c>
      <c r="E576" s="678" t="s">
        <v>939</v>
      </c>
      <c r="F576" s="170"/>
    </row>
    <row r="577" spans="2:6" ht="15" x14ac:dyDescent="0.25">
      <c r="B577" s="169"/>
      <c r="C577" s="679">
        <v>3047294</v>
      </c>
      <c r="D577" s="677">
        <v>6</v>
      </c>
      <c r="E577" s="678" t="s">
        <v>940</v>
      </c>
      <c r="F577" s="170"/>
    </row>
    <row r="578" spans="2:6" ht="15" x14ac:dyDescent="0.25">
      <c r="B578" s="169"/>
      <c r="C578" s="679">
        <v>3316068</v>
      </c>
      <c r="D578" s="677">
        <v>6</v>
      </c>
      <c r="E578" s="678" t="s">
        <v>8260</v>
      </c>
      <c r="F578" s="170"/>
    </row>
    <row r="579" spans="2:6" ht="15" x14ac:dyDescent="0.25">
      <c r="B579" s="169"/>
      <c r="C579" s="679">
        <v>3047295</v>
      </c>
      <c r="D579" s="677">
        <v>4</v>
      </c>
      <c r="E579" s="678" t="s">
        <v>941</v>
      </c>
      <c r="F579" s="170"/>
    </row>
    <row r="580" spans="2:6" ht="15" x14ac:dyDescent="0.25">
      <c r="B580" s="169"/>
      <c r="C580" s="679">
        <v>3047296</v>
      </c>
      <c r="D580" s="677">
        <v>2</v>
      </c>
      <c r="E580" s="678" t="s">
        <v>942</v>
      </c>
      <c r="F580" s="170"/>
    </row>
    <row r="581" spans="2:6" ht="15" x14ac:dyDescent="0.25">
      <c r="B581" s="169"/>
      <c r="C581" s="679">
        <v>3047297</v>
      </c>
      <c r="D581" s="677">
        <v>1</v>
      </c>
      <c r="E581" s="678" t="s">
        <v>943</v>
      </c>
      <c r="F581" s="170"/>
    </row>
    <row r="582" spans="2:6" ht="15" x14ac:dyDescent="0.25">
      <c r="B582" s="169"/>
      <c r="C582" s="679">
        <v>3047298</v>
      </c>
      <c r="D582" s="677">
        <v>9</v>
      </c>
      <c r="E582" s="678" t="s">
        <v>944</v>
      </c>
      <c r="F582" s="170"/>
    </row>
    <row r="583" spans="2:6" ht="15" x14ac:dyDescent="0.25">
      <c r="B583" s="169"/>
      <c r="C583" s="679">
        <v>3047299</v>
      </c>
      <c r="D583" s="677">
        <v>7</v>
      </c>
      <c r="E583" s="678" t="s">
        <v>945</v>
      </c>
      <c r="F583" s="170"/>
    </row>
    <row r="584" spans="2:6" ht="15" x14ac:dyDescent="0.25">
      <c r="B584" s="169"/>
      <c r="C584" s="679">
        <v>3047300</v>
      </c>
      <c r="D584" s="677">
        <v>4</v>
      </c>
      <c r="E584" s="678" t="s">
        <v>946</v>
      </c>
      <c r="F584" s="170"/>
    </row>
    <row r="585" spans="2:6" ht="15" x14ac:dyDescent="0.25">
      <c r="B585" s="169"/>
      <c r="C585" s="679">
        <v>3047301</v>
      </c>
      <c r="D585" s="677">
        <v>2</v>
      </c>
      <c r="E585" s="678" t="s">
        <v>947</v>
      </c>
      <c r="F585" s="170"/>
    </row>
    <row r="586" spans="2:6" ht="15" x14ac:dyDescent="0.25">
      <c r="B586" s="169"/>
      <c r="C586" s="679">
        <v>3047302</v>
      </c>
      <c r="D586" s="677">
        <v>1</v>
      </c>
      <c r="E586" s="678" t="s">
        <v>948</v>
      </c>
      <c r="F586" s="170"/>
    </row>
    <row r="587" spans="2:6" ht="15" x14ac:dyDescent="0.25">
      <c r="B587" s="169"/>
      <c r="C587" s="679">
        <v>3047303</v>
      </c>
      <c r="D587" s="677">
        <v>9</v>
      </c>
      <c r="E587" s="678" t="s">
        <v>949</v>
      </c>
      <c r="F587" s="170"/>
    </row>
    <row r="588" spans="2:6" ht="15" x14ac:dyDescent="0.25">
      <c r="B588" s="169"/>
      <c r="C588" s="679">
        <v>3047304</v>
      </c>
      <c r="D588" s="677">
        <v>7</v>
      </c>
      <c r="E588" s="678" t="s">
        <v>950</v>
      </c>
      <c r="F588" s="170"/>
    </row>
    <row r="589" spans="2:6" ht="15" x14ac:dyDescent="0.25">
      <c r="B589" s="169"/>
      <c r="C589" s="679">
        <v>3047305</v>
      </c>
      <c r="D589" s="677">
        <v>5</v>
      </c>
      <c r="E589" s="678" t="s">
        <v>951</v>
      </c>
      <c r="F589" s="170"/>
    </row>
    <row r="590" spans="2:6" ht="15" x14ac:dyDescent="0.25">
      <c r="B590" s="169"/>
      <c r="C590" s="679">
        <v>3047306</v>
      </c>
      <c r="D590" s="677">
        <v>3</v>
      </c>
      <c r="E590" s="678" t="s">
        <v>952</v>
      </c>
      <c r="F590" s="170"/>
    </row>
    <row r="591" spans="2:6" ht="15" x14ac:dyDescent="0.25">
      <c r="B591" s="169"/>
      <c r="C591" s="679">
        <v>3047307</v>
      </c>
      <c r="D591" s="677">
        <v>1</v>
      </c>
      <c r="E591" s="678" t="s">
        <v>953</v>
      </c>
      <c r="F591" s="170"/>
    </row>
    <row r="592" spans="2:6" ht="15" x14ac:dyDescent="0.25">
      <c r="B592" s="169"/>
      <c r="C592" s="679">
        <v>3047308</v>
      </c>
      <c r="D592" s="677">
        <v>0</v>
      </c>
      <c r="E592" s="678" t="s">
        <v>954</v>
      </c>
      <c r="F592" s="170"/>
    </row>
    <row r="593" spans="2:6" ht="15" x14ac:dyDescent="0.25">
      <c r="B593" s="169"/>
      <c r="C593" s="679">
        <v>3047309</v>
      </c>
      <c r="D593" s="677">
        <v>8</v>
      </c>
      <c r="E593" s="678" t="s">
        <v>955</v>
      </c>
      <c r="F593" s="170"/>
    </row>
    <row r="594" spans="2:6" ht="15" x14ac:dyDescent="0.25">
      <c r="B594" s="169"/>
      <c r="C594" s="679">
        <v>3047310</v>
      </c>
      <c r="D594" s="677">
        <v>1</v>
      </c>
      <c r="E594" s="678" t="s">
        <v>956</v>
      </c>
      <c r="F594" s="170"/>
    </row>
    <row r="595" spans="2:6" ht="15" x14ac:dyDescent="0.25">
      <c r="B595" s="169"/>
      <c r="C595" s="679">
        <v>3047311</v>
      </c>
      <c r="D595" s="677">
        <v>0</v>
      </c>
      <c r="E595" s="678" t="s">
        <v>957</v>
      </c>
      <c r="F595" s="170"/>
    </row>
    <row r="596" spans="2:6" ht="15" x14ac:dyDescent="0.25">
      <c r="B596" s="169"/>
      <c r="C596" s="679">
        <v>3047312</v>
      </c>
      <c r="D596" s="677">
        <v>8</v>
      </c>
      <c r="E596" s="678" t="s">
        <v>958</v>
      </c>
      <c r="F596" s="170"/>
    </row>
    <row r="597" spans="2:6" ht="15" x14ac:dyDescent="0.25">
      <c r="B597" s="169"/>
      <c r="C597" s="679">
        <v>3047313</v>
      </c>
      <c r="D597" s="677">
        <v>6</v>
      </c>
      <c r="E597" s="678" t="s">
        <v>959</v>
      </c>
      <c r="F597" s="170"/>
    </row>
    <row r="598" spans="2:6" ht="15" x14ac:dyDescent="0.25">
      <c r="B598" s="169"/>
      <c r="C598" s="679">
        <v>3047314</v>
      </c>
      <c r="D598" s="677">
        <v>4</v>
      </c>
      <c r="E598" s="678" t="s">
        <v>960</v>
      </c>
      <c r="F598" s="170"/>
    </row>
    <row r="599" spans="2:6" ht="15" x14ac:dyDescent="0.25">
      <c r="B599" s="169"/>
      <c r="C599" s="679">
        <v>3047315</v>
      </c>
      <c r="D599" s="677">
        <v>2</v>
      </c>
      <c r="E599" s="678" t="s">
        <v>961</v>
      </c>
      <c r="F599" s="170"/>
    </row>
    <row r="600" spans="2:6" ht="15" x14ac:dyDescent="0.25">
      <c r="B600" s="169"/>
      <c r="C600" s="679">
        <v>3047316</v>
      </c>
      <c r="D600" s="677">
        <v>1</v>
      </c>
      <c r="E600" s="678" t="s">
        <v>962</v>
      </c>
      <c r="F600" s="170"/>
    </row>
    <row r="601" spans="2:6" ht="15" x14ac:dyDescent="0.25">
      <c r="B601" s="169"/>
      <c r="C601" s="679">
        <v>3047317</v>
      </c>
      <c r="D601" s="677">
        <v>9</v>
      </c>
      <c r="E601" s="678" t="s">
        <v>963</v>
      </c>
      <c r="F601" s="170"/>
    </row>
    <row r="602" spans="2:6" ht="15" x14ac:dyDescent="0.25">
      <c r="B602" s="169"/>
      <c r="C602" s="679">
        <v>3047318</v>
      </c>
      <c r="D602" s="677">
        <v>7</v>
      </c>
      <c r="E602" s="678" t="s">
        <v>964</v>
      </c>
      <c r="F602" s="170"/>
    </row>
    <row r="603" spans="2:6" ht="15" x14ac:dyDescent="0.25">
      <c r="B603" s="169"/>
      <c r="C603" s="679">
        <v>3047319</v>
      </c>
      <c r="D603" s="677">
        <v>5</v>
      </c>
      <c r="E603" s="678" t="s">
        <v>965</v>
      </c>
      <c r="F603" s="170"/>
    </row>
    <row r="604" spans="2:6" ht="15" x14ac:dyDescent="0.25">
      <c r="B604" s="169"/>
      <c r="C604" s="679">
        <v>3047320</v>
      </c>
      <c r="D604" s="677">
        <v>9</v>
      </c>
      <c r="E604" s="678" t="s">
        <v>966</v>
      </c>
      <c r="F604" s="170"/>
    </row>
    <row r="605" spans="2:6" ht="15" x14ac:dyDescent="0.25">
      <c r="B605" s="169"/>
      <c r="C605" s="679">
        <v>3047321</v>
      </c>
      <c r="D605" s="677">
        <v>7</v>
      </c>
      <c r="E605" s="678" t="s">
        <v>967</v>
      </c>
      <c r="F605" s="170"/>
    </row>
    <row r="606" spans="2:6" ht="15" x14ac:dyDescent="0.25">
      <c r="B606" s="169"/>
      <c r="C606" s="679">
        <v>3047322</v>
      </c>
      <c r="D606" s="677">
        <v>5</v>
      </c>
      <c r="E606" s="678" t="s">
        <v>968</v>
      </c>
      <c r="F606" s="170"/>
    </row>
    <row r="607" spans="2:6" ht="15" x14ac:dyDescent="0.25">
      <c r="B607" s="169"/>
      <c r="C607" s="679">
        <v>3047323</v>
      </c>
      <c r="D607" s="677">
        <v>3</v>
      </c>
      <c r="E607" s="678" t="s">
        <v>969</v>
      </c>
      <c r="F607" s="170"/>
    </row>
    <row r="608" spans="2:6" ht="15" x14ac:dyDescent="0.25">
      <c r="B608" s="169"/>
      <c r="C608" s="679">
        <v>3047324</v>
      </c>
      <c r="D608" s="677">
        <v>1</v>
      </c>
      <c r="E608" s="678" t="s">
        <v>970</v>
      </c>
      <c r="F608" s="170"/>
    </row>
    <row r="609" spans="2:6" ht="15" x14ac:dyDescent="0.25">
      <c r="B609" s="169"/>
      <c r="C609" s="679">
        <v>3047325</v>
      </c>
      <c r="D609" s="677">
        <v>0</v>
      </c>
      <c r="E609" s="678" t="s">
        <v>971</v>
      </c>
      <c r="F609" s="170"/>
    </row>
    <row r="610" spans="2:6" ht="15" x14ac:dyDescent="0.25">
      <c r="B610" s="169"/>
      <c r="C610" s="679">
        <v>3047326</v>
      </c>
      <c r="D610" s="677">
        <v>8</v>
      </c>
      <c r="E610" s="678" t="s">
        <v>972</v>
      </c>
      <c r="F610" s="170"/>
    </row>
    <row r="611" spans="2:6" ht="15" x14ac:dyDescent="0.25">
      <c r="B611" s="169"/>
      <c r="C611" s="679">
        <v>3047327</v>
      </c>
      <c r="D611" s="677">
        <v>6</v>
      </c>
      <c r="E611" s="678" t="s">
        <v>973</v>
      </c>
      <c r="F611" s="170"/>
    </row>
    <row r="612" spans="2:6" ht="15" x14ac:dyDescent="0.25">
      <c r="B612" s="169"/>
      <c r="C612" s="679">
        <v>3047328</v>
      </c>
      <c r="D612" s="677">
        <v>4</v>
      </c>
      <c r="E612" s="678" t="s">
        <v>974</v>
      </c>
      <c r="F612" s="170"/>
    </row>
    <row r="613" spans="2:6" ht="15" x14ac:dyDescent="0.25">
      <c r="B613" s="169"/>
      <c r="C613" s="679">
        <v>3047329</v>
      </c>
      <c r="D613" s="677">
        <v>2</v>
      </c>
      <c r="E613" s="678" t="s">
        <v>975</v>
      </c>
      <c r="F613" s="170"/>
    </row>
    <row r="614" spans="2:6" ht="15" x14ac:dyDescent="0.25">
      <c r="B614" s="169"/>
      <c r="C614" s="679">
        <v>3047330</v>
      </c>
      <c r="D614" s="677">
        <v>6</v>
      </c>
      <c r="E614" s="678" t="s">
        <v>976</v>
      </c>
      <c r="F614" s="170"/>
    </row>
    <row r="615" spans="2:6" ht="15" x14ac:dyDescent="0.25">
      <c r="B615" s="169"/>
      <c r="C615" s="679">
        <v>3047331</v>
      </c>
      <c r="D615" s="677">
        <v>4</v>
      </c>
      <c r="E615" s="678" t="s">
        <v>977</v>
      </c>
      <c r="F615" s="170"/>
    </row>
    <row r="616" spans="2:6" ht="15" x14ac:dyDescent="0.25">
      <c r="B616" s="169"/>
      <c r="C616" s="679">
        <v>3047332</v>
      </c>
      <c r="D616" s="677">
        <v>2</v>
      </c>
      <c r="E616" s="678" t="s">
        <v>978</v>
      </c>
      <c r="F616" s="170"/>
    </row>
    <row r="617" spans="2:6" ht="15" x14ac:dyDescent="0.25">
      <c r="B617" s="169"/>
      <c r="C617" s="679">
        <v>3047333</v>
      </c>
      <c r="D617" s="677">
        <v>1</v>
      </c>
      <c r="E617" s="678" t="s">
        <v>979</v>
      </c>
      <c r="F617" s="170"/>
    </row>
    <row r="618" spans="2:6" ht="15" x14ac:dyDescent="0.25">
      <c r="B618" s="169"/>
      <c r="C618" s="679">
        <v>3047334</v>
      </c>
      <c r="D618" s="677">
        <v>9</v>
      </c>
      <c r="E618" s="678" t="s">
        <v>980</v>
      </c>
      <c r="F618" s="170"/>
    </row>
    <row r="619" spans="2:6" ht="15" x14ac:dyDescent="0.25">
      <c r="B619" s="169"/>
      <c r="C619" s="679">
        <v>3047335</v>
      </c>
      <c r="D619" s="677">
        <v>7</v>
      </c>
      <c r="E619" s="678" t="s">
        <v>981</v>
      </c>
      <c r="F619" s="170"/>
    </row>
    <row r="620" spans="2:6" ht="15" x14ac:dyDescent="0.25">
      <c r="B620" s="169"/>
      <c r="C620" s="679">
        <v>3047336</v>
      </c>
      <c r="D620" s="677">
        <v>5</v>
      </c>
      <c r="E620" s="678" t="s">
        <v>982</v>
      </c>
      <c r="F620" s="170"/>
    </row>
    <row r="621" spans="2:6" ht="15" x14ac:dyDescent="0.25">
      <c r="B621" s="169"/>
      <c r="C621" s="679">
        <v>3047337</v>
      </c>
      <c r="D621" s="677">
        <v>3</v>
      </c>
      <c r="E621" s="678" t="s">
        <v>983</v>
      </c>
      <c r="F621" s="170"/>
    </row>
    <row r="622" spans="2:6" ht="15" x14ac:dyDescent="0.25">
      <c r="B622" s="169"/>
      <c r="C622" s="679">
        <v>3047338</v>
      </c>
      <c r="D622" s="677">
        <v>1</v>
      </c>
      <c r="E622" s="678" t="s">
        <v>984</v>
      </c>
      <c r="F622" s="170"/>
    </row>
    <row r="623" spans="2:6" ht="15" x14ac:dyDescent="0.25">
      <c r="B623" s="169"/>
      <c r="C623" s="679">
        <v>3047339</v>
      </c>
      <c r="D623" s="677">
        <v>0</v>
      </c>
      <c r="E623" s="678" t="s">
        <v>985</v>
      </c>
      <c r="F623" s="170"/>
    </row>
    <row r="624" spans="2:6" ht="15" x14ac:dyDescent="0.25">
      <c r="B624" s="169"/>
      <c r="C624" s="679">
        <v>3047340</v>
      </c>
      <c r="D624" s="677">
        <v>3</v>
      </c>
      <c r="E624" s="678" t="s">
        <v>986</v>
      </c>
      <c r="F624" s="170"/>
    </row>
    <row r="625" spans="2:6" ht="15" x14ac:dyDescent="0.25">
      <c r="B625" s="169"/>
      <c r="C625" s="679">
        <v>3047341</v>
      </c>
      <c r="D625" s="677">
        <v>1</v>
      </c>
      <c r="E625" s="678" t="s">
        <v>987</v>
      </c>
      <c r="F625" s="170"/>
    </row>
    <row r="626" spans="2:6" ht="15" x14ac:dyDescent="0.25">
      <c r="B626" s="169"/>
      <c r="C626" s="679">
        <v>3047342</v>
      </c>
      <c r="D626" s="677">
        <v>0</v>
      </c>
      <c r="E626" s="678" t="s">
        <v>988</v>
      </c>
      <c r="F626" s="170"/>
    </row>
    <row r="627" spans="2:6" ht="15" x14ac:dyDescent="0.25">
      <c r="B627" s="169"/>
      <c r="C627" s="679">
        <v>3047343</v>
      </c>
      <c r="D627" s="677">
        <v>8</v>
      </c>
      <c r="E627" s="678" t="s">
        <v>989</v>
      </c>
      <c r="F627" s="170"/>
    </row>
    <row r="628" spans="2:6" ht="15" x14ac:dyDescent="0.25">
      <c r="B628" s="169"/>
      <c r="C628" s="679">
        <v>3047344</v>
      </c>
      <c r="D628" s="677">
        <v>6</v>
      </c>
      <c r="E628" s="678" t="s">
        <v>990</v>
      </c>
      <c r="F628" s="170"/>
    </row>
    <row r="629" spans="2:6" ht="15" x14ac:dyDescent="0.25">
      <c r="B629" s="169"/>
      <c r="C629" s="679">
        <v>3047345</v>
      </c>
      <c r="D629" s="677">
        <v>4</v>
      </c>
      <c r="E629" s="678" t="s">
        <v>991</v>
      </c>
      <c r="F629" s="170"/>
    </row>
    <row r="630" spans="2:6" ht="15" x14ac:dyDescent="0.25">
      <c r="B630" s="169"/>
      <c r="C630" s="679">
        <v>3047346</v>
      </c>
      <c r="D630" s="677">
        <v>2</v>
      </c>
      <c r="E630" s="678" t="s">
        <v>992</v>
      </c>
      <c r="F630" s="170"/>
    </row>
    <row r="631" spans="2:6" ht="15" x14ac:dyDescent="0.25">
      <c r="B631" s="169"/>
      <c r="C631" s="679">
        <v>3047347</v>
      </c>
      <c r="D631" s="677">
        <v>1</v>
      </c>
      <c r="E631" s="678" t="s">
        <v>993</v>
      </c>
      <c r="F631" s="170"/>
    </row>
    <row r="632" spans="2:6" ht="15" x14ac:dyDescent="0.25">
      <c r="B632" s="169"/>
      <c r="C632" s="679">
        <v>3047348</v>
      </c>
      <c r="D632" s="677">
        <v>9</v>
      </c>
      <c r="E632" s="678" t="s">
        <v>994</v>
      </c>
      <c r="F632" s="170"/>
    </row>
    <row r="633" spans="2:6" ht="15" x14ac:dyDescent="0.25">
      <c r="B633" s="169"/>
      <c r="C633" s="679">
        <v>3047349</v>
      </c>
      <c r="D633" s="677">
        <v>7</v>
      </c>
      <c r="E633" s="678" t="s">
        <v>995</v>
      </c>
      <c r="F633" s="170"/>
    </row>
    <row r="634" spans="2:6" ht="15" x14ac:dyDescent="0.25">
      <c r="B634" s="169"/>
      <c r="C634" s="679">
        <v>3047350</v>
      </c>
      <c r="D634" s="677">
        <v>1</v>
      </c>
      <c r="E634" s="678" t="s">
        <v>996</v>
      </c>
      <c r="F634" s="170"/>
    </row>
    <row r="635" spans="2:6" ht="15" x14ac:dyDescent="0.25">
      <c r="B635" s="169"/>
      <c r="C635" s="679">
        <v>3047351</v>
      </c>
      <c r="D635" s="677">
        <v>9</v>
      </c>
      <c r="E635" s="678" t="s">
        <v>997</v>
      </c>
      <c r="F635" s="170"/>
    </row>
    <row r="636" spans="2:6" ht="15" x14ac:dyDescent="0.25">
      <c r="B636" s="169"/>
      <c r="C636" s="679">
        <v>3047352</v>
      </c>
      <c r="D636" s="677">
        <v>7</v>
      </c>
      <c r="E636" s="678" t="s">
        <v>998</v>
      </c>
      <c r="F636" s="170"/>
    </row>
    <row r="637" spans="2:6" ht="15" x14ac:dyDescent="0.25">
      <c r="B637" s="169"/>
      <c r="C637" s="679">
        <v>3047353</v>
      </c>
      <c r="D637" s="677">
        <v>5</v>
      </c>
      <c r="E637" s="678" t="s">
        <v>999</v>
      </c>
      <c r="F637" s="170"/>
    </row>
    <row r="638" spans="2:6" ht="15" x14ac:dyDescent="0.25">
      <c r="B638" s="169"/>
      <c r="C638" s="679">
        <v>3047354</v>
      </c>
      <c r="D638" s="677">
        <v>3</v>
      </c>
      <c r="E638" s="678" t="s">
        <v>1000</v>
      </c>
      <c r="F638" s="170"/>
    </row>
    <row r="639" spans="2:6" ht="15" x14ac:dyDescent="0.25">
      <c r="B639" s="169"/>
      <c r="C639" s="679">
        <v>3047355</v>
      </c>
      <c r="D639" s="677">
        <v>1</v>
      </c>
      <c r="E639" s="678" t="s">
        <v>1001</v>
      </c>
      <c r="F639" s="170"/>
    </row>
    <row r="640" spans="2:6" ht="15" x14ac:dyDescent="0.25">
      <c r="B640" s="169"/>
      <c r="C640" s="679">
        <v>3047356</v>
      </c>
      <c r="D640" s="677">
        <v>0</v>
      </c>
      <c r="E640" s="678" t="s">
        <v>1002</v>
      </c>
      <c r="F640" s="170"/>
    </row>
    <row r="641" spans="2:6" ht="15" x14ac:dyDescent="0.25">
      <c r="B641" s="169"/>
      <c r="C641" s="679">
        <v>3047357</v>
      </c>
      <c r="D641" s="677">
        <v>8</v>
      </c>
      <c r="E641" s="678" t="s">
        <v>1003</v>
      </c>
      <c r="F641" s="170"/>
    </row>
    <row r="642" spans="2:6" ht="15" x14ac:dyDescent="0.25">
      <c r="B642" s="169"/>
      <c r="C642" s="679">
        <v>3047358</v>
      </c>
      <c r="D642" s="677">
        <v>6</v>
      </c>
      <c r="E642" s="678" t="s">
        <v>1004</v>
      </c>
      <c r="F642" s="170"/>
    </row>
    <row r="643" spans="2:6" ht="15" x14ac:dyDescent="0.25">
      <c r="B643" s="169"/>
      <c r="C643" s="679">
        <v>3047359</v>
      </c>
      <c r="D643" s="677">
        <v>4</v>
      </c>
      <c r="E643" s="678" t="s">
        <v>1005</v>
      </c>
      <c r="F643" s="170"/>
    </row>
    <row r="644" spans="2:6" ht="15" x14ac:dyDescent="0.25">
      <c r="B644" s="169"/>
      <c r="C644" s="679">
        <v>3047360</v>
      </c>
      <c r="D644" s="677">
        <v>8</v>
      </c>
      <c r="E644" s="678" t="s">
        <v>1006</v>
      </c>
      <c r="F644" s="170"/>
    </row>
    <row r="645" spans="2:6" ht="15" x14ac:dyDescent="0.25">
      <c r="B645" s="169"/>
      <c r="C645" s="679">
        <v>3047361</v>
      </c>
      <c r="D645" s="677">
        <v>6</v>
      </c>
      <c r="E645" s="678" t="s">
        <v>1007</v>
      </c>
      <c r="F645" s="170"/>
    </row>
    <row r="646" spans="2:6" ht="15" x14ac:dyDescent="0.25">
      <c r="B646" s="169"/>
      <c r="C646" s="679">
        <v>3047362</v>
      </c>
      <c r="D646" s="677">
        <v>4</v>
      </c>
      <c r="E646" s="678" t="s">
        <v>1008</v>
      </c>
      <c r="F646" s="170"/>
    </row>
    <row r="647" spans="2:6" ht="15" x14ac:dyDescent="0.25">
      <c r="B647" s="169"/>
      <c r="C647" s="679">
        <v>3047363</v>
      </c>
      <c r="D647" s="677">
        <v>2</v>
      </c>
      <c r="E647" s="678" t="s">
        <v>1009</v>
      </c>
      <c r="F647" s="170"/>
    </row>
    <row r="648" spans="2:6" ht="15" x14ac:dyDescent="0.25">
      <c r="B648" s="169"/>
      <c r="C648" s="679">
        <v>3047364</v>
      </c>
      <c r="D648" s="677">
        <v>1</v>
      </c>
      <c r="E648" s="678" t="s">
        <v>1010</v>
      </c>
      <c r="F648" s="170"/>
    </row>
    <row r="649" spans="2:6" ht="15" x14ac:dyDescent="0.25">
      <c r="B649" s="169"/>
      <c r="C649" s="679">
        <v>3047365</v>
      </c>
      <c r="D649" s="677">
        <v>9</v>
      </c>
      <c r="E649" s="678" t="s">
        <v>1011</v>
      </c>
      <c r="F649" s="170"/>
    </row>
    <row r="650" spans="2:6" ht="15" x14ac:dyDescent="0.25">
      <c r="B650" s="169"/>
      <c r="C650" s="679">
        <v>3047366</v>
      </c>
      <c r="D650" s="677">
        <v>7</v>
      </c>
      <c r="E650" s="678" t="s">
        <v>1012</v>
      </c>
      <c r="F650" s="170"/>
    </row>
    <row r="651" spans="2:6" ht="15" x14ac:dyDescent="0.25">
      <c r="B651" s="169"/>
      <c r="C651" s="679">
        <v>3047367</v>
      </c>
      <c r="D651" s="677">
        <v>5</v>
      </c>
      <c r="E651" s="678" t="s">
        <v>1013</v>
      </c>
      <c r="F651" s="170"/>
    </row>
    <row r="652" spans="2:6" ht="15" x14ac:dyDescent="0.25">
      <c r="B652" s="169"/>
      <c r="C652" s="679">
        <v>3047368</v>
      </c>
      <c r="D652" s="677">
        <v>3</v>
      </c>
      <c r="E652" s="678" t="s">
        <v>1014</v>
      </c>
      <c r="F652" s="170"/>
    </row>
    <row r="653" spans="2:6" ht="15" x14ac:dyDescent="0.25">
      <c r="B653" s="169"/>
      <c r="C653" s="679">
        <v>3047369</v>
      </c>
      <c r="D653" s="677">
        <v>1</v>
      </c>
      <c r="E653" s="678" t="s">
        <v>1015</v>
      </c>
      <c r="F653" s="170"/>
    </row>
    <row r="654" spans="2:6" ht="15" x14ac:dyDescent="0.25">
      <c r="B654" s="169"/>
      <c r="C654" s="679">
        <v>3047370</v>
      </c>
      <c r="D654" s="677">
        <v>5</v>
      </c>
      <c r="E654" s="678" t="s">
        <v>1016</v>
      </c>
      <c r="F654" s="170"/>
    </row>
    <row r="655" spans="2:6" ht="15" x14ac:dyDescent="0.25">
      <c r="B655" s="169"/>
      <c r="C655" s="679">
        <v>3047371</v>
      </c>
      <c r="D655" s="677">
        <v>3</v>
      </c>
      <c r="E655" s="678" t="s">
        <v>1017</v>
      </c>
      <c r="F655" s="170"/>
    </row>
    <row r="656" spans="2:6" ht="15" x14ac:dyDescent="0.25">
      <c r="B656" s="169"/>
      <c r="C656" s="679">
        <v>3047372</v>
      </c>
      <c r="D656" s="677">
        <v>1</v>
      </c>
      <c r="E656" s="678" t="s">
        <v>1018</v>
      </c>
      <c r="F656" s="170"/>
    </row>
    <row r="657" spans="2:6" ht="15" x14ac:dyDescent="0.25">
      <c r="B657" s="169"/>
      <c r="C657" s="679">
        <v>3047373</v>
      </c>
      <c r="D657" s="677">
        <v>0</v>
      </c>
      <c r="E657" s="678" t="s">
        <v>1019</v>
      </c>
      <c r="F657" s="170"/>
    </row>
    <row r="658" spans="2:6" ht="15" x14ac:dyDescent="0.25">
      <c r="B658" s="169"/>
      <c r="C658" s="679">
        <v>3047374</v>
      </c>
      <c r="D658" s="677">
        <v>8</v>
      </c>
      <c r="E658" s="678" t="s">
        <v>1020</v>
      </c>
      <c r="F658" s="170"/>
    </row>
    <row r="659" spans="2:6" ht="15" x14ac:dyDescent="0.25">
      <c r="B659" s="169"/>
      <c r="C659" s="679">
        <v>3047375</v>
      </c>
      <c r="D659" s="677">
        <v>6</v>
      </c>
      <c r="E659" s="678" t="s">
        <v>1021</v>
      </c>
      <c r="F659" s="170"/>
    </row>
    <row r="660" spans="2:6" ht="15" x14ac:dyDescent="0.25">
      <c r="B660" s="169"/>
      <c r="C660" s="679">
        <v>3047376</v>
      </c>
      <c r="D660" s="677">
        <v>4</v>
      </c>
      <c r="E660" s="678" t="s">
        <v>1022</v>
      </c>
      <c r="F660" s="170"/>
    </row>
    <row r="661" spans="2:6" ht="15" x14ac:dyDescent="0.25">
      <c r="B661" s="169"/>
      <c r="C661" s="679">
        <v>3047377</v>
      </c>
      <c r="D661" s="677">
        <v>2</v>
      </c>
      <c r="E661" s="678" t="s">
        <v>1023</v>
      </c>
      <c r="F661" s="170"/>
    </row>
    <row r="662" spans="2:6" ht="15" x14ac:dyDescent="0.25">
      <c r="B662" s="169"/>
      <c r="C662" s="679">
        <v>3047378</v>
      </c>
      <c r="D662" s="677">
        <v>1</v>
      </c>
      <c r="E662" s="678" t="s">
        <v>1024</v>
      </c>
      <c r="F662" s="170"/>
    </row>
    <row r="663" spans="2:6" ht="15" x14ac:dyDescent="0.25">
      <c r="B663" s="169"/>
      <c r="C663" s="679">
        <v>3047379</v>
      </c>
      <c r="D663" s="677">
        <v>9</v>
      </c>
      <c r="E663" s="678" t="s">
        <v>1025</v>
      </c>
      <c r="F663" s="170"/>
    </row>
    <row r="664" spans="2:6" ht="15" x14ac:dyDescent="0.25">
      <c r="B664" s="169"/>
      <c r="C664" s="679">
        <v>3047380</v>
      </c>
      <c r="D664" s="677">
        <v>2</v>
      </c>
      <c r="E664" s="678" t="s">
        <v>1026</v>
      </c>
      <c r="F664" s="170"/>
    </row>
    <row r="665" spans="2:6" ht="15" x14ac:dyDescent="0.25">
      <c r="B665" s="169"/>
      <c r="C665" s="679">
        <v>3047381</v>
      </c>
      <c r="D665" s="677">
        <v>1</v>
      </c>
      <c r="E665" s="678" t="s">
        <v>1027</v>
      </c>
      <c r="F665" s="170"/>
    </row>
    <row r="666" spans="2:6" ht="15" x14ac:dyDescent="0.25">
      <c r="B666" s="169"/>
      <c r="C666" s="679">
        <v>3047382</v>
      </c>
      <c r="D666" s="677">
        <v>9</v>
      </c>
      <c r="E666" s="678" t="s">
        <v>1028</v>
      </c>
      <c r="F666" s="170"/>
    </row>
    <row r="667" spans="2:6" ht="15" x14ac:dyDescent="0.25">
      <c r="B667" s="169"/>
      <c r="C667" s="679">
        <v>3047383</v>
      </c>
      <c r="D667" s="677">
        <v>7</v>
      </c>
      <c r="E667" s="678" t="s">
        <v>1029</v>
      </c>
      <c r="F667" s="170"/>
    </row>
    <row r="668" spans="2:6" ht="15" x14ac:dyDescent="0.25">
      <c r="B668" s="169"/>
      <c r="C668" s="679">
        <v>3047384</v>
      </c>
      <c r="D668" s="677">
        <v>5</v>
      </c>
      <c r="E668" s="678" t="s">
        <v>1030</v>
      </c>
      <c r="F668" s="170"/>
    </row>
    <row r="669" spans="2:6" ht="15" x14ac:dyDescent="0.25">
      <c r="B669" s="169"/>
      <c r="C669" s="679">
        <v>3047385</v>
      </c>
      <c r="D669" s="677">
        <v>3</v>
      </c>
      <c r="E669" s="678" t="s">
        <v>1031</v>
      </c>
      <c r="F669" s="170"/>
    </row>
    <row r="670" spans="2:6" ht="15" x14ac:dyDescent="0.25">
      <c r="B670" s="169"/>
      <c r="C670" s="679">
        <v>3047386</v>
      </c>
      <c r="D670" s="677">
        <v>1</v>
      </c>
      <c r="E670" s="678" t="s">
        <v>1032</v>
      </c>
      <c r="F670" s="170"/>
    </row>
    <row r="671" spans="2:6" ht="15" x14ac:dyDescent="0.25">
      <c r="B671" s="169"/>
      <c r="C671" s="679">
        <v>3047387</v>
      </c>
      <c r="D671" s="677">
        <v>0</v>
      </c>
      <c r="E671" s="678" t="s">
        <v>1033</v>
      </c>
      <c r="F671" s="170"/>
    </row>
    <row r="672" spans="2:6" ht="15" x14ac:dyDescent="0.25">
      <c r="B672" s="169"/>
      <c r="C672" s="679">
        <v>3047388</v>
      </c>
      <c r="D672" s="677">
        <v>8</v>
      </c>
      <c r="E672" s="678" t="s">
        <v>1034</v>
      </c>
      <c r="F672" s="170"/>
    </row>
    <row r="673" spans="2:6" ht="15" x14ac:dyDescent="0.25">
      <c r="B673" s="169"/>
      <c r="C673" s="679">
        <v>3047389</v>
      </c>
      <c r="D673" s="677">
        <v>6</v>
      </c>
      <c r="E673" s="678" t="s">
        <v>1035</v>
      </c>
      <c r="F673" s="170"/>
    </row>
    <row r="674" spans="2:6" ht="15" x14ac:dyDescent="0.25">
      <c r="B674" s="169"/>
      <c r="C674" s="679">
        <v>3047390</v>
      </c>
      <c r="D674" s="677">
        <v>0</v>
      </c>
      <c r="E674" s="678" t="s">
        <v>1036</v>
      </c>
      <c r="F674" s="170"/>
    </row>
    <row r="675" spans="2:6" ht="15" x14ac:dyDescent="0.25">
      <c r="B675" s="169"/>
      <c r="C675" s="679">
        <v>3047391</v>
      </c>
      <c r="D675" s="677">
        <v>8</v>
      </c>
      <c r="E675" s="678" t="s">
        <v>1037</v>
      </c>
      <c r="F675" s="170"/>
    </row>
    <row r="676" spans="2:6" ht="15" x14ac:dyDescent="0.25">
      <c r="B676" s="169"/>
      <c r="C676" s="679">
        <v>3047392</v>
      </c>
      <c r="D676" s="677">
        <v>6</v>
      </c>
      <c r="E676" s="678" t="s">
        <v>1038</v>
      </c>
      <c r="F676" s="170"/>
    </row>
    <row r="677" spans="2:6" ht="15" x14ac:dyDescent="0.25">
      <c r="B677" s="169"/>
      <c r="C677" s="679">
        <v>3047393</v>
      </c>
      <c r="D677" s="677">
        <v>4</v>
      </c>
      <c r="E677" s="678" t="s">
        <v>1039</v>
      </c>
      <c r="F677" s="170"/>
    </row>
    <row r="678" spans="2:6" ht="15" x14ac:dyDescent="0.25">
      <c r="B678" s="169"/>
      <c r="C678" s="679">
        <v>3047394</v>
      </c>
      <c r="D678" s="677">
        <v>2</v>
      </c>
      <c r="E678" s="678" t="s">
        <v>1040</v>
      </c>
      <c r="F678" s="170"/>
    </row>
    <row r="679" spans="2:6" ht="15" x14ac:dyDescent="0.25">
      <c r="B679" s="169"/>
      <c r="C679" s="679">
        <v>3047395</v>
      </c>
      <c r="D679" s="677">
        <v>1</v>
      </c>
      <c r="E679" s="678" t="s">
        <v>1041</v>
      </c>
      <c r="F679" s="170"/>
    </row>
    <row r="680" spans="2:6" ht="15" x14ac:dyDescent="0.25">
      <c r="B680" s="169"/>
      <c r="C680" s="679">
        <v>3047396</v>
      </c>
      <c r="D680" s="677">
        <v>9</v>
      </c>
      <c r="E680" s="678" t="s">
        <v>1042</v>
      </c>
      <c r="F680" s="170"/>
    </row>
    <row r="681" spans="2:6" ht="15" x14ac:dyDescent="0.25">
      <c r="B681" s="169"/>
      <c r="C681" s="679">
        <v>3047397</v>
      </c>
      <c r="D681" s="677">
        <v>7</v>
      </c>
      <c r="E681" s="678" t="s">
        <v>1043</v>
      </c>
      <c r="F681" s="170"/>
    </row>
    <row r="682" spans="2:6" ht="15" x14ac:dyDescent="0.25">
      <c r="B682" s="169"/>
      <c r="C682" s="679">
        <v>3047398</v>
      </c>
      <c r="D682" s="677">
        <v>5</v>
      </c>
      <c r="E682" s="678" t="s">
        <v>1044</v>
      </c>
      <c r="F682" s="170"/>
    </row>
    <row r="683" spans="2:6" ht="15" x14ac:dyDescent="0.25">
      <c r="B683" s="169"/>
      <c r="C683" s="679">
        <v>3047399</v>
      </c>
      <c r="D683" s="677">
        <v>3</v>
      </c>
      <c r="E683" s="678" t="s">
        <v>1045</v>
      </c>
      <c r="F683" s="170"/>
    </row>
    <row r="684" spans="2:6" ht="15" x14ac:dyDescent="0.25">
      <c r="B684" s="169"/>
      <c r="C684" s="679">
        <v>3047400</v>
      </c>
      <c r="D684" s="677">
        <v>1</v>
      </c>
      <c r="E684" s="678" t="s">
        <v>1046</v>
      </c>
      <c r="F684" s="170"/>
    </row>
    <row r="685" spans="2:6" ht="15" x14ac:dyDescent="0.25">
      <c r="B685" s="169"/>
      <c r="C685" s="679">
        <v>3047401</v>
      </c>
      <c r="D685" s="677">
        <v>9</v>
      </c>
      <c r="E685" s="678" t="s">
        <v>1047</v>
      </c>
      <c r="F685" s="170"/>
    </row>
    <row r="686" spans="2:6" ht="15" x14ac:dyDescent="0.25">
      <c r="B686" s="169"/>
      <c r="C686" s="679">
        <v>3047402</v>
      </c>
      <c r="D686" s="677">
        <v>7</v>
      </c>
      <c r="E686" s="678" t="s">
        <v>1048</v>
      </c>
      <c r="F686" s="170"/>
    </row>
    <row r="687" spans="2:6" ht="15" x14ac:dyDescent="0.25">
      <c r="B687" s="169"/>
      <c r="C687" s="679">
        <v>3047403</v>
      </c>
      <c r="D687" s="677">
        <v>5</v>
      </c>
      <c r="E687" s="678" t="s">
        <v>1049</v>
      </c>
      <c r="F687" s="170"/>
    </row>
    <row r="688" spans="2:6" ht="15" x14ac:dyDescent="0.25">
      <c r="B688" s="169"/>
      <c r="C688" s="679">
        <v>3047404</v>
      </c>
      <c r="D688" s="677">
        <v>3</v>
      </c>
      <c r="E688" s="678" t="s">
        <v>1050</v>
      </c>
      <c r="F688" s="170"/>
    </row>
    <row r="689" spans="2:6" ht="15" x14ac:dyDescent="0.25">
      <c r="B689" s="169"/>
      <c r="C689" s="679">
        <v>3047405</v>
      </c>
      <c r="D689" s="677">
        <v>1</v>
      </c>
      <c r="E689" s="678" t="s">
        <v>1051</v>
      </c>
      <c r="F689" s="170"/>
    </row>
    <row r="690" spans="2:6" ht="15" x14ac:dyDescent="0.25">
      <c r="B690" s="169"/>
      <c r="C690" s="679">
        <v>3047406</v>
      </c>
      <c r="D690" s="677">
        <v>0</v>
      </c>
      <c r="E690" s="678" t="s">
        <v>1052</v>
      </c>
      <c r="F690" s="170"/>
    </row>
    <row r="691" spans="2:6" ht="15" x14ac:dyDescent="0.25">
      <c r="B691" s="169"/>
      <c r="C691" s="679">
        <v>3047407</v>
      </c>
      <c r="D691" s="677">
        <v>8</v>
      </c>
      <c r="E691" s="678" t="s">
        <v>1053</v>
      </c>
      <c r="F691" s="170"/>
    </row>
    <row r="692" spans="2:6" ht="15" x14ac:dyDescent="0.25">
      <c r="B692" s="169"/>
      <c r="C692" s="679">
        <v>3047408</v>
      </c>
      <c r="D692" s="677">
        <v>6</v>
      </c>
      <c r="E692" s="678" t="s">
        <v>1054</v>
      </c>
      <c r="F692" s="170"/>
    </row>
    <row r="693" spans="2:6" ht="15" x14ac:dyDescent="0.25">
      <c r="B693" s="169"/>
      <c r="C693" s="679">
        <v>3047409</v>
      </c>
      <c r="D693" s="677">
        <v>4</v>
      </c>
      <c r="E693" s="678" t="s">
        <v>1055</v>
      </c>
      <c r="F693" s="170"/>
    </row>
    <row r="694" spans="2:6" ht="15" x14ac:dyDescent="0.25">
      <c r="B694" s="169"/>
      <c r="C694" s="679">
        <v>3227618</v>
      </c>
      <c r="D694" s="677">
        <v>4</v>
      </c>
      <c r="E694" s="678" t="s">
        <v>8261</v>
      </c>
      <c r="F694" s="170"/>
    </row>
    <row r="695" spans="2:6" ht="15" x14ac:dyDescent="0.25">
      <c r="B695" s="169"/>
      <c r="C695" s="679">
        <v>3047410</v>
      </c>
      <c r="D695" s="677">
        <v>8</v>
      </c>
      <c r="E695" s="678" t="s">
        <v>1056</v>
      </c>
      <c r="F695" s="170"/>
    </row>
    <row r="696" spans="2:6" ht="15" x14ac:dyDescent="0.25">
      <c r="B696" s="169"/>
      <c r="C696" s="679">
        <v>3047411</v>
      </c>
      <c r="D696" s="677">
        <v>6</v>
      </c>
      <c r="E696" s="678" t="s">
        <v>1057</v>
      </c>
      <c r="F696" s="170"/>
    </row>
    <row r="697" spans="2:6" ht="15" x14ac:dyDescent="0.25">
      <c r="B697" s="169"/>
      <c r="C697" s="679">
        <v>3047412</v>
      </c>
      <c r="D697" s="677">
        <v>4</v>
      </c>
      <c r="E697" s="678" t="s">
        <v>1058</v>
      </c>
      <c r="F697" s="170"/>
    </row>
    <row r="698" spans="2:6" ht="15" x14ac:dyDescent="0.25">
      <c r="B698" s="169"/>
      <c r="C698" s="679">
        <v>3047413</v>
      </c>
      <c r="D698" s="677">
        <v>2</v>
      </c>
      <c r="E698" s="678" t="s">
        <v>1059</v>
      </c>
      <c r="F698" s="170"/>
    </row>
    <row r="699" spans="2:6" ht="15" x14ac:dyDescent="0.25">
      <c r="B699" s="169"/>
      <c r="C699" s="679">
        <v>3047414</v>
      </c>
      <c r="D699" s="677">
        <v>1</v>
      </c>
      <c r="E699" s="678" t="s">
        <v>1060</v>
      </c>
      <c r="F699" s="170"/>
    </row>
    <row r="700" spans="2:6" ht="15" x14ac:dyDescent="0.25">
      <c r="B700" s="169"/>
      <c r="C700" s="679">
        <v>3047415</v>
      </c>
      <c r="D700" s="677">
        <v>9</v>
      </c>
      <c r="E700" s="678" t="s">
        <v>1061</v>
      </c>
      <c r="F700" s="170"/>
    </row>
    <row r="701" spans="2:6" ht="15" x14ac:dyDescent="0.25">
      <c r="B701" s="169"/>
      <c r="C701" s="679">
        <v>3047416</v>
      </c>
      <c r="D701" s="677">
        <v>7</v>
      </c>
      <c r="E701" s="678" t="s">
        <v>1062</v>
      </c>
      <c r="F701" s="170"/>
    </row>
    <row r="702" spans="2:6" ht="15" x14ac:dyDescent="0.25">
      <c r="B702" s="169"/>
      <c r="C702" s="679">
        <v>3047417</v>
      </c>
      <c r="D702" s="677">
        <v>5</v>
      </c>
      <c r="E702" s="678" t="s">
        <v>1063</v>
      </c>
      <c r="F702" s="170"/>
    </row>
    <row r="703" spans="2:6" ht="15" x14ac:dyDescent="0.25">
      <c r="B703" s="169"/>
      <c r="C703" s="679">
        <v>3047418</v>
      </c>
      <c r="D703" s="677">
        <v>3</v>
      </c>
      <c r="E703" s="678" t="s">
        <v>1064</v>
      </c>
      <c r="F703" s="170"/>
    </row>
    <row r="704" spans="2:6" ht="15" x14ac:dyDescent="0.25">
      <c r="B704" s="169"/>
      <c r="C704" s="679">
        <v>3047419</v>
      </c>
      <c r="D704" s="677">
        <v>1</v>
      </c>
      <c r="E704" s="678" t="s">
        <v>1065</v>
      </c>
      <c r="F704" s="170"/>
    </row>
    <row r="705" spans="2:6" ht="15" x14ac:dyDescent="0.25">
      <c r="B705" s="169"/>
      <c r="C705" s="679">
        <v>3047420</v>
      </c>
      <c r="D705" s="677">
        <v>5</v>
      </c>
      <c r="E705" s="678" t="s">
        <v>1066</v>
      </c>
      <c r="F705" s="170"/>
    </row>
    <row r="706" spans="2:6" ht="15" x14ac:dyDescent="0.25">
      <c r="B706" s="169"/>
      <c r="C706" s="679">
        <v>3047421</v>
      </c>
      <c r="D706" s="677">
        <v>3</v>
      </c>
      <c r="E706" s="678" t="s">
        <v>1067</v>
      </c>
      <c r="F706" s="170"/>
    </row>
    <row r="707" spans="2:6" ht="15" x14ac:dyDescent="0.25">
      <c r="B707" s="169"/>
      <c r="C707" s="679">
        <v>3174758</v>
      </c>
      <c r="D707" s="677">
        <v>2</v>
      </c>
      <c r="E707" s="678" t="s">
        <v>1068</v>
      </c>
      <c r="F707" s="170"/>
    </row>
    <row r="708" spans="2:6" ht="15" x14ac:dyDescent="0.25">
      <c r="B708" s="169"/>
      <c r="C708" s="679">
        <v>3047422</v>
      </c>
      <c r="D708" s="677">
        <v>1</v>
      </c>
      <c r="E708" s="678" t="s">
        <v>1069</v>
      </c>
      <c r="F708" s="170"/>
    </row>
    <row r="709" spans="2:6" ht="15" x14ac:dyDescent="0.25">
      <c r="B709" s="169"/>
      <c r="C709" s="679">
        <v>3078272</v>
      </c>
      <c r="D709" s="677">
        <v>4</v>
      </c>
      <c r="E709" s="678" t="s">
        <v>1070</v>
      </c>
      <c r="F709" s="170"/>
    </row>
    <row r="710" spans="2:6" ht="15" x14ac:dyDescent="0.25">
      <c r="B710" s="169"/>
      <c r="C710" s="679">
        <v>3047423</v>
      </c>
      <c r="D710" s="677">
        <v>0</v>
      </c>
      <c r="E710" s="678" t="s">
        <v>1071</v>
      </c>
      <c r="F710" s="170"/>
    </row>
    <row r="711" spans="2:6" ht="15" x14ac:dyDescent="0.25">
      <c r="B711" s="169"/>
      <c r="C711" s="679">
        <v>3047424</v>
      </c>
      <c r="D711" s="677">
        <v>8</v>
      </c>
      <c r="E711" s="678" t="s">
        <v>1072</v>
      </c>
      <c r="F711" s="170"/>
    </row>
    <row r="712" spans="2:6" ht="15" x14ac:dyDescent="0.25">
      <c r="B712" s="169"/>
      <c r="C712" s="679">
        <v>3047425</v>
      </c>
      <c r="D712" s="677">
        <v>6</v>
      </c>
      <c r="E712" s="678" t="s">
        <v>1073</v>
      </c>
      <c r="F712" s="170"/>
    </row>
    <row r="713" spans="2:6" ht="15" x14ac:dyDescent="0.25">
      <c r="B713" s="169"/>
      <c r="C713" s="679">
        <v>3047426</v>
      </c>
      <c r="D713" s="677">
        <v>4</v>
      </c>
      <c r="E713" s="678" t="s">
        <v>1074</v>
      </c>
      <c r="F713" s="170"/>
    </row>
    <row r="714" spans="2:6" ht="15" x14ac:dyDescent="0.25">
      <c r="B714" s="169"/>
      <c r="C714" s="679">
        <v>3047427</v>
      </c>
      <c r="D714" s="677">
        <v>2</v>
      </c>
      <c r="E714" s="678" t="s">
        <v>1075</v>
      </c>
      <c r="F714" s="170"/>
    </row>
    <row r="715" spans="2:6" ht="15" x14ac:dyDescent="0.25">
      <c r="B715" s="169"/>
      <c r="C715" s="679">
        <v>3047428</v>
      </c>
      <c r="D715" s="677">
        <v>1</v>
      </c>
      <c r="E715" s="678" t="s">
        <v>1076</v>
      </c>
      <c r="F715" s="170"/>
    </row>
    <row r="716" spans="2:6" ht="15" x14ac:dyDescent="0.25">
      <c r="B716" s="169"/>
      <c r="C716" s="679">
        <v>3047429</v>
      </c>
      <c r="D716" s="677">
        <v>9</v>
      </c>
      <c r="E716" s="678" t="s">
        <v>1077</v>
      </c>
      <c r="F716" s="170"/>
    </row>
    <row r="717" spans="2:6" ht="15" x14ac:dyDescent="0.25">
      <c r="B717" s="169"/>
      <c r="C717" s="679">
        <v>3047430</v>
      </c>
      <c r="D717" s="677">
        <v>2</v>
      </c>
      <c r="E717" s="678" t="s">
        <v>1078</v>
      </c>
      <c r="F717" s="170"/>
    </row>
    <row r="718" spans="2:6" ht="15" x14ac:dyDescent="0.25">
      <c r="B718" s="169"/>
      <c r="C718" s="679">
        <v>3047431</v>
      </c>
      <c r="D718" s="677">
        <v>1</v>
      </c>
      <c r="E718" s="678" t="s">
        <v>1079</v>
      </c>
      <c r="F718" s="170"/>
    </row>
    <row r="719" spans="2:6" ht="15" x14ac:dyDescent="0.25">
      <c r="B719" s="169"/>
      <c r="C719" s="679">
        <v>3047432</v>
      </c>
      <c r="D719" s="677">
        <v>9</v>
      </c>
      <c r="E719" s="678" t="s">
        <v>1080</v>
      </c>
      <c r="F719" s="170"/>
    </row>
    <row r="720" spans="2:6" ht="15" x14ac:dyDescent="0.25">
      <c r="B720" s="169"/>
      <c r="C720" s="679">
        <v>3047433</v>
      </c>
      <c r="D720" s="677">
        <v>7</v>
      </c>
      <c r="E720" s="678" t="s">
        <v>1081</v>
      </c>
      <c r="F720" s="170"/>
    </row>
    <row r="721" spans="2:6" ht="15" x14ac:dyDescent="0.25">
      <c r="B721" s="169"/>
      <c r="C721" s="679">
        <v>3047434</v>
      </c>
      <c r="D721" s="677">
        <v>5</v>
      </c>
      <c r="E721" s="678" t="s">
        <v>1082</v>
      </c>
      <c r="F721" s="170"/>
    </row>
    <row r="722" spans="2:6" ht="15" x14ac:dyDescent="0.25">
      <c r="B722" s="169"/>
      <c r="C722" s="679">
        <v>3047435</v>
      </c>
      <c r="D722" s="677">
        <v>3</v>
      </c>
      <c r="E722" s="678" t="s">
        <v>1083</v>
      </c>
      <c r="F722" s="170"/>
    </row>
    <row r="723" spans="2:6" ht="15" x14ac:dyDescent="0.25">
      <c r="B723" s="169"/>
      <c r="C723" s="679">
        <v>3047436</v>
      </c>
      <c r="D723" s="677">
        <v>1</v>
      </c>
      <c r="E723" s="678" t="s">
        <v>1084</v>
      </c>
      <c r="F723" s="170"/>
    </row>
    <row r="724" spans="2:6" ht="15" x14ac:dyDescent="0.25">
      <c r="B724" s="169"/>
      <c r="C724" s="679">
        <v>3067959</v>
      </c>
      <c r="D724" s="677">
        <v>1</v>
      </c>
      <c r="E724" s="678" t="s">
        <v>1085</v>
      </c>
      <c r="F724" s="170"/>
    </row>
    <row r="725" spans="2:6" ht="15" x14ac:dyDescent="0.25">
      <c r="B725" s="169"/>
      <c r="C725" s="679">
        <v>3047437</v>
      </c>
      <c r="D725" s="677">
        <v>0</v>
      </c>
      <c r="E725" s="678" t="s">
        <v>1086</v>
      </c>
      <c r="F725" s="170"/>
    </row>
    <row r="726" spans="2:6" ht="15" x14ac:dyDescent="0.25">
      <c r="B726" s="169"/>
      <c r="C726" s="679">
        <v>3047438</v>
      </c>
      <c r="D726" s="677">
        <v>8</v>
      </c>
      <c r="E726" s="678" t="s">
        <v>1087</v>
      </c>
      <c r="F726" s="170"/>
    </row>
    <row r="727" spans="2:6" ht="15" x14ac:dyDescent="0.25">
      <c r="B727" s="169"/>
      <c r="C727" s="679">
        <v>3047439</v>
      </c>
      <c r="D727" s="677">
        <v>6</v>
      </c>
      <c r="E727" s="678" t="s">
        <v>1088</v>
      </c>
      <c r="F727" s="170"/>
    </row>
    <row r="728" spans="2:6" ht="15" x14ac:dyDescent="0.25">
      <c r="B728" s="169"/>
      <c r="C728" s="679">
        <v>3047440</v>
      </c>
      <c r="D728" s="677">
        <v>0</v>
      </c>
      <c r="E728" s="678" t="s">
        <v>1089</v>
      </c>
      <c r="F728" s="170"/>
    </row>
    <row r="729" spans="2:6" ht="15" x14ac:dyDescent="0.25">
      <c r="B729" s="169"/>
      <c r="C729" s="679">
        <v>3047441</v>
      </c>
      <c r="D729" s="677">
        <v>8</v>
      </c>
      <c r="E729" s="678" t="s">
        <v>1090</v>
      </c>
      <c r="F729" s="170"/>
    </row>
    <row r="730" spans="2:6" ht="15" x14ac:dyDescent="0.25">
      <c r="B730" s="169"/>
      <c r="C730" s="679">
        <v>3047442</v>
      </c>
      <c r="D730" s="677">
        <v>6</v>
      </c>
      <c r="E730" s="678" t="s">
        <v>1091</v>
      </c>
      <c r="F730" s="170"/>
    </row>
    <row r="731" spans="2:6" ht="15" x14ac:dyDescent="0.25">
      <c r="B731" s="169"/>
      <c r="C731" s="679">
        <v>3047443</v>
      </c>
      <c r="D731" s="677">
        <v>4</v>
      </c>
      <c r="E731" s="678" t="s">
        <v>1092</v>
      </c>
      <c r="F731" s="170"/>
    </row>
    <row r="732" spans="2:6" ht="15" x14ac:dyDescent="0.25">
      <c r="B732" s="169"/>
      <c r="C732" s="679">
        <v>3047444</v>
      </c>
      <c r="D732" s="677">
        <v>2</v>
      </c>
      <c r="E732" s="678" t="s">
        <v>1093</v>
      </c>
      <c r="F732" s="170"/>
    </row>
    <row r="733" spans="2:6" ht="15" x14ac:dyDescent="0.25">
      <c r="B733" s="169"/>
      <c r="C733" s="679">
        <v>3047445</v>
      </c>
      <c r="D733" s="677">
        <v>1</v>
      </c>
      <c r="E733" s="678" t="s">
        <v>1094</v>
      </c>
      <c r="F733" s="170"/>
    </row>
    <row r="734" spans="2:6" ht="15" x14ac:dyDescent="0.25">
      <c r="B734" s="169"/>
      <c r="C734" s="679">
        <v>3047446</v>
      </c>
      <c r="D734" s="677">
        <v>9</v>
      </c>
      <c r="E734" s="678" t="s">
        <v>1095</v>
      </c>
      <c r="F734" s="170"/>
    </row>
    <row r="735" spans="2:6" ht="15" x14ac:dyDescent="0.25">
      <c r="B735" s="169"/>
      <c r="C735" s="679">
        <v>3047447</v>
      </c>
      <c r="D735" s="677">
        <v>7</v>
      </c>
      <c r="E735" s="678" t="s">
        <v>1096</v>
      </c>
      <c r="F735" s="170"/>
    </row>
    <row r="736" spans="2:6" ht="15" x14ac:dyDescent="0.25">
      <c r="B736" s="169"/>
      <c r="C736" s="679">
        <v>3047448</v>
      </c>
      <c r="D736" s="677">
        <v>5</v>
      </c>
      <c r="E736" s="678" t="s">
        <v>1097</v>
      </c>
      <c r="F736" s="170"/>
    </row>
    <row r="737" spans="2:6" ht="15" x14ac:dyDescent="0.25">
      <c r="B737" s="169"/>
      <c r="C737" s="679">
        <v>3047449</v>
      </c>
      <c r="D737" s="677">
        <v>3</v>
      </c>
      <c r="E737" s="678" t="s">
        <v>1098</v>
      </c>
      <c r="F737" s="170"/>
    </row>
    <row r="738" spans="2:6" ht="15" x14ac:dyDescent="0.25">
      <c r="B738" s="169"/>
      <c r="C738" s="679">
        <v>3047450</v>
      </c>
      <c r="D738" s="677">
        <v>7</v>
      </c>
      <c r="E738" s="678" t="s">
        <v>1099</v>
      </c>
      <c r="F738" s="170"/>
    </row>
    <row r="739" spans="2:6" ht="15" x14ac:dyDescent="0.25">
      <c r="B739" s="169"/>
      <c r="C739" s="679">
        <v>3047451</v>
      </c>
      <c r="D739" s="677">
        <v>5</v>
      </c>
      <c r="E739" s="678" t="s">
        <v>1100</v>
      </c>
      <c r="F739" s="170"/>
    </row>
    <row r="740" spans="2:6" ht="15" x14ac:dyDescent="0.25">
      <c r="B740" s="169"/>
      <c r="C740" s="679">
        <v>3047452</v>
      </c>
      <c r="D740" s="677">
        <v>3</v>
      </c>
      <c r="E740" s="678" t="s">
        <v>1101</v>
      </c>
      <c r="F740" s="170"/>
    </row>
    <row r="741" spans="2:6" ht="15" x14ac:dyDescent="0.25">
      <c r="B741" s="169"/>
      <c r="C741" s="679">
        <v>3047453</v>
      </c>
      <c r="D741" s="677">
        <v>1</v>
      </c>
      <c r="E741" s="678" t="s">
        <v>1102</v>
      </c>
      <c r="F741" s="170"/>
    </row>
    <row r="742" spans="2:6" ht="15" x14ac:dyDescent="0.25">
      <c r="B742" s="169"/>
      <c r="C742" s="679">
        <v>3047454</v>
      </c>
      <c r="D742" s="677">
        <v>0</v>
      </c>
      <c r="E742" s="678" t="s">
        <v>1103</v>
      </c>
      <c r="F742" s="170"/>
    </row>
    <row r="743" spans="2:6" ht="15" x14ac:dyDescent="0.25">
      <c r="B743" s="169"/>
      <c r="C743" s="679">
        <v>3047455</v>
      </c>
      <c r="D743" s="677">
        <v>8</v>
      </c>
      <c r="E743" s="678" t="s">
        <v>1104</v>
      </c>
      <c r="F743" s="170"/>
    </row>
    <row r="744" spans="2:6" ht="15" x14ac:dyDescent="0.25">
      <c r="B744" s="169"/>
      <c r="C744" s="679">
        <v>3047456</v>
      </c>
      <c r="D744" s="677">
        <v>6</v>
      </c>
      <c r="E744" s="678" t="s">
        <v>1105</v>
      </c>
      <c r="F744" s="170"/>
    </row>
    <row r="745" spans="2:6" ht="15" x14ac:dyDescent="0.25">
      <c r="B745" s="169"/>
      <c r="C745" s="679">
        <v>3047457</v>
      </c>
      <c r="D745" s="677">
        <v>4</v>
      </c>
      <c r="E745" s="678" t="s">
        <v>1106</v>
      </c>
      <c r="F745" s="170"/>
    </row>
    <row r="746" spans="2:6" ht="15" x14ac:dyDescent="0.25">
      <c r="B746" s="169"/>
      <c r="C746" s="679">
        <v>3047458</v>
      </c>
      <c r="D746" s="677">
        <v>2</v>
      </c>
      <c r="E746" s="678" t="s">
        <v>1107</v>
      </c>
      <c r="F746" s="170"/>
    </row>
    <row r="747" spans="2:6" ht="15" x14ac:dyDescent="0.25">
      <c r="B747" s="169"/>
      <c r="C747" s="679">
        <v>3047459</v>
      </c>
      <c r="D747" s="677">
        <v>1</v>
      </c>
      <c r="E747" s="678" t="s">
        <v>1108</v>
      </c>
      <c r="F747" s="170"/>
    </row>
    <row r="748" spans="2:6" ht="15" x14ac:dyDescent="0.25">
      <c r="B748" s="169"/>
      <c r="C748" s="679">
        <v>3047460</v>
      </c>
      <c r="D748" s="677">
        <v>4</v>
      </c>
      <c r="E748" s="678" t="s">
        <v>1109</v>
      </c>
      <c r="F748" s="170"/>
    </row>
    <row r="749" spans="2:6" ht="15" x14ac:dyDescent="0.25">
      <c r="B749" s="169"/>
      <c r="C749" s="679">
        <v>3047461</v>
      </c>
      <c r="D749" s="677">
        <v>2</v>
      </c>
      <c r="E749" s="678" t="s">
        <v>1110</v>
      </c>
      <c r="F749" s="170"/>
    </row>
    <row r="750" spans="2:6" ht="15" x14ac:dyDescent="0.25">
      <c r="B750" s="169"/>
      <c r="C750" s="679">
        <v>3047462</v>
      </c>
      <c r="D750" s="677">
        <v>1</v>
      </c>
      <c r="E750" s="678" t="s">
        <v>1111</v>
      </c>
      <c r="F750" s="170"/>
    </row>
    <row r="751" spans="2:6" ht="15" x14ac:dyDescent="0.25">
      <c r="B751" s="169"/>
      <c r="C751" s="679">
        <v>3047463</v>
      </c>
      <c r="D751" s="677">
        <v>9</v>
      </c>
      <c r="E751" s="678" t="s">
        <v>1112</v>
      </c>
      <c r="F751" s="170"/>
    </row>
    <row r="752" spans="2:6" ht="15" x14ac:dyDescent="0.25">
      <c r="B752" s="169"/>
      <c r="C752" s="679">
        <v>3047464</v>
      </c>
      <c r="D752" s="677">
        <v>7</v>
      </c>
      <c r="E752" s="678" t="s">
        <v>1113</v>
      </c>
      <c r="F752" s="170"/>
    </row>
    <row r="753" spans="2:6" ht="15" x14ac:dyDescent="0.25">
      <c r="B753" s="169"/>
      <c r="C753" s="679">
        <v>3070969</v>
      </c>
      <c r="D753" s="677">
        <v>5</v>
      </c>
      <c r="E753" s="678" t="s">
        <v>1114</v>
      </c>
      <c r="F753" s="170"/>
    </row>
    <row r="754" spans="2:6" ht="15" x14ac:dyDescent="0.25">
      <c r="B754" s="169"/>
      <c r="C754" s="679">
        <v>3047465</v>
      </c>
      <c r="D754" s="677">
        <v>5</v>
      </c>
      <c r="E754" s="678" t="s">
        <v>1115</v>
      </c>
      <c r="F754" s="170"/>
    </row>
    <row r="755" spans="2:6" ht="15" x14ac:dyDescent="0.25">
      <c r="B755" s="169"/>
      <c r="C755" s="679">
        <v>3047466</v>
      </c>
      <c r="D755" s="677">
        <v>3</v>
      </c>
      <c r="E755" s="678" t="s">
        <v>1116</v>
      </c>
      <c r="F755" s="170"/>
    </row>
    <row r="756" spans="2:6" ht="15" x14ac:dyDescent="0.25">
      <c r="B756" s="169"/>
      <c r="C756" s="679">
        <v>3047467</v>
      </c>
      <c r="D756" s="677">
        <v>1</v>
      </c>
      <c r="E756" s="678" t="s">
        <v>1117</v>
      </c>
      <c r="F756" s="170"/>
    </row>
    <row r="757" spans="2:6" ht="15" x14ac:dyDescent="0.25">
      <c r="B757" s="169"/>
      <c r="C757" s="679">
        <v>3047468</v>
      </c>
      <c r="D757" s="677">
        <v>0</v>
      </c>
      <c r="E757" s="678" t="s">
        <v>1118</v>
      </c>
      <c r="F757" s="170"/>
    </row>
    <row r="758" spans="2:6" ht="15" x14ac:dyDescent="0.25">
      <c r="B758" s="169"/>
      <c r="C758" s="679">
        <v>3047469</v>
      </c>
      <c r="D758" s="677">
        <v>8</v>
      </c>
      <c r="E758" s="678" t="s">
        <v>1119</v>
      </c>
      <c r="F758" s="170"/>
    </row>
    <row r="759" spans="2:6" ht="15" x14ac:dyDescent="0.25">
      <c r="B759" s="169"/>
      <c r="C759" s="679">
        <v>3047470</v>
      </c>
      <c r="D759" s="677">
        <v>1</v>
      </c>
      <c r="E759" s="678" t="s">
        <v>1120</v>
      </c>
      <c r="F759" s="170"/>
    </row>
    <row r="760" spans="2:6" ht="15" x14ac:dyDescent="0.25">
      <c r="B760" s="169"/>
      <c r="C760" s="679">
        <v>3047471</v>
      </c>
      <c r="D760" s="677">
        <v>0</v>
      </c>
      <c r="E760" s="678" t="s">
        <v>1121</v>
      </c>
      <c r="F760" s="170"/>
    </row>
    <row r="761" spans="2:6" ht="15" x14ac:dyDescent="0.25">
      <c r="B761" s="169"/>
      <c r="C761" s="679">
        <v>3047472</v>
      </c>
      <c r="D761" s="677">
        <v>8</v>
      </c>
      <c r="E761" s="678" t="s">
        <v>1122</v>
      </c>
      <c r="F761" s="170"/>
    </row>
    <row r="762" spans="2:6" ht="15" x14ac:dyDescent="0.25">
      <c r="B762" s="169"/>
      <c r="C762" s="679">
        <v>3047473</v>
      </c>
      <c r="D762" s="677">
        <v>6</v>
      </c>
      <c r="E762" s="678" t="s">
        <v>1123</v>
      </c>
      <c r="F762" s="170"/>
    </row>
    <row r="763" spans="2:6" ht="15" x14ac:dyDescent="0.25">
      <c r="B763" s="169"/>
      <c r="C763" s="679">
        <v>3047474</v>
      </c>
      <c r="D763" s="677">
        <v>4</v>
      </c>
      <c r="E763" s="678" t="s">
        <v>1124</v>
      </c>
      <c r="F763" s="170"/>
    </row>
    <row r="764" spans="2:6" ht="15" x14ac:dyDescent="0.25">
      <c r="B764" s="169"/>
      <c r="C764" s="679">
        <v>3047475</v>
      </c>
      <c r="D764" s="677">
        <v>2</v>
      </c>
      <c r="E764" s="678" t="s">
        <v>1125</v>
      </c>
      <c r="F764" s="170"/>
    </row>
    <row r="765" spans="2:6" ht="15" x14ac:dyDescent="0.25">
      <c r="B765" s="169"/>
      <c r="C765" s="679">
        <v>3047476</v>
      </c>
      <c r="D765" s="677">
        <v>1</v>
      </c>
      <c r="E765" s="678" t="s">
        <v>1126</v>
      </c>
      <c r="F765" s="170"/>
    </row>
    <row r="766" spans="2:6" ht="15" x14ac:dyDescent="0.25">
      <c r="B766" s="169"/>
      <c r="C766" s="679">
        <v>3047477</v>
      </c>
      <c r="D766" s="677">
        <v>9</v>
      </c>
      <c r="E766" s="678" t="s">
        <v>1127</v>
      </c>
      <c r="F766" s="170"/>
    </row>
    <row r="767" spans="2:6" ht="15" x14ac:dyDescent="0.25">
      <c r="B767" s="169"/>
      <c r="C767" s="679">
        <v>3047478</v>
      </c>
      <c r="D767" s="677">
        <v>7</v>
      </c>
      <c r="E767" s="678" t="s">
        <v>1128</v>
      </c>
      <c r="F767" s="170"/>
    </row>
    <row r="768" spans="2:6" ht="15" x14ac:dyDescent="0.25">
      <c r="B768" s="169"/>
      <c r="C768" s="679">
        <v>3047479</v>
      </c>
      <c r="D768" s="677">
        <v>5</v>
      </c>
      <c r="E768" s="678" t="s">
        <v>1129</v>
      </c>
      <c r="F768" s="170"/>
    </row>
    <row r="769" spans="2:6" ht="15" x14ac:dyDescent="0.25">
      <c r="B769" s="169"/>
      <c r="C769" s="679">
        <v>3047480</v>
      </c>
      <c r="D769" s="677">
        <v>9</v>
      </c>
      <c r="E769" s="678" t="s">
        <v>1130</v>
      </c>
      <c r="F769" s="170"/>
    </row>
    <row r="770" spans="2:6" ht="15" x14ac:dyDescent="0.25">
      <c r="B770" s="169"/>
      <c r="C770" s="679">
        <v>3047481</v>
      </c>
      <c r="D770" s="677">
        <v>7</v>
      </c>
      <c r="E770" s="678" t="s">
        <v>1131</v>
      </c>
      <c r="F770" s="170"/>
    </row>
    <row r="771" spans="2:6" ht="15" x14ac:dyDescent="0.25">
      <c r="B771" s="169"/>
      <c r="C771" s="679">
        <v>3047482</v>
      </c>
      <c r="D771" s="677">
        <v>5</v>
      </c>
      <c r="E771" s="678" t="s">
        <v>1132</v>
      </c>
      <c r="F771" s="170"/>
    </row>
    <row r="772" spans="2:6" ht="15" x14ac:dyDescent="0.25">
      <c r="B772" s="169"/>
      <c r="C772" s="679">
        <v>3047483</v>
      </c>
      <c r="D772" s="677">
        <v>3</v>
      </c>
      <c r="E772" s="678" t="s">
        <v>1133</v>
      </c>
      <c r="F772" s="170"/>
    </row>
    <row r="773" spans="2:6" ht="15" x14ac:dyDescent="0.25">
      <c r="B773" s="169"/>
      <c r="C773" s="679">
        <v>3047484</v>
      </c>
      <c r="D773" s="677">
        <v>1</v>
      </c>
      <c r="E773" s="678" t="s">
        <v>1134</v>
      </c>
      <c r="F773" s="170"/>
    </row>
    <row r="774" spans="2:6" ht="15" x14ac:dyDescent="0.25">
      <c r="B774" s="169"/>
      <c r="C774" s="679">
        <v>3047485</v>
      </c>
      <c r="D774" s="677">
        <v>0</v>
      </c>
      <c r="E774" s="678" t="s">
        <v>1135</v>
      </c>
      <c r="F774" s="170"/>
    </row>
    <row r="775" spans="2:6" ht="15" x14ac:dyDescent="0.25">
      <c r="B775" s="169"/>
      <c r="C775" s="679">
        <v>3047486</v>
      </c>
      <c r="D775" s="677">
        <v>8</v>
      </c>
      <c r="E775" s="678" t="s">
        <v>1136</v>
      </c>
      <c r="F775" s="170"/>
    </row>
    <row r="776" spans="2:6" ht="15" x14ac:dyDescent="0.25">
      <c r="B776" s="169"/>
      <c r="C776" s="679">
        <v>3047487</v>
      </c>
      <c r="D776" s="677">
        <v>6</v>
      </c>
      <c r="E776" s="678" t="s">
        <v>1137</v>
      </c>
      <c r="F776" s="170"/>
    </row>
    <row r="777" spans="2:6" ht="15" x14ac:dyDescent="0.25">
      <c r="B777" s="169"/>
      <c r="C777" s="679">
        <v>3047488</v>
      </c>
      <c r="D777" s="677">
        <v>4</v>
      </c>
      <c r="E777" s="678" t="s">
        <v>1138</v>
      </c>
      <c r="F777" s="170"/>
    </row>
    <row r="778" spans="2:6" ht="15" x14ac:dyDescent="0.25">
      <c r="B778" s="169"/>
      <c r="C778" s="679">
        <v>3047489</v>
      </c>
      <c r="D778" s="677">
        <v>2</v>
      </c>
      <c r="E778" s="678" t="s">
        <v>1139</v>
      </c>
      <c r="F778" s="170"/>
    </row>
    <row r="779" spans="2:6" ht="15" x14ac:dyDescent="0.25">
      <c r="B779" s="169"/>
      <c r="C779" s="679">
        <v>3047490</v>
      </c>
      <c r="D779" s="677">
        <v>6</v>
      </c>
      <c r="E779" s="678" t="s">
        <v>1140</v>
      </c>
      <c r="F779" s="170"/>
    </row>
    <row r="780" spans="2:6" ht="15" x14ac:dyDescent="0.25">
      <c r="B780" s="169"/>
      <c r="C780" s="679">
        <v>3047503</v>
      </c>
      <c r="D780" s="677">
        <v>1</v>
      </c>
      <c r="E780" s="678" t="s">
        <v>1141</v>
      </c>
      <c r="F780" s="170"/>
    </row>
    <row r="781" spans="2:6" ht="15" x14ac:dyDescent="0.25">
      <c r="B781" s="169"/>
      <c r="C781" s="679">
        <v>3047491</v>
      </c>
      <c r="D781" s="677">
        <v>4</v>
      </c>
      <c r="E781" s="678" t="s">
        <v>1142</v>
      </c>
      <c r="F781" s="170"/>
    </row>
    <row r="782" spans="2:6" ht="15" x14ac:dyDescent="0.25">
      <c r="B782" s="169"/>
      <c r="C782" s="679">
        <v>3047492</v>
      </c>
      <c r="D782" s="677">
        <v>2</v>
      </c>
      <c r="E782" s="678" t="s">
        <v>1143</v>
      </c>
      <c r="F782" s="170"/>
    </row>
    <row r="783" spans="2:6" ht="15" x14ac:dyDescent="0.25">
      <c r="B783" s="169"/>
      <c r="C783" s="679">
        <v>3047493</v>
      </c>
      <c r="D783" s="677">
        <v>1</v>
      </c>
      <c r="E783" s="678" t="s">
        <v>1144</v>
      </c>
      <c r="F783" s="170"/>
    </row>
    <row r="784" spans="2:6" ht="15" x14ac:dyDescent="0.25">
      <c r="B784" s="169"/>
      <c r="C784" s="679">
        <v>3047494</v>
      </c>
      <c r="D784" s="677">
        <v>9</v>
      </c>
      <c r="E784" s="678" t="s">
        <v>1145</v>
      </c>
      <c r="F784" s="170"/>
    </row>
    <row r="785" spans="2:6" ht="15" x14ac:dyDescent="0.25">
      <c r="B785" s="169"/>
      <c r="C785" s="679">
        <v>3047495</v>
      </c>
      <c r="D785" s="677">
        <v>7</v>
      </c>
      <c r="E785" s="678" t="s">
        <v>1146</v>
      </c>
      <c r="F785" s="170"/>
    </row>
    <row r="786" spans="2:6" ht="15" x14ac:dyDescent="0.25">
      <c r="B786" s="169"/>
      <c r="C786" s="679">
        <v>3047496</v>
      </c>
      <c r="D786" s="677">
        <v>5</v>
      </c>
      <c r="E786" s="678" t="s">
        <v>1147</v>
      </c>
      <c r="F786" s="170"/>
    </row>
    <row r="787" spans="2:6" ht="15" x14ac:dyDescent="0.25">
      <c r="B787" s="169"/>
      <c r="C787" s="679">
        <v>3047497</v>
      </c>
      <c r="D787" s="677">
        <v>3</v>
      </c>
      <c r="E787" s="678" t="s">
        <v>1148</v>
      </c>
      <c r="F787" s="170"/>
    </row>
    <row r="788" spans="2:6" ht="15" x14ac:dyDescent="0.25">
      <c r="B788" s="169"/>
      <c r="C788" s="679">
        <v>3047498</v>
      </c>
      <c r="D788" s="677">
        <v>1</v>
      </c>
      <c r="E788" s="678" t="s">
        <v>1149</v>
      </c>
      <c r="F788" s="170"/>
    </row>
    <row r="789" spans="2:6" ht="15" x14ac:dyDescent="0.25">
      <c r="B789" s="169"/>
      <c r="C789" s="679">
        <v>3047499</v>
      </c>
      <c r="D789" s="677">
        <v>0</v>
      </c>
      <c r="E789" s="678" t="s">
        <v>1150</v>
      </c>
      <c r="F789" s="170"/>
    </row>
    <row r="790" spans="2:6" ht="15" x14ac:dyDescent="0.25">
      <c r="B790" s="169"/>
      <c r="C790" s="679">
        <v>3047500</v>
      </c>
      <c r="D790" s="677">
        <v>7</v>
      </c>
      <c r="E790" s="678" t="s">
        <v>1151</v>
      </c>
      <c r="F790" s="170"/>
    </row>
    <row r="791" spans="2:6" ht="15" x14ac:dyDescent="0.25">
      <c r="B791" s="169"/>
      <c r="C791" s="679">
        <v>3047501</v>
      </c>
      <c r="D791" s="677">
        <v>5</v>
      </c>
      <c r="E791" s="678" t="s">
        <v>1152</v>
      </c>
      <c r="F791" s="170"/>
    </row>
    <row r="792" spans="2:6" ht="15" x14ac:dyDescent="0.25">
      <c r="B792" s="169"/>
      <c r="C792" s="679">
        <v>3047502</v>
      </c>
      <c r="D792" s="677">
        <v>3</v>
      </c>
      <c r="E792" s="678" t="s">
        <v>1153</v>
      </c>
      <c r="F792" s="170"/>
    </row>
    <row r="793" spans="2:6" ht="15" x14ac:dyDescent="0.25">
      <c r="B793" s="169"/>
      <c r="C793" s="679">
        <v>3047504</v>
      </c>
      <c r="D793" s="677">
        <v>0</v>
      </c>
      <c r="E793" s="678" t="s">
        <v>1154</v>
      </c>
      <c r="F793" s="170"/>
    </row>
    <row r="794" spans="2:6" ht="15" x14ac:dyDescent="0.25">
      <c r="B794" s="169"/>
      <c r="C794" s="679">
        <v>3047505</v>
      </c>
      <c r="D794" s="677">
        <v>8</v>
      </c>
      <c r="E794" s="678" t="s">
        <v>1155</v>
      </c>
      <c r="F794" s="170"/>
    </row>
    <row r="795" spans="2:6" ht="15" x14ac:dyDescent="0.25">
      <c r="B795" s="169"/>
      <c r="C795" s="679">
        <v>3047506</v>
      </c>
      <c r="D795" s="677">
        <v>6</v>
      </c>
      <c r="E795" s="678" t="s">
        <v>1156</v>
      </c>
      <c r="F795" s="170"/>
    </row>
    <row r="796" spans="2:6" ht="15" x14ac:dyDescent="0.25">
      <c r="B796" s="169"/>
      <c r="C796" s="679">
        <v>3047507</v>
      </c>
      <c r="D796" s="677">
        <v>4</v>
      </c>
      <c r="E796" s="678" t="s">
        <v>1157</v>
      </c>
      <c r="F796" s="170"/>
    </row>
    <row r="797" spans="2:6" ht="15" x14ac:dyDescent="0.25">
      <c r="B797" s="169"/>
      <c r="C797" s="679">
        <v>3047508</v>
      </c>
      <c r="D797" s="677">
        <v>2</v>
      </c>
      <c r="E797" s="678" t="s">
        <v>1158</v>
      </c>
      <c r="F797" s="170"/>
    </row>
    <row r="798" spans="2:6" ht="15" x14ac:dyDescent="0.25">
      <c r="B798" s="169"/>
      <c r="C798" s="679">
        <v>3047509</v>
      </c>
      <c r="D798" s="677">
        <v>1</v>
      </c>
      <c r="E798" s="678" t="s">
        <v>1159</v>
      </c>
      <c r="F798" s="170"/>
    </row>
    <row r="799" spans="2:6" ht="15" x14ac:dyDescent="0.25">
      <c r="B799" s="169"/>
      <c r="C799" s="679">
        <v>3047510</v>
      </c>
      <c r="D799" s="677">
        <v>4</v>
      </c>
      <c r="E799" s="678" t="s">
        <v>1160</v>
      </c>
      <c r="F799" s="170"/>
    </row>
    <row r="800" spans="2:6" ht="15" x14ac:dyDescent="0.25">
      <c r="B800" s="169"/>
      <c r="C800" s="679">
        <v>3047511</v>
      </c>
      <c r="D800" s="677">
        <v>2</v>
      </c>
      <c r="E800" s="678" t="s">
        <v>1161</v>
      </c>
      <c r="F800" s="170"/>
    </row>
    <row r="801" spans="2:6" ht="15" x14ac:dyDescent="0.25">
      <c r="B801" s="169"/>
      <c r="C801" s="679">
        <v>3047512</v>
      </c>
      <c r="D801" s="677">
        <v>1</v>
      </c>
      <c r="E801" s="678" t="s">
        <v>1162</v>
      </c>
      <c r="F801" s="170"/>
    </row>
    <row r="802" spans="2:6" ht="15" x14ac:dyDescent="0.25">
      <c r="B802" s="169"/>
      <c r="C802" s="679">
        <v>3047513</v>
      </c>
      <c r="D802" s="677">
        <v>9</v>
      </c>
      <c r="E802" s="678" t="s">
        <v>1163</v>
      </c>
      <c r="F802" s="170"/>
    </row>
    <row r="803" spans="2:6" ht="15" x14ac:dyDescent="0.25">
      <c r="B803" s="169"/>
      <c r="C803" s="679">
        <v>3047514</v>
      </c>
      <c r="D803" s="677">
        <v>7</v>
      </c>
      <c r="E803" s="678" t="s">
        <v>1164</v>
      </c>
      <c r="F803" s="170"/>
    </row>
    <row r="804" spans="2:6" ht="15" x14ac:dyDescent="0.25">
      <c r="B804" s="169"/>
      <c r="C804" s="679">
        <v>3047515</v>
      </c>
      <c r="D804" s="677">
        <v>5</v>
      </c>
      <c r="E804" s="678" t="s">
        <v>1165</v>
      </c>
      <c r="F804" s="170"/>
    </row>
    <row r="805" spans="2:6" ht="15" x14ac:dyDescent="0.25">
      <c r="B805" s="169"/>
      <c r="C805" s="679">
        <v>3047516</v>
      </c>
      <c r="D805" s="677">
        <v>3</v>
      </c>
      <c r="E805" s="678" t="s">
        <v>1166</v>
      </c>
      <c r="F805" s="170"/>
    </row>
    <row r="806" spans="2:6" ht="15" x14ac:dyDescent="0.25">
      <c r="B806" s="169"/>
      <c r="C806" s="679">
        <v>3073623</v>
      </c>
      <c r="D806" s="677">
        <v>4</v>
      </c>
      <c r="E806" s="678" t="s">
        <v>1167</v>
      </c>
      <c r="F806" s="170"/>
    </row>
    <row r="807" spans="2:6" ht="15" x14ac:dyDescent="0.25">
      <c r="B807" s="169"/>
      <c r="C807" s="679">
        <v>3047517</v>
      </c>
      <c r="D807" s="677">
        <v>1</v>
      </c>
      <c r="E807" s="678" t="s">
        <v>1168</v>
      </c>
      <c r="F807" s="170"/>
    </row>
    <row r="808" spans="2:6" ht="15" x14ac:dyDescent="0.25">
      <c r="B808" s="169"/>
      <c r="C808" s="679">
        <v>3047518</v>
      </c>
      <c r="D808" s="677">
        <v>0</v>
      </c>
      <c r="E808" s="678" t="s">
        <v>1169</v>
      </c>
      <c r="F808" s="170"/>
    </row>
    <row r="809" spans="2:6" ht="15" x14ac:dyDescent="0.25">
      <c r="B809" s="169"/>
      <c r="C809" s="679">
        <v>3047519</v>
      </c>
      <c r="D809" s="677">
        <v>8</v>
      </c>
      <c r="E809" s="678" t="s">
        <v>1170</v>
      </c>
      <c r="F809" s="170"/>
    </row>
    <row r="810" spans="2:6" ht="15" x14ac:dyDescent="0.25">
      <c r="B810" s="169"/>
      <c r="C810" s="679">
        <v>3047520</v>
      </c>
      <c r="D810" s="677">
        <v>1</v>
      </c>
      <c r="E810" s="678" t="s">
        <v>1171</v>
      </c>
      <c r="F810" s="170"/>
    </row>
    <row r="811" spans="2:6" ht="15" x14ac:dyDescent="0.25">
      <c r="B811" s="169"/>
      <c r="C811" s="679">
        <v>3047521</v>
      </c>
      <c r="D811" s="677">
        <v>0</v>
      </c>
      <c r="E811" s="678" t="s">
        <v>1172</v>
      </c>
      <c r="F811" s="170"/>
    </row>
    <row r="812" spans="2:6" ht="15" x14ac:dyDescent="0.25">
      <c r="B812" s="169"/>
      <c r="C812" s="679">
        <v>3047522</v>
      </c>
      <c r="D812" s="677">
        <v>8</v>
      </c>
      <c r="E812" s="678" t="s">
        <v>1173</v>
      </c>
      <c r="F812" s="170"/>
    </row>
    <row r="813" spans="2:6" ht="15" x14ac:dyDescent="0.25">
      <c r="B813" s="169"/>
      <c r="C813" s="679">
        <v>3047523</v>
      </c>
      <c r="D813" s="677">
        <v>6</v>
      </c>
      <c r="E813" s="678" t="s">
        <v>1174</v>
      </c>
      <c r="F813" s="170"/>
    </row>
    <row r="814" spans="2:6" ht="15" x14ac:dyDescent="0.25">
      <c r="B814" s="169"/>
      <c r="C814" s="679">
        <v>3047524</v>
      </c>
      <c r="D814" s="677">
        <v>4</v>
      </c>
      <c r="E814" s="678" t="s">
        <v>1175</v>
      </c>
      <c r="F814" s="170"/>
    </row>
    <row r="815" spans="2:6" ht="15" x14ac:dyDescent="0.25">
      <c r="B815" s="169"/>
      <c r="C815" s="679">
        <v>3047525</v>
      </c>
      <c r="D815" s="677">
        <v>2</v>
      </c>
      <c r="E815" s="678" t="s">
        <v>1176</v>
      </c>
      <c r="F815" s="170"/>
    </row>
    <row r="816" spans="2:6" ht="15" x14ac:dyDescent="0.25">
      <c r="B816" s="169"/>
      <c r="C816" s="679">
        <v>3047526</v>
      </c>
      <c r="D816" s="677">
        <v>1</v>
      </c>
      <c r="E816" s="678" t="s">
        <v>1177</v>
      </c>
      <c r="F816" s="170"/>
    </row>
    <row r="817" spans="2:6" ht="15" x14ac:dyDescent="0.25">
      <c r="B817" s="169"/>
      <c r="C817" s="679">
        <v>3047527</v>
      </c>
      <c r="D817" s="677">
        <v>9</v>
      </c>
      <c r="E817" s="678" t="s">
        <v>1178</v>
      </c>
      <c r="F817" s="170"/>
    </row>
    <row r="818" spans="2:6" ht="15" x14ac:dyDescent="0.25">
      <c r="B818" s="169"/>
      <c r="C818" s="679">
        <v>3047528</v>
      </c>
      <c r="D818" s="677">
        <v>7</v>
      </c>
      <c r="E818" s="678" t="s">
        <v>1179</v>
      </c>
      <c r="F818" s="170"/>
    </row>
    <row r="819" spans="2:6" ht="15" x14ac:dyDescent="0.25">
      <c r="B819" s="169"/>
      <c r="C819" s="679">
        <v>3047529</v>
      </c>
      <c r="D819" s="677">
        <v>5</v>
      </c>
      <c r="E819" s="678" t="s">
        <v>1180</v>
      </c>
      <c r="F819" s="170"/>
    </row>
    <row r="820" spans="2:6" ht="15" x14ac:dyDescent="0.25">
      <c r="B820" s="169"/>
      <c r="C820" s="679">
        <v>3047530</v>
      </c>
      <c r="D820" s="677">
        <v>9</v>
      </c>
      <c r="E820" s="678" t="s">
        <v>1181</v>
      </c>
      <c r="F820" s="170"/>
    </row>
    <row r="821" spans="2:6" ht="15" x14ac:dyDescent="0.25">
      <c r="B821" s="169"/>
      <c r="C821" s="679">
        <v>3047531</v>
      </c>
      <c r="D821" s="677">
        <v>7</v>
      </c>
      <c r="E821" s="678" t="s">
        <v>1182</v>
      </c>
      <c r="F821" s="170"/>
    </row>
    <row r="822" spans="2:6" ht="15" x14ac:dyDescent="0.25">
      <c r="B822" s="169"/>
      <c r="C822" s="679">
        <v>3047532</v>
      </c>
      <c r="D822" s="677">
        <v>5</v>
      </c>
      <c r="E822" s="678" t="s">
        <v>1183</v>
      </c>
      <c r="F822" s="170"/>
    </row>
    <row r="823" spans="2:6" ht="15" x14ac:dyDescent="0.25">
      <c r="B823" s="169"/>
      <c r="C823" s="679">
        <v>3047533</v>
      </c>
      <c r="D823" s="677">
        <v>3</v>
      </c>
      <c r="E823" s="678" t="s">
        <v>1184</v>
      </c>
      <c r="F823" s="170"/>
    </row>
    <row r="824" spans="2:6" ht="15" x14ac:dyDescent="0.25">
      <c r="B824" s="169"/>
      <c r="C824" s="679">
        <v>3047534</v>
      </c>
      <c r="D824" s="677">
        <v>1</v>
      </c>
      <c r="E824" s="678" t="s">
        <v>1185</v>
      </c>
      <c r="F824" s="170"/>
    </row>
    <row r="825" spans="2:6" ht="15" x14ac:dyDescent="0.25">
      <c r="B825" s="169"/>
      <c r="C825" s="679">
        <v>3047535</v>
      </c>
      <c r="D825" s="677">
        <v>0</v>
      </c>
      <c r="E825" s="678" t="s">
        <v>1186</v>
      </c>
      <c r="F825" s="170"/>
    </row>
    <row r="826" spans="2:6" ht="15" x14ac:dyDescent="0.25">
      <c r="B826" s="169"/>
      <c r="C826" s="679">
        <v>3047536</v>
      </c>
      <c r="D826" s="677">
        <v>8</v>
      </c>
      <c r="E826" s="678" t="s">
        <v>1187</v>
      </c>
      <c r="F826" s="170"/>
    </row>
    <row r="827" spans="2:6" ht="15" x14ac:dyDescent="0.25">
      <c r="B827" s="169"/>
      <c r="C827" s="679">
        <v>3047537</v>
      </c>
      <c r="D827" s="677">
        <v>6</v>
      </c>
      <c r="E827" s="678" t="s">
        <v>1188</v>
      </c>
      <c r="F827" s="170"/>
    </row>
    <row r="828" spans="2:6" ht="15" x14ac:dyDescent="0.25">
      <c r="B828" s="169"/>
      <c r="C828" s="679">
        <v>3047538</v>
      </c>
      <c r="D828" s="677">
        <v>4</v>
      </c>
      <c r="E828" s="678" t="s">
        <v>1189</v>
      </c>
      <c r="F828" s="170"/>
    </row>
    <row r="829" spans="2:6" ht="15" x14ac:dyDescent="0.25">
      <c r="B829" s="169"/>
      <c r="C829" s="679">
        <v>3047539</v>
      </c>
      <c r="D829" s="677">
        <v>2</v>
      </c>
      <c r="E829" s="678" t="s">
        <v>1190</v>
      </c>
      <c r="F829" s="170"/>
    </row>
    <row r="830" spans="2:6" ht="15" x14ac:dyDescent="0.25">
      <c r="B830" s="169"/>
      <c r="C830" s="679">
        <v>3047540</v>
      </c>
      <c r="D830" s="677">
        <v>6</v>
      </c>
      <c r="E830" s="678" t="s">
        <v>1191</v>
      </c>
      <c r="F830" s="170"/>
    </row>
    <row r="831" spans="2:6" ht="15" x14ac:dyDescent="0.25">
      <c r="B831" s="169"/>
      <c r="C831" s="679">
        <v>3047541</v>
      </c>
      <c r="D831" s="677">
        <v>4</v>
      </c>
      <c r="E831" s="678" t="s">
        <v>1192</v>
      </c>
      <c r="F831" s="170"/>
    </row>
    <row r="832" spans="2:6" ht="15" x14ac:dyDescent="0.25">
      <c r="B832" s="169"/>
      <c r="C832" s="679">
        <v>3047542</v>
      </c>
      <c r="D832" s="677">
        <v>2</v>
      </c>
      <c r="E832" s="678" t="s">
        <v>1193</v>
      </c>
      <c r="F832" s="170"/>
    </row>
    <row r="833" spans="2:6" ht="15" x14ac:dyDescent="0.25">
      <c r="B833" s="169"/>
      <c r="C833" s="679">
        <v>3047543</v>
      </c>
      <c r="D833" s="677">
        <v>1</v>
      </c>
      <c r="E833" s="678" t="s">
        <v>1194</v>
      </c>
      <c r="F833" s="170"/>
    </row>
    <row r="834" spans="2:6" ht="15" x14ac:dyDescent="0.25">
      <c r="B834" s="169"/>
      <c r="C834" s="679">
        <v>3047544</v>
      </c>
      <c r="D834" s="677">
        <v>9</v>
      </c>
      <c r="E834" s="678" t="s">
        <v>1195</v>
      </c>
      <c r="F834" s="170"/>
    </row>
    <row r="835" spans="2:6" ht="15" x14ac:dyDescent="0.25">
      <c r="B835" s="169"/>
      <c r="C835" s="679">
        <v>3047545</v>
      </c>
      <c r="D835" s="677">
        <v>7</v>
      </c>
      <c r="E835" s="678" t="s">
        <v>1196</v>
      </c>
      <c r="F835" s="170"/>
    </row>
    <row r="836" spans="2:6" ht="15" x14ac:dyDescent="0.25">
      <c r="B836" s="169"/>
      <c r="C836" s="679">
        <v>3047546</v>
      </c>
      <c r="D836" s="677">
        <v>5</v>
      </c>
      <c r="E836" s="678" t="s">
        <v>1197</v>
      </c>
      <c r="F836" s="170"/>
    </row>
    <row r="837" spans="2:6" ht="15" x14ac:dyDescent="0.25">
      <c r="B837" s="169"/>
      <c r="C837" s="679">
        <v>3047547</v>
      </c>
      <c r="D837" s="677">
        <v>3</v>
      </c>
      <c r="E837" s="678" t="s">
        <v>1198</v>
      </c>
      <c r="F837" s="170"/>
    </row>
    <row r="838" spans="2:6" ht="15" x14ac:dyDescent="0.25">
      <c r="B838" s="169"/>
      <c r="C838" s="679">
        <v>3070384</v>
      </c>
      <c r="D838" s="677">
        <v>1</v>
      </c>
      <c r="E838" s="678" t="s">
        <v>1199</v>
      </c>
      <c r="F838" s="170"/>
    </row>
    <row r="839" spans="2:6" ht="15" x14ac:dyDescent="0.25">
      <c r="B839" s="169"/>
      <c r="C839" s="679">
        <v>3047548</v>
      </c>
      <c r="D839" s="677">
        <v>1</v>
      </c>
      <c r="E839" s="678" t="s">
        <v>1200</v>
      </c>
      <c r="F839" s="170"/>
    </row>
    <row r="840" spans="2:6" ht="15" x14ac:dyDescent="0.25">
      <c r="B840" s="169"/>
      <c r="C840" s="679">
        <v>3047549</v>
      </c>
      <c r="D840" s="677">
        <v>0</v>
      </c>
      <c r="E840" s="678" t="s">
        <v>1201</v>
      </c>
      <c r="F840" s="170"/>
    </row>
    <row r="841" spans="2:6" ht="15" x14ac:dyDescent="0.25">
      <c r="B841" s="169"/>
      <c r="C841" s="679">
        <v>3047550</v>
      </c>
      <c r="D841" s="677">
        <v>3</v>
      </c>
      <c r="E841" s="678" t="s">
        <v>1202</v>
      </c>
      <c r="F841" s="170"/>
    </row>
    <row r="842" spans="2:6" ht="15" x14ac:dyDescent="0.25">
      <c r="B842" s="169"/>
      <c r="C842" s="679">
        <v>3047551</v>
      </c>
      <c r="D842" s="677">
        <v>1</v>
      </c>
      <c r="E842" s="678" t="s">
        <v>1203</v>
      </c>
      <c r="F842" s="170"/>
    </row>
    <row r="843" spans="2:6" ht="15" x14ac:dyDescent="0.25">
      <c r="B843" s="169"/>
      <c r="C843" s="679">
        <v>3047552</v>
      </c>
      <c r="D843" s="677">
        <v>0</v>
      </c>
      <c r="E843" s="678" t="s">
        <v>1204</v>
      </c>
      <c r="F843" s="170"/>
    </row>
    <row r="844" spans="2:6" ht="15" x14ac:dyDescent="0.25">
      <c r="B844" s="169"/>
      <c r="C844" s="679">
        <v>3047553</v>
      </c>
      <c r="D844" s="677">
        <v>8</v>
      </c>
      <c r="E844" s="678" t="s">
        <v>1205</v>
      </c>
      <c r="F844" s="170"/>
    </row>
    <row r="845" spans="2:6" ht="15" x14ac:dyDescent="0.25">
      <c r="B845" s="169"/>
      <c r="C845" s="679">
        <v>3047554</v>
      </c>
      <c r="D845" s="677">
        <v>6</v>
      </c>
      <c r="E845" s="678" t="s">
        <v>1206</v>
      </c>
      <c r="F845" s="170"/>
    </row>
    <row r="846" spans="2:6" ht="15" x14ac:dyDescent="0.25">
      <c r="B846" s="169"/>
      <c r="C846" s="679">
        <v>3047555</v>
      </c>
      <c r="D846" s="677">
        <v>4</v>
      </c>
      <c r="E846" s="678" t="s">
        <v>1207</v>
      </c>
      <c r="F846" s="170"/>
    </row>
    <row r="847" spans="2:6" ht="15" x14ac:dyDescent="0.25">
      <c r="B847" s="169"/>
      <c r="C847" s="679">
        <v>3047556</v>
      </c>
      <c r="D847" s="677">
        <v>2</v>
      </c>
      <c r="E847" s="678" t="s">
        <v>1208</v>
      </c>
      <c r="F847" s="170"/>
    </row>
    <row r="848" spans="2:6" ht="15" x14ac:dyDescent="0.25">
      <c r="B848" s="169"/>
      <c r="C848" s="679">
        <v>3047557</v>
      </c>
      <c r="D848" s="677">
        <v>1</v>
      </c>
      <c r="E848" s="678" t="s">
        <v>1209</v>
      </c>
      <c r="F848" s="170"/>
    </row>
    <row r="849" spans="2:6" ht="15" x14ac:dyDescent="0.25">
      <c r="B849" s="169"/>
      <c r="C849" s="679">
        <v>3047558</v>
      </c>
      <c r="D849" s="677">
        <v>9</v>
      </c>
      <c r="E849" s="678" t="s">
        <v>1210</v>
      </c>
      <c r="F849" s="170"/>
    </row>
    <row r="850" spans="2:6" ht="15" x14ac:dyDescent="0.25">
      <c r="B850" s="169"/>
      <c r="C850" s="679">
        <v>3047559</v>
      </c>
      <c r="D850" s="677">
        <v>7</v>
      </c>
      <c r="E850" s="678" t="s">
        <v>1211</v>
      </c>
      <c r="F850" s="170"/>
    </row>
    <row r="851" spans="2:6" ht="15" x14ac:dyDescent="0.25">
      <c r="B851" s="169"/>
      <c r="C851" s="679">
        <v>3047560</v>
      </c>
      <c r="D851" s="677">
        <v>1</v>
      </c>
      <c r="E851" s="678" t="s">
        <v>1212</v>
      </c>
      <c r="F851" s="170"/>
    </row>
    <row r="852" spans="2:6" ht="15" x14ac:dyDescent="0.25">
      <c r="B852" s="169"/>
      <c r="C852" s="679">
        <v>3047561</v>
      </c>
      <c r="D852" s="677">
        <v>9</v>
      </c>
      <c r="E852" s="678" t="s">
        <v>1213</v>
      </c>
      <c r="F852" s="170"/>
    </row>
    <row r="853" spans="2:6" ht="15" x14ac:dyDescent="0.25">
      <c r="B853" s="169"/>
      <c r="C853" s="679">
        <v>3047562</v>
      </c>
      <c r="D853" s="677">
        <v>7</v>
      </c>
      <c r="E853" s="678" t="s">
        <v>1214</v>
      </c>
      <c r="F853" s="170"/>
    </row>
    <row r="854" spans="2:6" ht="15" x14ac:dyDescent="0.25">
      <c r="B854" s="169"/>
      <c r="C854" s="679">
        <v>3047563</v>
      </c>
      <c r="D854" s="677">
        <v>5</v>
      </c>
      <c r="E854" s="678" t="s">
        <v>1215</v>
      </c>
      <c r="F854" s="170"/>
    </row>
    <row r="855" spans="2:6" ht="15" x14ac:dyDescent="0.25">
      <c r="B855" s="169"/>
      <c r="C855" s="679">
        <v>3047564</v>
      </c>
      <c r="D855" s="677">
        <v>3</v>
      </c>
      <c r="E855" s="678" t="s">
        <v>1216</v>
      </c>
      <c r="F855" s="170"/>
    </row>
    <row r="856" spans="2:6" ht="15" x14ac:dyDescent="0.25">
      <c r="B856" s="169"/>
      <c r="C856" s="679">
        <v>3047565</v>
      </c>
      <c r="D856" s="677">
        <v>1</v>
      </c>
      <c r="E856" s="678" t="s">
        <v>1217</v>
      </c>
      <c r="F856" s="170"/>
    </row>
    <row r="857" spans="2:6" ht="15" x14ac:dyDescent="0.25">
      <c r="B857" s="169"/>
      <c r="C857" s="679">
        <v>3047566</v>
      </c>
      <c r="D857" s="677">
        <v>0</v>
      </c>
      <c r="E857" s="678" t="s">
        <v>1218</v>
      </c>
      <c r="F857" s="170"/>
    </row>
    <row r="858" spans="2:6" ht="15" x14ac:dyDescent="0.25">
      <c r="B858" s="169"/>
      <c r="C858" s="679">
        <v>3047567</v>
      </c>
      <c r="D858" s="677">
        <v>8</v>
      </c>
      <c r="E858" s="678" t="s">
        <v>1219</v>
      </c>
      <c r="F858" s="170"/>
    </row>
    <row r="859" spans="2:6" ht="15" x14ac:dyDescent="0.25">
      <c r="B859" s="169"/>
      <c r="C859" s="679">
        <v>3047568</v>
      </c>
      <c r="D859" s="677">
        <v>6</v>
      </c>
      <c r="E859" s="678" t="s">
        <v>1220</v>
      </c>
      <c r="F859" s="170"/>
    </row>
    <row r="860" spans="2:6" ht="15" x14ac:dyDescent="0.25">
      <c r="B860" s="169"/>
      <c r="C860" s="679">
        <v>3047569</v>
      </c>
      <c r="D860" s="677">
        <v>4</v>
      </c>
      <c r="E860" s="678" t="s">
        <v>1221</v>
      </c>
      <c r="F860" s="170"/>
    </row>
    <row r="861" spans="2:6" ht="15" x14ac:dyDescent="0.25">
      <c r="B861" s="169"/>
      <c r="C861" s="679">
        <v>3047570</v>
      </c>
      <c r="D861" s="677">
        <v>8</v>
      </c>
      <c r="E861" s="678" t="s">
        <v>1222</v>
      </c>
      <c r="F861" s="170"/>
    </row>
    <row r="862" spans="2:6" ht="15" x14ac:dyDescent="0.25">
      <c r="B862" s="169"/>
      <c r="C862" s="679">
        <v>3047571</v>
      </c>
      <c r="D862" s="677">
        <v>6</v>
      </c>
      <c r="E862" s="678" t="s">
        <v>1223</v>
      </c>
      <c r="F862" s="170"/>
    </row>
    <row r="863" spans="2:6" ht="15" x14ac:dyDescent="0.25">
      <c r="B863" s="169"/>
      <c r="C863" s="679">
        <v>3047572</v>
      </c>
      <c r="D863" s="677">
        <v>4</v>
      </c>
      <c r="E863" s="678" t="s">
        <v>1224</v>
      </c>
      <c r="F863" s="170"/>
    </row>
    <row r="864" spans="2:6" ht="15" x14ac:dyDescent="0.25">
      <c r="B864" s="169"/>
      <c r="C864" s="679">
        <v>3047573</v>
      </c>
      <c r="D864" s="677">
        <v>2</v>
      </c>
      <c r="E864" s="678" t="s">
        <v>1225</v>
      </c>
      <c r="F864" s="170"/>
    </row>
    <row r="865" spans="2:6" ht="15" x14ac:dyDescent="0.25">
      <c r="B865" s="169"/>
      <c r="C865" s="679">
        <v>3047574</v>
      </c>
      <c r="D865" s="677">
        <v>1</v>
      </c>
      <c r="E865" s="678" t="s">
        <v>1226</v>
      </c>
      <c r="F865" s="170"/>
    </row>
    <row r="866" spans="2:6" ht="15" x14ac:dyDescent="0.25">
      <c r="B866" s="169"/>
      <c r="C866" s="679">
        <v>3047577</v>
      </c>
      <c r="D866" s="677">
        <v>5</v>
      </c>
      <c r="E866" s="678" t="s">
        <v>1227</v>
      </c>
      <c r="F866" s="170"/>
    </row>
    <row r="867" spans="2:6" ht="15" x14ac:dyDescent="0.25">
      <c r="B867" s="169"/>
      <c r="C867" s="679">
        <v>3047575</v>
      </c>
      <c r="D867" s="677">
        <v>9</v>
      </c>
      <c r="E867" s="678" t="s">
        <v>1228</v>
      </c>
      <c r="F867" s="170"/>
    </row>
    <row r="868" spans="2:6" ht="15" x14ac:dyDescent="0.25">
      <c r="B868" s="169"/>
      <c r="C868" s="679">
        <v>3047576</v>
      </c>
      <c r="D868" s="677">
        <v>7</v>
      </c>
      <c r="E868" s="678" t="s">
        <v>1229</v>
      </c>
      <c r="F868" s="170"/>
    </row>
    <row r="869" spans="2:6" ht="15" x14ac:dyDescent="0.25">
      <c r="B869" s="169"/>
      <c r="C869" s="679">
        <v>3047578</v>
      </c>
      <c r="D869" s="677">
        <v>3</v>
      </c>
      <c r="E869" s="678" t="s">
        <v>1230</v>
      </c>
      <c r="F869" s="170"/>
    </row>
    <row r="870" spans="2:6" ht="15" x14ac:dyDescent="0.25">
      <c r="B870" s="169"/>
      <c r="C870" s="679">
        <v>2990667</v>
      </c>
      <c r="D870" s="677">
        <v>9</v>
      </c>
      <c r="E870" s="678" t="s">
        <v>1231</v>
      </c>
      <c r="F870" s="170"/>
    </row>
    <row r="871" spans="2:6" ht="15" x14ac:dyDescent="0.25">
      <c r="B871" s="169"/>
      <c r="C871" s="679">
        <v>3047579</v>
      </c>
      <c r="D871" s="677">
        <v>1</v>
      </c>
      <c r="E871" s="678" t="s">
        <v>1232</v>
      </c>
      <c r="F871" s="170"/>
    </row>
    <row r="872" spans="2:6" ht="15" x14ac:dyDescent="0.25">
      <c r="B872" s="169"/>
      <c r="C872" s="679">
        <v>3047580</v>
      </c>
      <c r="D872" s="677">
        <v>5</v>
      </c>
      <c r="E872" s="678" t="s">
        <v>1233</v>
      </c>
      <c r="F872" s="170"/>
    </row>
    <row r="873" spans="2:6" ht="15" x14ac:dyDescent="0.25">
      <c r="B873" s="169"/>
      <c r="C873" s="679">
        <v>3047581</v>
      </c>
      <c r="D873" s="677">
        <v>3</v>
      </c>
      <c r="E873" s="678" t="s">
        <v>1234</v>
      </c>
      <c r="F873" s="170"/>
    </row>
    <row r="874" spans="2:6" ht="15" x14ac:dyDescent="0.25">
      <c r="B874" s="169"/>
      <c r="C874" s="679">
        <v>3047582</v>
      </c>
      <c r="D874" s="677">
        <v>1</v>
      </c>
      <c r="E874" s="678" t="s">
        <v>1235</v>
      </c>
      <c r="F874" s="170"/>
    </row>
    <row r="875" spans="2:6" ht="15" x14ac:dyDescent="0.25">
      <c r="B875" s="169"/>
      <c r="C875" s="679">
        <v>3047583</v>
      </c>
      <c r="D875" s="677">
        <v>0</v>
      </c>
      <c r="E875" s="678" t="s">
        <v>1236</v>
      </c>
      <c r="F875" s="170"/>
    </row>
    <row r="876" spans="2:6" ht="15" x14ac:dyDescent="0.25">
      <c r="B876" s="169"/>
      <c r="C876" s="679">
        <v>3047584</v>
      </c>
      <c r="D876" s="677">
        <v>8</v>
      </c>
      <c r="E876" s="678" t="s">
        <v>1237</v>
      </c>
      <c r="F876" s="170"/>
    </row>
    <row r="877" spans="2:6" ht="15" x14ac:dyDescent="0.25">
      <c r="B877" s="169"/>
      <c r="C877" s="679">
        <v>3047585</v>
      </c>
      <c r="D877" s="677">
        <v>6</v>
      </c>
      <c r="E877" s="678" t="s">
        <v>1238</v>
      </c>
      <c r="F877" s="170"/>
    </row>
    <row r="878" spans="2:6" ht="15" x14ac:dyDescent="0.25">
      <c r="B878" s="169"/>
      <c r="C878" s="679">
        <v>3047586</v>
      </c>
      <c r="D878" s="677">
        <v>4</v>
      </c>
      <c r="E878" s="678" t="s">
        <v>1239</v>
      </c>
      <c r="F878" s="170"/>
    </row>
    <row r="879" spans="2:6" ht="15" x14ac:dyDescent="0.25">
      <c r="B879" s="169"/>
      <c r="C879" s="679">
        <v>3047587</v>
      </c>
      <c r="D879" s="677">
        <v>2</v>
      </c>
      <c r="E879" s="678" t="s">
        <v>1240</v>
      </c>
      <c r="F879" s="170"/>
    </row>
    <row r="880" spans="2:6" ht="15" x14ac:dyDescent="0.25">
      <c r="B880" s="169"/>
      <c r="C880" s="679">
        <v>3047588</v>
      </c>
      <c r="D880" s="677">
        <v>1</v>
      </c>
      <c r="E880" s="678" t="s">
        <v>1241</v>
      </c>
      <c r="F880" s="170"/>
    </row>
    <row r="881" spans="2:6" ht="15" x14ac:dyDescent="0.25">
      <c r="B881" s="169"/>
      <c r="C881" s="679">
        <v>3047589</v>
      </c>
      <c r="D881" s="677">
        <v>9</v>
      </c>
      <c r="E881" s="678" t="s">
        <v>1242</v>
      </c>
      <c r="F881" s="170"/>
    </row>
    <row r="882" spans="2:6" ht="15" x14ac:dyDescent="0.25">
      <c r="B882" s="169"/>
      <c r="C882" s="679">
        <v>3047590</v>
      </c>
      <c r="D882" s="677">
        <v>2</v>
      </c>
      <c r="E882" s="678" t="s">
        <v>1243</v>
      </c>
      <c r="F882" s="170"/>
    </row>
    <row r="883" spans="2:6" ht="15" x14ac:dyDescent="0.25">
      <c r="B883" s="169"/>
      <c r="C883" s="679">
        <v>3047591</v>
      </c>
      <c r="D883" s="677">
        <v>1</v>
      </c>
      <c r="E883" s="678" t="s">
        <v>1244</v>
      </c>
      <c r="F883" s="170"/>
    </row>
    <row r="884" spans="2:6" ht="15" x14ac:dyDescent="0.25">
      <c r="B884" s="169"/>
      <c r="C884" s="679">
        <v>3047592</v>
      </c>
      <c r="D884" s="677">
        <v>9</v>
      </c>
      <c r="E884" s="678" t="s">
        <v>1245</v>
      </c>
      <c r="F884" s="170"/>
    </row>
    <row r="885" spans="2:6" ht="15" x14ac:dyDescent="0.25">
      <c r="B885" s="169"/>
      <c r="C885" s="679">
        <v>3047593</v>
      </c>
      <c r="D885" s="677">
        <v>7</v>
      </c>
      <c r="E885" s="678" t="s">
        <v>1246</v>
      </c>
      <c r="F885" s="170"/>
    </row>
    <row r="886" spans="2:6" ht="15" x14ac:dyDescent="0.25">
      <c r="B886" s="169"/>
      <c r="C886" s="679">
        <v>3047594</v>
      </c>
      <c r="D886" s="677">
        <v>5</v>
      </c>
      <c r="E886" s="678" t="s">
        <v>1247</v>
      </c>
      <c r="F886" s="170"/>
    </row>
    <row r="887" spans="2:6" ht="15" x14ac:dyDescent="0.25">
      <c r="B887" s="169"/>
      <c r="C887" s="679">
        <v>3047595</v>
      </c>
      <c r="D887" s="677">
        <v>3</v>
      </c>
      <c r="E887" s="678" t="s">
        <v>1248</v>
      </c>
      <c r="F887" s="170"/>
    </row>
    <row r="888" spans="2:6" ht="15" x14ac:dyDescent="0.25">
      <c r="B888" s="169"/>
      <c r="C888" s="679">
        <v>3047596</v>
      </c>
      <c r="D888" s="677">
        <v>1</v>
      </c>
      <c r="E888" s="678" t="s">
        <v>1249</v>
      </c>
      <c r="F888" s="170"/>
    </row>
    <row r="889" spans="2:6" ht="15" x14ac:dyDescent="0.25">
      <c r="B889" s="169"/>
      <c r="C889" s="679">
        <v>3047597</v>
      </c>
      <c r="D889" s="677">
        <v>0</v>
      </c>
      <c r="E889" s="678" t="s">
        <v>1250</v>
      </c>
      <c r="F889" s="170"/>
    </row>
    <row r="890" spans="2:6" ht="15" x14ac:dyDescent="0.25">
      <c r="B890" s="169"/>
      <c r="C890" s="679">
        <v>3047215</v>
      </c>
      <c r="D890" s="677">
        <v>6</v>
      </c>
      <c r="E890" s="678" t="s">
        <v>1251</v>
      </c>
      <c r="F890" s="170"/>
    </row>
    <row r="891" spans="2:6" ht="15" x14ac:dyDescent="0.25">
      <c r="B891" s="169"/>
      <c r="C891" s="679">
        <v>3047216</v>
      </c>
      <c r="D891" s="677">
        <v>4</v>
      </c>
      <c r="E891" s="678" t="s">
        <v>1252</v>
      </c>
      <c r="F891" s="170"/>
    </row>
    <row r="892" spans="2:6" ht="15" x14ac:dyDescent="0.25">
      <c r="B892" s="169"/>
      <c r="C892" s="679">
        <v>3047217</v>
      </c>
      <c r="D892" s="677">
        <v>2</v>
      </c>
      <c r="E892" s="678" t="s">
        <v>1253</v>
      </c>
      <c r="F892" s="170"/>
    </row>
    <row r="893" spans="2:6" ht="15" x14ac:dyDescent="0.25">
      <c r="B893" s="169"/>
      <c r="C893" s="679">
        <v>3047218</v>
      </c>
      <c r="D893" s="677">
        <v>1</v>
      </c>
      <c r="E893" s="678" t="s">
        <v>1254</v>
      </c>
      <c r="F893" s="170"/>
    </row>
    <row r="894" spans="2:6" ht="15" x14ac:dyDescent="0.25">
      <c r="B894" s="169"/>
      <c r="C894" s="679">
        <v>3047219</v>
      </c>
      <c r="D894" s="677">
        <v>9</v>
      </c>
      <c r="E894" s="678" t="s">
        <v>1255</v>
      </c>
      <c r="F894" s="170"/>
    </row>
    <row r="895" spans="2:6" ht="15" x14ac:dyDescent="0.25">
      <c r="B895" s="169"/>
      <c r="C895" s="679">
        <v>3047220</v>
      </c>
      <c r="D895" s="677">
        <v>2</v>
      </c>
      <c r="E895" s="678" t="s">
        <v>1256</v>
      </c>
      <c r="F895" s="170"/>
    </row>
    <row r="896" spans="2:6" ht="15" x14ac:dyDescent="0.25">
      <c r="B896" s="169"/>
      <c r="C896" s="679">
        <v>3047598</v>
      </c>
      <c r="D896" s="677">
        <v>8</v>
      </c>
      <c r="E896" s="678" t="s">
        <v>1257</v>
      </c>
      <c r="F896" s="170"/>
    </row>
    <row r="897" spans="2:6" ht="15" x14ac:dyDescent="0.25">
      <c r="B897" s="169"/>
      <c r="C897" s="679">
        <v>3270470</v>
      </c>
      <c r="D897" s="677">
        <v>4</v>
      </c>
      <c r="E897" s="678" t="s">
        <v>8262</v>
      </c>
      <c r="F897" s="170"/>
    </row>
    <row r="898" spans="2:6" ht="15" x14ac:dyDescent="0.25">
      <c r="B898" s="169"/>
      <c r="C898" s="679">
        <v>3114276</v>
      </c>
      <c r="D898" s="677">
        <v>1</v>
      </c>
      <c r="E898" s="678" t="s">
        <v>1258</v>
      </c>
      <c r="F898" s="170"/>
    </row>
    <row r="899" spans="2:6" ht="15" x14ac:dyDescent="0.25">
      <c r="B899" s="169"/>
      <c r="C899" s="679">
        <v>3047599</v>
      </c>
      <c r="D899" s="677">
        <v>6</v>
      </c>
      <c r="E899" s="678" t="s">
        <v>1259</v>
      </c>
      <c r="F899" s="170"/>
    </row>
    <row r="900" spans="2:6" ht="15" x14ac:dyDescent="0.25">
      <c r="B900" s="169"/>
      <c r="C900" s="679">
        <v>3047600</v>
      </c>
      <c r="D900" s="677">
        <v>3</v>
      </c>
      <c r="E900" s="678" t="s">
        <v>1260</v>
      </c>
      <c r="F900" s="170"/>
    </row>
    <row r="901" spans="2:6" ht="15" x14ac:dyDescent="0.25">
      <c r="B901" s="169"/>
      <c r="C901" s="679">
        <v>3047601</v>
      </c>
      <c r="D901" s="677">
        <v>1</v>
      </c>
      <c r="E901" s="678" t="s">
        <v>1261</v>
      </c>
      <c r="F901" s="170"/>
    </row>
    <row r="902" spans="2:6" ht="15" x14ac:dyDescent="0.25">
      <c r="B902" s="169"/>
      <c r="C902" s="679">
        <v>2964963</v>
      </c>
      <c r="D902" s="677">
        <v>3</v>
      </c>
      <c r="E902" s="678" t="s">
        <v>1262</v>
      </c>
      <c r="F902" s="170"/>
    </row>
    <row r="903" spans="2:6" ht="15" x14ac:dyDescent="0.25">
      <c r="B903" s="169"/>
      <c r="C903" s="679">
        <v>3226887</v>
      </c>
      <c r="D903" s="677">
        <v>4</v>
      </c>
      <c r="E903" s="678" t="s">
        <v>8263</v>
      </c>
      <c r="F903" s="170"/>
    </row>
    <row r="904" spans="2:6" ht="15" x14ac:dyDescent="0.25">
      <c r="B904" s="169"/>
      <c r="C904" s="679">
        <v>2963373</v>
      </c>
      <c r="D904" s="677">
        <v>7</v>
      </c>
      <c r="E904" s="678" t="s">
        <v>1263</v>
      </c>
      <c r="F904" s="170"/>
    </row>
    <row r="905" spans="2:6" ht="15" x14ac:dyDescent="0.25">
      <c r="B905" s="169"/>
      <c r="C905" s="679">
        <v>2982033</v>
      </c>
      <c r="D905" s="677">
        <v>2</v>
      </c>
      <c r="E905" s="678" t="s">
        <v>1264</v>
      </c>
      <c r="F905" s="170"/>
    </row>
    <row r="906" spans="2:6" ht="15" x14ac:dyDescent="0.25">
      <c r="B906" s="169"/>
      <c r="C906" s="679">
        <v>3072549</v>
      </c>
      <c r="D906" s="677">
        <v>6</v>
      </c>
      <c r="E906" s="678" t="s">
        <v>1265</v>
      </c>
      <c r="F906" s="170"/>
    </row>
    <row r="907" spans="2:6" ht="15" x14ac:dyDescent="0.25">
      <c r="B907" s="169"/>
      <c r="C907" s="679">
        <v>2974424</v>
      </c>
      <c r="D907" s="677">
        <v>5</v>
      </c>
      <c r="E907" s="678" t="s">
        <v>1266</v>
      </c>
      <c r="F907" s="170"/>
    </row>
    <row r="908" spans="2:6" ht="15" x14ac:dyDescent="0.25">
      <c r="B908" s="169"/>
      <c r="C908" s="679">
        <v>3072196</v>
      </c>
      <c r="D908" s="677">
        <v>2</v>
      </c>
      <c r="E908" s="678" t="s">
        <v>1267</v>
      </c>
      <c r="F908" s="170"/>
    </row>
    <row r="909" spans="2:6" ht="15" x14ac:dyDescent="0.25">
      <c r="B909" s="169"/>
      <c r="C909" s="679">
        <v>2982037</v>
      </c>
      <c r="D909" s="677">
        <v>5</v>
      </c>
      <c r="E909" s="678" t="s">
        <v>1268</v>
      </c>
      <c r="F909" s="170"/>
    </row>
    <row r="910" spans="2:6" ht="15" x14ac:dyDescent="0.25">
      <c r="B910" s="169"/>
      <c r="C910" s="679">
        <v>3076850</v>
      </c>
      <c r="D910" s="677">
        <v>1</v>
      </c>
      <c r="E910" s="678" t="s">
        <v>1269</v>
      </c>
      <c r="F910" s="170"/>
    </row>
    <row r="911" spans="2:6" ht="15" x14ac:dyDescent="0.25">
      <c r="B911" s="169"/>
      <c r="C911" s="679">
        <v>3047602</v>
      </c>
      <c r="D911" s="677">
        <v>0</v>
      </c>
      <c r="E911" s="678" t="s">
        <v>1270</v>
      </c>
      <c r="F911" s="170"/>
    </row>
    <row r="912" spans="2:6" ht="15" x14ac:dyDescent="0.25">
      <c r="B912" s="169"/>
      <c r="C912" s="679">
        <v>3084477</v>
      </c>
      <c r="D912" s="677">
        <v>1</v>
      </c>
      <c r="E912" s="678" t="s">
        <v>1271</v>
      </c>
      <c r="F912" s="170"/>
    </row>
    <row r="913" spans="2:6" ht="15" x14ac:dyDescent="0.25">
      <c r="B913" s="169"/>
      <c r="C913" s="679">
        <v>3047603</v>
      </c>
      <c r="D913" s="677">
        <v>8</v>
      </c>
      <c r="E913" s="678" t="s">
        <v>1272</v>
      </c>
      <c r="F913" s="170"/>
    </row>
    <row r="914" spans="2:6" ht="15" x14ac:dyDescent="0.25">
      <c r="B914" s="169"/>
      <c r="C914" s="679">
        <v>3047604</v>
      </c>
      <c r="D914" s="677">
        <v>6</v>
      </c>
      <c r="E914" s="678" t="s">
        <v>1273</v>
      </c>
      <c r="F914" s="170"/>
    </row>
    <row r="915" spans="2:6" ht="15" x14ac:dyDescent="0.25">
      <c r="B915" s="169"/>
      <c r="C915" s="679">
        <v>3047605</v>
      </c>
      <c r="D915" s="677">
        <v>4</v>
      </c>
      <c r="E915" s="678" t="s">
        <v>1274</v>
      </c>
      <c r="F915" s="170"/>
    </row>
    <row r="916" spans="2:6" ht="15" x14ac:dyDescent="0.25">
      <c r="B916" s="169"/>
      <c r="C916" s="679">
        <v>3092184</v>
      </c>
      <c r="D916" s="677">
        <v>8</v>
      </c>
      <c r="E916" s="678" t="s">
        <v>1275</v>
      </c>
      <c r="F916" s="170"/>
    </row>
    <row r="917" spans="2:6" ht="15" x14ac:dyDescent="0.25">
      <c r="B917" s="169"/>
      <c r="C917" s="679">
        <v>3106796</v>
      </c>
      <c r="D917" s="677">
        <v>4</v>
      </c>
      <c r="E917" s="678" t="s">
        <v>1276</v>
      </c>
      <c r="F917" s="170"/>
    </row>
    <row r="918" spans="2:6" ht="15" x14ac:dyDescent="0.25">
      <c r="B918" s="169"/>
      <c r="C918" s="679">
        <v>3047606</v>
      </c>
      <c r="D918" s="677">
        <v>2</v>
      </c>
      <c r="E918" s="678" t="s">
        <v>1277</v>
      </c>
      <c r="F918" s="170"/>
    </row>
    <row r="919" spans="2:6" ht="15" x14ac:dyDescent="0.25">
      <c r="B919" s="169"/>
      <c r="C919" s="679">
        <v>3047607</v>
      </c>
      <c r="D919" s="677">
        <v>1</v>
      </c>
      <c r="E919" s="678" t="s">
        <v>1278</v>
      </c>
      <c r="F919" s="170"/>
    </row>
    <row r="920" spans="2:6" ht="15" x14ac:dyDescent="0.25">
      <c r="B920" s="169"/>
      <c r="C920" s="679">
        <v>3047608</v>
      </c>
      <c r="D920" s="677">
        <v>9</v>
      </c>
      <c r="E920" s="678" t="s">
        <v>1279</v>
      </c>
      <c r="F920" s="170"/>
    </row>
    <row r="921" spans="2:6" ht="15" x14ac:dyDescent="0.25">
      <c r="B921" s="169"/>
      <c r="C921" s="679">
        <v>3047609</v>
      </c>
      <c r="D921" s="677">
        <v>7</v>
      </c>
      <c r="E921" s="678" t="s">
        <v>1280</v>
      </c>
      <c r="F921" s="170"/>
    </row>
    <row r="922" spans="2:6" ht="15" x14ac:dyDescent="0.25">
      <c r="B922" s="169"/>
      <c r="C922" s="679">
        <v>3047610</v>
      </c>
      <c r="D922" s="677">
        <v>1</v>
      </c>
      <c r="E922" s="678" t="s">
        <v>1281</v>
      </c>
      <c r="F922" s="170"/>
    </row>
    <row r="923" spans="2:6" ht="15" x14ac:dyDescent="0.25">
      <c r="B923" s="169"/>
      <c r="C923" s="679">
        <v>3047611</v>
      </c>
      <c r="D923" s="677">
        <v>9</v>
      </c>
      <c r="E923" s="678" t="s">
        <v>1282</v>
      </c>
      <c r="F923" s="170"/>
    </row>
    <row r="924" spans="2:6" ht="15" x14ac:dyDescent="0.25">
      <c r="B924" s="169"/>
      <c r="C924" s="679">
        <v>3047612</v>
      </c>
      <c r="D924" s="677">
        <v>7</v>
      </c>
      <c r="E924" s="678" t="s">
        <v>1283</v>
      </c>
      <c r="F924" s="170"/>
    </row>
    <row r="925" spans="2:6" ht="15" x14ac:dyDescent="0.25">
      <c r="B925" s="169"/>
      <c r="C925" s="679">
        <v>3047613</v>
      </c>
      <c r="D925" s="677">
        <v>5</v>
      </c>
      <c r="E925" s="678" t="s">
        <v>1284</v>
      </c>
      <c r="F925" s="170"/>
    </row>
    <row r="926" spans="2:6" ht="15" x14ac:dyDescent="0.25">
      <c r="B926" s="169"/>
      <c r="C926" s="679">
        <v>3103136</v>
      </c>
      <c r="D926" s="677">
        <v>6</v>
      </c>
      <c r="E926" s="678" t="s">
        <v>1285</v>
      </c>
      <c r="F926" s="170"/>
    </row>
    <row r="927" spans="2:6" ht="15" x14ac:dyDescent="0.25">
      <c r="B927" s="169"/>
      <c r="C927" s="679">
        <v>3047614</v>
      </c>
      <c r="D927" s="677">
        <v>3</v>
      </c>
      <c r="E927" s="678" t="s">
        <v>1286</v>
      </c>
      <c r="F927" s="170"/>
    </row>
    <row r="928" spans="2:6" ht="15" x14ac:dyDescent="0.25">
      <c r="B928" s="169"/>
      <c r="C928" s="679">
        <v>3047615</v>
      </c>
      <c r="D928" s="677">
        <v>1</v>
      </c>
      <c r="E928" s="678" t="s">
        <v>1287</v>
      </c>
      <c r="F928" s="170"/>
    </row>
    <row r="929" spans="2:6" ht="15" x14ac:dyDescent="0.25">
      <c r="B929" s="169"/>
      <c r="C929" s="679">
        <v>3047616</v>
      </c>
      <c r="D929" s="677">
        <v>0</v>
      </c>
      <c r="E929" s="678" t="s">
        <v>1288</v>
      </c>
      <c r="F929" s="170"/>
    </row>
    <row r="930" spans="2:6" ht="15" x14ac:dyDescent="0.25">
      <c r="B930" s="169"/>
      <c r="C930" s="679">
        <v>3047617</v>
      </c>
      <c r="D930" s="677">
        <v>8</v>
      </c>
      <c r="E930" s="678" t="s">
        <v>1289</v>
      </c>
      <c r="F930" s="170"/>
    </row>
    <row r="931" spans="2:6" ht="15" x14ac:dyDescent="0.25">
      <c r="B931" s="169"/>
      <c r="C931" s="679">
        <v>3047618</v>
      </c>
      <c r="D931" s="677">
        <v>6</v>
      </c>
      <c r="E931" s="678" t="s">
        <v>1290</v>
      </c>
      <c r="F931" s="170"/>
    </row>
    <row r="932" spans="2:6" ht="15" x14ac:dyDescent="0.25">
      <c r="B932" s="169"/>
      <c r="C932" s="679">
        <v>3047619</v>
      </c>
      <c r="D932" s="677">
        <v>4</v>
      </c>
      <c r="E932" s="678" t="s">
        <v>1291</v>
      </c>
      <c r="F932" s="170"/>
    </row>
    <row r="933" spans="2:6" ht="15" x14ac:dyDescent="0.25">
      <c r="B933" s="169"/>
      <c r="C933" s="679">
        <v>3047620</v>
      </c>
      <c r="D933" s="677">
        <v>8</v>
      </c>
      <c r="E933" s="678" t="s">
        <v>1292</v>
      </c>
      <c r="F933" s="170"/>
    </row>
    <row r="934" spans="2:6" ht="15" x14ac:dyDescent="0.25">
      <c r="B934" s="169"/>
      <c r="C934" s="679">
        <v>3047621</v>
      </c>
      <c r="D934" s="677">
        <v>6</v>
      </c>
      <c r="E934" s="678" t="s">
        <v>1293</v>
      </c>
      <c r="F934" s="170"/>
    </row>
    <row r="935" spans="2:6" ht="15" x14ac:dyDescent="0.25">
      <c r="B935" s="169"/>
      <c r="C935" s="679">
        <v>3047622</v>
      </c>
      <c r="D935" s="677">
        <v>4</v>
      </c>
      <c r="E935" s="678" t="s">
        <v>1294</v>
      </c>
      <c r="F935" s="170"/>
    </row>
    <row r="936" spans="2:6" ht="15" x14ac:dyDescent="0.25">
      <c r="B936" s="169"/>
      <c r="C936" s="679">
        <v>3047623</v>
      </c>
      <c r="D936" s="677">
        <v>2</v>
      </c>
      <c r="E936" s="678" t="s">
        <v>1295</v>
      </c>
      <c r="F936" s="170"/>
    </row>
    <row r="937" spans="2:6" ht="15" x14ac:dyDescent="0.25">
      <c r="B937" s="169"/>
      <c r="C937" s="679">
        <v>3047624</v>
      </c>
      <c r="D937" s="677">
        <v>1</v>
      </c>
      <c r="E937" s="678" t="s">
        <v>1296</v>
      </c>
      <c r="F937" s="170"/>
    </row>
    <row r="938" spans="2:6" ht="15" x14ac:dyDescent="0.25">
      <c r="B938" s="169"/>
      <c r="C938" s="679">
        <v>3047625</v>
      </c>
      <c r="D938" s="677">
        <v>9</v>
      </c>
      <c r="E938" s="678" t="s">
        <v>1297</v>
      </c>
      <c r="F938" s="170"/>
    </row>
    <row r="939" spans="2:6" ht="15" x14ac:dyDescent="0.25">
      <c r="B939" s="169"/>
      <c r="C939" s="679">
        <v>3047626</v>
      </c>
      <c r="D939" s="677">
        <v>7</v>
      </c>
      <c r="E939" s="678" t="s">
        <v>1298</v>
      </c>
      <c r="F939" s="170"/>
    </row>
    <row r="940" spans="2:6" ht="15" x14ac:dyDescent="0.25">
      <c r="B940" s="169"/>
      <c r="C940" s="679">
        <v>3047627</v>
      </c>
      <c r="D940" s="677">
        <v>5</v>
      </c>
      <c r="E940" s="678" t="s">
        <v>1299</v>
      </c>
      <c r="F940" s="170"/>
    </row>
    <row r="941" spans="2:6" ht="15" x14ac:dyDescent="0.25">
      <c r="B941" s="169"/>
      <c r="C941" s="679">
        <v>3047628</v>
      </c>
      <c r="D941" s="677">
        <v>3</v>
      </c>
      <c r="E941" s="678" t="s">
        <v>1300</v>
      </c>
      <c r="F941" s="170"/>
    </row>
    <row r="942" spans="2:6" ht="15" x14ac:dyDescent="0.25">
      <c r="B942" s="169"/>
      <c r="C942" s="679">
        <v>3047629</v>
      </c>
      <c r="D942" s="677">
        <v>1</v>
      </c>
      <c r="E942" s="678" t="s">
        <v>1301</v>
      </c>
      <c r="F942" s="170"/>
    </row>
    <row r="943" spans="2:6" ht="15" x14ac:dyDescent="0.25">
      <c r="B943" s="169"/>
      <c r="C943" s="679">
        <v>3047630</v>
      </c>
      <c r="D943" s="677">
        <v>5</v>
      </c>
      <c r="E943" s="678" t="s">
        <v>1302</v>
      </c>
      <c r="F943" s="170"/>
    </row>
    <row r="944" spans="2:6" ht="15" x14ac:dyDescent="0.25">
      <c r="B944" s="169"/>
      <c r="C944" s="679">
        <v>3076756</v>
      </c>
      <c r="D944" s="677">
        <v>3</v>
      </c>
      <c r="E944" s="678" t="s">
        <v>1303</v>
      </c>
      <c r="F944" s="170"/>
    </row>
    <row r="945" spans="2:6" ht="15" x14ac:dyDescent="0.25">
      <c r="B945" s="169"/>
      <c r="C945" s="679">
        <v>3047631</v>
      </c>
      <c r="D945" s="677">
        <v>3</v>
      </c>
      <c r="E945" s="678" t="s">
        <v>1304</v>
      </c>
      <c r="F945" s="170"/>
    </row>
    <row r="946" spans="2:6" ht="15" x14ac:dyDescent="0.25">
      <c r="B946" s="169"/>
      <c r="C946" s="679">
        <v>3309196</v>
      </c>
      <c r="D946" s="677">
        <v>0</v>
      </c>
      <c r="E946" s="678" t="s">
        <v>8264</v>
      </c>
      <c r="F946" s="170"/>
    </row>
    <row r="947" spans="2:6" ht="15" x14ac:dyDescent="0.25">
      <c r="B947" s="169"/>
      <c r="C947" s="679">
        <v>3157342</v>
      </c>
      <c r="D947" s="677">
        <v>8</v>
      </c>
      <c r="E947" s="678" t="s">
        <v>1305</v>
      </c>
      <c r="F947" s="170"/>
    </row>
    <row r="948" spans="2:6" ht="15" x14ac:dyDescent="0.25">
      <c r="B948" s="169"/>
      <c r="C948" s="679">
        <v>3158389</v>
      </c>
      <c r="D948" s="677">
        <v>0</v>
      </c>
      <c r="E948" s="678" t="s">
        <v>1306</v>
      </c>
      <c r="F948" s="170"/>
    </row>
    <row r="949" spans="2:6" ht="15" x14ac:dyDescent="0.25">
      <c r="B949" s="169"/>
      <c r="C949" s="679">
        <v>3047632</v>
      </c>
      <c r="D949" s="677">
        <v>1</v>
      </c>
      <c r="E949" s="678" t="s">
        <v>1307</v>
      </c>
      <c r="F949" s="170"/>
    </row>
    <row r="950" spans="2:6" ht="15" x14ac:dyDescent="0.25">
      <c r="B950" s="169"/>
      <c r="C950" s="679">
        <v>3047633</v>
      </c>
      <c r="D950" s="677">
        <v>0</v>
      </c>
      <c r="E950" s="678" t="s">
        <v>1308</v>
      </c>
      <c r="F950" s="170"/>
    </row>
    <row r="951" spans="2:6" ht="15" x14ac:dyDescent="0.25">
      <c r="B951" s="169"/>
      <c r="C951" s="679">
        <v>3047634</v>
      </c>
      <c r="D951" s="677">
        <v>8</v>
      </c>
      <c r="E951" s="678" t="s">
        <v>1309</v>
      </c>
      <c r="F951" s="170"/>
    </row>
    <row r="952" spans="2:6" ht="15" x14ac:dyDescent="0.25">
      <c r="B952" s="169"/>
      <c r="C952" s="679">
        <v>3047635</v>
      </c>
      <c r="D952" s="677">
        <v>6</v>
      </c>
      <c r="E952" s="678" t="s">
        <v>1310</v>
      </c>
      <c r="F952" s="170"/>
    </row>
    <row r="953" spans="2:6" ht="15" x14ac:dyDescent="0.25">
      <c r="B953" s="169"/>
      <c r="C953" s="679">
        <v>3047636</v>
      </c>
      <c r="D953" s="677">
        <v>4</v>
      </c>
      <c r="E953" s="678" t="s">
        <v>1311</v>
      </c>
      <c r="F953" s="170"/>
    </row>
    <row r="954" spans="2:6" ht="15" x14ac:dyDescent="0.25">
      <c r="B954" s="169"/>
      <c r="C954" s="679">
        <v>3047637</v>
      </c>
      <c r="D954" s="677">
        <v>2</v>
      </c>
      <c r="E954" s="678" t="s">
        <v>1312</v>
      </c>
      <c r="F954" s="170"/>
    </row>
    <row r="955" spans="2:6" ht="15" x14ac:dyDescent="0.25">
      <c r="B955" s="169"/>
      <c r="C955" s="679">
        <v>3047638</v>
      </c>
      <c r="D955" s="677">
        <v>1</v>
      </c>
      <c r="E955" s="678" t="s">
        <v>1313</v>
      </c>
      <c r="F955" s="170"/>
    </row>
    <row r="956" spans="2:6" ht="15" x14ac:dyDescent="0.25">
      <c r="B956" s="169"/>
      <c r="C956" s="679">
        <v>3047639</v>
      </c>
      <c r="D956" s="677">
        <v>9</v>
      </c>
      <c r="E956" s="678" t="s">
        <v>1314</v>
      </c>
      <c r="F956" s="170"/>
    </row>
    <row r="957" spans="2:6" ht="15" x14ac:dyDescent="0.25">
      <c r="B957" s="169"/>
      <c r="C957" s="679">
        <v>3047640</v>
      </c>
      <c r="D957" s="677">
        <v>2</v>
      </c>
      <c r="E957" s="678" t="s">
        <v>1315</v>
      </c>
      <c r="F957" s="170"/>
    </row>
    <row r="958" spans="2:6" ht="15" x14ac:dyDescent="0.25">
      <c r="B958" s="169"/>
      <c r="C958" s="679">
        <v>3047641</v>
      </c>
      <c r="D958" s="677">
        <v>1</v>
      </c>
      <c r="E958" s="678" t="s">
        <v>1316</v>
      </c>
      <c r="F958" s="170"/>
    </row>
    <row r="959" spans="2:6" ht="15" x14ac:dyDescent="0.25">
      <c r="B959" s="169"/>
      <c r="C959" s="679">
        <v>3047642</v>
      </c>
      <c r="D959" s="677">
        <v>9</v>
      </c>
      <c r="E959" s="678" t="s">
        <v>1317</v>
      </c>
      <c r="F959" s="170"/>
    </row>
    <row r="960" spans="2:6" ht="15" x14ac:dyDescent="0.25">
      <c r="B960" s="169"/>
      <c r="C960" s="679">
        <v>3047643</v>
      </c>
      <c r="D960" s="677">
        <v>7</v>
      </c>
      <c r="E960" s="678" t="s">
        <v>1318</v>
      </c>
      <c r="F960" s="170"/>
    </row>
    <row r="961" spans="2:6" ht="15" x14ac:dyDescent="0.25">
      <c r="B961" s="169"/>
      <c r="C961" s="679">
        <v>3047644</v>
      </c>
      <c r="D961" s="677">
        <v>5</v>
      </c>
      <c r="E961" s="678" t="s">
        <v>1319</v>
      </c>
      <c r="F961" s="170"/>
    </row>
    <row r="962" spans="2:6" ht="15" x14ac:dyDescent="0.25">
      <c r="B962" s="169"/>
      <c r="C962" s="679">
        <v>3047645</v>
      </c>
      <c r="D962" s="677">
        <v>3</v>
      </c>
      <c r="E962" s="678" t="s">
        <v>1320</v>
      </c>
      <c r="F962" s="170"/>
    </row>
    <row r="963" spans="2:6" ht="15" x14ac:dyDescent="0.25">
      <c r="B963" s="169"/>
      <c r="C963" s="679">
        <v>3047646</v>
      </c>
      <c r="D963" s="677">
        <v>1</v>
      </c>
      <c r="E963" s="678" t="s">
        <v>1321</v>
      </c>
      <c r="F963" s="170"/>
    </row>
    <row r="964" spans="2:6" ht="15" x14ac:dyDescent="0.25">
      <c r="B964" s="169"/>
      <c r="C964" s="679">
        <v>3047647</v>
      </c>
      <c r="D964" s="677">
        <v>0</v>
      </c>
      <c r="E964" s="678" t="s">
        <v>1322</v>
      </c>
      <c r="F964" s="170"/>
    </row>
    <row r="965" spans="2:6" ht="15" x14ac:dyDescent="0.25">
      <c r="B965" s="169"/>
      <c r="C965" s="679">
        <v>3047648</v>
      </c>
      <c r="D965" s="677">
        <v>8</v>
      </c>
      <c r="E965" s="678" t="s">
        <v>1323</v>
      </c>
      <c r="F965" s="170"/>
    </row>
    <row r="966" spans="2:6" ht="15" x14ac:dyDescent="0.25">
      <c r="B966" s="169"/>
      <c r="C966" s="679">
        <v>3047649</v>
      </c>
      <c r="D966" s="677">
        <v>6</v>
      </c>
      <c r="E966" s="678" t="s">
        <v>1324</v>
      </c>
      <c r="F966" s="170"/>
    </row>
    <row r="967" spans="2:6" ht="15" x14ac:dyDescent="0.25">
      <c r="B967" s="169"/>
      <c r="C967" s="679">
        <v>3047650</v>
      </c>
      <c r="D967" s="677">
        <v>0</v>
      </c>
      <c r="E967" s="678" t="s">
        <v>1325</v>
      </c>
      <c r="F967" s="170"/>
    </row>
    <row r="968" spans="2:6" ht="15" x14ac:dyDescent="0.25">
      <c r="B968" s="169"/>
      <c r="C968" s="679">
        <v>3047651</v>
      </c>
      <c r="D968" s="677">
        <v>8</v>
      </c>
      <c r="E968" s="678" t="s">
        <v>1326</v>
      </c>
      <c r="F968" s="170"/>
    </row>
    <row r="969" spans="2:6" ht="15" x14ac:dyDescent="0.25">
      <c r="B969" s="169"/>
      <c r="C969" s="679">
        <v>3047652</v>
      </c>
      <c r="D969" s="677">
        <v>6</v>
      </c>
      <c r="E969" s="678" t="s">
        <v>1327</v>
      </c>
      <c r="F969" s="170"/>
    </row>
    <row r="970" spans="2:6" ht="15" x14ac:dyDescent="0.25">
      <c r="B970" s="169"/>
      <c r="C970" s="679">
        <v>3047653</v>
      </c>
      <c r="D970" s="677">
        <v>4</v>
      </c>
      <c r="E970" s="678" t="s">
        <v>1328</v>
      </c>
      <c r="F970" s="170"/>
    </row>
    <row r="971" spans="2:6" ht="15" x14ac:dyDescent="0.25">
      <c r="B971" s="169"/>
      <c r="C971" s="679">
        <v>3047654</v>
      </c>
      <c r="D971" s="677">
        <v>2</v>
      </c>
      <c r="E971" s="678" t="s">
        <v>1329</v>
      </c>
      <c r="F971" s="170"/>
    </row>
    <row r="972" spans="2:6" ht="15" x14ac:dyDescent="0.25">
      <c r="B972" s="169"/>
      <c r="C972" s="679">
        <v>3047655</v>
      </c>
      <c r="D972" s="677">
        <v>1</v>
      </c>
      <c r="E972" s="678" t="s">
        <v>1330</v>
      </c>
      <c r="F972" s="170"/>
    </row>
    <row r="973" spans="2:6" ht="15" x14ac:dyDescent="0.25">
      <c r="B973" s="169"/>
      <c r="C973" s="679">
        <v>3047656</v>
      </c>
      <c r="D973" s="677">
        <v>9</v>
      </c>
      <c r="E973" s="678" t="s">
        <v>1331</v>
      </c>
      <c r="F973" s="170"/>
    </row>
    <row r="974" spans="2:6" ht="15" x14ac:dyDescent="0.25">
      <c r="B974" s="169"/>
      <c r="C974" s="679">
        <v>3047657</v>
      </c>
      <c r="D974" s="677">
        <v>7</v>
      </c>
      <c r="E974" s="678" t="s">
        <v>1332</v>
      </c>
      <c r="F974" s="170"/>
    </row>
    <row r="975" spans="2:6" ht="15" x14ac:dyDescent="0.25">
      <c r="B975" s="169"/>
      <c r="C975" s="679">
        <v>3047658</v>
      </c>
      <c r="D975" s="677">
        <v>5</v>
      </c>
      <c r="E975" s="678" t="s">
        <v>1333</v>
      </c>
      <c r="F975" s="170"/>
    </row>
    <row r="976" spans="2:6" ht="15" x14ac:dyDescent="0.25">
      <c r="B976" s="169"/>
      <c r="C976" s="679">
        <v>3047659</v>
      </c>
      <c r="D976" s="677">
        <v>3</v>
      </c>
      <c r="E976" s="678" t="s">
        <v>1334</v>
      </c>
      <c r="F976" s="170"/>
    </row>
    <row r="977" spans="2:6" ht="15" x14ac:dyDescent="0.25">
      <c r="B977" s="169"/>
      <c r="C977" s="679">
        <v>3047660</v>
      </c>
      <c r="D977" s="677">
        <v>7</v>
      </c>
      <c r="E977" s="678" t="s">
        <v>1335</v>
      </c>
      <c r="F977" s="170"/>
    </row>
    <row r="978" spans="2:6" ht="15" x14ac:dyDescent="0.25">
      <c r="B978" s="169"/>
      <c r="C978" s="679">
        <v>3047661</v>
      </c>
      <c r="D978" s="677">
        <v>5</v>
      </c>
      <c r="E978" s="678" t="s">
        <v>1336</v>
      </c>
      <c r="F978" s="170"/>
    </row>
    <row r="979" spans="2:6" ht="15" x14ac:dyDescent="0.25">
      <c r="B979" s="169"/>
      <c r="C979" s="679">
        <v>3058046</v>
      </c>
      <c r="D979" s="677">
        <v>3</v>
      </c>
      <c r="E979" s="678" t="s">
        <v>1337</v>
      </c>
      <c r="F979" s="170"/>
    </row>
    <row r="980" spans="2:6" ht="15" x14ac:dyDescent="0.25">
      <c r="B980" s="169"/>
      <c r="C980" s="679">
        <v>3058047</v>
      </c>
      <c r="D980" s="677">
        <v>1</v>
      </c>
      <c r="E980" s="678" t="s">
        <v>1338</v>
      </c>
      <c r="F980" s="170"/>
    </row>
    <row r="981" spans="2:6" ht="15" x14ac:dyDescent="0.25">
      <c r="B981" s="169"/>
      <c r="C981" s="679">
        <v>3047662</v>
      </c>
      <c r="D981" s="677">
        <v>3</v>
      </c>
      <c r="E981" s="678" t="s">
        <v>1339</v>
      </c>
      <c r="F981" s="170"/>
    </row>
    <row r="982" spans="2:6" ht="15" x14ac:dyDescent="0.25">
      <c r="B982" s="169"/>
      <c r="C982" s="679">
        <v>3047663</v>
      </c>
      <c r="D982" s="677">
        <v>1</v>
      </c>
      <c r="E982" s="678" t="s">
        <v>1340</v>
      </c>
      <c r="F982" s="170"/>
    </row>
    <row r="983" spans="2:6" ht="15" x14ac:dyDescent="0.25">
      <c r="B983" s="169"/>
      <c r="C983" s="679">
        <v>3047664</v>
      </c>
      <c r="D983" s="677">
        <v>0</v>
      </c>
      <c r="E983" s="678" t="s">
        <v>1341</v>
      </c>
      <c r="F983" s="170"/>
    </row>
    <row r="984" spans="2:6" ht="15" x14ac:dyDescent="0.25">
      <c r="B984" s="169"/>
      <c r="C984" s="679">
        <v>3047665</v>
      </c>
      <c r="D984" s="677">
        <v>8</v>
      </c>
      <c r="E984" s="678" t="s">
        <v>1342</v>
      </c>
      <c r="F984" s="170"/>
    </row>
    <row r="985" spans="2:6" ht="15" x14ac:dyDescent="0.25">
      <c r="B985" s="169"/>
      <c r="C985" s="679">
        <v>3047666</v>
      </c>
      <c r="D985" s="677">
        <v>6</v>
      </c>
      <c r="E985" s="678" t="s">
        <v>1343</v>
      </c>
      <c r="F985" s="170"/>
    </row>
    <row r="986" spans="2:6" ht="15" x14ac:dyDescent="0.25">
      <c r="B986" s="169"/>
      <c r="C986" s="679">
        <v>3047667</v>
      </c>
      <c r="D986" s="677">
        <v>4</v>
      </c>
      <c r="E986" s="678" t="s">
        <v>1344</v>
      </c>
      <c r="F986" s="170"/>
    </row>
    <row r="987" spans="2:6" ht="15" x14ac:dyDescent="0.25">
      <c r="B987" s="169"/>
      <c r="C987" s="679">
        <v>3054616</v>
      </c>
      <c r="D987" s="677">
        <v>8</v>
      </c>
      <c r="E987" s="678" t="s">
        <v>1345</v>
      </c>
      <c r="F987" s="170"/>
    </row>
    <row r="988" spans="2:6" ht="15" x14ac:dyDescent="0.25">
      <c r="B988" s="169"/>
      <c r="C988" s="679">
        <v>3054494</v>
      </c>
      <c r="D988" s="677">
        <v>7</v>
      </c>
      <c r="E988" s="678" t="s">
        <v>1346</v>
      </c>
      <c r="F988" s="170"/>
    </row>
    <row r="989" spans="2:6" ht="15" x14ac:dyDescent="0.25">
      <c r="B989" s="169"/>
      <c r="C989" s="679">
        <v>3054660</v>
      </c>
      <c r="D989" s="677">
        <v>5</v>
      </c>
      <c r="E989" s="678" t="s">
        <v>1347</v>
      </c>
      <c r="F989" s="170"/>
    </row>
    <row r="990" spans="2:6" ht="15" x14ac:dyDescent="0.25">
      <c r="B990" s="169"/>
      <c r="C990" s="679">
        <v>3054512</v>
      </c>
      <c r="D990" s="677">
        <v>9</v>
      </c>
      <c r="E990" s="678" t="s">
        <v>1348</v>
      </c>
      <c r="F990" s="170"/>
    </row>
    <row r="991" spans="2:6" ht="15" x14ac:dyDescent="0.25">
      <c r="B991" s="169"/>
      <c r="C991" s="679">
        <v>3054681</v>
      </c>
      <c r="D991" s="677">
        <v>8</v>
      </c>
      <c r="E991" s="678" t="s">
        <v>1349</v>
      </c>
      <c r="F991" s="170"/>
    </row>
    <row r="992" spans="2:6" ht="15" x14ac:dyDescent="0.25">
      <c r="B992" s="169"/>
      <c r="C992" s="679">
        <v>3054643</v>
      </c>
      <c r="D992" s="677">
        <v>5</v>
      </c>
      <c r="E992" s="678" t="s">
        <v>1350</v>
      </c>
      <c r="F992" s="170"/>
    </row>
    <row r="993" spans="2:6" ht="15" x14ac:dyDescent="0.25">
      <c r="B993" s="169"/>
      <c r="C993" s="679">
        <v>3047668</v>
      </c>
      <c r="D993" s="677">
        <v>2</v>
      </c>
      <c r="E993" s="678" t="s">
        <v>1351</v>
      </c>
      <c r="F993" s="170"/>
    </row>
    <row r="994" spans="2:6" ht="15" x14ac:dyDescent="0.25">
      <c r="B994" s="169"/>
      <c r="C994" s="679">
        <v>3047669</v>
      </c>
      <c r="D994" s="677">
        <v>1</v>
      </c>
      <c r="E994" s="678" t="s">
        <v>1352</v>
      </c>
      <c r="F994" s="170"/>
    </row>
    <row r="995" spans="2:6" ht="15" x14ac:dyDescent="0.25">
      <c r="B995" s="169"/>
      <c r="C995" s="679">
        <v>3047670</v>
      </c>
      <c r="D995" s="677">
        <v>4</v>
      </c>
      <c r="E995" s="678" t="s">
        <v>1353</v>
      </c>
      <c r="F995" s="170"/>
    </row>
    <row r="996" spans="2:6" ht="15" x14ac:dyDescent="0.25">
      <c r="B996" s="169"/>
      <c r="C996" s="679">
        <v>3047671</v>
      </c>
      <c r="D996" s="677">
        <v>2</v>
      </c>
      <c r="E996" s="678" t="s">
        <v>1354</v>
      </c>
      <c r="F996" s="170"/>
    </row>
    <row r="997" spans="2:6" ht="15" x14ac:dyDescent="0.25">
      <c r="B997" s="169"/>
      <c r="C997" s="679">
        <v>3047672</v>
      </c>
      <c r="D997" s="677">
        <v>1</v>
      </c>
      <c r="E997" s="678" t="s">
        <v>1355</v>
      </c>
      <c r="F997" s="170"/>
    </row>
    <row r="998" spans="2:6" ht="15" x14ac:dyDescent="0.25">
      <c r="B998" s="169"/>
      <c r="C998" s="679">
        <v>3047673</v>
      </c>
      <c r="D998" s="677">
        <v>9</v>
      </c>
      <c r="E998" s="678" t="s">
        <v>1356</v>
      </c>
      <c r="F998" s="170"/>
    </row>
    <row r="999" spans="2:6" ht="15" x14ac:dyDescent="0.25">
      <c r="B999" s="169"/>
      <c r="C999" s="679">
        <v>3047674</v>
      </c>
      <c r="D999" s="677">
        <v>7</v>
      </c>
      <c r="E999" s="678" t="s">
        <v>1357</v>
      </c>
      <c r="F999" s="170"/>
    </row>
    <row r="1000" spans="2:6" ht="15" x14ac:dyDescent="0.25">
      <c r="B1000" s="169"/>
      <c r="C1000" s="679">
        <v>3047675</v>
      </c>
      <c r="D1000" s="677">
        <v>5</v>
      </c>
      <c r="E1000" s="678" t="s">
        <v>1358</v>
      </c>
      <c r="F1000" s="170"/>
    </row>
    <row r="1001" spans="2:6" ht="15" x14ac:dyDescent="0.25">
      <c r="B1001" s="169"/>
      <c r="C1001" s="679">
        <v>3047676</v>
      </c>
      <c r="D1001" s="677">
        <v>3</v>
      </c>
      <c r="E1001" s="678" t="s">
        <v>1359</v>
      </c>
      <c r="F1001" s="170"/>
    </row>
    <row r="1002" spans="2:6" ht="15" x14ac:dyDescent="0.25">
      <c r="B1002" s="169"/>
      <c r="C1002" s="679">
        <v>3075227</v>
      </c>
      <c r="D1002" s="677">
        <v>2</v>
      </c>
      <c r="E1002" s="678" t="s">
        <v>1360</v>
      </c>
      <c r="F1002" s="170"/>
    </row>
    <row r="1003" spans="2:6" ht="15" x14ac:dyDescent="0.25">
      <c r="B1003" s="169"/>
      <c r="C1003" s="679">
        <v>3047677</v>
      </c>
      <c r="D1003" s="677">
        <v>1</v>
      </c>
      <c r="E1003" s="678" t="s">
        <v>1361</v>
      </c>
      <c r="F1003" s="170"/>
    </row>
    <row r="1004" spans="2:6" ht="15" x14ac:dyDescent="0.25">
      <c r="B1004" s="169"/>
      <c r="C1004" s="679">
        <v>3047678</v>
      </c>
      <c r="D1004" s="677">
        <v>0</v>
      </c>
      <c r="E1004" s="678" t="s">
        <v>1362</v>
      </c>
      <c r="F1004" s="170"/>
    </row>
    <row r="1005" spans="2:6" ht="15" x14ac:dyDescent="0.25">
      <c r="B1005" s="169"/>
      <c r="C1005" s="679">
        <v>3047679</v>
      </c>
      <c r="D1005" s="677">
        <v>8</v>
      </c>
      <c r="E1005" s="678" t="s">
        <v>1363</v>
      </c>
      <c r="F1005" s="170"/>
    </row>
    <row r="1006" spans="2:6" ht="15" x14ac:dyDescent="0.25">
      <c r="B1006" s="169"/>
      <c r="C1006" s="679">
        <v>3051514</v>
      </c>
      <c r="D1006" s="677">
        <v>9</v>
      </c>
      <c r="E1006" s="678" t="s">
        <v>1364</v>
      </c>
      <c r="F1006" s="170"/>
    </row>
    <row r="1007" spans="2:6" ht="15" x14ac:dyDescent="0.25">
      <c r="B1007" s="169"/>
      <c r="C1007" s="679">
        <v>3047680</v>
      </c>
      <c r="D1007" s="677">
        <v>1</v>
      </c>
      <c r="E1007" s="678" t="s">
        <v>1365</v>
      </c>
      <c r="F1007" s="170"/>
    </row>
    <row r="1008" spans="2:6" ht="15" x14ac:dyDescent="0.25">
      <c r="B1008" s="169"/>
      <c r="C1008" s="679">
        <v>3047681</v>
      </c>
      <c r="D1008" s="677">
        <v>0</v>
      </c>
      <c r="E1008" s="678" t="s">
        <v>1366</v>
      </c>
      <c r="F1008" s="170"/>
    </row>
    <row r="1009" spans="2:6" ht="15" x14ac:dyDescent="0.25">
      <c r="B1009" s="169"/>
      <c r="C1009" s="679">
        <v>3047682</v>
      </c>
      <c r="D1009" s="677">
        <v>8</v>
      </c>
      <c r="E1009" s="678" t="s">
        <v>1367</v>
      </c>
      <c r="F1009" s="170"/>
    </row>
    <row r="1010" spans="2:6" ht="15" x14ac:dyDescent="0.25">
      <c r="B1010" s="169"/>
      <c r="C1010" s="679">
        <v>3047683</v>
      </c>
      <c r="D1010" s="677">
        <v>6</v>
      </c>
      <c r="E1010" s="678" t="s">
        <v>1368</v>
      </c>
      <c r="F1010" s="170"/>
    </row>
    <row r="1011" spans="2:6" ht="15" x14ac:dyDescent="0.25">
      <c r="B1011" s="169"/>
      <c r="C1011" s="679">
        <v>3047684</v>
      </c>
      <c r="D1011" s="677">
        <v>4</v>
      </c>
      <c r="E1011" s="678" t="s">
        <v>1369</v>
      </c>
      <c r="F1011" s="170"/>
    </row>
    <row r="1012" spans="2:6" ht="15" x14ac:dyDescent="0.25">
      <c r="B1012" s="169"/>
      <c r="C1012" s="679">
        <v>3047685</v>
      </c>
      <c r="D1012" s="677">
        <v>2</v>
      </c>
      <c r="E1012" s="678" t="s">
        <v>1370</v>
      </c>
      <c r="F1012" s="170"/>
    </row>
    <row r="1013" spans="2:6" ht="15" x14ac:dyDescent="0.25">
      <c r="B1013" s="169"/>
      <c r="C1013" s="679">
        <v>3047686</v>
      </c>
      <c r="D1013" s="677">
        <v>1</v>
      </c>
      <c r="E1013" s="678" t="s">
        <v>1371</v>
      </c>
      <c r="F1013" s="170"/>
    </row>
    <row r="1014" spans="2:6" ht="15" x14ac:dyDescent="0.25">
      <c r="B1014" s="169"/>
      <c r="C1014" s="679">
        <v>3047687</v>
      </c>
      <c r="D1014" s="677">
        <v>9</v>
      </c>
      <c r="E1014" s="678" t="s">
        <v>1372</v>
      </c>
      <c r="F1014" s="170"/>
    </row>
    <row r="1015" spans="2:6" ht="15" x14ac:dyDescent="0.25">
      <c r="B1015" s="169"/>
      <c r="C1015" s="679">
        <v>3047688</v>
      </c>
      <c r="D1015" s="677">
        <v>7</v>
      </c>
      <c r="E1015" s="678" t="s">
        <v>1373</v>
      </c>
      <c r="F1015" s="170"/>
    </row>
    <row r="1016" spans="2:6" ht="15" x14ac:dyDescent="0.25">
      <c r="B1016" s="169"/>
      <c r="C1016" s="679">
        <v>3047689</v>
      </c>
      <c r="D1016" s="677">
        <v>5</v>
      </c>
      <c r="E1016" s="678" t="s">
        <v>1374</v>
      </c>
      <c r="F1016" s="170"/>
    </row>
    <row r="1017" spans="2:6" ht="15" x14ac:dyDescent="0.25">
      <c r="B1017" s="169"/>
      <c r="C1017" s="679">
        <v>3047690</v>
      </c>
      <c r="D1017" s="677">
        <v>9</v>
      </c>
      <c r="E1017" s="678" t="s">
        <v>1375</v>
      </c>
      <c r="F1017" s="170"/>
    </row>
    <row r="1018" spans="2:6" ht="15" x14ac:dyDescent="0.25">
      <c r="B1018" s="169"/>
      <c r="C1018" s="679">
        <v>3137439</v>
      </c>
      <c r="D1018" s="677">
        <v>5</v>
      </c>
      <c r="E1018" s="678" t="s">
        <v>1376</v>
      </c>
      <c r="F1018" s="170"/>
    </row>
    <row r="1019" spans="2:6" ht="15" x14ac:dyDescent="0.25">
      <c r="B1019" s="169"/>
      <c r="C1019" s="679">
        <v>3047691</v>
      </c>
      <c r="D1019" s="677">
        <v>7</v>
      </c>
      <c r="E1019" s="678" t="s">
        <v>1377</v>
      </c>
      <c r="F1019" s="170"/>
    </row>
    <row r="1020" spans="2:6" ht="15" x14ac:dyDescent="0.25">
      <c r="B1020" s="169"/>
      <c r="C1020" s="679">
        <v>3047692</v>
      </c>
      <c r="D1020" s="677">
        <v>5</v>
      </c>
      <c r="E1020" s="678" t="s">
        <v>1378</v>
      </c>
      <c r="F1020" s="170"/>
    </row>
    <row r="1021" spans="2:6" ht="15" x14ac:dyDescent="0.25">
      <c r="B1021" s="169"/>
      <c r="C1021" s="679">
        <v>3047693</v>
      </c>
      <c r="D1021" s="677">
        <v>3</v>
      </c>
      <c r="E1021" s="678" t="s">
        <v>1379</v>
      </c>
      <c r="F1021" s="170"/>
    </row>
    <row r="1022" spans="2:6" ht="15" x14ac:dyDescent="0.25">
      <c r="B1022" s="169"/>
      <c r="C1022" s="679">
        <v>3047694</v>
      </c>
      <c r="D1022" s="677">
        <v>1</v>
      </c>
      <c r="E1022" s="678" t="s">
        <v>1380</v>
      </c>
      <c r="F1022" s="170"/>
    </row>
    <row r="1023" spans="2:6" ht="15" x14ac:dyDescent="0.25">
      <c r="B1023" s="169"/>
      <c r="C1023" s="679">
        <v>3047695</v>
      </c>
      <c r="D1023" s="677">
        <v>0</v>
      </c>
      <c r="E1023" s="678" t="s">
        <v>1381</v>
      </c>
      <c r="F1023" s="170"/>
    </row>
    <row r="1024" spans="2:6" ht="15" x14ac:dyDescent="0.25">
      <c r="B1024" s="169"/>
      <c r="C1024" s="679">
        <v>3047696</v>
      </c>
      <c r="D1024" s="677">
        <v>8</v>
      </c>
      <c r="E1024" s="678" t="s">
        <v>1382</v>
      </c>
      <c r="F1024" s="170"/>
    </row>
    <row r="1025" spans="2:6" ht="15" x14ac:dyDescent="0.25">
      <c r="B1025" s="169"/>
      <c r="C1025" s="679">
        <v>3047697</v>
      </c>
      <c r="D1025" s="677">
        <v>6</v>
      </c>
      <c r="E1025" s="678" t="s">
        <v>1383</v>
      </c>
      <c r="F1025" s="170"/>
    </row>
    <row r="1026" spans="2:6" ht="15" x14ac:dyDescent="0.25">
      <c r="B1026" s="169"/>
      <c r="C1026" s="679">
        <v>3047698</v>
      </c>
      <c r="D1026" s="677">
        <v>4</v>
      </c>
      <c r="E1026" s="678" t="s">
        <v>1384</v>
      </c>
      <c r="F1026" s="170"/>
    </row>
    <row r="1027" spans="2:6" ht="15" x14ac:dyDescent="0.25">
      <c r="B1027" s="169"/>
      <c r="C1027" s="679">
        <v>3047699</v>
      </c>
      <c r="D1027" s="677">
        <v>2</v>
      </c>
      <c r="E1027" s="678" t="s">
        <v>1385</v>
      </c>
      <c r="F1027" s="170"/>
    </row>
    <row r="1028" spans="2:6" ht="15" x14ac:dyDescent="0.25">
      <c r="B1028" s="169"/>
      <c r="C1028" s="679">
        <v>3047700</v>
      </c>
      <c r="D1028" s="677">
        <v>0</v>
      </c>
      <c r="E1028" s="678" t="s">
        <v>1386</v>
      </c>
      <c r="F1028" s="170"/>
    </row>
    <row r="1029" spans="2:6" ht="15" x14ac:dyDescent="0.25">
      <c r="B1029" s="169"/>
      <c r="C1029" s="679">
        <v>3047701</v>
      </c>
      <c r="D1029" s="677">
        <v>8</v>
      </c>
      <c r="E1029" s="678" t="s">
        <v>1387</v>
      </c>
      <c r="F1029" s="170"/>
    </row>
    <row r="1030" spans="2:6" ht="15" x14ac:dyDescent="0.25">
      <c r="B1030" s="169"/>
      <c r="C1030" s="679">
        <v>3047702</v>
      </c>
      <c r="D1030" s="677">
        <v>6</v>
      </c>
      <c r="E1030" s="678" t="s">
        <v>1388</v>
      </c>
      <c r="F1030" s="170"/>
    </row>
    <row r="1031" spans="2:6" ht="15" x14ac:dyDescent="0.25">
      <c r="B1031" s="169"/>
      <c r="C1031" s="679">
        <v>3047703</v>
      </c>
      <c r="D1031" s="677">
        <v>4</v>
      </c>
      <c r="E1031" s="678" t="s">
        <v>1389</v>
      </c>
      <c r="F1031" s="170"/>
    </row>
    <row r="1032" spans="2:6" ht="15" x14ac:dyDescent="0.25">
      <c r="B1032" s="169"/>
      <c r="C1032" s="679">
        <v>3047704</v>
      </c>
      <c r="D1032" s="677">
        <v>2</v>
      </c>
      <c r="E1032" s="678" t="s">
        <v>1390</v>
      </c>
      <c r="F1032" s="170"/>
    </row>
    <row r="1033" spans="2:6" ht="15" x14ac:dyDescent="0.25">
      <c r="B1033" s="169"/>
      <c r="C1033" s="679">
        <v>3047705</v>
      </c>
      <c r="D1033" s="677">
        <v>1</v>
      </c>
      <c r="E1033" s="678" t="s">
        <v>1391</v>
      </c>
      <c r="F1033" s="170"/>
    </row>
    <row r="1034" spans="2:6" ht="15" x14ac:dyDescent="0.25">
      <c r="B1034" s="169"/>
      <c r="C1034" s="679">
        <v>3200105</v>
      </c>
      <c r="D1034" s="677">
        <v>3</v>
      </c>
      <c r="E1034" s="678" t="s">
        <v>8265</v>
      </c>
      <c r="F1034" s="170"/>
    </row>
    <row r="1035" spans="2:6" ht="15" x14ac:dyDescent="0.25">
      <c r="B1035" s="169"/>
      <c r="C1035" s="679">
        <v>3141120</v>
      </c>
      <c r="D1035" s="677">
        <v>7</v>
      </c>
      <c r="E1035" s="678" t="s">
        <v>1392</v>
      </c>
      <c r="F1035" s="170"/>
    </row>
    <row r="1036" spans="2:6" ht="15" x14ac:dyDescent="0.25">
      <c r="B1036" s="169"/>
      <c r="C1036" s="679">
        <v>3157508</v>
      </c>
      <c r="D1036" s="677">
        <v>1</v>
      </c>
      <c r="E1036" s="678" t="s">
        <v>1393</v>
      </c>
      <c r="F1036" s="170"/>
    </row>
    <row r="1037" spans="2:6" ht="15" x14ac:dyDescent="0.25">
      <c r="B1037" s="169"/>
      <c r="C1037" s="679">
        <v>3081531</v>
      </c>
      <c r="D1037" s="677">
        <v>2</v>
      </c>
      <c r="E1037" s="678" t="s">
        <v>1394</v>
      </c>
      <c r="F1037" s="170"/>
    </row>
    <row r="1038" spans="2:6" ht="15" x14ac:dyDescent="0.25">
      <c r="B1038" s="169"/>
      <c r="C1038" s="679">
        <v>3047706</v>
      </c>
      <c r="D1038" s="677">
        <v>9</v>
      </c>
      <c r="E1038" s="678" t="s">
        <v>1395</v>
      </c>
      <c r="F1038" s="170"/>
    </row>
    <row r="1039" spans="2:6" ht="15" x14ac:dyDescent="0.25">
      <c r="B1039" s="169"/>
      <c r="C1039" s="679">
        <v>3047707</v>
      </c>
      <c r="D1039" s="677">
        <v>7</v>
      </c>
      <c r="E1039" s="678" t="s">
        <v>1396</v>
      </c>
      <c r="F1039" s="170"/>
    </row>
    <row r="1040" spans="2:6" ht="15" x14ac:dyDescent="0.25">
      <c r="B1040" s="169"/>
      <c r="C1040" s="679">
        <v>3047708</v>
      </c>
      <c r="D1040" s="677">
        <v>5</v>
      </c>
      <c r="E1040" s="678" t="s">
        <v>1397</v>
      </c>
      <c r="F1040" s="170"/>
    </row>
    <row r="1041" spans="2:6" ht="15" x14ac:dyDescent="0.25">
      <c r="B1041" s="169"/>
      <c r="C1041" s="679">
        <v>3047709</v>
      </c>
      <c r="D1041" s="677">
        <v>3</v>
      </c>
      <c r="E1041" s="678" t="s">
        <v>1398</v>
      </c>
      <c r="F1041" s="170"/>
    </row>
    <row r="1042" spans="2:6" ht="15" x14ac:dyDescent="0.25">
      <c r="B1042" s="169"/>
      <c r="C1042" s="679">
        <v>3078268</v>
      </c>
      <c r="D1042" s="677">
        <v>6</v>
      </c>
      <c r="E1042" s="678" t="s">
        <v>1399</v>
      </c>
      <c r="F1042" s="170"/>
    </row>
    <row r="1043" spans="2:6" ht="15" x14ac:dyDescent="0.25">
      <c r="B1043" s="169"/>
      <c r="C1043" s="679">
        <v>3157710</v>
      </c>
      <c r="D1043" s="677">
        <v>5</v>
      </c>
      <c r="E1043" s="678" t="s">
        <v>1400</v>
      </c>
      <c r="F1043" s="170"/>
    </row>
    <row r="1044" spans="2:6" ht="15" x14ac:dyDescent="0.25">
      <c r="B1044" s="169"/>
      <c r="C1044" s="679">
        <v>3200104</v>
      </c>
      <c r="D1044" s="677">
        <v>5</v>
      </c>
      <c r="E1044" s="678" t="s">
        <v>8266</v>
      </c>
      <c r="F1044" s="170"/>
    </row>
    <row r="1045" spans="2:6" ht="15" x14ac:dyDescent="0.25">
      <c r="B1045" s="169"/>
      <c r="C1045" s="679">
        <v>3157708</v>
      </c>
      <c r="D1045" s="677">
        <v>3</v>
      </c>
      <c r="E1045" s="678" t="s">
        <v>1401</v>
      </c>
      <c r="F1045" s="170"/>
    </row>
    <row r="1046" spans="2:6" ht="15" x14ac:dyDescent="0.25">
      <c r="B1046" s="169"/>
      <c r="C1046" s="679">
        <v>3154565</v>
      </c>
      <c r="D1046" s="677">
        <v>3</v>
      </c>
      <c r="E1046" s="678" t="s">
        <v>1402</v>
      </c>
      <c r="F1046" s="170"/>
    </row>
    <row r="1047" spans="2:6" ht="15" x14ac:dyDescent="0.25">
      <c r="B1047" s="169"/>
      <c r="C1047" s="679">
        <v>3047710</v>
      </c>
      <c r="D1047" s="677">
        <v>7</v>
      </c>
      <c r="E1047" s="678" t="s">
        <v>1403</v>
      </c>
      <c r="F1047" s="170"/>
    </row>
    <row r="1048" spans="2:6" ht="15" x14ac:dyDescent="0.25">
      <c r="B1048" s="169"/>
      <c r="C1048" s="679">
        <v>3158421</v>
      </c>
      <c r="D1048" s="677">
        <v>7</v>
      </c>
      <c r="E1048" s="678" t="s">
        <v>1404</v>
      </c>
      <c r="F1048" s="170"/>
    </row>
    <row r="1049" spans="2:6" ht="15" x14ac:dyDescent="0.25">
      <c r="B1049" s="169"/>
      <c r="C1049" s="679">
        <v>3158419</v>
      </c>
      <c r="D1049" s="677">
        <v>5</v>
      </c>
      <c r="E1049" s="678" t="s">
        <v>1405</v>
      </c>
      <c r="F1049" s="170"/>
    </row>
    <row r="1050" spans="2:6" ht="15" x14ac:dyDescent="0.25">
      <c r="B1050" s="169"/>
      <c r="C1050" s="679">
        <v>3157353</v>
      </c>
      <c r="D1050" s="677">
        <v>3</v>
      </c>
      <c r="E1050" s="678" t="s">
        <v>1406</v>
      </c>
      <c r="F1050" s="170"/>
    </row>
    <row r="1051" spans="2:6" ht="15" x14ac:dyDescent="0.25">
      <c r="B1051" s="169"/>
      <c r="C1051" s="679">
        <v>3156933</v>
      </c>
      <c r="D1051" s="677">
        <v>1</v>
      </c>
      <c r="E1051" s="678" t="s">
        <v>1407</v>
      </c>
      <c r="F1051" s="170"/>
    </row>
    <row r="1052" spans="2:6" ht="15" x14ac:dyDescent="0.25">
      <c r="B1052" s="169"/>
      <c r="C1052" s="679">
        <v>3140998</v>
      </c>
      <c r="D1052" s="677">
        <v>9</v>
      </c>
      <c r="E1052" s="678" t="s">
        <v>1408</v>
      </c>
      <c r="F1052" s="170"/>
    </row>
    <row r="1053" spans="2:6" ht="15" x14ac:dyDescent="0.25">
      <c r="B1053" s="169"/>
      <c r="C1053" s="679">
        <v>3087522</v>
      </c>
      <c r="D1053" s="677">
        <v>6</v>
      </c>
      <c r="E1053" s="678" t="s">
        <v>1409</v>
      </c>
      <c r="F1053" s="170"/>
    </row>
    <row r="1054" spans="2:6" ht="15" x14ac:dyDescent="0.25">
      <c r="B1054" s="169"/>
      <c r="C1054" s="679">
        <v>3154568</v>
      </c>
      <c r="D1054" s="677">
        <v>8</v>
      </c>
      <c r="E1054" s="678" t="s">
        <v>1410</v>
      </c>
      <c r="F1054" s="170"/>
    </row>
    <row r="1055" spans="2:6" ht="15" x14ac:dyDescent="0.25">
      <c r="B1055" s="169"/>
      <c r="C1055" s="679">
        <v>3086313</v>
      </c>
      <c r="D1055" s="677">
        <v>9</v>
      </c>
      <c r="E1055" s="678" t="s">
        <v>1411</v>
      </c>
      <c r="F1055" s="170"/>
    </row>
    <row r="1056" spans="2:6" ht="15" x14ac:dyDescent="0.25">
      <c r="B1056" s="169"/>
      <c r="C1056" s="679">
        <v>3156355</v>
      </c>
      <c r="D1056" s="677">
        <v>4</v>
      </c>
      <c r="E1056" s="678" t="s">
        <v>1412</v>
      </c>
      <c r="F1056" s="170"/>
    </row>
    <row r="1057" spans="2:6" ht="15" x14ac:dyDescent="0.25">
      <c r="B1057" s="169"/>
      <c r="C1057" s="679">
        <v>3081516</v>
      </c>
      <c r="D1057" s="677">
        <v>9</v>
      </c>
      <c r="E1057" s="678" t="s">
        <v>1413</v>
      </c>
      <c r="F1057" s="170"/>
    </row>
    <row r="1058" spans="2:6" ht="15" x14ac:dyDescent="0.25">
      <c r="B1058" s="169"/>
      <c r="C1058" s="679">
        <v>3047711</v>
      </c>
      <c r="D1058" s="677">
        <v>5</v>
      </c>
      <c r="E1058" s="678" t="s">
        <v>1414</v>
      </c>
      <c r="F1058" s="170"/>
    </row>
    <row r="1059" spans="2:6" ht="15" x14ac:dyDescent="0.25">
      <c r="B1059" s="169"/>
      <c r="C1059" s="679">
        <v>3047712</v>
      </c>
      <c r="D1059" s="677">
        <v>3</v>
      </c>
      <c r="E1059" s="678" t="s">
        <v>1415</v>
      </c>
      <c r="F1059" s="170"/>
    </row>
    <row r="1060" spans="2:6" ht="15" x14ac:dyDescent="0.25">
      <c r="B1060" s="169"/>
      <c r="C1060" s="679">
        <v>3047713</v>
      </c>
      <c r="D1060" s="677">
        <v>1</v>
      </c>
      <c r="E1060" s="678" t="s">
        <v>1416</v>
      </c>
      <c r="F1060" s="170"/>
    </row>
    <row r="1061" spans="2:6" ht="15" x14ac:dyDescent="0.25">
      <c r="B1061" s="169"/>
      <c r="C1061" s="679">
        <v>3047714</v>
      </c>
      <c r="D1061" s="677">
        <v>0</v>
      </c>
      <c r="E1061" s="678" t="s">
        <v>1417</v>
      </c>
      <c r="F1061" s="170"/>
    </row>
    <row r="1062" spans="2:6" ht="15" x14ac:dyDescent="0.25">
      <c r="B1062" s="169"/>
      <c r="C1062" s="679">
        <v>3047715</v>
      </c>
      <c r="D1062" s="677">
        <v>8</v>
      </c>
      <c r="E1062" s="678" t="s">
        <v>1418</v>
      </c>
      <c r="F1062" s="170"/>
    </row>
    <row r="1063" spans="2:6" ht="15" x14ac:dyDescent="0.25">
      <c r="B1063" s="169"/>
      <c r="C1063" s="679">
        <v>3047716</v>
      </c>
      <c r="D1063" s="677">
        <v>6</v>
      </c>
      <c r="E1063" s="678" t="s">
        <v>1419</v>
      </c>
      <c r="F1063" s="170"/>
    </row>
    <row r="1064" spans="2:6" ht="15" x14ac:dyDescent="0.25">
      <c r="B1064" s="169"/>
      <c r="C1064" s="679">
        <v>3047717</v>
      </c>
      <c r="D1064" s="677">
        <v>4</v>
      </c>
      <c r="E1064" s="678" t="s">
        <v>1420</v>
      </c>
      <c r="F1064" s="170"/>
    </row>
    <row r="1065" spans="2:6" ht="15" x14ac:dyDescent="0.25">
      <c r="B1065" s="169"/>
      <c r="C1065" s="679">
        <v>3051364</v>
      </c>
      <c r="D1065" s="677">
        <v>2</v>
      </c>
      <c r="E1065" s="678" t="s">
        <v>1421</v>
      </c>
      <c r="F1065" s="170"/>
    </row>
    <row r="1066" spans="2:6" ht="15" x14ac:dyDescent="0.25">
      <c r="B1066" s="169"/>
      <c r="C1066" s="679">
        <v>3054486</v>
      </c>
      <c r="D1066" s="677">
        <v>6</v>
      </c>
      <c r="E1066" s="678" t="s">
        <v>1422</v>
      </c>
      <c r="F1066" s="170"/>
    </row>
    <row r="1067" spans="2:6" ht="15" x14ac:dyDescent="0.25">
      <c r="B1067" s="169"/>
      <c r="C1067" s="679">
        <v>3054487</v>
      </c>
      <c r="D1067" s="677">
        <v>4</v>
      </c>
      <c r="E1067" s="678" t="s">
        <v>1423</v>
      </c>
      <c r="F1067" s="170"/>
    </row>
    <row r="1068" spans="2:6" ht="15" x14ac:dyDescent="0.25">
      <c r="B1068" s="169"/>
      <c r="C1068" s="679">
        <v>3051350</v>
      </c>
      <c r="D1068" s="677">
        <v>2</v>
      </c>
      <c r="E1068" s="678" t="s">
        <v>1424</v>
      </c>
      <c r="F1068" s="170"/>
    </row>
    <row r="1069" spans="2:6" ht="15" x14ac:dyDescent="0.25">
      <c r="B1069" s="169"/>
      <c r="C1069" s="679">
        <v>2962433</v>
      </c>
      <c r="D1069" s="677">
        <v>9</v>
      </c>
      <c r="E1069" s="678" t="s">
        <v>1425</v>
      </c>
      <c r="F1069" s="170"/>
    </row>
    <row r="1070" spans="2:6" ht="15" x14ac:dyDescent="0.25">
      <c r="B1070" s="169"/>
      <c r="C1070" s="679">
        <v>3051352</v>
      </c>
      <c r="D1070" s="677">
        <v>9</v>
      </c>
      <c r="E1070" s="678" t="s">
        <v>1426</v>
      </c>
      <c r="F1070" s="170"/>
    </row>
    <row r="1071" spans="2:6" ht="15" x14ac:dyDescent="0.25">
      <c r="B1071" s="169"/>
      <c r="C1071" s="679">
        <v>3047718</v>
      </c>
      <c r="D1071" s="677">
        <v>2</v>
      </c>
      <c r="E1071" s="678" t="s">
        <v>1427</v>
      </c>
      <c r="F1071" s="170"/>
    </row>
    <row r="1072" spans="2:6" ht="15" x14ac:dyDescent="0.25">
      <c r="B1072" s="169"/>
      <c r="C1072" s="679">
        <v>2961125</v>
      </c>
      <c r="D1072" s="677">
        <v>3</v>
      </c>
      <c r="E1072" s="678" t="s">
        <v>1428</v>
      </c>
      <c r="F1072" s="170"/>
    </row>
    <row r="1073" spans="2:6" ht="15" x14ac:dyDescent="0.25">
      <c r="B1073" s="169"/>
      <c r="C1073" s="679">
        <v>2962434</v>
      </c>
      <c r="D1073" s="677">
        <v>7</v>
      </c>
      <c r="E1073" s="678" t="s">
        <v>1429</v>
      </c>
      <c r="F1073" s="170"/>
    </row>
    <row r="1074" spans="2:6" ht="15" x14ac:dyDescent="0.25">
      <c r="B1074" s="169"/>
      <c r="C1074" s="679">
        <v>2962435</v>
      </c>
      <c r="D1074" s="677">
        <v>5</v>
      </c>
      <c r="E1074" s="678" t="s">
        <v>1430</v>
      </c>
      <c r="F1074" s="170"/>
    </row>
    <row r="1075" spans="2:6" ht="15" x14ac:dyDescent="0.25">
      <c r="B1075" s="169"/>
      <c r="C1075" s="679">
        <v>2961126</v>
      </c>
      <c r="D1075" s="677">
        <v>1</v>
      </c>
      <c r="E1075" s="678" t="s">
        <v>1431</v>
      </c>
      <c r="F1075" s="170"/>
    </row>
    <row r="1076" spans="2:6" ht="15" x14ac:dyDescent="0.25">
      <c r="B1076" s="169"/>
      <c r="C1076" s="679">
        <v>2961127</v>
      </c>
      <c r="D1076" s="677">
        <v>0</v>
      </c>
      <c r="E1076" s="678" t="s">
        <v>1432</v>
      </c>
      <c r="F1076" s="170"/>
    </row>
    <row r="1077" spans="2:6" ht="15" x14ac:dyDescent="0.25">
      <c r="B1077" s="169"/>
      <c r="C1077" s="679">
        <v>2961128</v>
      </c>
      <c r="D1077" s="677">
        <v>8</v>
      </c>
      <c r="E1077" s="678" t="s">
        <v>1433</v>
      </c>
      <c r="F1077" s="170"/>
    </row>
    <row r="1078" spans="2:6" ht="15" x14ac:dyDescent="0.25">
      <c r="B1078" s="169"/>
      <c r="C1078" s="679">
        <v>3051351</v>
      </c>
      <c r="D1078" s="677">
        <v>1</v>
      </c>
      <c r="E1078" s="678" t="s">
        <v>1434</v>
      </c>
      <c r="F1078" s="170"/>
    </row>
    <row r="1079" spans="2:6" ht="15" x14ac:dyDescent="0.25">
      <c r="B1079" s="169"/>
      <c r="C1079" s="679">
        <v>3054725</v>
      </c>
      <c r="D1079" s="677">
        <v>3</v>
      </c>
      <c r="E1079" s="678" t="s">
        <v>1435</v>
      </c>
      <c r="F1079" s="170"/>
    </row>
    <row r="1080" spans="2:6" ht="15" x14ac:dyDescent="0.25">
      <c r="B1080" s="169"/>
      <c r="C1080" s="679">
        <v>2961129</v>
      </c>
      <c r="D1080" s="677">
        <v>6</v>
      </c>
      <c r="E1080" s="678" t="s">
        <v>1436</v>
      </c>
      <c r="F1080" s="170"/>
    </row>
    <row r="1081" spans="2:6" ht="15" x14ac:dyDescent="0.25">
      <c r="B1081" s="169"/>
      <c r="C1081" s="679">
        <v>3051355</v>
      </c>
      <c r="D1081" s="677">
        <v>3</v>
      </c>
      <c r="E1081" s="678" t="s">
        <v>1437</v>
      </c>
      <c r="F1081" s="170"/>
    </row>
    <row r="1082" spans="2:6" ht="15" x14ac:dyDescent="0.25">
      <c r="B1082" s="169"/>
      <c r="C1082" s="679">
        <v>2962436</v>
      </c>
      <c r="D1082" s="677">
        <v>3</v>
      </c>
      <c r="E1082" s="678" t="s">
        <v>1438</v>
      </c>
      <c r="F1082" s="170"/>
    </row>
    <row r="1083" spans="2:6" ht="15" x14ac:dyDescent="0.25">
      <c r="B1083" s="169"/>
      <c r="C1083" s="679">
        <v>3051353</v>
      </c>
      <c r="D1083" s="677">
        <v>7</v>
      </c>
      <c r="E1083" s="678" t="s">
        <v>1439</v>
      </c>
      <c r="F1083" s="170"/>
    </row>
    <row r="1084" spans="2:6" ht="15" x14ac:dyDescent="0.25">
      <c r="B1084" s="169"/>
      <c r="C1084" s="679">
        <v>2961130</v>
      </c>
      <c r="D1084" s="677">
        <v>0</v>
      </c>
      <c r="E1084" s="678" t="s">
        <v>1440</v>
      </c>
      <c r="F1084" s="170"/>
    </row>
    <row r="1085" spans="2:6" ht="15" x14ac:dyDescent="0.25">
      <c r="B1085" s="169"/>
      <c r="C1085" s="679">
        <v>3047719</v>
      </c>
      <c r="D1085" s="677">
        <v>1</v>
      </c>
      <c r="E1085" s="678" t="s">
        <v>1441</v>
      </c>
      <c r="F1085" s="170"/>
    </row>
    <row r="1086" spans="2:6" ht="15" x14ac:dyDescent="0.25">
      <c r="B1086" s="169"/>
      <c r="C1086" s="679">
        <v>3047720</v>
      </c>
      <c r="D1086" s="677">
        <v>4</v>
      </c>
      <c r="E1086" s="678" t="s">
        <v>1442</v>
      </c>
      <c r="F1086" s="170"/>
    </row>
    <row r="1087" spans="2:6" ht="15" x14ac:dyDescent="0.25">
      <c r="B1087" s="169"/>
      <c r="C1087" s="679">
        <v>3047721</v>
      </c>
      <c r="D1087" s="677">
        <v>2</v>
      </c>
      <c r="E1087" s="678" t="s">
        <v>1443</v>
      </c>
      <c r="F1087" s="170"/>
    </row>
    <row r="1088" spans="2:6" ht="15" x14ac:dyDescent="0.25">
      <c r="B1088" s="169"/>
      <c r="C1088" s="679">
        <v>3047722</v>
      </c>
      <c r="D1088" s="677">
        <v>1</v>
      </c>
      <c r="E1088" s="678" t="s">
        <v>1444</v>
      </c>
      <c r="F1088" s="170"/>
    </row>
    <row r="1089" spans="2:6" ht="15" x14ac:dyDescent="0.25">
      <c r="B1089" s="169"/>
      <c r="C1089" s="679">
        <v>3047723</v>
      </c>
      <c r="D1089" s="677">
        <v>9</v>
      </c>
      <c r="E1089" s="678" t="s">
        <v>1445</v>
      </c>
      <c r="F1089" s="170"/>
    </row>
    <row r="1090" spans="2:6" ht="15" x14ac:dyDescent="0.25">
      <c r="B1090" s="169"/>
      <c r="C1090" s="679">
        <v>3047724</v>
      </c>
      <c r="D1090" s="677">
        <v>7</v>
      </c>
      <c r="E1090" s="678" t="s">
        <v>1446</v>
      </c>
      <c r="F1090" s="170"/>
    </row>
    <row r="1091" spans="2:6" ht="15" x14ac:dyDescent="0.25">
      <c r="B1091" s="169"/>
      <c r="C1091" s="679">
        <v>3047725</v>
      </c>
      <c r="D1091" s="677">
        <v>5</v>
      </c>
      <c r="E1091" s="678" t="s">
        <v>1447</v>
      </c>
      <c r="F1091" s="170"/>
    </row>
    <row r="1092" spans="2:6" ht="15" x14ac:dyDescent="0.25">
      <c r="B1092" s="169"/>
      <c r="C1092" s="679">
        <v>3047726</v>
      </c>
      <c r="D1092" s="677">
        <v>3</v>
      </c>
      <c r="E1092" s="678" t="s">
        <v>1448</v>
      </c>
      <c r="F1092" s="170"/>
    </row>
    <row r="1093" spans="2:6" ht="15" x14ac:dyDescent="0.25">
      <c r="B1093" s="169"/>
      <c r="C1093" s="679">
        <v>3047727</v>
      </c>
      <c r="D1093" s="677">
        <v>1</v>
      </c>
      <c r="E1093" s="678" t="s">
        <v>1449</v>
      </c>
      <c r="F1093" s="170"/>
    </row>
    <row r="1094" spans="2:6" ht="15" x14ac:dyDescent="0.25">
      <c r="B1094" s="169"/>
      <c r="C1094" s="679">
        <v>3074330</v>
      </c>
      <c r="D1094" s="677">
        <v>3</v>
      </c>
      <c r="E1094" s="678" t="s">
        <v>1450</v>
      </c>
      <c r="F1094" s="170"/>
    </row>
    <row r="1095" spans="2:6" ht="15" x14ac:dyDescent="0.25">
      <c r="B1095" s="169"/>
      <c r="C1095" s="679">
        <v>3084706</v>
      </c>
      <c r="D1095" s="677">
        <v>1</v>
      </c>
      <c r="E1095" s="678" t="s">
        <v>1451</v>
      </c>
      <c r="F1095" s="170"/>
    </row>
    <row r="1096" spans="2:6" ht="15" x14ac:dyDescent="0.25">
      <c r="B1096" s="169"/>
      <c r="C1096" s="679">
        <v>3110503</v>
      </c>
      <c r="D1096" s="677">
        <v>3</v>
      </c>
      <c r="E1096" s="678" t="s">
        <v>1452</v>
      </c>
      <c r="F1096" s="170"/>
    </row>
    <row r="1097" spans="2:6" ht="15" x14ac:dyDescent="0.25">
      <c r="B1097" s="169"/>
      <c r="C1097" s="679">
        <v>3047728</v>
      </c>
      <c r="D1097" s="677">
        <v>0</v>
      </c>
      <c r="E1097" s="678" t="s">
        <v>1453</v>
      </c>
      <c r="F1097" s="170"/>
    </row>
    <row r="1098" spans="2:6" ht="15" x14ac:dyDescent="0.25">
      <c r="B1098" s="169"/>
      <c r="C1098" s="679">
        <v>3047729</v>
      </c>
      <c r="D1098" s="677">
        <v>8</v>
      </c>
      <c r="E1098" s="678" t="s">
        <v>1454</v>
      </c>
      <c r="F1098" s="170"/>
    </row>
    <row r="1099" spans="2:6" ht="15" x14ac:dyDescent="0.25">
      <c r="B1099" s="169"/>
      <c r="C1099" s="679">
        <v>3047730</v>
      </c>
      <c r="D1099" s="677">
        <v>1</v>
      </c>
      <c r="E1099" s="678" t="s">
        <v>1455</v>
      </c>
      <c r="F1099" s="170"/>
    </row>
    <row r="1100" spans="2:6" ht="15" x14ac:dyDescent="0.25">
      <c r="B1100" s="169"/>
      <c r="C1100" s="679">
        <v>2962333</v>
      </c>
      <c r="D1100" s="677">
        <v>2</v>
      </c>
      <c r="E1100" s="678" t="s">
        <v>1456</v>
      </c>
      <c r="F1100" s="170"/>
    </row>
    <row r="1101" spans="2:6" ht="15" x14ac:dyDescent="0.25">
      <c r="B1101" s="169"/>
      <c r="C1101" s="679">
        <v>2962334</v>
      </c>
      <c r="D1101" s="677">
        <v>1</v>
      </c>
      <c r="E1101" s="678" t="s">
        <v>1457</v>
      </c>
      <c r="F1101" s="170"/>
    </row>
    <row r="1102" spans="2:6" ht="15" x14ac:dyDescent="0.25">
      <c r="B1102" s="169"/>
      <c r="C1102" s="679">
        <v>3149551</v>
      </c>
      <c r="D1102" s="677">
        <v>6</v>
      </c>
      <c r="E1102" s="678" t="s">
        <v>1458</v>
      </c>
      <c r="F1102" s="170"/>
    </row>
    <row r="1103" spans="2:6" ht="15" x14ac:dyDescent="0.25">
      <c r="B1103" s="169"/>
      <c r="C1103" s="679">
        <v>3047731</v>
      </c>
      <c r="D1103" s="677">
        <v>0</v>
      </c>
      <c r="E1103" s="678" t="s">
        <v>1459</v>
      </c>
      <c r="F1103" s="170"/>
    </row>
    <row r="1104" spans="2:6" ht="15" x14ac:dyDescent="0.25">
      <c r="B1104" s="169"/>
      <c r="C1104" s="679">
        <v>3047732</v>
      </c>
      <c r="D1104" s="677">
        <v>8</v>
      </c>
      <c r="E1104" s="678" t="s">
        <v>1460</v>
      </c>
      <c r="F1104" s="170"/>
    </row>
    <row r="1105" spans="2:6" ht="15" x14ac:dyDescent="0.25">
      <c r="B1105" s="169"/>
      <c r="C1105" s="679">
        <v>3047733</v>
      </c>
      <c r="D1105" s="677">
        <v>6</v>
      </c>
      <c r="E1105" s="678" t="s">
        <v>1461</v>
      </c>
      <c r="F1105" s="170"/>
    </row>
    <row r="1106" spans="2:6" ht="15" x14ac:dyDescent="0.25">
      <c r="B1106" s="169"/>
      <c r="C1106" s="679">
        <v>3047734</v>
      </c>
      <c r="D1106" s="677">
        <v>4</v>
      </c>
      <c r="E1106" s="678" t="s">
        <v>1462</v>
      </c>
      <c r="F1106" s="170"/>
    </row>
    <row r="1107" spans="2:6" ht="15" x14ac:dyDescent="0.25">
      <c r="B1107" s="169"/>
      <c r="C1107" s="679">
        <v>3068799</v>
      </c>
      <c r="D1107" s="677">
        <v>3</v>
      </c>
      <c r="E1107" s="678" t="s">
        <v>1463</v>
      </c>
      <c r="F1107" s="170"/>
    </row>
    <row r="1108" spans="2:6" ht="15" x14ac:dyDescent="0.25">
      <c r="B1108" s="169"/>
      <c r="C1108" s="679">
        <v>2962176</v>
      </c>
      <c r="D1108" s="677">
        <v>3</v>
      </c>
      <c r="E1108" s="678" t="s">
        <v>1464</v>
      </c>
      <c r="F1108" s="170"/>
    </row>
    <row r="1109" spans="2:6" ht="15" x14ac:dyDescent="0.25">
      <c r="B1109" s="169"/>
      <c r="C1109" s="679">
        <v>3189902</v>
      </c>
      <c r="D1109" s="677">
        <v>1</v>
      </c>
      <c r="E1109" s="678" t="s">
        <v>1465</v>
      </c>
      <c r="F1109" s="170"/>
    </row>
    <row r="1110" spans="2:6" ht="15" x14ac:dyDescent="0.25">
      <c r="B1110" s="169"/>
      <c r="C1110" s="679">
        <v>3114279</v>
      </c>
      <c r="D1110" s="677">
        <v>6</v>
      </c>
      <c r="E1110" s="678" t="s">
        <v>1466</v>
      </c>
      <c r="F1110" s="170"/>
    </row>
    <row r="1111" spans="2:6" ht="15" x14ac:dyDescent="0.25">
      <c r="B1111" s="169"/>
      <c r="C1111" s="679">
        <v>2962177</v>
      </c>
      <c r="D1111" s="677">
        <v>1</v>
      </c>
      <c r="E1111" s="678" t="s">
        <v>1467</v>
      </c>
      <c r="F1111" s="170"/>
    </row>
    <row r="1112" spans="2:6" ht="15" x14ac:dyDescent="0.25">
      <c r="B1112" s="169"/>
      <c r="C1112" s="679">
        <v>3047736</v>
      </c>
      <c r="D1112" s="677">
        <v>1</v>
      </c>
      <c r="E1112" s="678" t="s">
        <v>1468</v>
      </c>
      <c r="F1112" s="170"/>
    </row>
    <row r="1113" spans="2:6" ht="15" x14ac:dyDescent="0.25">
      <c r="B1113" s="169"/>
      <c r="C1113" s="679">
        <v>3047737</v>
      </c>
      <c r="D1113" s="677">
        <v>9</v>
      </c>
      <c r="E1113" s="678" t="s">
        <v>1469</v>
      </c>
      <c r="F1113" s="170"/>
    </row>
    <row r="1114" spans="2:6" ht="15" x14ac:dyDescent="0.25">
      <c r="B1114" s="169"/>
      <c r="C1114" s="679">
        <v>3047738</v>
      </c>
      <c r="D1114" s="677">
        <v>7</v>
      </c>
      <c r="E1114" s="678" t="s">
        <v>1470</v>
      </c>
      <c r="F1114" s="170"/>
    </row>
    <row r="1115" spans="2:6" ht="15" x14ac:dyDescent="0.25">
      <c r="B1115" s="169"/>
      <c r="C1115" s="679">
        <v>3155032</v>
      </c>
      <c r="D1115" s="677">
        <v>1</v>
      </c>
      <c r="E1115" s="678" t="s">
        <v>1471</v>
      </c>
      <c r="F1115" s="170"/>
    </row>
    <row r="1116" spans="2:6" ht="15" x14ac:dyDescent="0.25">
      <c r="B1116" s="169"/>
      <c r="C1116" s="679">
        <v>3069150</v>
      </c>
      <c r="D1116" s="677">
        <v>8</v>
      </c>
      <c r="E1116" s="678" t="s">
        <v>1472</v>
      </c>
      <c r="F1116" s="170"/>
    </row>
    <row r="1117" spans="2:6" ht="15" x14ac:dyDescent="0.25">
      <c r="B1117" s="169"/>
      <c r="C1117" s="679">
        <v>3070957</v>
      </c>
      <c r="D1117" s="677">
        <v>1</v>
      </c>
      <c r="E1117" s="678" t="s">
        <v>1473</v>
      </c>
      <c r="F1117" s="170"/>
    </row>
    <row r="1118" spans="2:6" ht="15" x14ac:dyDescent="0.25">
      <c r="B1118" s="169"/>
      <c r="C1118" s="679">
        <v>3047739</v>
      </c>
      <c r="D1118" s="677">
        <v>5</v>
      </c>
      <c r="E1118" s="678" t="s">
        <v>1474</v>
      </c>
      <c r="F1118" s="170"/>
    </row>
    <row r="1119" spans="2:6" ht="15" x14ac:dyDescent="0.25">
      <c r="B1119" s="169"/>
      <c r="C1119" s="679">
        <v>3047740</v>
      </c>
      <c r="D1119" s="677">
        <v>9</v>
      </c>
      <c r="E1119" s="678" t="s">
        <v>1475</v>
      </c>
      <c r="F1119" s="170"/>
    </row>
    <row r="1120" spans="2:6" ht="15" x14ac:dyDescent="0.25">
      <c r="B1120" s="169"/>
      <c r="C1120" s="679">
        <v>3047741</v>
      </c>
      <c r="D1120" s="677">
        <v>7</v>
      </c>
      <c r="E1120" s="678" t="s">
        <v>1476</v>
      </c>
      <c r="F1120" s="170"/>
    </row>
    <row r="1121" spans="2:6" ht="15" x14ac:dyDescent="0.25">
      <c r="B1121" s="169"/>
      <c r="C1121" s="679">
        <v>3047742</v>
      </c>
      <c r="D1121" s="677">
        <v>5</v>
      </c>
      <c r="E1121" s="678" t="s">
        <v>1477</v>
      </c>
      <c r="F1121" s="170"/>
    </row>
    <row r="1122" spans="2:6" ht="15" x14ac:dyDescent="0.25">
      <c r="B1122" s="169"/>
      <c r="C1122" s="679">
        <v>3047743</v>
      </c>
      <c r="D1122" s="677">
        <v>3</v>
      </c>
      <c r="E1122" s="678" t="s">
        <v>1478</v>
      </c>
      <c r="F1122" s="170"/>
    </row>
    <row r="1123" spans="2:6" ht="15" x14ac:dyDescent="0.25">
      <c r="B1123" s="169"/>
      <c r="C1123" s="679">
        <v>2962178</v>
      </c>
      <c r="D1123" s="677">
        <v>0</v>
      </c>
      <c r="E1123" s="678" t="s">
        <v>1479</v>
      </c>
      <c r="F1123" s="170"/>
    </row>
    <row r="1124" spans="2:6" ht="15" x14ac:dyDescent="0.25">
      <c r="B1124" s="169"/>
      <c r="C1124" s="679">
        <v>2962335</v>
      </c>
      <c r="D1124" s="677">
        <v>9</v>
      </c>
      <c r="E1124" s="678" t="s">
        <v>1480</v>
      </c>
      <c r="F1124" s="170"/>
    </row>
    <row r="1125" spans="2:6" ht="15" x14ac:dyDescent="0.25">
      <c r="B1125" s="169"/>
      <c r="C1125" s="679">
        <v>3201655</v>
      </c>
      <c r="D1125" s="677">
        <v>7</v>
      </c>
      <c r="E1125" s="678" t="s">
        <v>8267</v>
      </c>
      <c r="F1125" s="170"/>
    </row>
    <row r="1126" spans="2:6" ht="15" x14ac:dyDescent="0.25">
      <c r="B1126" s="169"/>
      <c r="C1126" s="679">
        <v>2962179</v>
      </c>
      <c r="D1126" s="677">
        <v>8</v>
      </c>
      <c r="E1126" s="678" t="s">
        <v>1481</v>
      </c>
      <c r="F1126" s="170"/>
    </row>
    <row r="1127" spans="2:6" ht="15" x14ac:dyDescent="0.25">
      <c r="B1127" s="169"/>
      <c r="C1127" s="679">
        <v>3047744</v>
      </c>
      <c r="D1127" s="677">
        <v>1</v>
      </c>
      <c r="E1127" s="678" t="s">
        <v>1482</v>
      </c>
      <c r="F1127" s="170"/>
    </row>
    <row r="1128" spans="2:6" ht="15" x14ac:dyDescent="0.25">
      <c r="B1128" s="169"/>
      <c r="C1128" s="679">
        <v>3047745</v>
      </c>
      <c r="D1128" s="677">
        <v>0</v>
      </c>
      <c r="E1128" s="678" t="s">
        <v>1483</v>
      </c>
      <c r="F1128" s="170"/>
    </row>
    <row r="1129" spans="2:6" ht="15" x14ac:dyDescent="0.25">
      <c r="B1129" s="169"/>
      <c r="C1129" s="679">
        <v>3047746</v>
      </c>
      <c r="D1129" s="677">
        <v>8</v>
      </c>
      <c r="E1129" s="678" t="s">
        <v>1484</v>
      </c>
      <c r="F1129" s="170"/>
    </row>
    <row r="1130" spans="2:6" ht="15" x14ac:dyDescent="0.25">
      <c r="B1130" s="169"/>
      <c r="C1130" s="679">
        <v>3047747</v>
      </c>
      <c r="D1130" s="677">
        <v>6</v>
      </c>
      <c r="E1130" s="678" t="s">
        <v>1485</v>
      </c>
      <c r="F1130" s="170"/>
    </row>
    <row r="1131" spans="2:6" ht="15" x14ac:dyDescent="0.25">
      <c r="B1131" s="169"/>
      <c r="C1131" s="679">
        <v>3110519</v>
      </c>
      <c r="D1131" s="677">
        <v>0</v>
      </c>
      <c r="E1131" s="678" t="s">
        <v>1486</v>
      </c>
      <c r="F1131" s="170"/>
    </row>
    <row r="1132" spans="2:6" ht="15" x14ac:dyDescent="0.25">
      <c r="B1132" s="169"/>
      <c r="C1132" s="679">
        <v>3082932</v>
      </c>
      <c r="D1132" s="677">
        <v>1</v>
      </c>
      <c r="E1132" s="678" t="s">
        <v>1487</v>
      </c>
      <c r="F1132" s="170"/>
    </row>
    <row r="1133" spans="2:6" ht="15" x14ac:dyDescent="0.25">
      <c r="B1133" s="169"/>
      <c r="C1133" s="679">
        <v>3174005</v>
      </c>
      <c r="D1133" s="677">
        <v>7</v>
      </c>
      <c r="E1133" s="678" t="s">
        <v>1488</v>
      </c>
      <c r="F1133" s="170"/>
    </row>
    <row r="1134" spans="2:6" ht="15" x14ac:dyDescent="0.25">
      <c r="B1134" s="169"/>
      <c r="C1134" s="679">
        <v>3078293</v>
      </c>
      <c r="D1134" s="677">
        <v>7</v>
      </c>
      <c r="E1134" s="678" t="s">
        <v>1489</v>
      </c>
      <c r="F1134" s="170"/>
    </row>
    <row r="1135" spans="2:6" ht="15" x14ac:dyDescent="0.25">
      <c r="B1135" s="169"/>
      <c r="C1135" s="679">
        <v>3078209</v>
      </c>
      <c r="D1135" s="677">
        <v>1</v>
      </c>
      <c r="E1135" s="678" t="s">
        <v>1490</v>
      </c>
      <c r="F1135" s="170"/>
    </row>
    <row r="1136" spans="2:6" ht="15" x14ac:dyDescent="0.25">
      <c r="B1136" s="169"/>
      <c r="C1136" s="679">
        <v>3078287</v>
      </c>
      <c r="D1136" s="677">
        <v>2</v>
      </c>
      <c r="E1136" s="678" t="s">
        <v>1491</v>
      </c>
      <c r="F1136" s="170"/>
    </row>
    <row r="1137" spans="2:6" ht="15" x14ac:dyDescent="0.25">
      <c r="B1137" s="169"/>
      <c r="C1137" s="679">
        <v>3262716</v>
      </c>
      <c r="D1137" s="677">
        <v>5</v>
      </c>
      <c r="E1137" s="678" t="s">
        <v>8268</v>
      </c>
      <c r="F1137" s="170"/>
    </row>
    <row r="1138" spans="2:6" ht="15" x14ac:dyDescent="0.25">
      <c r="B1138" s="169"/>
      <c r="C1138" s="679">
        <v>3047748</v>
      </c>
      <c r="D1138" s="677">
        <v>4</v>
      </c>
      <c r="E1138" s="678" t="s">
        <v>1492</v>
      </c>
      <c r="F1138" s="170"/>
    </row>
    <row r="1139" spans="2:6" ht="15" x14ac:dyDescent="0.25">
      <c r="B1139" s="169"/>
      <c r="C1139" s="679">
        <v>3047749</v>
      </c>
      <c r="D1139" s="677">
        <v>2</v>
      </c>
      <c r="E1139" s="678" t="s">
        <v>1493</v>
      </c>
      <c r="F1139" s="170"/>
    </row>
    <row r="1140" spans="2:6" ht="15" x14ac:dyDescent="0.25">
      <c r="B1140" s="169"/>
      <c r="C1140" s="679">
        <v>3047750</v>
      </c>
      <c r="D1140" s="677">
        <v>6</v>
      </c>
      <c r="E1140" s="678" t="s">
        <v>1494</v>
      </c>
      <c r="F1140" s="170"/>
    </row>
    <row r="1141" spans="2:6" ht="15" x14ac:dyDescent="0.25">
      <c r="B1141" s="169"/>
      <c r="C1141" s="679">
        <v>3047751</v>
      </c>
      <c r="D1141" s="677">
        <v>4</v>
      </c>
      <c r="E1141" s="678" t="s">
        <v>1495</v>
      </c>
      <c r="F1141" s="170"/>
    </row>
    <row r="1142" spans="2:6" ht="15" x14ac:dyDescent="0.25">
      <c r="B1142" s="169"/>
      <c r="C1142" s="679">
        <v>3047752</v>
      </c>
      <c r="D1142" s="677">
        <v>2</v>
      </c>
      <c r="E1142" s="678" t="s">
        <v>1496</v>
      </c>
      <c r="F1142" s="170"/>
    </row>
    <row r="1143" spans="2:6" ht="15" x14ac:dyDescent="0.25">
      <c r="B1143" s="169"/>
      <c r="C1143" s="679">
        <v>3047753</v>
      </c>
      <c r="D1143" s="677">
        <v>1</v>
      </c>
      <c r="E1143" s="678" t="s">
        <v>1497</v>
      </c>
      <c r="F1143" s="170"/>
    </row>
    <row r="1144" spans="2:6" ht="15" x14ac:dyDescent="0.25">
      <c r="B1144" s="169"/>
      <c r="C1144" s="679">
        <v>3047754</v>
      </c>
      <c r="D1144" s="677">
        <v>9</v>
      </c>
      <c r="E1144" s="678" t="s">
        <v>1498</v>
      </c>
      <c r="F1144" s="170"/>
    </row>
    <row r="1145" spans="2:6" ht="15" x14ac:dyDescent="0.25">
      <c r="B1145" s="169"/>
      <c r="C1145" s="679">
        <v>3078273</v>
      </c>
      <c r="D1145" s="677">
        <v>2</v>
      </c>
      <c r="E1145" s="678" t="s">
        <v>1499</v>
      </c>
      <c r="F1145" s="170"/>
    </row>
    <row r="1146" spans="2:6" ht="15" x14ac:dyDescent="0.25">
      <c r="B1146" s="169"/>
      <c r="C1146" s="679">
        <v>3047755</v>
      </c>
      <c r="D1146" s="677">
        <v>7</v>
      </c>
      <c r="E1146" s="678" t="s">
        <v>1500</v>
      </c>
      <c r="F1146" s="170"/>
    </row>
    <row r="1147" spans="2:6" ht="15" x14ac:dyDescent="0.25">
      <c r="B1147" s="169"/>
      <c r="C1147" s="679">
        <v>3047756</v>
      </c>
      <c r="D1147" s="677">
        <v>5</v>
      </c>
      <c r="E1147" s="678" t="s">
        <v>1501</v>
      </c>
      <c r="F1147" s="170"/>
    </row>
    <row r="1148" spans="2:6" ht="15" x14ac:dyDescent="0.25">
      <c r="B1148" s="169"/>
      <c r="C1148" s="679">
        <v>2962336</v>
      </c>
      <c r="D1148" s="677">
        <v>7</v>
      </c>
      <c r="E1148" s="678" t="s">
        <v>1502</v>
      </c>
      <c r="F1148" s="170"/>
    </row>
    <row r="1149" spans="2:6" ht="15" x14ac:dyDescent="0.25">
      <c r="B1149" s="169"/>
      <c r="C1149" s="679">
        <v>3047757</v>
      </c>
      <c r="D1149" s="677">
        <v>3</v>
      </c>
      <c r="E1149" s="678" t="s">
        <v>1503</v>
      </c>
      <c r="F1149" s="170"/>
    </row>
    <row r="1150" spans="2:6" ht="15" x14ac:dyDescent="0.25">
      <c r="B1150" s="169"/>
      <c r="C1150" s="679">
        <v>3047758</v>
      </c>
      <c r="D1150" s="677">
        <v>1</v>
      </c>
      <c r="E1150" s="678" t="s">
        <v>1504</v>
      </c>
      <c r="F1150" s="170"/>
    </row>
    <row r="1151" spans="2:6" ht="15" x14ac:dyDescent="0.25">
      <c r="B1151" s="169"/>
      <c r="C1151" s="679">
        <v>3047759</v>
      </c>
      <c r="D1151" s="677">
        <v>0</v>
      </c>
      <c r="E1151" s="678" t="s">
        <v>1505</v>
      </c>
      <c r="F1151" s="170"/>
    </row>
    <row r="1152" spans="2:6" ht="15" x14ac:dyDescent="0.25">
      <c r="B1152" s="169"/>
      <c r="C1152" s="679">
        <v>3047760</v>
      </c>
      <c r="D1152" s="677">
        <v>3</v>
      </c>
      <c r="E1152" s="678" t="s">
        <v>1506</v>
      </c>
      <c r="F1152" s="170"/>
    </row>
    <row r="1153" spans="2:6" ht="15" x14ac:dyDescent="0.25">
      <c r="B1153" s="169"/>
      <c r="C1153" s="679">
        <v>3047761</v>
      </c>
      <c r="D1153" s="677">
        <v>1</v>
      </c>
      <c r="E1153" s="678" t="s">
        <v>1507</v>
      </c>
      <c r="F1153" s="170"/>
    </row>
    <row r="1154" spans="2:6" ht="15" x14ac:dyDescent="0.25">
      <c r="B1154" s="169"/>
      <c r="C1154" s="679">
        <v>3047762</v>
      </c>
      <c r="D1154" s="677">
        <v>0</v>
      </c>
      <c r="E1154" s="678" t="s">
        <v>1508</v>
      </c>
      <c r="F1154" s="170"/>
    </row>
    <row r="1155" spans="2:6" ht="15" x14ac:dyDescent="0.25">
      <c r="B1155" s="169"/>
      <c r="C1155" s="679">
        <v>3047763</v>
      </c>
      <c r="D1155" s="677">
        <v>8</v>
      </c>
      <c r="E1155" s="678" t="s">
        <v>1509</v>
      </c>
      <c r="F1155" s="170"/>
    </row>
    <row r="1156" spans="2:6" ht="15" x14ac:dyDescent="0.25">
      <c r="B1156" s="169"/>
      <c r="C1156" s="679">
        <v>3047764</v>
      </c>
      <c r="D1156" s="677">
        <v>6</v>
      </c>
      <c r="E1156" s="678" t="s">
        <v>1510</v>
      </c>
      <c r="F1156" s="170"/>
    </row>
    <row r="1157" spans="2:6" ht="15" x14ac:dyDescent="0.25">
      <c r="B1157" s="169"/>
      <c r="C1157" s="679">
        <v>3047765</v>
      </c>
      <c r="D1157" s="677">
        <v>4</v>
      </c>
      <c r="E1157" s="678" t="s">
        <v>1511</v>
      </c>
      <c r="F1157" s="170"/>
    </row>
    <row r="1158" spans="2:6" ht="15" x14ac:dyDescent="0.25">
      <c r="B1158" s="169"/>
      <c r="C1158" s="679">
        <v>3047766</v>
      </c>
      <c r="D1158" s="677">
        <v>2</v>
      </c>
      <c r="E1158" s="678" t="s">
        <v>1512</v>
      </c>
      <c r="F1158" s="170"/>
    </row>
    <row r="1159" spans="2:6" ht="15" x14ac:dyDescent="0.25">
      <c r="B1159" s="169"/>
      <c r="C1159" s="679">
        <v>3047767</v>
      </c>
      <c r="D1159" s="677">
        <v>1</v>
      </c>
      <c r="E1159" s="678" t="s">
        <v>1513</v>
      </c>
      <c r="F1159" s="170"/>
    </row>
    <row r="1160" spans="2:6" ht="15" x14ac:dyDescent="0.25">
      <c r="B1160" s="169"/>
      <c r="C1160" s="679">
        <v>3047768</v>
      </c>
      <c r="D1160" s="677">
        <v>9</v>
      </c>
      <c r="E1160" s="678" t="s">
        <v>1514</v>
      </c>
      <c r="F1160" s="170"/>
    </row>
    <row r="1161" spans="2:6" ht="15" x14ac:dyDescent="0.25">
      <c r="B1161" s="169"/>
      <c r="C1161" s="679">
        <v>3078271</v>
      </c>
      <c r="D1161" s="677">
        <v>6</v>
      </c>
      <c r="E1161" s="678" t="s">
        <v>1515</v>
      </c>
      <c r="F1161" s="170"/>
    </row>
    <row r="1162" spans="2:6" ht="15" x14ac:dyDescent="0.25">
      <c r="B1162" s="169"/>
      <c r="C1162" s="679">
        <v>3047769</v>
      </c>
      <c r="D1162" s="677">
        <v>7</v>
      </c>
      <c r="E1162" s="678" t="s">
        <v>1516</v>
      </c>
      <c r="F1162" s="170"/>
    </row>
    <row r="1163" spans="2:6" ht="15" x14ac:dyDescent="0.25">
      <c r="B1163" s="169"/>
      <c r="C1163" s="679">
        <v>3076853</v>
      </c>
      <c r="D1163" s="677">
        <v>5</v>
      </c>
      <c r="E1163" s="678" t="s">
        <v>1517</v>
      </c>
      <c r="F1163" s="170"/>
    </row>
    <row r="1164" spans="2:6" ht="15" x14ac:dyDescent="0.25">
      <c r="B1164" s="169"/>
      <c r="C1164" s="679">
        <v>3212512</v>
      </c>
      <c r="D1164" s="677">
        <v>7</v>
      </c>
      <c r="E1164" s="678" t="s">
        <v>8269</v>
      </c>
      <c r="F1164" s="170"/>
    </row>
    <row r="1165" spans="2:6" ht="15" x14ac:dyDescent="0.25">
      <c r="B1165" s="169"/>
      <c r="C1165" s="679">
        <v>3047770</v>
      </c>
      <c r="D1165" s="677">
        <v>1</v>
      </c>
      <c r="E1165" s="678" t="s">
        <v>1518</v>
      </c>
      <c r="F1165" s="170"/>
    </row>
    <row r="1166" spans="2:6" ht="15" x14ac:dyDescent="0.25">
      <c r="B1166" s="169"/>
      <c r="C1166" s="679">
        <v>3047771</v>
      </c>
      <c r="D1166" s="677">
        <v>9</v>
      </c>
      <c r="E1166" s="678" t="s">
        <v>1519</v>
      </c>
      <c r="F1166" s="170"/>
    </row>
    <row r="1167" spans="2:6" ht="15" x14ac:dyDescent="0.25">
      <c r="B1167" s="169"/>
      <c r="C1167" s="679">
        <v>3047772</v>
      </c>
      <c r="D1167" s="677">
        <v>7</v>
      </c>
      <c r="E1167" s="678" t="s">
        <v>1520</v>
      </c>
      <c r="F1167" s="170"/>
    </row>
    <row r="1168" spans="2:6" ht="15" x14ac:dyDescent="0.25">
      <c r="B1168" s="169"/>
      <c r="C1168" s="679">
        <v>3047773</v>
      </c>
      <c r="D1168" s="677">
        <v>5</v>
      </c>
      <c r="E1168" s="678" t="s">
        <v>1521</v>
      </c>
      <c r="F1168" s="170"/>
    </row>
    <row r="1169" spans="2:6" ht="15" x14ac:dyDescent="0.25">
      <c r="B1169" s="169"/>
      <c r="C1169" s="679">
        <v>3047774</v>
      </c>
      <c r="D1169" s="677">
        <v>3</v>
      </c>
      <c r="E1169" s="678" t="s">
        <v>1522</v>
      </c>
      <c r="F1169" s="170"/>
    </row>
    <row r="1170" spans="2:6" ht="15" x14ac:dyDescent="0.25">
      <c r="B1170" s="169"/>
      <c r="C1170" s="679">
        <v>3047775</v>
      </c>
      <c r="D1170" s="677">
        <v>1</v>
      </c>
      <c r="E1170" s="678" t="s">
        <v>1523</v>
      </c>
      <c r="F1170" s="170"/>
    </row>
    <row r="1171" spans="2:6" ht="15" x14ac:dyDescent="0.25">
      <c r="B1171" s="169"/>
      <c r="C1171" s="679">
        <v>2982053</v>
      </c>
      <c r="D1171" s="677">
        <v>7</v>
      </c>
      <c r="E1171" s="678" t="s">
        <v>1524</v>
      </c>
      <c r="F1171" s="170"/>
    </row>
    <row r="1172" spans="2:6" ht="15" x14ac:dyDescent="0.25">
      <c r="B1172" s="169"/>
      <c r="C1172" s="679">
        <v>3047776</v>
      </c>
      <c r="D1172" s="677">
        <v>0</v>
      </c>
      <c r="E1172" s="678" t="s">
        <v>1525</v>
      </c>
      <c r="F1172" s="170"/>
    </row>
    <row r="1173" spans="2:6" ht="15" x14ac:dyDescent="0.25">
      <c r="B1173" s="169"/>
      <c r="C1173" s="679">
        <v>3047777</v>
      </c>
      <c r="D1173" s="677">
        <v>8</v>
      </c>
      <c r="E1173" s="678" t="s">
        <v>1526</v>
      </c>
      <c r="F1173" s="170"/>
    </row>
    <row r="1174" spans="2:6" ht="15" x14ac:dyDescent="0.25">
      <c r="B1174" s="169"/>
      <c r="C1174" s="679">
        <v>3058041</v>
      </c>
      <c r="D1174" s="677">
        <v>2</v>
      </c>
      <c r="E1174" s="678" t="s">
        <v>1527</v>
      </c>
      <c r="F1174" s="170"/>
    </row>
    <row r="1175" spans="2:6" ht="15" x14ac:dyDescent="0.25">
      <c r="B1175" s="169"/>
      <c r="C1175" s="679">
        <v>3068747</v>
      </c>
      <c r="D1175" s="677">
        <v>1</v>
      </c>
      <c r="E1175" s="678" t="s">
        <v>1528</v>
      </c>
      <c r="F1175" s="170"/>
    </row>
    <row r="1176" spans="2:6" ht="15" x14ac:dyDescent="0.25">
      <c r="B1176" s="169"/>
      <c r="C1176" s="679">
        <v>3047778</v>
      </c>
      <c r="D1176" s="677">
        <v>6</v>
      </c>
      <c r="E1176" s="678" t="s">
        <v>1529</v>
      </c>
      <c r="F1176" s="170"/>
    </row>
    <row r="1177" spans="2:6" ht="15" x14ac:dyDescent="0.25">
      <c r="B1177" s="169"/>
      <c r="C1177" s="679">
        <v>3047779</v>
      </c>
      <c r="D1177" s="677">
        <v>4</v>
      </c>
      <c r="E1177" s="678" t="s">
        <v>1530</v>
      </c>
      <c r="F1177" s="170"/>
    </row>
    <row r="1178" spans="2:6" ht="15" x14ac:dyDescent="0.25">
      <c r="B1178" s="169"/>
      <c r="C1178" s="679">
        <v>3047780</v>
      </c>
      <c r="D1178" s="677">
        <v>8</v>
      </c>
      <c r="E1178" s="678" t="s">
        <v>1531</v>
      </c>
      <c r="F1178" s="170"/>
    </row>
    <row r="1179" spans="2:6" ht="15" x14ac:dyDescent="0.25">
      <c r="B1179" s="169"/>
      <c r="C1179" s="679">
        <v>3047784</v>
      </c>
      <c r="D1179" s="677">
        <v>1</v>
      </c>
      <c r="E1179" s="678" t="s">
        <v>1532</v>
      </c>
      <c r="F1179" s="170"/>
    </row>
    <row r="1180" spans="2:6" ht="15" x14ac:dyDescent="0.25">
      <c r="B1180" s="169"/>
      <c r="C1180" s="679">
        <v>3047781</v>
      </c>
      <c r="D1180" s="677">
        <v>6</v>
      </c>
      <c r="E1180" s="678" t="s">
        <v>1533</v>
      </c>
      <c r="F1180" s="170"/>
    </row>
    <row r="1181" spans="2:6" ht="15" x14ac:dyDescent="0.25">
      <c r="B1181" s="169"/>
      <c r="C1181" s="679">
        <v>3047782</v>
      </c>
      <c r="D1181" s="677">
        <v>4</v>
      </c>
      <c r="E1181" s="678" t="s">
        <v>1534</v>
      </c>
      <c r="F1181" s="170"/>
    </row>
    <row r="1182" spans="2:6" ht="15" x14ac:dyDescent="0.25">
      <c r="B1182" s="169"/>
      <c r="C1182" s="679">
        <v>3047783</v>
      </c>
      <c r="D1182" s="677">
        <v>2</v>
      </c>
      <c r="E1182" s="678" t="s">
        <v>1535</v>
      </c>
      <c r="F1182" s="170"/>
    </row>
    <row r="1183" spans="2:6" ht="15" x14ac:dyDescent="0.25">
      <c r="B1183" s="169"/>
      <c r="C1183" s="679">
        <v>3047785</v>
      </c>
      <c r="D1183" s="677">
        <v>9</v>
      </c>
      <c r="E1183" s="678" t="s">
        <v>1536</v>
      </c>
      <c r="F1183" s="170"/>
    </row>
    <row r="1184" spans="2:6" ht="15" x14ac:dyDescent="0.25">
      <c r="B1184" s="169"/>
      <c r="C1184" s="679">
        <v>3047786</v>
      </c>
      <c r="D1184" s="677">
        <v>7</v>
      </c>
      <c r="E1184" s="678" t="s">
        <v>1537</v>
      </c>
      <c r="F1184" s="170"/>
    </row>
    <row r="1185" spans="2:6" ht="15" x14ac:dyDescent="0.25">
      <c r="B1185" s="169"/>
      <c r="C1185" s="679">
        <v>3047787</v>
      </c>
      <c r="D1185" s="677">
        <v>5</v>
      </c>
      <c r="E1185" s="678" t="s">
        <v>1538</v>
      </c>
      <c r="F1185" s="170"/>
    </row>
    <row r="1186" spans="2:6" ht="15" x14ac:dyDescent="0.25">
      <c r="B1186" s="169"/>
      <c r="C1186" s="679">
        <v>3047788</v>
      </c>
      <c r="D1186" s="677">
        <v>3</v>
      </c>
      <c r="E1186" s="678" t="s">
        <v>1539</v>
      </c>
      <c r="F1186" s="170"/>
    </row>
    <row r="1187" spans="2:6" ht="15" x14ac:dyDescent="0.25">
      <c r="B1187" s="169"/>
      <c r="C1187" s="679">
        <v>3047789</v>
      </c>
      <c r="D1187" s="677">
        <v>1</v>
      </c>
      <c r="E1187" s="678" t="s">
        <v>1540</v>
      </c>
      <c r="F1187" s="170"/>
    </row>
    <row r="1188" spans="2:6" ht="15" x14ac:dyDescent="0.25">
      <c r="B1188" s="169"/>
      <c r="C1188" s="679">
        <v>3047790</v>
      </c>
      <c r="D1188" s="677">
        <v>5</v>
      </c>
      <c r="E1188" s="678" t="s">
        <v>1541</v>
      </c>
      <c r="F1188" s="170"/>
    </row>
    <row r="1189" spans="2:6" ht="15" x14ac:dyDescent="0.25">
      <c r="B1189" s="169"/>
      <c r="C1189" s="679">
        <v>2961131</v>
      </c>
      <c r="D1189" s="677">
        <v>8</v>
      </c>
      <c r="E1189" s="678" t="s">
        <v>1542</v>
      </c>
      <c r="F1189" s="170"/>
    </row>
    <row r="1190" spans="2:6" ht="15" x14ac:dyDescent="0.25">
      <c r="B1190" s="169"/>
      <c r="C1190" s="679">
        <v>3157986</v>
      </c>
      <c r="D1190" s="677">
        <v>8</v>
      </c>
      <c r="E1190" s="678" t="s">
        <v>1543</v>
      </c>
      <c r="F1190" s="170"/>
    </row>
    <row r="1191" spans="2:6" ht="15" x14ac:dyDescent="0.25">
      <c r="B1191" s="169"/>
      <c r="C1191" s="679">
        <v>2962180</v>
      </c>
      <c r="D1191" s="677">
        <v>1</v>
      </c>
      <c r="E1191" s="678" t="s">
        <v>1544</v>
      </c>
      <c r="F1191" s="170"/>
    </row>
    <row r="1192" spans="2:6" ht="15" x14ac:dyDescent="0.25">
      <c r="B1192" s="169"/>
      <c r="C1192" s="679">
        <v>3207523</v>
      </c>
      <c r="D1192" s="677">
        <v>5</v>
      </c>
      <c r="E1192" s="678" t="s">
        <v>8270</v>
      </c>
      <c r="F1192" s="170"/>
    </row>
    <row r="1193" spans="2:6" ht="15" x14ac:dyDescent="0.25">
      <c r="B1193" s="169"/>
      <c r="C1193" s="679">
        <v>2961132</v>
      </c>
      <c r="D1193" s="677">
        <v>6</v>
      </c>
      <c r="E1193" s="678" t="s">
        <v>1545</v>
      </c>
      <c r="F1193" s="170"/>
    </row>
    <row r="1194" spans="2:6" ht="15" x14ac:dyDescent="0.25">
      <c r="B1194" s="169"/>
      <c r="C1194" s="679">
        <v>3047791</v>
      </c>
      <c r="D1194" s="677">
        <v>3</v>
      </c>
      <c r="E1194" s="678" t="s">
        <v>1546</v>
      </c>
      <c r="F1194" s="170"/>
    </row>
    <row r="1195" spans="2:6" ht="15" x14ac:dyDescent="0.25">
      <c r="B1195" s="169"/>
      <c r="C1195" s="679">
        <v>3047792</v>
      </c>
      <c r="D1195" s="677">
        <v>1</v>
      </c>
      <c r="E1195" s="678" t="s">
        <v>1547</v>
      </c>
      <c r="F1195" s="170"/>
    </row>
    <row r="1196" spans="2:6" ht="15" x14ac:dyDescent="0.25">
      <c r="B1196" s="169"/>
      <c r="C1196" s="679">
        <v>3047793</v>
      </c>
      <c r="D1196" s="677">
        <v>0</v>
      </c>
      <c r="E1196" s="678" t="s">
        <v>1548</v>
      </c>
      <c r="F1196" s="170"/>
    </row>
    <row r="1197" spans="2:6" ht="15" x14ac:dyDescent="0.25">
      <c r="B1197" s="169"/>
      <c r="C1197" s="679">
        <v>3047794</v>
      </c>
      <c r="D1197" s="677">
        <v>8</v>
      </c>
      <c r="E1197" s="678" t="s">
        <v>1549</v>
      </c>
      <c r="F1197" s="170"/>
    </row>
    <row r="1198" spans="2:6" ht="15" x14ac:dyDescent="0.25">
      <c r="B1198" s="169"/>
      <c r="C1198" s="679">
        <v>3047795</v>
      </c>
      <c r="D1198" s="677">
        <v>6</v>
      </c>
      <c r="E1198" s="678" t="s">
        <v>1550</v>
      </c>
      <c r="F1198" s="170"/>
    </row>
    <row r="1199" spans="2:6" ht="15" x14ac:dyDescent="0.25">
      <c r="B1199" s="169"/>
      <c r="C1199" s="679">
        <v>3075540</v>
      </c>
      <c r="D1199" s="677">
        <v>9</v>
      </c>
      <c r="E1199" s="678" t="s">
        <v>1551</v>
      </c>
      <c r="F1199" s="170"/>
    </row>
    <row r="1200" spans="2:6" ht="15" x14ac:dyDescent="0.25">
      <c r="B1200" s="169"/>
      <c r="C1200" s="679">
        <v>3047796</v>
      </c>
      <c r="D1200" s="677">
        <v>4</v>
      </c>
      <c r="E1200" s="678" t="s">
        <v>1552</v>
      </c>
      <c r="F1200" s="170"/>
    </row>
    <row r="1201" spans="2:6" ht="15" x14ac:dyDescent="0.25">
      <c r="B1201" s="169"/>
      <c r="C1201" s="679">
        <v>3047797</v>
      </c>
      <c r="D1201" s="677">
        <v>2</v>
      </c>
      <c r="E1201" s="678" t="s">
        <v>1553</v>
      </c>
      <c r="F1201" s="170"/>
    </row>
    <row r="1202" spans="2:6" ht="15" x14ac:dyDescent="0.25">
      <c r="B1202" s="169"/>
      <c r="C1202" s="679">
        <v>2961133</v>
      </c>
      <c r="D1202" s="677">
        <v>4</v>
      </c>
      <c r="E1202" s="678" t="s">
        <v>1554</v>
      </c>
      <c r="F1202" s="170"/>
    </row>
    <row r="1203" spans="2:6" ht="15" x14ac:dyDescent="0.25">
      <c r="B1203" s="169"/>
      <c r="C1203" s="679">
        <v>3183615</v>
      </c>
      <c r="D1203" s="677">
        <v>1</v>
      </c>
      <c r="E1203" s="678" t="s">
        <v>1555</v>
      </c>
      <c r="F1203" s="170"/>
    </row>
    <row r="1204" spans="2:6" ht="15" x14ac:dyDescent="0.25">
      <c r="B1204" s="169"/>
      <c r="C1204" s="679">
        <v>3069175</v>
      </c>
      <c r="D1204" s="677">
        <v>3</v>
      </c>
      <c r="E1204" s="678" t="s">
        <v>1556</v>
      </c>
      <c r="F1204" s="170"/>
    </row>
    <row r="1205" spans="2:6" ht="15" x14ac:dyDescent="0.25">
      <c r="B1205" s="169"/>
      <c r="C1205" s="679">
        <v>3070413</v>
      </c>
      <c r="D1205" s="677">
        <v>8</v>
      </c>
      <c r="E1205" s="678" t="s">
        <v>1557</v>
      </c>
      <c r="F1205" s="170"/>
    </row>
    <row r="1206" spans="2:6" ht="15" x14ac:dyDescent="0.25">
      <c r="B1206" s="169"/>
      <c r="C1206" s="679">
        <v>3155785</v>
      </c>
      <c r="D1206" s="677">
        <v>6</v>
      </c>
      <c r="E1206" s="678" t="s">
        <v>1558</v>
      </c>
      <c r="F1206" s="170"/>
    </row>
    <row r="1207" spans="2:6" ht="15" x14ac:dyDescent="0.25">
      <c r="B1207" s="169"/>
      <c r="C1207" s="679">
        <v>3071979</v>
      </c>
      <c r="D1207" s="677">
        <v>8</v>
      </c>
      <c r="E1207" s="678" t="s">
        <v>1559</v>
      </c>
      <c r="F1207" s="170"/>
    </row>
    <row r="1208" spans="2:6" ht="15" x14ac:dyDescent="0.25">
      <c r="B1208" s="169"/>
      <c r="C1208" s="679">
        <v>3047798</v>
      </c>
      <c r="D1208" s="677">
        <v>1</v>
      </c>
      <c r="E1208" s="678" t="s">
        <v>1560</v>
      </c>
      <c r="F1208" s="170"/>
    </row>
    <row r="1209" spans="2:6" ht="15" x14ac:dyDescent="0.25">
      <c r="B1209" s="169"/>
      <c r="C1209" s="679">
        <v>3339923</v>
      </c>
      <c r="D1209" s="677">
        <v>9</v>
      </c>
      <c r="E1209" s="678" t="s">
        <v>8271</v>
      </c>
      <c r="F1209" s="170"/>
    </row>
    <row r="1210" spans="2:6" ht="15" x14ac:dyDescent="0.25">
      <c r="B1210" s="169"/>
      <c r="C1210" s="679">
        <v>3072379</v>
      </c>
      <c r="D1210" s="677">
        <v>5</v>
      </c>
      <c r="E1210" s="678" t="s">
        <v>1561</v>
      </c>
      <c r="F1210" s="170"/>
    </row>
    <row r="1211" spans="2:6" ht="15" x14ac:dyDescent="0.25">
      <c r="B1211" s="169"/>
      <c r="C1211" s="679">
        <v>3072727</v>
      </c>
      <c r="D1211" s="677">
        <v>8</v>
      </c>
      <c r="E1211" s="678" t="s">
        <v>1561</v>
      </c>
      <c r="F1211" s="170"/>
    </row>
    <row r="1212" spans="2:6" ht="15" x14ac:dyDescent="0.25">
      <c r="B1212" s="169"/>
      <c r="C1212" s="679">
        <v>3076268</v>
      </c>
      <c r="D1212" s="677">
        <v>5</v>
      </c>
      <c r="E1212" s="678" t="s">
        <v>1562</v>
      </c>
      <c r="F1212" s="170"/>
    </row>
    <row r="1213" spans="2:6" ht="15" x14ac:dyDescent="0.25">
      <c r="B1213" s="169"/>
      <c r="C1213" s="679">
        <v>2962337</v>
      </c>
      <c r="D1213" s="677">
        <v>5</v>
      </c>
      <c r="E1213" s="678" t="s">
        <v>1563</v>
      </c>
      <c r="F1213" s="170"/>
    </row>
    <row r="1214" spans="2:6" ht="15" x14ac:dyDescent="0.25">
      <c r="B1214" s="169"/>
      <c r="C1214" s="679">
        <v>3047799</v>
      </c>
      <c r="D1214" s="677">
        <v>9</v>
      </c>
      <c r="E1214" s="678" t="s">
        <v>1564</v>
      </c>
      <c r="F1214" s="170"/>
    </row>
    <row r="1215" spans="2:6" ht="15" x14ac:dyDescent="0.25">
      <c r="B1215" s="169"/>
      <c r="C1215" s="679">
        <v>3047800</v>
      </c>
      <c r="D1215" s="677">
        <v>6</v>
      </c>
      <c r="E1215" s="678" t="s">
        <v>1565</v>
      </c>
      <c r="F1215" s="170"/>
    </row>
    <row r="1216" spans="2:6" ht="15" x14ac:dyDescent="0.25">
      <c r="B1216" s="169"/>
      <c r="C1216" s="679">
        <v>3047801</v>
      </c>
      <c r="D1216" s="677">
        <v>4</v>
      </c>
      <c r="E1216" s="678" t="s">
        <v>1566</v>
      </c>
      <c r="F1216" s="170"/>
    </row>
    <row r="1217" spans="2:6" ht="15" x14ac:dyDescent="0.25">
      <c r="B1217" s="169"/>
      <c r="C1217" s="679">
        <v>3047802</v>
      </c>
      <c r="D1217" s="677">
        <v>2</v>
      </c>
      <c r="E1217" s="678" t="s">
        <v>1567</v>
      </c>
      <c r="F1217" s="170"/>
    </row>
    <row r="1218" spans="2:6" ht="15" x14ac:dyDescent="0.25">
      <c r="B1218" s="169"/>
      <c r="C1218" s="679">
        <v>3076250</v>
      </c>
      <c r="D1218" s="677">
        <v>2</v>
      </c>
      <c r="E1218" s="678" t="s">
        <v>1568</v>
      </c>
      <c r="F1218" s="170"/>
    </row>
    <row r="1219" spans="2:6" ht="15" x14ac:dyDescent="0.25">
      <c r="B1219" s="169"/>
      <c r="C1219" s="679">
        <v>3078274</v>
      </c>
      <c r="D1219" s="677">
        <v>1</v>
      </c>
      <c r="E1219" s="678" t="s">
        <v>1569</v>
      </c>
      <c r="F1219" s="170"/>
    </row>
    <row r="1220" spans="2:6" ht="15" x14ac:dyDescent="0.25">
      <c r="B1220" s="169"/>
      <c r="C1220" s="679">
        <v>3070964</v>
      </c>
      <c r="D1220" s="677">
        <v>4</v>
      </c>
      <c r="E1220" s="678" t="s">
        <v>1570</v>
      </c>
      <c r="F1220" s="170"/>
    </row>
    <row r="1221" spans="2:6" ht="15" x14ac:dyDescent="0.25">
      <c r="B1221" s="169"/>
      <c r="C1221" s="679">
        <v>3047803</v>
      </c>
      <c r="D1221" s="677">
        <v>1</v>
      </c>
      <c r="E1221" s="678" t="s">
        <v>1571</v>
      </c>
      <c r="F1221" s="170"/>
    </row>
    <row r="1222" spans="2:6" ht="15" x14ac:dyDescent="0.25">
      <c r="B1222" s="169"/>
      <c r="C1222" s="679">
        <v>3047804</v>
      </c>
      <c r="D1222" s="677">
        <v>9</v>
      </c>
      <c r="E1222" s="678" t="s">
        <v>1572</v>
      </c>
      <c r="F1222" s="170"/>
    </row>
    <row r="1223" spans="2:6" ht="15" x14ac:dyDescent="0.25">
      <c r="B1223" s="169"/>
      <c r="C1223" s="679">
        <v>3067985</v>
      </c>
      <c r="D1223" s="677">
        <v>1</v>
      </c>
      <c r="E1223" s="678" t="s">
        <v>1573</v>
      </c>
      <c r="F1223" s="170"/>
    </row>
    <row r="1224" spans="2:6" ht="15" x14ac:dyDescent="0.25">
      <c r="B1224" s="169"/>
      <c r="C1224" s="679">
        <v>3047805</v>
      </c>
      <c r="D1224" s="677">
        <v>7</v>
      </c>
      <c r="E1224" s="678" t="s">
        <v>1574</v>
      </c>
      <c r="F1224" s="170"/>
    </row>
    <row r="1225" spans="2:6" ht="15" x14ac:dyDescent="0.25">
      <c r="B1225" s="169"/>
      <c r="C1225" s="679">
        <v>3047806</v>
      </c>
      <c r="D1225" s="677">
        <v>5</v>
      </c>
      <c r="E1225" s="678" t="s">
        <v>1575</v>
      </c>
      <c r="F1225" s="170"/>
    </row>
    <row r="1226" spans="2:6" ht="15" x14ac:dyDescent="0.25">
      <c r="B1226" s="169"/>
      <c r="C1226" s="679">
        <v>3047807</v>
      </c>
      <c r="D1226" s="677">
        <v>3</v>
      </c>
      <c r="E1226" s="678" t="s">
        <v>1576</v>
      </c>
      <c r="F1226" s="170"/>
    </row>
    <row r="1227" spans="2:6" ht="15" x14ac:dyDescent="0.25">
      <c r="B1227" s="169"/>
      <c r="C1227" s="679">
        <v>3047808</v>
      </c>
      <c r="D1227" s="677">
        <v>1</v>
      </c>
      <c r="E1227" s="678" t="s">
        <v>1577</v>
      </c>
      <c r="F1227" s="170"/>
    </row>
    <row r="1228" spans="2:6" ht="15" x14ac:dyDescent="0.25">
      <c r="B1228" s="169"/>
      <c r="C1228" s="679">
        <v>2962181</v>
      </c>
      <c r="D1228" s="677">
        <v>0</v>
      </c>
      <c r="E1228" s="678" t="s">
        <v>1578</v>
      </c>
      <c r="F1228" s="170"/>
    </row>
    <row r="1229" spans="2:6" ht="15" x14ac:dyDescent="0.25">
      <c r="B1229" s="169"/>
      <c r="C1229" s="679">
        <v>3047809</v>
      </c>
      <c r="D1229" s="677">
        <v>0</v>
      </c>
      <c r="E1229" s="678" t="s">
        <v>1579</v>
      </c>
      <c r="F1229" s="170"/>
    </row>
    <row r="1230" spans="2:6" ht="15" x14ac:dyDescent="0.25">
      <c r="B1230" s="169"/>
      <c r="C1230" s="679">
        <v>3047810</v>
      </c>
      <c r="D1230" s="677">
        <v>3</v>
      </c>
      <c r="E1230" s="678" t="s">
        <v>1580</v>
      </c>
      <c r="F1230" s="170"/>
    </row>
    <row r="1231" spans="2:6" ht="15" x14ac:dyDescent="0.25">
      <c r="B1231" s="169"/>
      <c r="C1231" s="679">
        <v>3047735</v>
      </c>
      <c r="D1231" s="677">
        <v>2</v>
      </c>
      <c r="E1231" s="678" t="s">
        <v>1581</v>
      </c>
      <c r="F1231" s="170"/>
    </row>
    <row r="1232" spans="2:6" ht="15" x14ac:dyDescent="0.25">
      <c r="B1232" s="169"/>
      <c r="C1232" s="679">
        <v>3047811</v>
      </c>
      <c r="D1232" s="677">
        <v>1</v>
      </c>
      <c r="E1232" s="678" t="s">
        <v>1582</v>
      </c>
      <c r="F1232" s="170"/>
    </row>
    <row r="1233" spans="2:6" ht="15" x14ac:dyDescent="0.25">
      <c r="B1233" s="169"/>
      <c r="C1233" s="679">
        <v>3047812</v>
      </c>
      <c r="D1233" s="677">
        <v>0</v>
      </c>
      <c r="E1233" s="678" t="s">
        <v>1583</v>
      </c>
      <c r="F1233" s="170"/>
    </row>
    <row r="1234" spans="2:6" ht="15" x14ac:dyDescent="0.25">
      <c r="B1234" s="169"/>
      <c r="C1234" s="679">
        <v>3324021</v>
      </c>
      <c r="D1234" s="677">
        <v>3</v>
      </c>
      <c r="E1234" s="678" t="s">
        <v>8272</v>
      </c>
      <c r="F1234" s="170"/>
    </row>
    <row r="1235" spans="2:6" ht="15" x14ac:dyDescent="0.25">
      <c r="B1235" s="169"/>
      <c r="C1235" s="679">
        <v>3047813</v>
      </c>
      <c r="D1235" s="677">
        <v>8</v>
      </c>
      <c r="E1235" s="678" t="s">
        <v>1584</v>
      </c>
      <c r="F1235" s="170"/>
    </row>
    <row r="1236" spans="2:6" ht="15" x14ac:dyDescent="0.25">
      <c r="B1236" s="169"/>
      <c r="C1236" s="679">
        <v>3047814</v>
      </c>
      <c r="D1236" s="677">
        <v>6</v>
      </c>
      <c r="E1236" s="678" t="s">
        <v>1585</v>
      </c>
      <c r="F1236" s="170"/>
    </row>
    <row r="1237" spans="2:6" ht="15" x14ac:dyDescent="0.25">
      <c r="B1237" s="169"/>
      <c r="C1237" s="679">
        <v>3047815</v>
      </c>
      <c r="D1237" s="677">
        <v>4</v>
      </c>
      <c r="E1237" s="678" t="s">
        <v>1586</v>
      </c>
      <c r="F1237" s="170"/>
    </row>
    <row r="1238" spans="2:6" ht="15" x14ac:dyDescent="0.25">
      <c r="B1238" s="169"/>
      <c r="C1238" s="679">
        <v>3047816</v>
      </c>
      <c r="D1238" s="677">
        <v>2</v>
      </c>
      <c r="E1238" s="678" t="s">
        <v>1587</v>
      </c>
      <c r="F1238" s="170"/>
    </row>
    <row r="1239" spans="2:6" ht="15" x14ac:dyDescent="0.25">
      <c r="B1239" s="169"/>
      <c r="C1239" s="679">
        <v>3047817</v>
      </c>
      <c r="D1239" s="677">
        <v>1</v>
      </c>
      <c r="E1239" s="678" t="s">
        <v>1588</v>
      </c>
      <c r="F1239" s="170"/>
    </row>
    <row r="1240" spans="2:6" ht="15" x14ac:dyDescent="0.25">
      <c r="B1240" s="169"/>
      <c r="C1240" s="679">
        <v>3047818</v>
      </c>
      <c r="D1240" s="677">
        <v>9</v>
      </c>
      <c r="E1240" s="678" t="s">
        <v>1589</v>
      </c>
      <c r="F1240" s="170"/>
    </row>
    <row r="1241" spans="2:6" ht="15" x14ac:dyDescent="0.25">
      <c r="B1241" s="169"/>
      <c r="C1241" s="679">
        <v>3047819</v>
      </c>
      <c r="D1241" s="677">
        <v>7</v>
      </c>
      <c r="E1241" s="678" t="s">
        <v>1590</v>
      </c>
      <c r="F1241" s="170"/>
    </row>
    <row r="1242" spans="2:6" ht="15" x14ac:dyDescent="0.25">
      <c r="B1242" s="169"/>
      <c r="C1242" s="679">
        <v>3047821</v>
      </c>
      <c r="D1242" s="677">
        <v>9</v>
      </c>
      <c r="E1242" s="678" t="s">
        <v>1591</v>
      </c>
      <c r="F1242" s="170"/>
    </row>
    <row r="1243" spans="2:6" ht="15" x14ac:dyDescent="0.25">
      <c r="B1243" s="169"/>
      <c r="C1243" s="679">
        <v>3047822</v>
      </c>
      <c r="D1243" s="677">
        <v>7</v>
      </c>
      <c r="E1243" s="678" t="s">
        <v>1592</v>
      </c>
      <c r="F1243" s="170"/>
    </row>
    <row r="1244" spans="2:6" ht="15" x14ac:dyDescent="0.25">
      <c r="B1244" s="169"/>
      <c r="C1244" s="679">
        <v>3047823</v>
      </c>
      <c r="D1244" s="677">
        <v>5</v>
      </c>
      <c r="E1244" s="678" t="s">
        <v>1593</v>
      </c>
      <c r="F1244" s="170"/>
    </row>
    <row r="1245" spans="2:6" ht="15" x14ac:dyDescent="0.25">
      <c r="B1245" s="169"/>
      <c r="C1245" s="679">
        <v>3047824</v>
      </c>
      <c r="D1245" s="677">
        <v>3</v>
      </c>
      <c r="E1245" s="678" t="s">
        <v>1594</v>
      </c>
      <c r="F1245" s="170"/>
    </row>
    <row r="1246" spans="2:6" ht="15" x14ac:dyDescent="0.25">
      <c r="B1246" s="169"/>
      <c r="C1246" s="679">
        <v>3111664</v>
      </c>
      <c r="D1246" s="677">
        <v>7</v>
      </c>
      <c r="E1246" s="678" t="s">
        <v>1595</v>
      </c>
      <c r="F1246" s="170"/>
    </row>
    <row r="1247" spans="2:6" ht="15" x14ac:dyDescent="0.25">
      <c r="B1247" s="169"/>
      <c r="C1247" s="679">
        <v>3255214</v>
      </c>
      <c r="D1247" s="677">
        <v>9</v>
      </c>
      <c r="E1247" s="678" t="s">
        <v>8273</v>
      </c>
      <c r="F1247" s="170"/>
    </row>
    <row r="1248" spans="2:6" ht="15" x14ac:dyDescent="0.25">
      <c r="B1248" s="169"/>
      <c r="C1248" s="679">
        <v>3047825</v>
      </c>
      <c r="D1248" s="677">
        <v>1</v>
      </c>
      <c r="E1248" s="678" t="s">
        <v>1596</v>
      </c>
      <c r="F1248" s="170"/>
    </row>
    <row r="1249" spans="2:6" ht="15" x14ac:dyDescent="0.25">
      <c r="B1249" s="169"/>
      <c r="C1249" s="679">
        <v>3073407</v>
      </c>
      <c r="D1249" s="677">
        <v>0</v>
      </c>
      <c r="E1249" s="678" t="s">
        <v>1597</v>
      </c>
      <c r="F1249" s="170"/>
    </row>
    <row r="1250" spans="2:6" ht="15" x14ac:dyDescent="0.25">
      <c r="B1250" s="169"/>
      <c r="C1250" s="679">
        <v>3047826</v>
      </c>
      <c r="D1250" s="677">
        <v>0</v>
      </c>
      <c r="E1250" s="678" t="s">
        <v>1598</v>
      </c>
      <c r="F1250" s="170"/>
    </row>
    <row r="1251" spans="2:6" ht="15" x14ac:dyDescent="0.25">
      <c r="B1251" s="169"/>
      <c r="C1251" s="679">
        <v>3047827</v>
      </c>
      <c r="D1251" s="677">
        <v>8</v>
      </c>
      <c r="E1251" s="678" t="s">
        <v>1599</v>
      </c>
      <c r="F1251" s="170"/>
    </row>
    <row r="1252" spans="2:6" ht="15" x14ac:dyDescent="0.25">
      <c r="B1252" s="169"/>
      <c r="C1252" s="679">
        <v>3047828</v>
      </c>
      <c r="D1252" s="677">
        <v>6</v>
      </c>
      <c r="E1252" s="678" t="s">
        <v>1600</v>
      </c>
      <c r="F1252" s="170"/>
    </row>
    <row r="1253" spans="2:6" ht="15" x14ac:dyDescent="0.25">
      <c r="B1253" s="169"/>
      <c r="C1253" s="679">
        <v>3047829</v>
      </c>
      <c r="D1253" s="677">
        <v>4</v>
      </c>
      <c r="E1253" s="678" t="s">
        <v>1601</v>
      </c>
      <c r="F1253" s="170"/>
    </row>
    <row r="1254" spans="2:6" ht="15" x14ac:dyDescent="0.25">
      <c r="B1254" s="169"/>
      <c r="C1254" s="679">
        <v>3255221</v>
      </c>
      <c r="D1254" s="677">
        <v>1</v>
      </c>
      <c r="E1254" s="678" t="s">
        <v>8274</v>
      </c>
      <c r="F1254" s="170"/>
    </row>
    <row r="1255" spans="2:6" ht="15" x14ac:dyDescent="0.25">
      <c r="B1255" s="169"/>
      <c r="C1255" s="679">
        <v>3047830</v>
      </c>
      <c r="D1255" s="677">
        <v>8</v>
      </c>
      <c r="E1255" s="678" t="s">
        <v>1602</v>
      </c>
      <c r="F1255" s="170"/>
    </row>
    <row r="1256" spans="2:6" ht="15" x14ac:dyDescent="0.25">
      <c r="B1256" s="169"/>
      <c r="C1256" s="679">
        <v>3047820</v>
      </c>
      <c r="D1256" s="677">
        <v>1</v>
      </c>
      <c r="E1256" s="678" t="s">
        <v>1603</v>
      </c>
      <c r="F1256" s="170"/>
    </row>
    <row r="1257" spans="2:6" ht="15" x14ac:dyDescent="0.25">
      <c r="B1257" s="169"/>
      <c r="C1257" s="679">
        <v>3156389</v>
      </c>
      <c r="D1257" s="677">
        <v>9</v>
      </c>
      <c r="E1257" s="678" t="s">
        <v>1604</v>
      </c>
      <c r="F1257" s="170"/>
    </row>
    <row r="1258" spans="2:6" ht="15" x14ac:dyDescent="0.25">
      <c r="B1258" s="169"/>
      <c r="C1258" s="679">
        <v>3047831</v>
      </c>
      <c r="D1258" s="677">
        <v>6</v>
      </c>
      <c r="E1258" s="678" t="s">
        <v>1605</v>
      </c>
      <c r="F1258" s="170"/>
    </row>
    <row r="1259" spans="2:6" ht="15" x14ac:dyDescent="0.25">
      <c r="B1259" s="169"/>
      <c r="C1259" s="679">
        <v>3081523</v>
      </c>
      <c r="D1259" s="677">
        <v>1</v>
      </c>
      <c r="E1259" s="678" t="s">
        <v>1606</v>
      </c>
      <c r="F1259" s="170"/>
    </row>
    <row r="1260" spans="2:6" ht="15" x14ac:dyDescent="0.25">
      <c r="B1260" s="169"/>
      <c r="C1260" s="679">
        <v>3047832</v>
      </c>
      <c r="D1260" s="677">
        <v>4</v>
      </c>
      <c r="E1260" s="678" t="s">
        <v>1607</v>
      </c>
      <c r="F1260" s="170"/>
    </row>
    <row r="1261" spans="2:6" ht="15" x14ac:dyDescent="0.25">
      <c r="B1261" s="169"/>
      <c r="C1261" s="679">
        <v>3047833</v>
      </c>
      <c r="D1261" s="677">
        <v>2</v>
      </c>
      <c r="E1261" s="678" t="s">
        <v>1608</v>
      </c>
      <c r="F1261" s="170"/>
    </row>
    <row r="1262" spans="2:6" ht="15" x14ac:dyDescent="0.25">
      <c r="B1262" s="169"/>
      <c r="C1262" s="679">
        <v>3047834</v>
      </c>
      <c r="D1262" s="677">
        <v>1</v>
      </c>
      <c r="E1262" s="678" t="s">
        <v>1609</v>
      </c>
      <c r="F1262" s="170"/>
    </row>
    <row r="1263" spans="2:6" ht="15" x14ac:dyDescent="0.25">
      <c r="B1263" s="169"/>
      <c r="C1263" s="679">
        <v>3047835</v>
      </c>
      <c r="D1263" s="677">
        <v>9</v>
      </c>
      <c r="E1263" s="678" t="s">
        <v>1610</v>
      </c>
      <c r="F1263" s="170"/>
    </row>
    <row r="1264" spans="2:6" ht="15" x14ac:dyDescent="0.25">
      <c r="B1264" s="169"/>
      <c r="C1264" s="679">
        <v>3047836</v>
      </c>
      <c r="D1264" s="677">
        <v>7</v>
      </c>
      <c r="E1264" s="678" t="s">
        <v>1611</v>
      </c>
      <c r="F1264" s="170"/>
    </row>
    <row r="1265" spans="2:6" ht="15" x14ac:dyDescent="0.25">
      <c r="B1265" s="169"/>
      <c r="C1265" s="679">
        <v>3047837</v>
      </c>
      <c r="D1265" s="677">
        <v>5</v>
      </c>
      <c r="E1265" s="678" t="s">
        <v>1612</v>
      </c>
      <c r="F1265" s="170"/>
    </row>
    <row r="1266" spans="2:6" ht="15" x14ac:dyDescent="0.25">
      <c r="B1266" s="169"/>
      <c r="C1266" s="679">
        <v>3047838</v>
      </c>
      <c r="D1266" s="677">
        <v>3</v>
      </c>
      <c r="E1266" s="678" t="s">
        <v>1613</v>
      </c>
      <c r="F1266" s="170"/>
    </row>
    <row r="1267" spans="2:6" ht="15" x14ac:dyDescent="0.25">
      <c r="B1267" s="169"/>
      <c r="C1267" s="679">
        <v>3106801</v>
      </c>
      <c r="D1267" s="677">
        <v>4</v>
      </c>
      <c r="E1267" s="678" t="s">
        <v>1614</v>
      </c>
      <c r="F1267" s="170"/>
    </row>
    <row r="1268" spans="2:6" ht="15" x14ac:dyDescent="0.25">
      <c r="B1268" s="169"/>
      <c r="C1268" s="679">
        <v>3047839</v>
      </c>
      <c r="D1268" s="677">
        <v>1</v>
      </c>
      <c r="E1268" s="678" t="s">
        <v>1615</v>
      </c>
      <c r="F1268" s="170"/>
    </row>
    <row r="1269" spans="2:6" ht="15" x14ac:dyDescent="0.25">
      <c r="B1269" s="169"/>
      <c r="C1269" s="679">
        <v>3047840</v>
      </c>
      <c r="D1269" s="677">
        <v>5</v>
      </c>
      <c r="E1269" s="678" t="s">
        <v>1616</v>
      </c>
      <c r="F1269" s="170"/>
    </row>
    <row r="1270" spans="2:6" ht="15" x14ac:dyDescent="0.25">
      <c r="B1270" s="169"/>
      <c r="C1270" s="679">
        <v>3047841</v>
      </c>
      <c r="D1270" s="677">
        <v>3</v>
      </c>
      <c r="E1270" s="678" t="s">
        <v>1617</v>
      </c>
      <c r="F1270" s="170"/>
    </row>
    <row r="1271" spans="2:6" ht="15" x14ac:dyDescent="0.25">
      <c r="B1271" s="169"/>
      <c r="C1271" s="679">
        <v>3047842</v>
      </c>
      <c r="D1271" s="677">
        <v>1</v>
      </c>
      <c r="E1271" s="678" t="s">
        <v>1618</v>
      </c>
      <c r="F1271" s="170"/>
    </row>
    <row r="1272" spans="2:6" ht="15" x14ac:dyDescent="0.25">
      <c r="B1272" s="169"/>
      <c r="C1272" s="679">
        <v>3047843</v>
      </c>
      <c r="D1272" s="677">
        <v>0</v>
      </c>
      <c r="E1272" s="678" t="s">
        <v>1619</v>
      </c>
      <c r="F1272" s="170"/>
    </row>
    <row r="1273" spans="2:6" ht="15" x14ac:dyDescent="0.25">
      <c r="B1273" s="169"/>
      <c r="C1273" s="679">
        <v>3047844</v>
      </c>
      <c r="D1273" s="677">
        <v>8</v>
      </c>
      <c r="E1273" s="678" t="s">
        <v>1620</v>
      </c>
      <c r="F1273" s="170"/>
    </row>
    <row r="1274" spans="2:6" ht="15" x14ac:dyDescent="0.25">
      <c r="B1274" s="169"/>
      <c r="C1274" s="679">
        <v>3047845</v>
      </c>
      <c r="D1274" s="677">
        <v>6</v>
      </c>
      <c r="E1274" s="678" t="s">
        <v>1621</v>
      </c>
      <c r="F1274" s="170"/>
    </row>
    <row r="1275" spans="2:6" ht="15" x14ac:dyDescent="0.25">
      <c r="B1275" s="169"/>
      <c r="C1275" s="679">
        <v>3047846</v>
      </c>
      <c r="D1275" s="677">
        <v>4</v>
      </c>
      <c r="E1275" s="678" t="s">
        <v>1622</v>
      </c>
      <c r="F1275" s="170"/>
    </row>
    <row r="1276" spans="2:6" ht="15" x14ac:dyDescent="0.25">
      <c r="B1276" s="169"/>
      <c r="C1276" s="679">
        <v>3047847</v>
      </c>
      <c r="D1276" s="677">
        <v>2</v>
      </c>
      <c r="E1276" s="678" t="s">
        <v>1623</v>
      </c>
      <c r="F1276" s="170"/>
    </row>
    <row r="1277" spans="2:6" ht="15" x14ac:dyDescent="0.25">
      <c r="B1277" s="169"/>
      <c r="C1277" s="679">
        <v>3047848</v>
      </c>
      <c r="D1277" s="677">
        <v>1</v>
      </c>
      <c r="E1277" s="678" t="s">
        <v>1624</v>
      </c>
      <c r="F1277" s="170"/>
    </row>
    <row r="1278" spans="2:6" ht="15" x14ac:dyDescent="0.25">
      <c r="B1278" s="169"/>
      <c r="C1278" s="679">
        <v>3047849</v>
      </c>
      <c r="D1278" s="677">
        <v>9</v>
      </c>
      <c r="E1278" s="678" t="s">
        <v>1625</v>
      </c>
      <c r="F1278" s="170"/>
    </row>
    <row r="1279" spans="2:6" ht="15" x14ac:dyDescent="0.25">
      <c r="B1279" s="169"/>
      <c r="C1279" s="679">
        <v>3047850</v>
      </c>
      <c r="D1279" s="677">
        <v>2</v>
      </c>
      <c r="E1279" s="678" t="s">
        <v>1626</v>
      </c>
      <c r="F1279" s="170"/>
    </row>
    <row r="1280" spans="2:6" ht="15" x14ac:dyDescent="0.25">
      <c r="B1280" s="169"/>
      <c r="C1280" s="679">
        <v>3047851</v>
      </c>
      <c r="D1280" s="677">
        <v>1</v>
      </c>
      <c r="E1280" s="678" t="s">
        <v>1627</v>
      </c>
      <c r="F1280" s="170"/>
    </row>
    <row r="1281" spans="2:6" ht="15" x14ac:dyDescent="0.25">
      <c r="B1281" s="169"/>
      <c r="C1281" s="679">
        <v>3073738</v>
      </c>
      <c r="D1281" s="677">
        <v>9</v>
      </c>
      <c r="E1281" s="678" t="s">
        <v>1628</v>
      </c>
      <c r="F1281" s="170"/>
    </row>
    <row r="1282" spans="2:6" ht="15" x14ac:dyDescent="0.25">
      <c r="B1282" s="169"/>
      <c r="C1282" s="679">
        <v>3047852</v>
      </c>
      <c r="D1282" s="677">
        <v>9</v>
      </c>
      <c r="E1282" s="678" t="s">
        <v>1629</v>
      </c>
      <c r="F1282" s="170"/>
    </row>
    <row r="1283" spans="2:6" ht="15" x14ac:dyDescent="0.25">
      <c r="B1283" s="169"/>
      <c r="C1283" s="679">
        <v>3047853</v>
      </c>
      <c r="D1283" s="677">
        <v>7</v>
      </c>
      <c r="E1283" s="678" t="s">
        <v>1630</v>
      </c>
      <c r="F1283" s="170"/>
    </row>
    <row r="1284" spans="2:6" ht="15" x14ac:dyDescent="0.25">
      <c r="B1284" s="169"/>
      <c r="C1284" s="679">
        <v>3047854</v>
      </c>
      <c r="D1284" s="677">
        <v>5</v>
      </c>
      <c r="E1284" s="678" t="s">
        <v>1631</v>
      </c>
      <c r="F1284" s="170"/>
    </row>
    <row r="1285" spans="2:6" ht="15" x14ac:dyDescent="0.25">
      <c r="B1285" s="169"/>
      <c r="C1285" s="679">
        <v>3047856</v>
      </c>
      <c r="D1285" s="677">
        <v>1</v>
      </c>
      <c r="E1285" s="678" t="s">
        <v>1632</v>
      </c>
      <c r="F1285" s="170"/>
    </row>
    <row r="1286" spans="2:6" ht="15" x14ac:dyDescent="0.25">
      <c r="B1286" s="169"/>
      <c r="C1286" s="679">
        <v>3047857</v>
      </c>
      <c r="D1286" s="677">
        <v>0</v>
      </c>
      <c r="E1286" s="678" t="s">
        <v>1633</v>
      </c>
      <c r="F1286" s="170"/>
    </row>
    <row r="1287" spans="2:6" ht="15" x14ac:dyDescent="0.25">
      <c r="B1287" s="169"/>
      <c r="C1287" s="679">
        <v>3047858</v>
      </c>
      <c r="D1287" s="677">
        <v>8</v>
      </c>
      <c r="E1287" s="678" t="s">
        <v>1634</v>
      </c>
      <c r="F1287" s="170"/>
    </row>
    <row r="1288" spans="2:6" ht="15" x14ac:dyDescent="0.25">
      <c r="B1288" s="169"/>
      <c r="C1288" s="679">
        <v>3047859</v>
      </c>
      <c r="D1288" s="677">
        <v>6</v>
      </c>
      <c r="E1288" s="678" t="s">
        <v>1635</v>
      </c>
      <c r="F1288" s="170"/>
    </row>
    <row r="1289" spans="2:6" ht="15" x14ac:dyDescent="0.25">
      <c r="B1289" s="169"/>
      <c r="C1289" s="679">
        <v>3047860</v>
      </c>
      <c r="D1289" s="677">
        <v>0</v>
      </c>
      <c r="E1289" s="678" t="s">
        <v>1636</v>
      </c>
      <c r="F1289" s="170"/>
    </row>
    <row r="1290" spans="2:6" ht="15" x14ac:dyDescent="0.25">
      <c r="B1290" s="169"/>
      <c r="C1290" s="679">
        <v>3047861</v>
      </c>
      <c r="D1290" s="677">
        <v>8</v>
      </c>
      <c r="E1290" s="678" t="s">
        <v>1637</v>
      </c>
      <c r="F1290" s="170"/>
    </row>
    <row r="1291" spans="2:6" ht="15" x14ac:dyDescent="0.25">
      <c r="B1291" s="169"/>
      <c r="C1291" s="679">
        <v>3047862</v>
      </c>
      <c r="D1291" s="677">
        <v>6</v>
      </c>
      <c r="E1291" s="678" t="s">
        <v>1638</v>
      </c>
      <c r="F1291" s="170"/>
    </row>
    <row r="1292" spans="2:6" ht="15" x14ac:dyDescent="0.25">
      <c r="B1292" s="169"/>
      <c r="C1292" s="679">
        <v>3047863</v>
      </c>
      <c r="D1292" s="677">
        <v>4</v>
      </c>
      <c r="E1292" s="678" t="s">
        <v>1639</v>
      </c>
      <c r="F1292" s="170"/>
    </row>
    <row r="1293" spans="2:6" ht="15" x14ac:dyDescent="0.25">
      <c r="B1293" s="169"/>
      <c r="C1293" s="679">
        <v>3047864</v>
      </c>
      <c r="D1293" s="677">
        <v>2</v>
      </c>
      <c r="E1293" s="678" t="s">
        <v>1640</v>
      </c>
      <c r="F1293" s="170"/>
    </row>
    <row r="1294" spans="2:6" ht="15" x14ac:dyDescent="0.25">
      <c r="B1294" s="169"/>
      <c r="C1294" s="679">
        <v>3047865</v>
      </c>
      <c r="D1294" s="677">
        <v>1</v>
      </c>
      <c r="E1294" s="678" t="s">
        <v>1641</v>
      </c>
      <c r="F1294" s="170"/>
    </row>
    <row r="1295" spans="2:6" ht="15" x14ac:dyDescent="0.25">
      <c r="B1295" s="169"/>
      <c r="C1295" s="679">
        <v>3047866</v>
      </c>
      <c r="D1295" s="677">
        <v>9</v>
      </c>
      <c r="E1295" s="678" t="s">
        <v>1642</v>
      </c>
      <c r="F1295" s="170"/>
    </row>
    <row r="1296" spans="2:6" ht="15" x14ac:dyDescent="0.25">
      <c r="B1296" s="169"/>
      <c r="C1296" s="679">
        <v>3047867</v>
      </c>
      <c r="D1296" s="677">
        <v>7</v>
      </c>
      <c r="E1296" s="678" t="s">
        <v>1643</v>
      </c>
      <c r="F1296" s="170"/>
    </row>
    <row r="1297" spans="2:6" ht="15" x14ac:dyDescent="0.25">
      <c r="B1297" s="169"/>
      <c r="C1297" s="679">
        <v>3047868</v>
      </c>
      <c r="D1297" s="677">
        <v>5</v>
      </c>
      <c r="E1297" s="678" t="s">
        <v>1644</v>
      </c>
      <c r="F1297" s="170"/>
    </row>
    <row r="1298" spans="2:6" ht="15" x14ac:dyDescent="0.25">
      <c r="B1298" s="169"/>
      <c r="C1298" s="679">
        <v>3047869</v>
      </c>
      <c r="D1298" s="677">
        <v>3</v>
      </c>
      <c r="E1298" s="678" t="s">
        <v>1645</v>
      </c>
      <c r="F1298" s="170"/>
    </row>
    <row r="1299" spans="2:6" ht="15" x14ac:dyDescent="0.25">
      <c r="B1299" s="169"/>
      <c r="C1299" s="679">
        <v>3069244</v>
      </c>
      <c r="D1299" s="677">
        <v>0</v>
      </c>
      <c r="E1299" s="678" t="s">
        <v>1646</v>
      </c>
      <c r="F1299" s="170"/>
    </row>
    <row r="1300" spans="2:6" ht="15" x14ac:dyDescent="0.25">
      <c r="B1300" s="169"/>
      <c r="C1300" s="679">
        <v>3047855</v>
      </c>
      <c r="D1300" s="677">
        <v>3</v>
      </c>
      <c r="E1300" s="678" t="s">
        <v>1647</v>
      </c>
      <c r="F1300" s="170"/>
    </row>
    <row r="1301" spans="2:6" ht="15" x14ac:dyDescent="0.25">
      <c r="B1301" s="169"/>
      <c r="C1301" s="679">
        <v>3047870</v>
      </c>
      <c r="D1301" s="677">
        <v>7</v>
      </c>
      <c r="E1301" s="678" t="s">
        <v>1648</v>
      </c>
      <c r="F1301" s="170"/>
    </row>
    <row r="1302" spans="2:6" ht="15" x14ac:dyDescent="0.25">
      <c r="B1302" s="169"/>
      <c r="C1302" s="679">
        <v>3154569</v>
      </c>
      <c r="D1302" s="677">
        <v>6</v>
      </c>
      <c r="E1302" s="678" t="s">
        <v>1649</v>
      </c>
      <c r="F1302" s="170"/>
    </row>
    <row r="1303" spans="2:6" ht="15" x14ac:dyDescent="0.25">
      <c r="B1303" s="169"/>
      <c r="C1303" s="679">
        <v>2962339</v>
      </c>
      <c r="D1303" s="677">
        <v>1</v>
      </c>
      <c r="E1303" s="678" t="s">
        <v>1650</v>
      </c>
      <c r="F1303" s="170"/>
    </row>
    <row r="1304" spans="2:6" ht="15" x14ac:dyDescent="0.25">
      <c r="B1304" s="169"/>
      <c r="C1304" s="679">
        <v>3075024</v>
      </c>
      <c r="D1304" s="677">
        <v>5</v>
      </c>
      <c r="E1304" s="678" t="s">
        <v>1651</v>
      </c>
      <c r="F1304" s="170"/>
    </row>
    <row r="1305" spans="2:6" ht="15" x14ac:dyDescent="0.25">
      <c r="B1305" s="169"/>
      <c r="C1305" s="679">
        <v>2962340</v>
      </c>
      <c r="D1305" s="677">
        <v>5</v>
      </c>
      <c r="E1305" s="678" t="s">
        <v>1652</v>
      </c>
      <c r="F1305" s="170"/>
    </row>
    <row r="1306" spans="2:6" ht="15" x14ac:dyDescent="0.25">
      <c r="B1306" s="169"/>
      <c r="C1306" s="679">
        <v>3047871</v>
      </c>
      <c r="D1306" s="677">
        <v>5</v>
      </c>
      <c r="E1306" s="678" t="s">
        <v>1653</v>
      </c>
      <c r="F1306" s="170"/>
    </row>
    <row r="1307" spans="2:6" ht="15" x14ac:dyDescent="0.25">
      <c r="B1307" s="169"/>
      <c r="C1307" s="679">
        <v>3047872</v>
      </c>
      <c r="D1307" s="677">
        <v>3</v>
      </c>
      <c r="E1307" s="678" t="s">
        <v>1654</v>
      </c>
      <c r="F1307" s="170"/>
    </row>
    <row r="1308" spans="2:6" ht="15" x14ac:dyDescent="0.25">
      <c r="B1308" s="169"/>
      <c r="C1308" s="679">
        <v>3047873</v>
      </c>
      <c r="D1308" s="677">
        <v>1</v>
      </c>
      <c r="E1308" s="678" t="s">
        <v>1655</v>
      </c>
      <c r="F1308" s="170"/>
    </row>
    <row r="1309" spans="2:6" ht="15" x14ac:dyDescent="0.25">
      <c r="B1309" s="169"/>
      <c r="C1309" s="679">
        <v>3047874</v>
      </c>
      <c r="D1309" s="677">
        <v>0</v>
      </c>
      <c r="E1309" s="678" t="s">
        <v>1656</v>
      </c>
      <c r="F1309" s="170"/>
    </row>
    <row r="1310" spans="2:6" ht="15" x14ac:dyDescent="0.25">
      <c r="B1310" s="169"/>
      <c r="C1310" s="679">
        <v>3047875</v>
      </c>
      <c r="D1310" s="677">
        <v>8</v>
      </c>
      <c r="E1310" s="678" t="s">
        <v>1657</v>
      </c>
      <c r="F1310" s="170"/>
    </row>
    <row r="1311" spans="2:6" ht="15" x14ac:dyDescent="0.25">
      <c r="B1311" s="169"/>
      <c r="C1311" s="679">
        <v>3047876</v>
      </c>
      <c r="D1311" s="677">
        <v>6</v>
      </c>
      <c r="E1311" s="678" t="s">
        <v>1658</v>
      </c>
      <c r="F1311" s="170"/>
    </row>
    <row r="1312" spans="2:6" ht="15" x14ac:dyDescent="0.25">
      <c r="B1312" s="169"/>
      <c r="C1312" s="679">
        <v>3047877</v>
      </c>
      <c r="D1312" s="677">
        <v>4</v>
      </c>
      <c r="E1312" s="678" t="s">
        <v>1659</v>
      </c>
      <c r="F1312" s="170"/>
    </row>
    <row r="1313" spans="2:6" ht="15" x14ac:dyDescent="0.25">
      <c r="B1313" s="169"/>
      <c r="C1313" s="679">
        <v>3047878</v>
      </c>
      <c r="D1313" s="677">
        <v>2</v>
      </c>
      <c r="E1313" s="678" t="s">
        <v>1660</v>
      </c>
      <c r="F1313" s="170"/>
    </row>
    <row r="1314" spans="2:6" ht="15" x14ac:dyDescent="0.25">
      <c r="B1314" s="169"/>
      <c r="C1314" s="679">
        <v>3047879</v>
      </c>
      <c r="D1314" s="677">
        <v>1</v>
      </c>
      <c r="E1314" s="678" t="s">
        <v>1661</v>
      </c>
      <c r="F1314" s="170"/>
    </row>
    <row r="1315" spans="2:6" ht="15" x14ac:dyDescent="0.25">
      <c r="B1315" s="169"/>
      <c r="C1315" s="679">
        <v>3047880</v>
      </c>
      <c r="D1315" s="677">
        <v>4</v>
      </c>
      <c r="E1315" s="678" t="s">
        <v>1662</v>
      </c>
      <c r="F1315" s="170"/>
    </row>
    <row r="1316" spans="2:6" ht="15" x14ac:dyDescent="0.25">
      <c r="B1316" s="169"/>
      <c r="C1316" s="679">
        <v>3047881</v>
      </c>
      <c r="D1316" s="677">
        <v>2</v>
      </c>
      <c r="E1316" s="678" t="s">
        <v>1663</v>
      </c>
      <c r="F1316" s="170"/>
    </row>
    <row r="1317" spans="2:6" ht="15" x14ac:dyDescent="0.25">
      <c r="B1317" s="169"/>
      <c r="C1317" s="679">
        <v>3047882</v>
      </c>
      <c r="D1317" s="677">
        <v>1</v>
      </c>
      <c r="E1317" s="678" t="s">
        <v>1664</v>
      </c>
      <c r="F1317" s="170"/>
    </row>
    <row r="1318" spans="2:6" ht="15" x14ac:dyDescent="0.25">
      <c r="B1318" s="169"/>
      <c r="C1318" s="679">
        <v>3237354</v>
      </c>
      <c r="D1318" s="677">
        <v>6</v>
      </c>
      <c r="E1318" s="678" t="s">
        <v>8275</v>
      </c>
      <c r="F1318" s="170"/>
    </row>
    <row r="1319" spans="2:6" ht="15" x14ac:dyDescent="0.25">
      <c r="B1319" s="169"/>
      <c r="C1319" s="679">
        <v>3112398</v>
      </c>
      <c r="D1319" s="677">
        <v>8</v>
      </c>
      <c r="E1319" s="678" t="s">
        <v>1665</v>
      </c>
      <c r="F1319" s="170"/>
    </row>
    <row r="1320" spans="2:6" ht="15" x14ac:dyDescent="0.25">
      <c r="B1320" s="169"/>
      <c r="C1320" s="679">
        <v>3047883</v>
      </c>
      <c r="D1320" s="677">
        <v>9</v>
      </c>
      <c r="E1320" s="678" t="s">
        <v>1666</v>
      </c>
      <c r="F1320" s="170"/>
    </row>
    <row r="1321" spans="2:6" ht="15" x14ac:dyDescent="0.25">
      <c r="B1321" s="169"/>
      <c r="C1321" s="679">
        <v>3047884</v>
      </c>
      <c r="D1321" s="677">
        <v>7</v>
      </c>
      <c r="E1321" s="678" t="s">
        <v>1667</v>
      </c>
      <c r="F1321" s="170"/>
    </row>
    <row r="1322" spans="2:6" ht="15" x14ac:dyDescent="0.25">
      <c r="B1322" s="169"/>
      <c r="C1322" s="679">
        <v>3047885</v>
      </c>
      <c r="D1322" s="677">
        <v>5</v>
      </c>
      <c r="E1322" s="678" t="s">
        <v>1668</v>
      </c>
      <c r="F1322" s="170"/>
    </row>
    <row r="1323" spans="2:6" ht="15" x14ac:dyDescent="0.25">
      <c r="B1323" s="169"/>
      <c r="C1323" s="679">
        <v>3047886</v>
      </c>
      <c r="D1323" s="677">
        <v>3</v>
      </c>
      <c r="E1323" s="678" t="s">
        <v>1669</v>
      </c>
      <c r="F1323" s="170"/>
    </row>
    <row r="1324" spans="2:6" ht="15" x14ac:dyDescent="0.25">
      <c r="B1324" s="169"/>
      <c r="C1324" s="679">
        <v>3047887</v>
      </c>
      <c r="D1324" s="677">
        <v>1</v>
      </c>
      <c r="E1324" s="678" t="s">
        <v>1670</v>
      </c>
      <c r="F1324" s="170"/>
    </row>
    <row r="1325" spans="2:6" ht="15" x14ac:dyDescent="0.25">
      <c r="B1325" s="169"/>
      <c r="C1325" s="679">
        <v>3047888</v>
      </c>
      <c r="D1325" s="677">
        <v>0</v>
      </c>
      <c r="E1325" s="678" t="s">
        <v>1671</v>
      </c>
      <c r="F1325" s="170"/>
    </row>
    <row r="1326" spans="2:6" ht="15" x14ac:dyDescent="0.25">
      <c r="B1326" s="169"/>
      <c r="C1326" s="679">
        <v>3047889</v>
      </c>
      <c r="D1326" s="677">
        <v>8</v>
      </c>
      <c r="E1326" s="678" t="s">
        <v>1672</v>
      </c>
      <c r="F1326" s="170"/>
    </row>
    <row r="1327" spans="2:6" ht="15" x14ac:dyDescent="0.25">
      <c r="B1327" s="169"/>
      <c r="C1327" s="679">
        <v>3047890</v>
      </c>
      <c r="D1327" s="677">
        <v>1</v>
      </c>
      <c r="E1327" s="678" t="s">
        <v>1673</v>
      </c>
      <c r="F1327" s="170"/>
    </row>
    <row r="1328" spans="2:6" ht="15" x14ac:dyDescent="0.25">
      <c r="B1328" s="169"/>
      <c r="C1328" s="679">
        <v>3047891</v>
      </c>
      <c r="D1328" s="677">
        <v>0</v>
      </c>
      <c r="E1328" s="678" t="s">
        <v>1674</v>
      </c>
      <c r="F1328" s="170"/>
    </row>
    <row r="1329" spans="2:6" ht="15" x14ac:dyDescent="0.25">
      <c r="B1329" s="169"/>
      <c r="C1329" s="679">
        <v>3047892</v>
      </c>
      <c r="D1329" s="677">
        <v>8</v>
      </c>
      <c r="E1329" s="678" t="s">
        <v>1675</v>
      </c>
      <c r="F1329" s="170"/>
    </row>
    <row r="1330" spans="2:6" ht="15" x14ac:dyDescent="0.25">
      <c r="B1330" s="169"/>
      <c r="C1330" s="679">
        <v>3047893</v>
      </c>
      <c r="D1330" s="677">
        <v>6</v>
      </c>
      <c r="E1330" s="678" t="s">
        <v>1676</v>
      </c>
      <c r="F1330" s="170"/>
    </row>
    <row r="1331" spans="2:6" ht="15" x14ac:dyDescent="0.25">
      <c r="B1331" s="169"/>
      <c r="C1331" s="679">
        <v>3047894</v>
      </c>
      <c r="D1331" s="677">
        <v>4</v>
      </c>
      <c r="E1331" s="678" t="s">
        <v>1677</v>
      </c>
      <c r="F1331" s="170"/>
    </row>
    <row r="1332" spans="2:6" ht="15" x14ac:dyDescent="0.25">
      <c r="B1332" s="169"/>
      <c r="C1332" s="679">
        <v>3047895</v>
      </c>
      <c r="D1332" s="677">
        <v>2</v>
      </c>
      <c r="E1332" s="678" t="s">
        <v>1678</v>
      </c>
      <c r="F1332" s="170"/>
    </row>
    <row r="1333" spans="2:6" ht="15" x14ac:dyDescent="0.25">
      <c r="B1333" s="169"/>
      <c r="C1333" s="679">
        <v>3047896</v>
      </c>
      <c r="D1333" s="677">
        <v>1</v>
      </c>
      <c r="E1333" s="678" t="s">
        <v>1679</v>
      </c>
      <c r="F1333" s="170"/>
    </row>
    <row r="1334" spans="2:6" ht="15" x14ac:dyDescent="0.25">
      <c r="B1334" s="169"/>
      <c r="C1334" s="679">
        <v>3047897</v>
      </c>
      <c r="D1334" s="677">
        <v>9</v>
      </c>
      <c r="E1334" s="678" t="s">
        <v>1680</v>
      </c>
      <c r="F1334" s="170"/>
    </row>
    <row r="1335" spans="2:6" ht="15" x14ac:dyDescent="0.25">
      <c r="B1335" s="169"/>
      <c r="C1335" s="679">
        <v>3047898</v>
      </c>
      <c r="D1335" s="677">
        <v>7</v>
      </c>
      <c r="E1335" s="678" t="s">
        <v>1681</v>
      </c>
      <c r="F1335" s="170"/>
    </row>
    <row r="1336" spans="2:6" ht="15" x14ac:dyDescent="0.25">
      <c r="B1336" s="169"/>
      <c r="C1336" s="679">
        <v>3047899</v>
      </c>
      <c r="D1336" s="677">
        <v>5</v>
      </c>
      <c r="E1336" s="678" t="s">
        <v>1682</v>
      </c>
      <c r="F1336" s="170"/>
    </row>
    <row r="1337" spans="2:6" ht="15" x14ac:dyDescent="0.25">
      <c r="B1337" s="169"/>
      <c r="C1337" s="679">
        <v>3047900</v>
      </c>
      <c r="D1337" s="677">
        <v>2</v>
      </c>
      <c r="E1337" s="678" t="s">
        <v>1683</v>
      </c>
      <c r="F1337" s="170"/>
    </row>
    <row r="1338" spans="2:6" ht="15" x14ac:dyDescent="0.25">
      <c r="B1338" s="169"/>
      <c r="C1338" s="679">
        <v>3344101</v>
      </c>
      <c r="D1338" s="677">
        <v>4</v>
      </c>
      <c r="E1338" s="678" t="s">
        <v>8276</v>
      </c>
      <c r="F1338" s="170"/>
    </row>
    <row r="1339" spans="2:6" ht="15" x14ac:dyDescent="0.25">
      <c r="B1339" s="169"/>
      <c r="C1339" s="679">
        <v>3047901</v>
      </c>
      <c r="D1339" s="677">
        <v>1</v>
      </c>
      <c r="E1339" s="678" t="s">
        <v>1684</v>
      </c>
      <c r="F1339" s="170"/>
    </row>
    <row r="1340" spans="2:6" ht="15" x14ac:dyDescent="0.25">
      <c r="B1340" s="169"/>
      <c r="C1340" s="679">
        <v>3047902</v>
      </c>
      <c r="D1340" s="677">
        <v>9</v>
      </c>
      <c r="E1340" s="678" t="s">
        <v>1685</v>
      </c>
      <c r="F1340" s="170"/>
    </row>
    <row r="1341" spans="2:6" ht="15" x14ac:dyDescent="0.25">
      <c r="B1341" s="169"/>
      <c r="C1341" s="679">
        <v>3047903</v>
      </c>
      <c r="D1341" s="677">
        <v>7</v>
      </c>
      <c r="E1341" s="678" t="s">
        <v>1686</v>
      </c>
      <c r="F1341" s="170"/>
    </row>
    <row r="1342" spans="2:6" ht="15" x14ac:dyDescent="0.25">
      <c r="B1342" s="169"/>
      <c r="C1342" s="679">
        <v>3047904</v>
      </c>
      <c r="D1342" s="677">
        <v>5</v>
      </c>
      <c r="E1342" s="678" t="s">
        <v>1687</v>
      </c>
      <c r="F1342" s="170"/>
    </row>
    <row r="1343" spans="2:6" ht="15" x14ac:dyDescent="0.25">
      <c r="B1343" s="169"/>
      <c r="C1343" s="679">
        <v>3047905</v>
      </c>
      <c r="D1343" s="677">
        <v>3</v>
      </c>
      <c r="E1343" s="678" t="s">
        <v>1688</v>
      </c>
      <c r="F1343" s="170"/>
    </row>
    <row r="1344" spans="2:6" ht="15" x14ac:dyDescent="0.25">
      <c r="B1344" s="169"/>
      <c r="C1344" s="679">
        <v>3047906</v>
      </c>
      <c r="D1344" s="677">
        <v>1</v>
      </c>
      <c r="E1344" s="678" t="s">
        <v>1689</v>
      </c>
      <c r="F1344" s="170"/>
    </row>
    <row r="1345" spans="2:6" ht="15" x14ac:dyDescent="0.25">
      <c r="B1345" s="169"/>
      <c r="C1345" s="679">
        <v>3047907</v>
      </c>
      <c r="D1345" s="677">
        <v>0</v>
      </c>
      <c r="E1345" s="678" t="s">
        <v>1690</v>
      </c>
      <c r="F1345" s="170"/>
    </row>
    <row r="1346" spans="2:6" ht="15" x14ac:dyDescent="0.25">
      <c r="B1346" s="169"/>
      <c r="C1346" s="679">
        <v>3047908</v>
      </c>
      <c r="D1346" s="677">
        <v>8</v>
      </c>
      <c r="E1346" s="678" t="s">
        <v>1691</v>
      </c>
      <c r="F1346" s="170"/>
    </row>
    <row r="1347" spans="2:6" ht="15" x14ac:dyDescent="0.25">
      <c r="B1347" s="169"/>
      <c r="C1347" s="679">
        <v>3047909</v>
      </c>
      <c r="D1347" s="677">
        <v>6</v>
      </c>
      <c r="E1347" s="678" t="s">
        <v>1692</v>
      </c>
      <c r="F1347" s="170"/>
    </row>
    <row r="1348" spans="2:6" ht="15" x14ac:dyDescent="0.25">
      <c r="B1348" s="169"/>
      <c r="C1348" s="679">
        <v>3047910</v>
      </c>
      <c r="D1348" s="677">
        <v>0</v>
      </c>
      <c r="E1348" s="678" t="s">
        <v>1693</v>
      </c>
      <c r="F1348" s="170"/>
    </row>
    <row r="1349" spans="2:6" ht="15" x14ac:dyDescent="0.25">
      <c r="B1349" s="169"/>
      <c r="C1349" s="679">
        <v>3047911</v>
      </c>
      <c r="D1349" s="677">
        <v>8</v>
      </c>
      <c r="E1349" s="678" t="s">
        <v>1694</v>
      </c>
      <c r="F1349" s="170"/>
    </row>
    <row r="1350" spans="2:6" ht="15" x14ac:dyDescent="0.25">
      <c r="B1350" s="169"/>
      <c r="C1350" s="679">
        <v>3047912</v>
      </c>
      <c r="D1350" s="677">
        <v>6</v>
      </c>
      <c r="E1350" s="678" t="s">
        <v>1695</v>
      </c>
      <c r="F1350" s="170"/>
    </row>
    <row r="1351" spans="2:6" ht="15" x14ac:dyDescent="0.25">
      <c r="B1351" s="169"/>
      <c r="C1351" s="679">
        <v>3047913</v>
      </c>
      <c r="D1351" s="677">
        <v>4</v>
      </c>
      <c r="E1351" s="678" t="s">
        <v>1696</v>
      </c>
      <c r="F1351" s="170"/>
    </row>
    <row r="1352" spans="2:6" ht="15" x14ac:dyDescent="0.25">
      <c r="B1352" s="169"/>
      <c r="C1352" s="679">
        <v>3047914</v>
      </c>
      <c r="D1352" s="677">
        <v>2</v>
      </c>
      <c r="E1352" s="678" t="s">
        <v>1697</v>
      </c>
      <c r="F1352" s="170"/>
    </row>
    <row r="1353" spans="2:6" ht="15" x14ac:dyDescent="0.25">
      <c r="B1353" s="169"/>
      <c r="C1353" s="679">
        <v>3047915</v>
      </c>
      <c r="D1353" s="677">
        <v>1</v>
      </c>
      <c r="E1353" s="678" t="s">
        <v>1698</v>
      </c>
      <c r="F1353" s="170"/>
    </row>
    <row r="1354" spans="2:6" ht="15" x14ac:dyDescent="0.25">
      <c r="B1354" s="169"/>
      <c r="C1354" s="679">
        <v>3047917</v>
      </c>
      <c r="D1354" s="677">
        <v>7</v>
      </c>
      <c r="E1354" s="678" t="s">
        <v>1699</v>
      </c>
      <c r="F1354" s="170"/>
    </row>
    <row r="1355" spans="2:6" ht="15" x14ac:dyDescent="0.25">
      <c r="B1355" s="169"/>
      <c r="C1355" s="679">
        <v>3047916</v>
      </c>
      <c r="D1355" s="677">
        <v>9</v>
      </c>
      <c r="E1355" s="678" t="s">
        <v>1700</v>
      </c>
      <c r="F1355" s="170"/>
    </row>
    <row r="1356" spans="2:6" ht="15" x14ac:dyDescent="0.25">
      <c r="B1356" s="169"/>
      <c r="C1356" s="679">
        <v>3047918</v>
      </c>
      <c r="D1356" s="677">
        <v>5</v>
      </c>
      <c r="E1356" s="678" t="s">
        <v>1701</v>
      </c>
      <c r="F1356" s="170"/>
    </row>
    <row r="1357" spans="2:6" ht="15" x14ac:dyDescent="0.25">
      <c r="B1357" s="169"/>
      <c r="C1357" s="679">
        <v>3047919</v>
      </c>
      <c r="D1357" s="677">
        <v>3</v>
      </c>
      <c r="E1357" s="678" t="s">
        <v>1702</v>
      </c>
      <c r="F1357" s="170"/>
    </row>
    <row r="1358" spans="2:6" ht="15" x14ac:dyDescent="0.25">
      <c r="B1358" s="169"/>
      <c r="C1358" s="679">
        <v>3047920</v>
      </c>
      <c r="D1358" s="677">
        <v>7</v>
      </c>
      <c r="E1358" s="678" t="s">
        <v>1703</v>
      </c>
      <c r="F1358" s="170"/>
    </row>
    <row r="1359" spans="2:6" ht="15" x14ac:dyDescent="0.25">
      <c r="B1359" s="169"/>
      <c r="C1359" s="679">
        <v>3047921</v>
      </c>
      <c r="D1359" s="677">
        <v>5</v>
      </c>
      <c r="E1359" s="678" t="s">
        <v>1704</v>
      </c>
      <c r="F1359" s="170"/>
    </row>
    <row r="1360" spans="2:6" ht="15" x14ac:dyDescent="0.25">
      <c r="B1360" s="169"/>
      <c r="C1360" s="679">
        <v>3047922</v>
      </c>
      <c r="D1360" s="677">
        <v>3</v>
      </c>
      <c r="E1360" s="678" t="s">
        <v>1705</v>
      </c>
      <c r="F1360" s="170"/>
    </row>
    <row r="1361" spans="2:6" ht="15" x14ac:dyDescent="0.25">
      <c r="B1361" s="169"/>
      <c r="C1361" s="679">
        <v>3047923</v>
      </c>
      <c r="D1361" s="677">
        <v>1</v>
      </c>
      <c r="E1361" s="678" t="s">
        <v>1706</v>
      </c>
      <c r="F1361" s="170"/>
    </row>
    <row r="1362" spans="2:6" ht="15" x14ac:dyDescent="0.25">
      <c r="B1362" s="169"/>
      <c r="C1362" s="679">
        <v>3047924</v>
      </c>
      <c r="D1362" s="677">
        <v>0</v>
      </c>
      <c r="E1362" s="678" t="s">
        <v>1707</v>
      </c>
      <c r="F1362" s="170"/>
    </row>
    <row r="1363" spans="2:6" ht="15" x14ac:dyDescent="0.25">
      <c r="B1363" s="169"/>
      <c r="C1363" s="679">
        <v>3047925</v>
      </c>
      <c r="D1363" s="677">
        <v>8</v>
      </c>
      <c r="E1363" s="678" t="s">
        <v>1708</v>
      </c>
      <c r="F1363" s="170"/>
    </row>
    <row r="1364" spans="2:6" ht="15" x14ac:dyDescent="0.25">
      <c r="B1364" s="169"/>
      <c r="C1364" s="679">
        <v>3047926</v>
      </c>
      <c r="D1364" s="677">
        <v>6</v>
      </c>
      <c r="E1364" s="678" t="s">
        <v>1709</v>
      </c>
      <c r="F1364" s="170"/>
    </row>
    <row r="1365" spans="2:6" ht="15" x14ac:dyDescent="0.25">
      <c r="B1365" s="169"/>
      <c r="C1365" s="679">
        <v>3047927</v>
      </c>
      <c r="D1365" s="677">
        <v>4</v>
      </c>
      <c r="E1365" s="678" t="s">
        <v>1710</v>
      </c>
      <c r="F1365" s="170"/>
    </row>
    <row r="1366" spans="2:6" ht="15" x14ac:dyDescent="0.25">
      <c r="B1366" s="169"/>
      <c r="C1366" s="679">
        <v>3047928</v>
      </c>
      <c r="D1366" s="677">
        <v>2</v>
      </c>
      <c r="E1366" s="678" t="s">
        <v>1711</v>
      </c>
      <c r="F1366" s="170"/>
    </row>
    <row r="1367" spans="2:6" ht="15" x14ac:dyDescent="0.25">
      <c r="B1367" s="169"/>
      <c r="C1367" s="679">
        <v>3047929</v>
      </c>
      <c r="D1367" s="677">
        <v>1</v>
      </c>
      <c r="E1367" s="678" t="s">
        <v>1712</v>
      </c>
      <c r="F1367" s="170"/>
    </row>
    <row r="1368" spans="2:6" ht="15" x14ac:dyDescent="0.25">
      <c r="B1368" s="169"/>
      <c r="C1368" s="679">
        <v>3047930</v>
      </c>
      <c r="D1368" s="677">
        <v>4</v>
      </c>
      <c r="E1368" s="678" t="s">
        <v>1713</v>
      </c>
      <c r="F1368" s="170"/>
    </row>
    <row r="1369" spans="2:6" ht="15" x14ac:dyDescent="0.25">
      <c r="B1369" s="169"/>
      <c r="C1369" s="679">
        <v>3047931</v>
      </c>
      <c r="D1369" s="677">
        <v>2</v>
      </c>
      <c r="E1369" s="678" t="s">
        <v>1714</v>
      </c>
      <c r="F1369" s="170"/>
    </row>
    <row r="1370" spans="2:6" ht="15" x14ac:dyDescent="0.25">
      <c r="B1370" s="169"/>
      <c r="C1370" s="679">
        <v>3047932</v>
      </c>
      <c r="D1370" s="677">
        <v>1</v>
      </c>
      <c r="E1370" s="678" t="s">
        <v>1715</v>
      </c>
      <c r="F1370" s="170"/>
    </row>
    <row r="1371" spans="2:6" ht="15" x14ac:dyDescent="0.25">
      <c r="B1371" s="169"/>
      <c r="C1371" s="679">
        <v>3047933</v>
      </c>
      <c r="D1371" s="677">
        <v>9</v>
      </c>
      <c r="E1371" s="678" t="s">
        <v>1716</v>
      </c>
      <c r="F1371" s="170"/>
    </row>
    <row r="1372" spans="2:6" ht="15" x14ac:dyDescent="0.25">
      <c r="B1372" s="169"/>
      <c r="C1372" s="679">
        <v>3047934</v>
      </c>
      <c r="D1372" s="677">
        <v>7</v>
      </c>
      <c r="E1372" s="678" t="s">
        <v>1717</v>
      </c>
      <c r="F1372" s="170"/>
    </row>
    <row r="1373" spans="2:6" ht="15" x14ac:dyDescent="0.25">
      <c r="B1373" s="169"/>
      <c r="C1373" s="679">
        <v>3047935</v>
      </c>
      <c r="D1373" s="677">
        <v>5</v>
      </c>
      <c r="E1373" s="678" t="s">
        <v>1718</v>
      </c>
      <c r="F1373" s="170"/>
    </row>
    <row r="1374" spans="2:6" ht="15" x14ac:dyDescent="0.25">
      <c r="B1374" s="169"/>
      <c r="C1374" s="679">
        <v>3047936</v>
      </c>
      <c r="D1374" s="677">
        <v>3</v>
      </c>
      <c r="E1374" s="678" t="s">
        <v>1719</v>
      </c>
      <c r="F1374" s="170"/>
    </row>
    <row r="1375" spans="2:6" ht="15" x14ac:dyDescent="0.25">
      <c r="B1375" s="169"/>
      <c r="C1375" s="679">
        <v>3047937</v>
      </c>
      <c r="D1375" s="677">
        <v>1</v>
      </c>
      <c r="E1375" s="678" t="s">
        <v>1720</v>
      </c>
      <c r="F1375" s="170"/>
    </row>
    <row r="1376" spans="2:6" ht="15" x14ac:dyDescent="0.25">
      <c r="B1376" s="169"/>
      <c r="C1376" s="679">
        <v>3047938</v>
      </c>
      <c r="D1376" s="677">
        <v>0</v>
      </c>
      <c r="E1376" s="678" t="s">
        <v>1721</v>
      </c>
      <c r="F1376" s="170"/>
    </row>
    <row r="1377" spans="2:6" ht="15" x14ac:dyDescent="0.25">
      <c r="B1377" s="169"/>
      <c r="C1377" s="679">
        <v>3047939</v>
      </c>
      <c r="D1377" s="677">
        <v>8</v>
      </c>
      <c r="E1377" s="678" t="s">
        <v>1722</v>
      </c>
      <c r="F1377" s="170"/>
    </row>
    <row r="1378" spans="2:6" ht="15" x14ac:dyDescent="0.25">
      <c r="B1378" s="169"/>
      <c r="C1378" s="679">
        <v>3047940</v>
      </c>
      <c r="D1378" s="677">
        <v>1</v>
      </c>
      <c r="E1378" s="678" t="s">
        <v>1723</v>
      </c>
      <c r="F1378" s="170"/>
    </row>
    <row r="1379" spans="2:6" ht="15" x14ac:dyDescent="0.25">
      <c r="B1379" s="169"/>
      <c r="C1379" s="679">
        <v>3047941</v>
      </c>
      <c r="D1379" s="677">
        <v>0</v>
      </c>
      <c r="E1379" s="678" t="s">
        <v>1724</v>
      </c>
      <c r="F1379" s="170"/>
    </row>
    <row r="1380" spans="2:6" ht="15" x14ac:dyDescent="0.25">
      <c r="B1380" s="169"/>
      <c r="C1380" s="679">
        <v>3047942</v>
      </c>
      <c r="D1380" s="677">
        <v>8</v>
      </c>
      <c r="E1380" s="678" t="s">
        <v>1725</v>
      </c>
      <c r="F1380" s="170"/>
    </row>
    <row r="1381" spans="2:6" ht="15" x14ac:dyDescent="0.25">
      <c r="B1381" s="169"/>
      <c r="C1381" s="679">
        <v>3047943</v>
      </c>
      <c r="D1381" s="677">
        <v>6</v>
      </c>
      <c r="E1381" s="678" t="s">
        <v>1726</v>
      </c>
      <c r="F1381" s="170"/>
    </row>
    <row r="1382" spans="2:6" ht="15" x14ac:dyDescent="0.25">
      <c r="B1382" s="169"/>
      <c r="C1382" s="679">
        <v>3047944</v>
      </c>
      <c r="D1382" s="677">
        <v>4</v>
      </c>
      <c r="E1382" s="678" t="s">
        <v>1727</v>
      </c>
      <c r="F1382" s="170"/>
    </row>
    <row r="1383" spans="2:6" ht="15" x14ac:dyDescent="0.25">
      <c r="B1383" s="169"/>
      <c r="C1383" s="679">
        <v>3047945</v>
      </c>
      <c r="D1383" s="677">
        <v>2</v>
      </c>
      <c r="E1383" s="678" t="s">
        <v>1728</v>
      </c>
      <c r="F1383" s="170"/>
    </row>
    <row r="1384" spans="2:6" ht="15" x14ac:dyDescent="0.25">
      <c r="B1384" s="169"/>
      <c r="C1384" s="679">
        <v>3047946</v>
      </c>
      <c r="D1384" s="677">
        <v>1</v>
      </c>
      <c r="E1384" s="678" t="s">
        <v>1729</v>
      </c>
      <c r="F1384" s="170"/>
    </row>
    <row r="1385" spans="2:6" ht="15" x14ac:dyDescent="0.25">
      <c r="B1385" s="169"/>
      <c r="C1385" s="679">
        <v>3047947</v>
      </c>
      <c r="D1385" s="677">
        <v>9</v>
      </c>
      <c r="E1385" s="678" t="s">
        <v>1730</v>
      </c>
      <c r="F1385" s="170"/>
    </row>
    <row r="1386" spans="2:6" ht="15" x14ac:dyDescent="0.25">
      <c r="B1386" s="169"/>
      <c r="C1386" s="679">
        <v>3047948</v>
      </c>
      <c r="D1386" s="677">
        <v>7</v>
      </c>
      <c r="E1386" s="678" t="s">
        <v>1731</v>
      </c>
      <c r="F1386" s="170"/>
    </row>
    <row r="1387" spans="2:6" ht="15" x14ac:dyDescent="0.25">
      <c r="B1387" s="169"/>
      <c r="C1387" s="679">
        <v>3047949</v>
      </c>
      <c r="D1387" s="677">
        <v>5</v>
      </c>
      <c r="E1387" s="678" t="s">
        <v>1732</v>
      </c>
      <c r="F1387" s="170"/>
    </row>
    <row r="1388" spans="2:6" ht="15" x14ac:dyDescent="0.25">
      <c r="B1388" s="169"/>
      <c r="C1388" s="679">
        <v>3047950</v>
      </c>
      <c r="D1388" s="677">
        <v>9</v>
      </c>
      <c r="E1388" s="678" t="s">
        <v>1733</v>
      </c>
      <c r="F1388" s="170"/>
    </row>
    <row r="1389" spans="2:6" ht="15" x14ac:dyDescent="0.25">
      <c r="B1389" s="169"/>
      <c r="C1389" s="679">
        <v>3047951</v>
      </c>
      <c r="D1389" s="677">
        <v>7</v>
      </c>
      <c r="E1389" s="678" t="s">
        <v>1734</v>
      </c>
      <c r="F1389" s="170"/>
    </row>
    <row r="1390" spans="2:6" ht="15" x14ac:dyDescent="0.25">
      <c r="B1390" s="169"/>
      <c r="C1390" s="679">
        <v>3047952</v>
      </c>
      <c r="D1390" s="677">
        <v>5</v>
      </c>
      <c r="E1390" s="678" t="s">
        <v>1735</v>
      </c>
      <c r="F1390" s="170"/>
    </row>
    <row r="1391" spans="2:6" ht="15" x14ac:dyDescent="0.25">
      <c r="B1391" s="169"/>
      <c r="C1391" s="679">
        <v>3047953</v>
      </c>
      <c r="D1391" s="677">
        <v>3</v>
      </c>
      <c r="E1391" s="678" t="s">
        <v>1736</v>
      </c>
      <c r="F1391" s="170"/>
    </row>
    <row r="1392" spans="2:6" ht="15" x14ac:dyDescent="0.25">
      <c r="B1392" s="169"/>
      <c r="C1392" s="679">
        <v>3047954</v>
      </c>
      <c r="D1392" s="677">
        <v>1</v>
      </c>
      <c r="E1392" s="678" t="s">
        <v>1737</v>
      </c>
      <c r="F1392" s="170"/>
    </row>
    <row r="1393" spans="2:6" ht="15" x14ac:dyDescent="0.25">
      <c r="B1393" s="169"/>
      <c r="C1393" s="679">
        <v>3047955</v>
      </c>
      <c r="D1393" s="677">
        <v>0</v>
      </c>
      <c r="E1393" s="678" t="s">
        <v>1738</v>
      </c>
      <c r="F1393" s="170"/>
    </row>
    <row r="1394" spans="2:6" ht="15" x14ac:dyDescent="0.25">
      <c r="B1394" s="169"/>
      <c r="C1394" s="679">
        <v>3047956</v>
      </c>
      <c r="D1394" s="677">
        <v>8</v>
      </c>
      <c r="E1394" s="678" t="s">
        <v>1739</v>
      </c>
      <c r="F1394" s="170"/>
    </row>
    <row r="1395" spans="2:6" ht="15" x14ac:dyDescent="0.25">
      <c r="B1395" s="169"/>
      <c r="C1395" s="679">
        <v>2962380</v>
      </c>
      <c r="D1395" s="677">
        <v>4</v>
      </c>
      <c r="E1395" s="678" t="s">
        <v>1740</v>
      </c>
      <c r="F1395" s="170"/>
    </row>
    <row r="1396" spans="2:6" ht="15" x14ac:dyDescent="0.25">
      <c r="B1396" s="169"/>
      <c r="C1396" s="679">
        <v>2962182</v>
      </c>
      <c r="D1396" s="677">
        <v>8</v>
      </c>
      <c r="E1396" s="678" t="s">
        <v>1741</v>
      </c>
      <c r="F1396" s="170"/>
    </row>
    <row r="1397" spans="2:6" ht="15" x14ac:dyDescent="0.25">
      <c r="B1397" s="169"/>
      <c r="C1397" s="679">
        <v>2962183</v>
      </c>
      <c r="D1397" s="677">
        <v>6</v>
      </c>
      <c r="E1397" s="678" t="s">
        <v>1742</v>
      </c>
      <c r="F1397" s="170"/>
    </row>
    <row r="1398" spans="2:6" ht="15" x14ac:dyDescent="0.25">
      <c r="B1398" s="169"/>
      <c r="C1398" s="679">
        <v>3072540</v>
      </c>
      <c r="D1398" s="677">
        <v>2</v>
      </c>
      <c r="E1398" s="678" t="s">
        <v>1743</v>
      </c>
      <c r="F1398" s="170"/>
    </row>
    <row r="1399" spans="2:6" ht="15" x14ac:dyDescent="0.25">
      <c r="B1399" s="169"/>
      <c r="C1399" s="679">
        <v>2961134</v>
      </c>
      <c r="D1399" s="677">
        <v>2</v>
      </c>
      <c r="E1399" s="678" t="s">
        <v>1744</v>
      </c>
      <c r="F1399" s="170"/>
    </row>
    <row r="1400" spans="2:6" ht="15" x14ac:dyDescent="0.25">
      <c r="B1400" s="169"/>
      <c r="C1400" s="679">
        <v>3069633</v>
      </c>
      <c r="D1400" s="677">
        <v>0</v>
      </c>
      <c r="E1400" s="678" t="s">
        <v>1745</v>
      </c>
      <c r="F1400" s="170"/>
    </row>
    <row r="1401" spans="2:6" ht="15" x14ac:dyDescent="0.25">
      <c r="B1401" s="169"/>
      <c r="C1401" s="679">
        <v>3070336</v>
      </c>
      <c r="D1401" s="677">
        <v>1</v>
      </c>
      <c r="E1401" s="678" t="s">
        <v>1746</v>
      </c>
      <c r="F1401" s="170"/>
    </row>
    <row r="1402" spans="2:6" ht="15" x14ac:dyDescent="0.25">
      <c r="B1402" s="169"/>
      <c r="C1402" s="679">
        <v>3069181</v>
      </c>
      <c r="D1402" s="677">
        <v>8</v>
      </c>
      <c r="E1402" s="678" t="s">
        <v>1747</v>
      </c>
      <c r="F1402" s="170"/>
    </row>
    <row r="1403" spans="2:6" ht="15" x14ac:dyDescent="0.25">
      <c r="B1403" s="169"/>
      <c r="C1403" s="679">
        <v>2961135</v>
      </c>
      <c r="D1403" s="677">
        <v>1</v>
      </c>
      <c r="E1403" s="678" t="s">
        <v>1748</v>
      </c>
      <c r="F1403" s="170"/>
    </row>
    <row r="1404" spans="2:6" ht="15" x14ac:dyDescent="0.25">
      <c r="B1404" s="169"/>
      <c r="C1404" s="679">
        <v>3237359</v>
      </c>
      <c r="D1404" s="677">
        <v>7</v>
      </c>
      <c r="E1404" s="678" t="s">
        <v>8277</v>
      </c>
      <c r="F1404" s="170"/>
    </row>
    <row r="1405" spans="2:6" ht="15" x14ac:dyDescent="0.25">
      <c r="B1405" s="169"/>
      <c r="C1405" s="679">
        <v>2962381</v>
      </c>
      <c r="D1405" s="677">
        <v>2</v>
      </c>
      <c r="E1405" s="678" t="s">
        <v>1749</v>
      </c>
      <c r="F1405" s="170"/>
    </row>
    <row r="1406" spans="2:6" ht="15" x14ac:dyDescent="0.25">
      <c r="B1406" s="169"/>
      <c r="C1406" s="679">
        <v>2962341</v>
      </c>
      <c r="D1406" s="677">
        <v>3</v>
      </c>
      <c r="E1406" s="678" t="s">
        <v>1750</v>
      </c>
      <c r="F1406" s="170"/>
    </row>
    <row r="1407" spans="2:6" ht="15" x14ac:dyDescent="0.25">
      <c r="B1407" s="169"/>
      <c r="C1407" s="679">
        <v>3100092</v>
      </c>
      <c r="D1407" s="677">
        <v>4</v>
      </c>
      <c r="E1407" s="678" t="s">
        <v>1751</v>
      </c>
      <c r="F1407" s="170"/>
    </row>
    <row r="1408" spans="2:6" ht="15" x14ac:dyDescent="0.25">
      <c r="B1408" s="169"/>
      <c r="C1408" s="679">
        <v>3103107</v>
      </c>
      <c r="D1408" s="677">
        <v>2</v>
      </c>
      <c r="E1408" s="678" t="s">
        <v>1752</v>
      </c>
      <c r="F1408" s="170"/>
    </row>
    <row r="1409" spans="2:6" ht="15" x14ac:dyDescent="0.25">
      <c r="B1409" s="169"/>
      <c r="C1409" s="679">
        <v>3098890</v>
      </c>
      <c r="D1409" s="677">
        <v>0</v>
      </c>
      <c r="E1409" s="678" t="s">
        <v>1753</v>
      </c>
      <c r="F1409" s="170"/>
    </row>
    <row r="1410" spans="2:6" ht="15" x14ac:dyDescent="0.25">
      <c r="B1410" s="169"/>
      <c r="C1410" s="679">
        <v>2961136</v>
      </c>
      <c r="D1410" s="677">
        <v>9</v>
      </c>
      <c r="E1410" s="678" t="s">
        <v>1754</v>
      </c>
      <c r="F1410" s="170"/>
    </row>
    <row r="1411" spans="2:6" ht="15" x14ac:dyDescent="0.25">
      <c r="B1411" s="169"/>
      <c r="C1411" s="679">
        <v>3086248</v>
      </c>
      <c r="D1411" s="677">
        <v>5</v>
      </c>
      <c r="E1411" s="678" t="s">
        <v>1755</v>
      </c>
      <c r="F1411" s="170"/>
    </row>
    <row r="1412" spans="2:6" ht="15" x14ac:dyDescent="0.25">
      <c r="B1412" s="169"/>
      <c r="C1412" s="679">
        <v>3098884</v>
      </c>
      <c r="D1412" s="677">
        <v>5</v>
      </c>
      <c r="E1412" s="678" t="s">
        <v>1756</v>
      </c>
      <c r="F1412" s="170"/>
    </row>
    <row r="1413" spans="2:6" ht="15" x14ac:dyDescent="0.25">
      <c r="B1413" s="169"/>
      <c r="C1413" s="679">
        <v>3188402</v>
      </c>
      <c r="D1413" s="677">
        <v>4</v>
      </c>
      <c r="E1413" s="678" t="s">
        <v>1757</v>
      </c>
      <c r="F1413" s="170"/>
    </row>
    <row r="1414" spans="2:6" ht="15" x14ac:dyDescent="0.25">
      <c r="B1414" s="169"/>
      <c r="C1414" s="679">
        <v>3304626</v>
      </c>
      <c r="D1414" s="677">
        <v>3</v>
      </c>
      <c r="E1414" s="678" t="s">
        <v>8278</v>
      </c>
      <c r="F1414" s="170"/>
    </row>
    <row r="1415" spans="2:6" ht="15" x14ac:dyDescent="0.25">
      <c r="B1415" s="169"/>
      <c r="C1415" s="679">
        <v>3075251</v>
      </c>
      <c r="D1415" s="677">
        <v>5</v>
      </c>
      <c r="E1415" s="678" t="s">
        <v>1758</v>
      </c>
      <c r="F1415" s="170"/>
    </row>
    <row r="1416" spans="2:6" ht="15" x14ac:dyDescent="0.25">
      <c r="B1416" s="169"/>
      <c r="C1416" s="679">
        <v>3186623</v>
      </c>
      <c r="D1416" s="677">
        <v>9</v>
      </c>
      <c r="E1416" s="678" t="s">
        <v>1759</v>
      </c>
      <c r="F1416" s="170"/>
    </row>
    <row r="1417" spans="2:6" ht="15" x14ac:dyDescent="0.25">
      <c r="B1417" s="169"/>
      <c r="C1417" s="679">
        <v>3195281</v>
      </c>
      <c r="D1417" s="677">
        <v>0</v>
      </c>
      <c r="E1417" s="678" t="s">
        <v>8279</v>
      </c>
      <c r="F1417" s="170"/>
    </row>
    <row r="1418" spans="2:6" ht="15" x14ac:dyDescent="0.25">
      <c r="B1418" s="169"/>
      <c r="C1418" s="679">
        <v>2962184</v>
      </c>
      <c r="D1418" s="677">
        <v>4</v>
      </c>
      <c r="E1418" s="678" t="s">
        <v>1760</v>
      </c>
      <c r="F1418" s="170"/>
    </row>
    <row r="1419" spans="2:6" ht="15" x14ac:dyDescent="0.25">
      <c r="B1419" s="169"/>
      <c r="C1419" s="679">
        <v>2962342</v>
      </c>
      <c r="D1419" s="677">
        <v>1</v>
      </c>
      <c r="E1419" s="678" t="s">
        <v>1761</v>
      </c>
      <c r="F1419" s="170"/>
    </row>
    <row r="1420" spans="2:6" ht="15" x14ac:dyDescent="0.25">
      <c r="B1420" s="169"/>
      <c r="C1420" s="679">
        <v>3273358</v>
      </c>
      <c r="D1420" s="677">
        <v>5</v>
      </c>
      <c r="E1420" s="678" t="s">
        <v>8280</v>
      </c>
      <c r="F1420" s="170"/>
    </row>
    <row r="1421" spans="2:6" ht="15" x14ac:dyDescent="0.25">
      <c r="B1421" s="169"/>
      <c r="C1421" s="679">
        <v>3078218</v>
      </c>
      <c r="D1421" s="677">
        <v>0</v>
      </c>
      <c r="E1421" s="678" t="s">
        <v>1762</v>
      </c>
      <c r="F1421" s="170"/>
    </row>
    <row r="1422" spans="2:6" ht="15" x14ac:dyDescent="0.25">
      <c r="B1422" s="169"/>
      <c r="C1422" s="679">
        <v>3074979</v>
      </c>
      <c r="D1422" s="677">
        <v>4</v>
      </c>
      <c r="E1422" s="678" t="s">
        <v>1763</v>
      </c>
      <c r="F1422" s="170"/>
    </row>
    <row r="1423" spans="2:6" ht="15" x14ac:dyDescent="0.25">
      <c r="B1423" s="169"/>
      <c r="C1423" s="679">
        <v>2961137</v>
      </c>
      <c r="D1423" s="677">
        <v>7</v>
      </c>
      <c r="E1423" s="678" t="s">
        <v>1764</v>
      </c>
      <c r="F1423" s="170"/>
    </row>
    <row r="1424" spans="2:6" ht="15" x14ac:dyDescent="0.25">
      <c r="B1424" s="169"/>
      <c r="C1424" s="679">
        <v>3298387</v>
      </c>
      <c r="D1424" s="677">
        <v>5</v>
      </c>
      <c r="E1424" s="678" t="s">
        <v>8281</v>
      </c>
      <c r="F1424" s="170"/>
    </row>
    <row r="1425" spans="2:6" ht="15" x14ac:dyDescent="0.25">
      <c r="B1425" s="169"/>
      <c r="C1425" s="679">
        <v>3047957</v>
      </c>
      <c r="D1425" s="677">
        <v>6</v>
      </c>
      <c r="E1425" s="678" t="s">
        <v>1765</v>
      </c>
      <c r="F1425" s="170"/>
    </row>
    <row r="1426" spans="2:6" ht="15" x14ac:dyDescent="0.25">
      <c r="B1426" s="169"/>
      <c r="C1426" s="679">
        <v>3047958</v>
      </c>
      <c r="D1426" s="677">
        <v>4</v>
      </c>
      <c r="E1426" s="678" t="s">
        <v>1766</v>
      </c>
      <c r="F1426" s="170"/>
    </row>
    <row r="1427" spans="2:6" ht="15" x14ac:dyDescent="0.25">
      <c r="B1427" s="169"/>
      <c r="C1427" s="679">
        <v>3047959</v>
      </c>
      <c r="D1427" s="677">
        <v>2</v>
      </c>
      <c r="E1427" s="678" t="s">
        <v>1767</v>
      </c>
      <c r="F1427" s="170"/>
    </row>
    <row r="1428" spans="2:6" ht="15" x14ac:dyDescent="0.25">
      <c r="B1428" s="169"/>
      <c r="C1428" s="679">
        <v>3047960</v>
      </c>
      <c r="D1428" s="677">
        <v>6</v>
      </c>
      <c r="E1428" s="678" t="s">
        <v>1768</v>
      </c>
      <c r="F1428" s="170"/>
    </row>
    <row r="1429" spans="2:6" ht="15" x14ac:dyDescent="0.25">
      <c r="B1429" s="169"/>
      <c r="C1429" s="679">
        <v>3047962</v>
      </c>
      <c r="D1429" s="677">
        <v>2</v>
      </c>
      <c r="E1429" s="678" t="s">
        <v>1769</v>
      </c>
      <c r="F1429" s="170"/>
    </row>
    <row r="1430" spans="2:6" ht="15" x14ac:dyDescent="0.25">
      <c r="B1430" s="169"/>
      <c r="C1430" s="679">
        <v>3047963</v>
      </c>
      <c r="D1430" s="677">
        <v>1</v>
      </c>
      <c r="E1430" s="678" t="s">
        <v>1770</v>
      </c>
      <c r="F1430" s="170"/>
    </row>
    <row r="1431" spans="2:6" ht="15" x14ac:dyDescent="0.25">
      <c r="B1431" s="169"/>
      <c r="C1431" s="679">
        <v>3047964</v>
      </c>
      <c r="D1431" s="677">
        <v>9</v>
      </c>
      <c r="E1431" s="678" t="s">
        <v>1771</v>
      </c>
      <c r="F1431" s="170"/>
    </row>
    <row r="1432" spans="2:6" ht="15" x14ac:dyDescent="0.25">
      <c r="B1432" s="169"/>
      <c r="C1432" s="679">
        <v>3047965</v>
      </c>
      <c r="D1432" s="677">
        <v>7</v>
      </c>
      <c r="E1432" s="678" t="s">
        <v>1772</v>
      </c>
      <c r="F1432" s="170"/>
    </row>
    <row r="1433" spans="2:6" ht="15" x14ac:dyDescent="0.25">
      <c r="B1433" s="169"/>
      <c r="C1433" s="679">
        <v>3289403</v>
      </c>
      <c r="D1433" s="677">
        <v>1</v>
      </c>
      <c r="E1433" s="678" t="s">
        <v>8282</v>
      </c>
      <c r="F1433" s="170"/>
    </row>
    <row r="1434" spans="2:6" ht="15" x14ac:dyDescent="0.25">
      <c r="B1434" s="169"/>
      <c r="C1434" s="679">
        <v>3047966</v>
      </c>
      <c r="D1434" s="677">
        <v>5</v>
      </c>
      <c r="E1434" s="678" t="s">
        <v>1773</v>
      </c>
      <c r="F1434" s="170"/>
    </row>
    <row r="1435" spans="2:6" ht="15" x14ac:dyDescent="0.25">
      <c r="B1435" s="169"/>
      <c r="C1435" s="679">
        <v>3047967</v>
      </c>
      <c r="D1435" s="677">
        <v>3</v>
      </c>
      <c r="E1435" s="678" t="s">
        <v>1774</v>
      </c>
      <c r="F1435" s="170"/>
    </row>
    <row r="1436" spans="2:6" ht="15" x14ac:dyDescent="0.25">
      <c r="B1436" s="169"/>
      <c r="C1436" s="679">
        <v>3047968</v>
      </c>
      <c r="D1436" s="677">
        <v>1</v>
      </c>
      <c r="E1436" s="678" t="s">
        <v>1775</v>
      </c>
      <c r="F1436" s="170"/>
    </row>
    <row r="1437" spans="2:6" ht="15" x14ac:dyDescent="0.25">
      <c r="B1437" s="169"/>
      <c r="C1437" s="679">
        <v>3047969</v>
      </c>
      <c r="D1437" s="677">
        <v>0</v>
      </c>
      <c r="E1437" s="678" t="s">
        <v>1776</v>
      </c>
      <c r="F1437" s="170"/>
    </row>
    <row r="1438" spans="2:6" ht="15" x14ac:dyDescent="0.25">
      <c r="B1438" s="169"/>
      <c r="C1438" s="679">
        <v>3047970</v>
      </c>
      <c r="D1438" s="677">
        <v>3</v>
      </c>
      <c r="E1438" s="678" t="s">
        <v>1777</v>
      </c>
      <c r="F1438" s="170"/>
    </row>
    <row r="1439" spans="2:6" ht="15" x14ac:dyDescent="0.25">
      <c r="B1439" s="169"/>
      <c r="C1439" s="679">
        <v>3047971</v>
      </c>
      <c r="D1439" s="677">
        <v>1</v>
      </c>
      <c r="E1439" s="678" t="s">
        <v>1778</v>
      </c>
      <c r="F1439" s="170"/>
    </row>
    <row r="1440" spans="2:6" ht="15" x14ac:dyDescent="0.25">
      <c r="B1440" s="169"/>
      <c r="C1440" s="679">
        <v>3047972</v>
      </c>
      <c r="D1440" s="677">
        <v>0</v>
      </c>
      <c r="E1440" s="678" t="s">
        <v>1779</v>
      </c>
      <c r="F1440" s="170"/>
    </row>
    <row r="1441" spans="2:6" ht="15" x14ac:dyDescent="0.25">
      <c r="B1441" s="169"/>
      <c r="C1441" s="679">
        <v>3047973</v>
      </c>
      <c r="D1441" s="677">
        <v>8</v>
      </c>
      <c r="E1441" s="678" t="s">
        <v>1780</v>
      </c>
      <c r="F1441" s="170"/>
    </row>
    <row r="1442" spans="2:6" ht="15" x14ac:dyDescent="0.25">
      <c r="B1442" s="169"/>
      <c r="C1442" s="679">
        <v>3047974</v>
      </c>
      <c r="D1442" s="677">
        <v>6</v>
      </c>
      <c r="E1442" s="678" t="s">
        <v>1781</v>
      </c>
      <c r="F1442" s="170"/>
    </row>
    <row r="1443" spans="2:6" ht="15" x14ac:dyDescent="0.25">
      <c r="B1443" s="169"/>
      <c r="C1443" s="679">
        <v>3047975</v>
      </c>
      <c r="D1443" s="677">
        <v>4</v>
      </c>
      <c r="E1443" s="678" t="s">
        <v>1782</v>
      </c>
      <c r="F1443" s="170"/>
    </row>
    <row r="1444" spans="2:6" ht="15" x14ac:dyDescent="0.25">
      <c r="B1444" s="169"/>
      <c r="C1444" s="679">
        <v>3047977</v>
      </c>
      <c r="D1444" s="677">
        <v>1</v>
      </c>
      <c r="E1444" s="678" t="s">
        <v>1783</v>
      </c>
      <c r="F1444" s="170"/>
    </row>
    <row r="1445" spans="2:6" ht="15" x14ac:dyDescent="0.25">
      <c r="B1445" s="169"/>
      <c r="C1445" s="679">
        <v>3073724</v>
      </c>
      <c r="D1445" s="677">
        <v>9</v>
      </c>
      <c r="E1445" s="678" t="s">
        <v>1784</v>
      </c>
      <c r="F1445" s="170"/>
    </row>
    <row r="1446" spans="2:6" ht="15" x14ac:dyDescent="0.25">
      <c r="B1446" s="169"/>
      <c r="C1446" s="679">
        <v>3047978</v>
      </c>
      <c r="D1446" s="677">
        <v>9</v>
      </c>
      <c r="E1446" s="678" t="s">
        <v>1785</v>
      </c>
      <c r="F1446" s="170"/>
    </row>
    <row r="1447" spans="2:6" ht="15" x14ac:dyDescent="0.25">
      <c r="B1447" s="169"/>
      <c r="C1447" s="679">
        <v>3047976</v>
      </c>
      <c r="D1447" s="677">
        <v>2</v>
      </c>
      <c r="E1447" s="678" t="s">
        <v>1786</v>
      </c>
      <c r="F1447" s="170"/>
    </row>
    <row r="1448" spans="2:6" ht="15" x14ac:dyDescent="0.25">
      <c r="B1448" s="169"/>
      <c r="C1448" s="679">
        <v>3047979</v>
      </c>
      <c r="D1448" s="677">
        <v>7</v>
      </c>
      <c r="E1448" s="678" t="s">
        <v>1787</v>
      </c>
      <c r="F1448" s="170"/>
    </row>
    <row r="1449" spans="2:6" ht="15" x14ac:dyDescent="0.25">
      <c r="B1449" s="169"/>
      <c r="C1449" s="679">
        <v>3047980</v>
      </c>
      <c r="D1449" s="677">
        <v>1</v>
      </c>
      <c r="E1449" s="678" t="s">
        <v>1788</v>
      </c>
      <c r="F1449" s="170"/>
    </row>
    <row r="1450" spans="2:6" ht="15" x14ac:dyDescent="0.25">
      <c r="B1450" s="169"/>
      <c r="C1450" s="679">
        <v>3078255</v>
      </c>
      <c r="D1450" s="677">
        <v>4</v>
      </c>
      <c r="E1450" s="678" t="s">
        <v>1789</v>
      </c>
      <c r="F1450" s="170"/>
    </row>
    <row r="1451" spans="2:6" ht="15" x14ac:dyDescent="0.25">
      <c r="B1451" s="169"/>
      <c r="C1451" s="679">
        <v>3047981</v>
      </c>
      <c r="D1451" s="677">
        <v>9</v>
      </c>
      <c r="E1451" s="678" t="s">
        <v>1790</v>
      </c>
      <c r="F1451" s="170"/>
    </row>
    <row r="1452" spans="2:6" ht="15" x14ac:dyDescent="0.25">
      <c r="B1452" s="169"/>
      <c r="C1452" s="679">
        <v>3047982</v>
      </c>
      <c r="D1452" s="677">
        <v>7</v>
      </c>
      <c r="E1452" s="678" t="s">
        <v>1791</v>
      </c>
      <c r="F1452" s="170"/>
    </row>
    <row r="1453" spans="2:6" ht="15" x14ac:dyDescent="0.25">
      <c r="B1453" s="169"/>
      <c r="C1453" s="679">
        <v>3070379</v>
      </c>
      <c r="D1453" s="677">
        <v>4</v>
      </c>
      <c r="E1453" s="678" t="s">
        <v>1792</v>
      </c>
      <c r="F1453" s="170"/>
    </row>
    <row r="1454" spans="2:6" ht="15" x14ac:dyDescent="0.25">
      <c r="B1454" s="169"/>
      <c r="C1454" s="679">
        <v>3047983</v>
      </c>
      <c r="D1454" s="677">
        <v>5</v>
      </c>
      <c r="E1454" s="678" t="s">
        <v>1793</v>
      </c>
      <c r="F1454" s="170"/>
    </row>
    <row r="1455" spans="2:6" ht="15" x14ac:dyDescent="0.25">
      <c r="B1455" s="169"/>
      <c r="C1455" s="679">
        <v>3047984</v>
      </c>
      <c r="D1455" s="677">
        <v>3</v>
      </c>
      <c r="E1455" s="678" t="s">
        <v>1794</v>
      </c>
      <c r="F1455" s="170"/>
    </row>
    <row r="1456" spans="2:6" ht="15" x14ac:dyDescent="0.25">
      <c r="B1456" s="169"/>
      <c r="C1456" s="679">
        <v>3047985</v>
      </c>
      <c r="D1456" s="677">
        <v>1</v>
      </c>
      <c r="E1456" s="678" t="s">
        <v>1795</v>
      </c>
      <c r="F1456" s="170"/>
    </row>
    <row r="1457" spans="2:6" ht="15" x14ac:dyDescent="0.25">
      <c r="B1457" s="169"/>
      <c r="C1457" s="679">
        <v>3047986</v>
      </c>
      <c r="D1457" s="677">
        <v>0</v>
      </c>
      <c r="E1457" s="678" t="s">
        <v>1796</v>
      </c>
      <c r="F1457" s="170"/>
    </row>
    <row r="1458" spans="2:6" ht="15" x14ac:dyDescent="0.25">
      <c r="B1458" s="169"/>
      <c r="C1458" s="679">
        <v>3047987</v>
      </c>
      <c r="D1458" s="677">
        <v>8</v>
      </c>
      <c r="E1458" s="678" t="s">
        <v>1797</v>
      </c>
      <c r="F1458" s="170"/>
    </row>
    <row r="1459" spans="2:6" ht="15" x14ac:dyDescent="0.25">
      <c r="B1459" s="169"/>
      <c r="C1459" s="679">
        <v>3047988</v>
      </c>
      <c r="D1459" s="677">
        <v>6</v>
      </c>
      <c r="E1459" s="678" t="s">
        <v>1798</v>
      </c>
      <c r="F1459" s="170"/>
    </row>
    <row r="1460" spans="2:6" ht="15" x14ac:dyDescent="0.25">
      <c r="B1460" s="169"/>
      <c r="C1460" s="679">
        <v>3047989</v>
      </c>
      <c r="D1460" s="677">
        <v>4</v>
      </c>
      <c r="E1460" s="678" t="s">
        <v>1799</v>
      </c>
      <c r="F1460" s="170"/>
    </row>
    <row r="1461" spans="2:6" ht="15" x14ac:dyDescent="0.25">
      <c r="B1461" s="169"/>
      <c r="C1461" s="679">
        <v>3047990</v>
      </c>
      <c r="D1461" s="677">
        <v>8</v>
      </c>
      <c r="E1461" s="678" t="s">
        <v>1800</v>
      </c>
      <c r="F1461" s="170"/>
    </row>
    <row r="1462" spans="2:6" ht="15" x14ac:dyDescent="0.25">
      <c r="B1462" s="169"/>
      <c r="C1462" s="679">
        <v>3047991</v>
      </c>
      <c r="D1462" s="677">
        <v>6</v>
      </c>
      <c r="E1462" s="678" t="s">
        <v>1801</v>
      </c>
      <c r="F1462" s="170"/>
    </row>
    <row r="1463" spans="2:6" ht="15" x14ac:dyDescent="0.25">
      <c r="B1463" s="169"/>
      <c r="C1463" s="679">
        <v>3047992</v>
      </c>
      <c r="D1463" s="677">
        <v>4</v>
      </c>
      <c r="E1463" s="678" t="s">
        <v>1802</v>
      </c>
      <c r="F1463" s="170"/>
    </row>
    <row r="1464" spans="2:6" ht="15" x14ac:dyDescent="0.25">
      <c r="B1464" s="169"/>
      <c r="C1464" s="679">
        <v>3047993</v>
      </c>
      <c r="D1464" s="677">
        <v>2</v>
      </c>
      <c r="E1464" s="678" t="s">
        <v>1803</v>
      </c>
      <c r="F1464" s="170"/>
    </row>
    <row r="1465" spans="2:6" ht="15" x14ac:dyDescent="0.25">
      <c r="B1465" s="169"/>
      <c r="C1465" s="679">
        <v>3047994</v>
      </c>
      <c r="D1465" s="677">
        <v>1</v>
      </c>
      <c r="E1465" s="678" t="s">
        <v>1804</v>
      </c>
      <c r="F1465" s="170"/>
    </row>
    <row r="1466" spans="2:6" ht="15" x14ac:dyDescent="0.25">
      <c r="B1466" s="169"/>
      <c r="C1466" s="679">
        <v>3047995</v>
      </c>
      <c r="D1466" s="677">
        <v>9</v>
      </c>
      <c r="E1466" s="678" t="s">
        <v>1805</v>
      </c>
      <c r="F1466" s="170"/>
    </row>
    <row r="1467" spans="2:6" ht="15" x14ac:dyDescent="0.25">
      <c r="B1467" s="169"/>
      <c r="C1467" s="679">
        <v>3047996</v>
      </c>
      <c r="D1467" s="677">
        <v>7</v>
      </c>
      <c r="E1467" s="678" t="s">
        <v>1806</v>
      </c>
      <c r="F1467" s="170"/>
    </row>
    <row r="1468" spans="2:6" ht="15" x14ac:dyDescent="0.25">
      <c r="B1468" s="169"/>
      <c r="C1468" s="679">
        <v>3047997</v>
      </c>
      <c r="D1468" s="677">
        <v>5</v>
      </c>
      <c r="E1468" s="678" t="s">
        <v>1807</v>
      </c>
      <c r="F1468" s="170"/>
    </row>
    <row r="1469" spans="2:6" ht="15" x14ac:dyDescent="0.25">
      <c r="B1469" s="169"/>
      <c r="C1469" s="679">
        <v>3047998</v>
      </c>
      <c r="D1469" s="677">
        <v>3</v>
      </c>
      <c r="E1469" s="678" t="s">
        <v>1808</v>
      </c>
      <c r="F1469" s="170"/>
    </row>
    <row r="1470" spans="2:6" ht="15" x14ac:dyDescent="0.25">
      <c r="B1470" s="169"/>
      <c r="C1470" s="679">
        <v>3047999</v>
      </c>
      <c r="D1470" s="677">
        <v>1</v>
      </c>
      <c r="E1470" s="678" t="s">
        <v>1809</v>
      </c>
      <c r="F1470" s="170"/>
    </row>
    <row r="1471" spans="2:6" ht="15" x14ac:dyDescent="0.25">
      <c r="B1471" s="169"/>
      <c r="C1471" s="679">
        <v>3048000</v>
      </c>
      <c r="D1471" s="677">
        <v>1</v>
      </c>
      <c r="E1471" s="678" t="s">
        <v>1810</v>
      </c>
      <c r="F1471" s="170"/>
    </row>
    <row r="1472" spans="2:6" ht="15" x14ac:dyDescent="0.25">
      <c r="B1472" s="169"/>
      <c r="C1472" s="679">
        <v>3048001</v>
      </c>
      <c r="D1472" s="677">
        <v>9</v>
      </c>
      <c r="E1472" s="678" t="s">
        <v>1811</v>
      </c>
      <c r="F1472" s="170"/>
    </row>
    <row r="1473" spans="2:6" ht="15" x14ac:dyDescent="0.25">
      <c r="B1473" s="169"/>
      <c r="C1473" s="679">
        <v>3048002</v>
      </c>
      <c r="D1473" s="677">
        <v>7</v>
      </c>
      <c r="E1473" s="678" t="s">
        <v>1812</v>
      </c>
      <c r="F1473" s="170"/>
    </row>
    <row r="1474" spans="2:6" ht="15" x14ac:dyDescent="0.25">
      <c r="B1474" s="169"/>
      <c r="C1474" s="679">
        <v>3048003</v>
      </c>
      <c r="D1474" s="677">
        <v>5</v>
      </c>
      <c r="E1474" s="678" t="s">
        <v>1813</v>
      </c>
      <c r="F1474" s="170"/>
    </row>
    <row r="1475" spans="2:6" ht="15" x14ac:dyDescent="0.25">
      <c r="B1475" s="169"/>
      <c r="C1475" s="679">
        <v>3048004</v>
      </c>
      <c r="D1475" s="677">
        <v>3</v>
      </c>
      <c r="E1475" s="678" t="s">
        <v>1814</v>
      </c>
      <c r="F1475" s="170"/>
    </row>
    <row r="1476" spans="2:6" ht="15" x14ac:dyDescent="0.25">
      <c r="B1476" s="169"/>
      <c r="C1476" s="679">
        <v>3048005</v>
      </c>
      <c r="D1476" s="677">
        <v>1</v>
      </c>
      <c r="E1476" s="678" t="s">
        <v>1815</v>
      </c>
      <c r="F1476" s="170"/>
    </row>
    <row r="1477" spans="2:6" ht="15" x14ac:dyDescent="0.25">
      <c r="B1477" s="169"/>
      <c r="C1477" s="679">
        <v>3048006</v>
      </c>
      <c r="D1477" s="677">
        <v>0</v>
      </c>
      <c r="E1477" s="678" t="s">
        <v>1816</v>
      </c>
      <c r="F1477" s="170"/>
    </row>
    <row r="1478" spans="2:6" ht="15" x14ac:dyDescent="0.25">
      <c r="B1478" s="169"/>
      <c r="C1478" s="679">
        <v>3048007</v>
      </c>
      <c r="D1478" s="677">
        <v>8</v>
      </c>
      <c r="E1478" s="678" t="s">
        <v>1817</v>
      </c>
      <c r="F1478" s="170"/>
    </row>
    <row r="1479" spans="2:6" ht="15" x14ac:dyDescent="0.25">
      <c r="B1479" s="169"/>
      <c r="C1479" s="679">
        <v>3048008</v>
      </c>
      <c r="D1479" s="677">
        <v>6</v>
      </c>
      <c r="E1479" s="678" t="s">
        <v>1818</v>
      </c>
      <c r="F1479" s="170"/>
    </row>
    <row r="1480" spans="2:6" ht="15" x14ac:dyDescent="0.25">
      <c r="B1480" s="169"/>
      <c r="C1480" s="679">
        <v>3048009</v>
      </c>
      <c r="D1480" s="677">
        <v>4</v>
      </c>
      <c r="E1480" s="678" t="s">
        <v>1819</v>
      </c>
      <c r="F1480" s="170"/>
    </row>
    <row r="1481" spans="2:6" ht="15" x14ac:dyDescent="0.25">
      <c r="B1481" s="169"/>
      <c r="C1481" s="679">
        <v>3048010</v>
      </c>
      <c r="D1481" s="677">
        <v>8</v>
      </c>
      <c r="E1481" s="678" t="s">
        <v>1820</v>
      </c>
      <c r="F1481" s="170"/>
    </row>
    <row r="1482" spans="2:6" ht="15" x14ac:dyDescent="0.25">
      <c r="B1482" s="169"/>
      <c r="C1482" s="679">
        <v>3048011</v>
      </c>
      <c r="D1482" s="677">
        <v>6</v>
      </c>
      <c r="E1482" s="678" t="s">
        <v>1821</v>
      </c>
      <c r="F1482" s="170"/>
    </row>
    <row r="1483" spans="2:6" ht="15" x14ac:dyDescent="0.25">
      <c r="B1483" s="169"/>
      <c r="C1483" s="679">
        <v>3048012</v>
      </c>
      <c r="D1483" s="677">
        <v>4</v>
      </c>
      <c r="E1483" s="678" t="s">
        <v>1822</v>
      </c>
      <c r="F1483" s="170"/>
    </row>
    <row r="1484" spans="2:6" ht="15" x14ac:dyDescent="0.25">
      <c r="B1484" s="169"/>
      <c r="C1484" s="679">
        <v>3048013</v>
      </c>
      <c r="D1484" s="677">
        <v>2</v>
      </c>
      <c r="E1484" s="678" t="s">
        <v>1823</v>
      </c>
      <c r="F1484" s="170"/>
    </row>
    <row r="1485" spans="2:6" ht="15" x14ac:dyDescent="0.25">
      <c r="B1485" s="169"/>
      <c r="C1485" s="679">
        <v>3048017</v>
      </c>
      <c r="D1485" s="677">
        <v>5</v>
      </c>
      <c r="E1485" s="678" t="s">
        <v>1824</v>
      </c>
      <c r="F1485" s="170"/>
    </row>
    <row r="1486" spans="2:6" ht="15" x14ac:dyDescent="0.25">
      <c r="B1486" s="169"/>
      <c r="C1486" s="679">
        <v>3048014</v>
      </c>
      <c r="D1486" s="677">
        <v>1</v>
      </c>
      <c r="E1486" s="678" t="s">
        <v>1825</v>
      </c>
      <c r="F1486" s="170"/>
    </row>
    <row r="1487" spans="2:6" ht="15" x14ac:dyDescent="0.25">
      <c r="B1487" s="169"/>
      <c r="C1487" s="679">
        <v>3048015</v>
      </c>
      <c r="D1487" s="677">
        <v>9</v>
      </c>
      <c r="E1487" s="678" t="s">
        <v>1826</v>
      </c>
      <c r="F1487" s="170"/>
    </row>
    <row r="1488" spans="2:6" ht="15" x14ac:dyDescent="0.25">
      <c r="B1488" s="169"/>
      <c r="C1488" s="679">
        <v>3048016</v>
      </c>
      <c r="D1488" s="677">
        <v>7</v>
      </c>
      <c r="E1488" s="678" t="s">
        <v>1827</v>
      </c>
      <c r="F1488" s="170"/>
    </row>
    <row r="1489" spans="2:6" ht="15" x14ac:dyDescent="0.25">
      <c r="B1489" s="169"/>
      <c r="C1489" s="679">
        <v>3048018</v>
      </c>
      <c r="D1489" s="677">
        <v>3</v>
      </c>
      <c r="E1489" s="678" t="s">
        <v>1828</v>
      </c>
      <c r="F1489" s="170"/>
    </row>
    <row r="1490" spans="2:6" ht="15" x14ac:dyDescent="0.25">
      <c r="B1490" s="169"/>
      <c r="C1490" s="679">
        <v>3048019</v>
      </c>
      <c r="D1490" s="677">
        <v>1</v>
      </c>
      <c r="E1490" s="678" t="s">
        <v>1829</v>
      </c>
      <c r="F1490" s="170"/>
    </row>
    <row r="1491" spans="2:6" ht="15" x14ac:dyDescent="0.25">
      <c r="B1491" s="169"/>
      <c r="C1491" s="679">
        <v>3048020</v>
      </c>
      <c r="D1491" s="677">
        <v>5</v>
      </c>
      <c r="E1491" s="678" t="s">
        <v>1830</v>
      </c>
      <c r="F1491" s="170"/>
    </row>
    <row r="1492" spans="2:6" ht="15" x14ac:dyDescent="0.25">
      <c r="B1492" s="169"/>
      <c r="C1492" s="679">
        <v>3048021</v>
      </c>
      <c r="D1492" s="677">
        <v>3</v>
      </c>
      <c r="E1492" s="678" t="s">
        <v>1831</v>
      </c>
      <c r="F1492" s="170"/>
    </row>
    <row r="1493" spans="2:6" ht="15" x14ac:dyDescent="0.25">
      <c r="B1493" s="169"/>
      <c r="C1493" s="679">
        <v>3048022</v>
      </c>
      <c r="D1493" s="677">
        <v>1</v>
      </c>
      <c r="E1493" s="678" t="s">
        <v>1832</v>
      </c>
      <c r="F1493" s="170"/>
    </row>
    <row r="1494" spans="2:6" ht="15" x14ac:dyDescent="0.25">
      <c r="B1494" s="169"/>
      <c r="C1494" s="679">
        <v>3048023</v>
      </c>
      <c r="D1494" s="677">
        <v>0</v>
      </c>
      <c r="E1494" s="678" t="s">
        <v>1833</v>
      </c>
      <c r="F1494" s="170"/>
    </row>
    <row r="1495" spans="2:6" ht="15" x14ac:dyDescent="0.25">
      <c r="B1495" s="169"/>
      <c r="C1495" s="679">
        <v>3048024</v>
      </c>
      <c r="D1495" s="677">
        <v>8</v>
      </c>
      <c r="E1495" s="678" t="s">
        <v>1834</v>
      </c>
      <c r="F1495" s="170"/>
    </row>
    <row r="1496" spans="2:6" ht="15" x14ac:dyDescent="0.25">
      <c r="B1496" s="169"/>
      <c r="C1496" s="679">
        <v>3048025</v>
      </c>
      <c r="D1496" s="677">
        <v>6</v>
      </c>
      <c r="E1496" s="678" t="s">
        <v>1835</v>
      </c>
      <c r="F1496" s="170"/>
    </row>
    <row r="1497" spans="2:6" ht="15" x14ac:dyDescent="0.25">
      <c r="B1497" s="169"/>
      <c r="C1497" s="679">
        <v>3048026</v>
      </c>
      <c r="D1497" s="677">
        <v>4</v>
      </c>
      <c r="E1497" s="678" t="s">
        <v>1836</v>
      </c>
      <c r="F1497" s="170"/>
    </row>
    <row r="1498" spans="2:6" ht="15" x14ac:dyDescent="0.25">
      <c r="B1498" s="169"/>
      <c r="C1498" s="679">
        <v>3048027</v>
      </c>
      <c r="D1498" s="677">
        <v>2</v>
      </c>
      <c r="E1498" s="678" t="s">
        <v>1837</v>
      </c>
      <c r="F1498" s="170"/>
    </row>
    <row r="1499" spans="2:6" ht="15" x14ac:dyDescent="0.25">
      <c r="B1499" s="169"/>
      <c r="C1499" s="679">
        <v>3048028</v>
      </c>
      <c r="D1499" s="677">
        <v>1</v>
      </c>
      <c r="E1499" s="678" t="s">
        <v>1838</v>
      </c>
      <c r="F1499" s="170"/>
    </row>
    <row r="1500" spans="2:6" ht="15" x14ac:dyDescent="0.25">
      <c r="B1500" s="169"/>
      <c r="C1500" s="679">
        <v>3048029</v>
      </c>
      <c r="D1500" s="677">
        <v>9</v>
      </c>
      <c r="E1500" s="678" t="s">
        <v>1839</v>
      </c>
      <c r="F1500" s="170"/>
    </row>
    <row r="1501" spans="2:6" ht="15" x14ac:dyDescent="0.25">
      <c r="B1501" s="169"/>
      <c r="C1501" s="679">
        <v>3048030</v>
      </c>
      <c r="D1501" s="677">
        <v>2</v>
      </c>
      <c r="E1501" s="678" t="s">
        <v>1840</v>
      </c>
      <c r="F1501" s="170"/>
    </row>
    <row r="1502" spans="2:6" ht="15" x14ac:dyDescent="0.25">
      <c r="B1502" s="169"/>
      <c r="C1502" s="679">
        <v>3048031</v>
      </c>
      <c r="D1502" s="677">
        <v>1</v>
      </c>
      <c r="E1502" s="678" t="s">
        <v>1841</v>
      </c>
      <c r="F1502" s="170"/>
    </row>
    <row r="1503" spans="2:6" ht="15" x14ac:dyDescent="0.25">
      <c r="B1503" s="169"/>
      <c r="C1503" s="679">
        <v>3048032</v>
      </c>
      <c r="D1503" s="677">
        <v>9</v>
      </c>
      <c r="E1503" s="678" t="s">
        <v>1842</v>
      </c>
      <c r="F1503" s="170"/>
    </row>
    <row r="1504" spans="2:6" ht="15" x14ac:dyDescent="0.25">
      <c r="B1504" s="169"/>
      <c r="C1504" s="679">
        <v>3048033</v>
      </c>
      <c r="D1504" s="677">
        <v>7</v>
      </c>
      <c r="E1504" s="678" t="s">
        <v>1843</v>
      </c>
      <c r="F1504" s="170"/>
    </row>
    <row r="1505" spans="2:6" ht="15" x14ac:dyDescent="0.25">
      <c r="B1505" s="169"/>
      <c r="C1505" s="679">
        <v>3048034</v>
      </c>
      <c r="D1505" s="677">
        <v>5</v>
      </c>
      <c r="E1505" s="678" t="s">
        <v>1844</v>
      </c>
      <c r="F1505" s="170"/>
    </row>
    <row r="1506" spans="2:6" ht="15" x14ac:dyDescent="0.25">
      <c r="B1506" s="169"/>
      <c r="C1506" s="679">
        <v>3048035</v>
      </c>
      <c r="D1506" s="677">
        <v>3</v>
      </c>
      <c r="E1506" s="678" t="s">
        <v>1845</v>
      </c>
      <c r="F1506" s="170"/>
    </row>
    <row r="1507" spans="2:6" ht="15" x14ac:dyDescent="0.25">
      <c r="B1507" s="169"/>
      <c r="C1507" s="679">
        <v>3048036</v>
      </c>
      <c r="D1507" s="677">
        <v>1</v>
      </c>
      <c r="E1507" s="678" t="s">
        <v>1846</v>
      </c>
      <c r="F1507" s="170"/>
    </row>
    <row r="1508" spans="2:6" ht="15" x14ac:dyDescent="0.25">
      <c r="B1508" s="169"/>
      <c r="C1508" s="679">
        <v>3048037</v>
      </c>
      <c r="D1508" s="677">
        <v>0</v>
      </c>
      <c r="E1508" s="678" t="s">
        <v>1847</v>
      </c>
      <c r="F1508" s="170"/>
    </row>
    <row r="1509" spans="2:6" ht="15" x14ac:dyDescent="0.25">
      <c r="B1509" s="169"/>
      <c r="C1509" s="679">
        <v>3048038</v>
      </c>
      <c r="D1509" s="677">
        <v>8</v>
      </c>
      <c r="E1509" s="678" t="s">
        <v>1848</v>
      </c>
      <c r="F1509" s="170"/>
    </row>
    <row r="1510" spans="2:6" ht="15" x14ac:dyDescent="0.25">
      <c r="B1510" s="169"/>
      <c r="C1510" s="679">
        <v>3048039</v>
      </c>
      <c r="D1510" s="677">
        <v>6</v>
      </c>
      <c r="E1510" s="678" t="s">
        <v>1849</v>
      </c>
      <c r="F1510" s="170"/>
    </row>
    <row r="1511" spans="2:6" ht="15" x14ac:dyDescent="0.25">
      <c r="B1511" s="169"/>
      <c r="C1511" s="679">
        <v>3048040</v>
      </c>
      <c r="D1511" s="677">
        <v>0</v>
      </c>
      <c r="E1511" s="678" t="s">
        <v>1850</v>
      </c>
      <c r="F1511" s="170"/>
    </row>
    <row r="1512" spans="2:6" ht="15" x14ac:dyDescent="0.25">
      <c r="B1512" s="169"/>
      <c r="C1512" s="679">
        <v>3048041</v>
      </c>
      <c r="D1512" s="677">
        <v>8</v>
      </c>
      <c r="E1512" s="678" t="s">
        <v>1851</v>
      </c>
      <c r="F1512" s="170"/>
    </row>
    <row r="1513" spans="2:6" ht="15" x14ac:dyDescent="0.25">
      <c r="B1513" s="169"/>
      <c r="C1513" s="679">
        <v>3048042</v>
      </c>
      <c r="D1513" s="677">
        <v>6</v>
      </c>
      <c r="E1513" s="678" t="s">
        <v>1852</v>
      </c>
      <c r="F1513" s="170"/>
    </row>
    <row r="1514" spans="2:6" ht="15" x14ac:dyDescent="0.25">
      <c r="B1514" s="169"/>
      <c r="C1514" s="679">
        <v>3048043</v>
      </c>
      <c r="D1514" s="677">
        <v>4</v>
      </c>
      <c r="E1514" s="678" t="s">
        <v>1853</v>
      </c>
      <c r="F1514" s="170"/>
    </row>
    <row r="1515" spans="2:6" ht="15" x14ac:dyDescent="0.25">
      <c r="B1515" s="169"/>
      <c r="C1515" s="679">
        <v>3048044</v>
      </c>
      <c r="D1515" s="677">
        <v>2</v>
      </c>
      <c r="E1515" s="678" t="s">
        <v>1854</v>
      </c>
      <c r="F1515" s="170"/>
    </row>
    <row r="1516" spans="2:6" ht="15" x14ac:dyDescent="0.25">
      <c r="B1516" s="169"/>
      <c r="C1516" s="679">
        <v>3048045</v>
      </c>
      <c r="D1516" s="677">
        <v>1</v>
      </c>
      <c r="E1516" s="678" t="s">
        <v>1855</v>
      </c>
      <c r="F1516" s="170"/>
    </row>
    <row r="1517" spans="2:6" ht="15" x14ac:dyDescent="0.25">
      <c r="B1517" s="169"/>
      <c r="C1517" s="679">
        <v>3048046</v>
      </c>
      <c r="D1517" s="677">
        <v>9</v>
      </c>
      <c r="E1517" s="678" t="s">
        <v>1856</v>
      </c>
      <c r="F1517" s="170"/>
    </row>
    <row r="1518" spans="2:6" ht="15" x14ac:dyDescent="0.25">
      <c r="B1518" s="169"/>
      <c r="C1518" s="679">
        <v>3048047</v>
      </c>
      <c r="D1518" s="677">
        <v>7</v>
      </c>
      <c r="E1518" s="678" t="s">
        <v>1857</v>
      </c>
      <c r="F1518" s="170"/>
    </row>
    <row r="1519" spans="2:6" ht="15" x14ac:dyDescent="0.25">
      <c r="B1519" s="169"/>
      <c r="C1519" s="679">
        <v>3048048</v>
      </c>
      <c r="D1519" s="677">
        <v>5</v>
      </c>
      <c r="E1519" s="678" t="s">
        <v>1858</v>
      </c>
      <c r="F1519" s="170"/>
    </row>
    <row r="1520" spans="2:6" ht="15" x14ac:dyDescent="0.25">
      <c r="B1520" s="169"/>
      <c r="C1520" s="679">
        <v>3048049</v>
      </c>
      <c r="D1520" s="677">
        <v>3</v>
      </c>
      <c r="E1520" s="678" t="s">
        <v>1859</v>
      </c>
      <c r="F1520" s="170"/>
    </row>
    <row r="1521" spans="2:6" ht="15" x14ac:dyDescent="0.25">
      <c r="B1521" s="169"/>
      <c r="C1521" s="679">
        <v>3048050</v>
      </c>
      <c r="D1521" s="677">
        <v>7</v>
      </c>
      <c r="E1521" s="678" t="s">
        <v>1860</v>
      </c>
      <c r="F1521" s="170"/>
    </row>
    <row r="1522" spans="2:6" ht="15" x14ac:dyDescent="0.25">
      <c r="B1522" s="169"/>
      <c r="C1522" s="679">
        <v>3048051</v>
      </c>
      <c r="D1522" s="677">
        <v>5</v>
      </c>
      <c r="E1522" s="678" t="s">
        <v>1861</v>
      </c>
      <c r="F1522" s="170"/>
    </row>
    <row r="1523" spans="2:6" ht="15" x14ac:dyDescent="0.25">
      <c r="B1523" s="169"/>
      <c r="C1523" s="679">
        <v>3048052</v>
      </c>
      <c r="D1523" s="677">
        <v>3</v>
      </c>
      <c r="E1523" s="678" t="s">
        <v>1862</v>
      </c>
      <c r="F1523" s="170"/>
    </row>
    <row r="1524" spans="2:6" ht="15" x14ac:dyDescent="0.25">
      <c r="B1524" s="169"/>
      <c r="C1524" s="679">
        <v>3048053</v>
      </c>
      <c r="D1524" s="677">
        <v>1</v>
      </c>
      <c r="E1524" s="678" t="s">
        <v>1863</v>
      </c>
      <c r="F1524" s="170"/>
    </row>
    <row r="1525" spans="2:6" ht="15" x14ac:dyDescent="0.25">
      <c r="B1525" s="169"/>
      <c r="C1525" s="679">
        <v>3048054</v>
      </c>
      <c r="D1525" s="677">
        <v>0</v>
      </c>
      <c r="E1525" s="678" t="s">
        <v>1864</v>
      </c>
      <c r="F1525" s="170"/>
    </row>
    <row r="1526" spans="2:6" ht="15" x14ac:dyDescent="0.25">
      <c r="B1526" s="169"/>
      <c r="C1526" s="679">
        <v>3048055</v>
      </c>
      <c r="D1526" s="677">
        <v>8</v>
      </c>
      <c r="E1526" s="678" t="s">
        <v>1865</v>
      </c>
      <c r="F1526" s="170"/>
    </row>
    <row r="1527" spans="2:6" ht="15" x14ac:dyDescent="0.25">
      <c r="B1527" s="169"/>
      <c r="C1527" s="679">
        <v>3048056</v>
      </c>
      <c r="D1527" s="677">
        <v>6</v>
      </c>
      <c r="E1527" s="678" t="s">
        <v>1866</v>
      </c>
      <c r="F1527" s="170"/>
    </row>
    <row r="1528" spans="2:6" ht="15" x14ac:dyDescent="0.25">
      <c r="B1528" s="169"/>
      <c r="C1528" s="679">
        <v>3048057</v>
      </c>
      <c r="D1528" s="677">
        <v>4</v>
      </c>
      <c r="E1528" s="678" t="s">
        <v>1867</v>
      </c>
      <c r="F1528" s="170"/>
    </row>
    <row r="1529" spans="2:6" ht="15" x14ac:dyDescent="0.25">
      <c r="B1529" s="169"/>
      <c r="C1529" s="679">
        <v>3048058</v>
      </c>
      <c r="D1529" s="677">
        <v>2</v>
      </c>
      <c r="E1529" s="678" t="s">
        <v>1868</v>
      </c>
      <c r="F1529" s="170"/>
    </row>
    <row r="1530" spans="2:6" ht="15" x14ac:dyDescent="0.25">
      <c r="B1530" s="169"/>
      <c r="C1530" s="679">
        <v>3048059</v>
      </c>
      <c r="D1530" s="677">
        <v>1</v>
      </c>
      <c r="E1530" s="678" t="s">
        <v>1869</v>
      </c>
      <c r="F1530" s="170"/>
    </row>
    <row r="1531" spans="2:6" ht="15" x14ac:dyDescent="0.25">
      <c r="B1531" s="169"/>
      <c r="C1531" s="679">
        <v>3048060</v>
      </c>
      <c r="D1531" s="677">
        <v>4</v>
      </c>
      <c r="E1531" s="678" t="s">
        <v>1870</v>
      </c>
      <c r="F1531" s="170"/>
    </row>
    <row r="1532" spans="2:6" ht="15" x14ac:dyDescent="0.25">
      <c r="B1532" s="169"/>
      <c r="C1532" s="679">
        <v>3048061</v>
      </c>
      <c r="D1532" s="677">
        <v>2</v>
      </c>
      <c r="E1532" s="678" t="s">
        <v>1871</v>
      </c>
      <c r="F1532" s="170"/>
    </row>
    <row r="1533" spans="2:6" ht="15" x14ac:dyDescent="0.25">
      <c r="B1533" s="169"/>
      <c r="C1533" s="679">
        <v>3048062</v>
      </c>
      <c r="D1533" s="677">
        <v>1</v>
      </c>
      <c r="E1533" s="678" t="s">
        <v>1872</v>
      </c>
      <c r="F1533" s="170"/>
    </row>
    <row r="1534" spans="2:6" ht="15" x14ac:dyDescent="0.25">
      <c r="B1534" s="169"/>
      <c r="C1534" s="679">
        <v>3048063</v>
      </c>
      <c r="D1534" s="677">
        <v>9</v>
      </c>
      <c r="E1534" s="678" t="s">
        <v>1873</v>
      </c>
      <c r="F1534" s="170"/>
    </row>
    <row r="1535" spans="2:6" ht="15" x14ac:dyDescent="0.25">
      <c r="B1535" s="169"/>
      <c r="C1535" s="679">
        <v>3048064</v>
      </c>
      <c r="D1535" s="677">
        <v>7</v>
      </c>
      <c r="E1535" s="678" t="s">
        <v>1874</v>
      </c>
      <c r="F1535" s="170"/>
    </row>
    <row r="1536" spans="2:6" ht="15" x14ac:dyDescent="0.25">
      <c r="B1536" s="169"/>
      <c r="C1536" s="679">
        <v>3048065</v>
      </c>
      <c r="D1536" s="677">
        <v>5</v>
      </c>
      <c r="E1536" s="678" t="s">
        <v>1875</v>
      </c>
      <c r="F1536" s="170"/>
    </row>
    <row r="1537" spans="2:6" ht="15" x14ac:dyDescent="0.25">
      <c r="B1537" s="169"/>
      <c r="C1537" s="679">
        <v>3048066</v>
      </c>
      <c r="D1537" s="677">
        <v>3</v>
      </c>
      <c r="E1537" s="678" t="s">
        <v>1876</v>
      </c>
      <c r="F1537" s="170"/>
    </row>
    <row r="1538" spans="2:6" ht="15" x14ac:dyDescent="0.25">
      <c r="B1538" s="169"/>
      <c r="C1538" s="679">
        <v>3048067</v>
      </c>
      <c r="D1538" s="677">
        <v>1</v>
      </c>
      <c r="E1538" s="678" t="s">
        <v>1877</v>
      </c>
      <c r="F1538" s="170"/>
    </row>
    <row r="1539" spans="2:6" ht="15" x14ac:dyDescent="0.25">
      <c r="B1539" s="169"/>
      <c r="C1539" s="679">
        <v>3048068</v>
      </c>
      <c r="D1539" s="677">
        <v>0</v>
      </c>
      <c r="E1539" s="678" t="s">
        <v>1878</v>
      </c>
      <c r="F1539" s="170"/>
    </row>
    <row r="1540" spans="2:6" ht="15" x14ac:dyDescent="0.25">
      <c r="B1540" s="169"/>
      <c r="C1540" s="679">
        <v>3048069</v>
      </c>
      <c r="D1540" s="677">
        <v>8</v>
      </c>
      <c r="E1540" s="678" t="s">
        <v>1879</v>
      </c>
      <c r="F1540" s="170"/>
    </row>
    <row r="1541" spans="2:6" ht="15" x14ac:dyDescent="0.25">
      <c r="B1541" s="169"/>
      <c r="C1541" s="679">
        <v>3048070</v>
      </c>
      <c r="D1541" s="677">
        <v>1</v>
      </c>
      <c r="E1541" s="678" t="s">
        <v>1880</v>
      </c>
      <c r="F1541" s="170"/>
    </row>
    <row r="1542" spans="2:6" ht="15" x14ac:dyDescent="0.25">
      <c r="B1542" s="169"/>
      <c r="C1542" s="679">
        <v>3048071</v>
      </c>
      <c r="D1542" s="677">
        <v>0</v>
      </c>
      <c r="E1542" s="678" t="s">
        <v>1881</v>
      </c>
      <c r="F1542" s="170"/>
    </row>
    <row r="1543" spans="2:6" ht="15" x14ac:dyDescent="0.25">
      <c r="B1543" s="169"/>
      <c r="C1543" s="679">
        <v>3048072</v>
      </c>
      <c r="D1543" s="677">
        <v>8</v>
      </c>
      <c r="E1543" s="678" t="s">
        <v>1882</v>
      </c>
      <c r="F1543" s="170"/>
    </row>
    <row r="1544" spans="2:6" ht="15" x14ac:dyDescent="0.25">
      <c r="B1544" s="169"/>
      <c r="C1544" s="679">
        <v>3048073</v>
      </c>
      <c r="D1544" s="677">
        <v>6</v>
      </c>
      <c r="E1544" s="678" t="s">
        <v>1883</v>
      </c>
      <c r="F1544" s="170"/>
    </row>
    <row r="1545" spans="2:6" ht="15" x14ac:dyDescent="0.25">
      <c r="B1545" s="169"/>
      <c r="C1545" s="679">
        <v>3048074</v>
      </c>
      <c r="D1545" s="677">
        <v>4</v>
      </c>
      <c r="E1545" s="678" t="s">
        <v>1884</v>
      </c>
      <c r="F1545" s="170"/>
    </row>
    <row r="1546" spans="2:6" ht="15" x14ac:dyDescent="0.25">
      <c r="B1546" s="169"/>
      <c r="C1546" s="679">
        <v>3048075</v>
      </c>
      <c r="D1546" s="677">
        <v>2</v>
      </c>
      <c r="E1546" s="678" t="s">
        <v>1885</v>
      </c>
      <c r="F1546" s="170"/>
    </row>
    <row r="1547" spans="2:6" ht="15" x14ac:dyDescent="0.25">
      <c r="B1547" s="169"/>
      <c r="C1547" s="679">
        <v>3048076</v>
      </c>
      <c r="D1547" s="677">
        <v>1</v>
      </c>
      <c r="E1547" s="678" t="s">
        <v>1886</v>
      </c>
      <c r="F1547" s="170"/>
    </row>
    <row r="1548" spans="2:6" ht="15" x14ac:dyDescent="0.25">
      <c r="B1548" s="169"/>
      <c r="C1548" s="679">
        <v>3048077</v>
      </c>
      <c r="D1548" s="677">
        <v>9</v>
      </c>
      <c r="E1548" s="678" t="s">
        <v>1887</v>
      </c>
      <c r="F1548" s="170"/>
    </row>
    <row r="1549" spans="2:6" ht="15" x14ac:dyDescent="0.25">
      <c r="B1549" s="169"/>
      <c r="C1549" s="679">
        <v>3048078</v>
      </c>
      <c r="D1549" s="677">
        <v>7</v>
      </c>
      <c r="E1549" s="678" t="s">
        <v>1888</v>
      </c>
      <c r="F1549" s="170"/>
    </row>
    <row r="1550" spans="2:6" ht="15" x14ac:dyDescent="0.25">
      <c r="B1550" s="169"/>
      <c r="C1550" s="679">
        <v>3048079</v>
      </c>
      <c r="D1550" s="677">
        <v>5</v>
      </c>
      <c r="E1550" s="678" t="s">
        <v>1889</v>
      </c>
      <c r="F1550" s="170"/>
    </row>
    <row r="1551" spans="2:6" ht="15" x14ac:dyDescent="0.25">
      <c r="B1551" s="169"/>
      <c r="C1551" s="679">
        <v>3048080</v>
      </c>
      <c r="D1551" s="677">
        <v>9</v>
      </c>
      <c r="E1551" s="678" t="s">
        <v>1890</v>
      </c>
      <c r="F1551" s="170"/>
    </row>
    <row r="1552" spans="2:6" ht="15" x14ac:dyDescent="0.25">
      <c r="B1552" s="169"/>
      <c r="C1552" s="679">
        <v>3048081</v>
      </c>
      <c r="D1552" s="677">
        <v>7</v>
      </c>
      <c r="E1552" s="678" t="s">
        <v>1891</v>
      </c>
      <c r="F1552" s="170"/>
    </row>
    <row r="1553" spans="2:6" ht="15" x14ac:dyDescent="0.25">
      <c r="B1553" s="169"/>
      <c r="C1553" s="679">
        <v>3048082</v>
      </c>
      <c r="D1553" s="677">
        <v>5</v>
      </c>
      <c r="E1553" s="678" t="s">
        <v>1892</v>
      </c>
      <c r="F1553" s="170"/>
    </row>
    <row r="1554" spans="2:6" ht="15" x14ac:dyDescent="0.25">
      <c r="B1554" s="169"/>
      <c r="C1554" s="679">
        <v>3048083</v>
      </c>
      <c r="D1554" s="677">
        <v>3</v>
      </c>
      <c r="E1554" s="678" t="s">
        <v>1893</v>
      </c>
      <c r="F1554" s="170"/>
    </row>
    <row r="1555" spans="2:6" ht="15" x14ac:dyDescent="0.25">
      <c r="B1555" s="169"/>
      <c r="C1555" s="679">
        <v>3048084</v>
      </c>
      <c r="D1555" s="677">
        <v>1</v>
      </c>
      <c r="E1555" s="678" t="s">
        <v>1894</v>
      </c>
      <c r="F1555" s="170"/>
    </row>
    <row r="1556" spans="2:6" ht="15" x14ac:dyDescent="0.25">
      <c r="B1556" s="169"/>
      <c r="C1556" s="679">
        <v>3048085</v>
      </c>
      <c r="D1556" s="677">
        <v>0</v>
      </c>
      <c r="E1556" s="678" t="s">
        <v>1895</v>
      </c>
      <c r="F1556" s="170"/>
    </row>
    <row r="1557" spans="2:6" ht="15" x14ac:dyDescent="0.25">
      <c r="B1557" s="169"/>
      <c r="C1557" s="679">
        <v>3048086</v>
      </c>
      <c r="D1557" s="677">
        <v>8</v>
      </c>
      <c r="E1557" s="678" t="s">
        <v>1896</v>
      </c>
      <c r="F1557" s="170"/>
    </row>
    <row r="1558" spans="2:6" ht="15" x14ac:dyDescent="0.25">
      <c r="B1558" s="169"/>
      <c r="C1558" s="679">
        <v>3048087</v>
      </c>
      <c r="D1558" s="677">
        <v>6</v>
      </c>
      <c r="E1558" s="678" t="s">
        <v>1897</v>
      </c>
      <c r="F1558" s="170"/>
    </row>
    <row r="1559" spans="2:6" ht="15" x14ac:dyDescent="0.25">
      <c r="B1559" s="169"/>
      <c r="C1559" s="679">
        <v>3048088</v>
      </c>
      <c r="D1559" s="677">
        <v>4</v>
      </c>
      <c r="E1559" s="678" t="s">
        <v>1898</v>
      </c>
      <c r="F1559" s="170"/>
    </row>
    <row r="1560" spans="2:6" ht="15" x14ac:dyDescent="0.25">
      <c r="B1560" s="169"/>
      <c r="C1560" s="679">
        <v>3048089</v>
      </c>
      <c r="D1560" s="677">
        <v>2</v>
      </c>
      <c r="E1560" s="678" t="s">
        <v>1899</v>
      </c>
      <c r="F1560" s="170"/>
    </row>
    <row r="1561" spans="2:6" ht="15" x14ac:dyDescent="0.25">
      <c r="B1561" s="169"/>
      <c r="C1561" s="679">
        <v>3048090</v>
      </c>
      <c r="D1561" s="677">
        <v>6</v>
      </c>
      <c r="E1561" s="678" t="s">
        <v>1900</v>
      </c>
      <c r="F1561" s="170"/>
    </row>
    <row r="1562" spans="2:6" ht="15" x14ac:dyDescent="0.25">
      <c r="B1562" s="169"/>
      <c r="C1562" s="679">
        <v>3048091</v>
      </c>
      <c r="D1562" s="677">
        <v>4</v>
      </c>
      <c r="E1562" s="678" t="s">
        <v>1901</v>
      </c>
      <c r="F1562" s="170"/>
    </row>
    <row r="1563" spans="2:6" ht="15" x14ac:dyDescent="0.25">
      <c r="B1563" s="169"/>
      <c r="C1563" s="679">
        <v>3048092</v>
      </c>
      <c r="D1563" s="677">
        <v>2</v>
      </c>
      <c r="E1563" s="678" t="s">
        <v>1902</v>
      </c>
      <c r="F1563" s="170"/>
    </row>
    <row r="1564" spans="2:6" ht="15" x14ac:dyDescent="0.25">
      <c r="B1564" s="169"/>
      <c r="C1564" s="679">
        <v>3048093</v>
      </c>
      <c r="D1564" s="677">
        <v>1</v>
      </c>
      <c r="E1564" s="678" t="s">
        <v>1903</v>
      </c>
      <c r="F1564" s="170"/>
    </row>
    <row r="1565" spans="2:6" ht="15" x14ac:dyDescent="0.25">
      <c r="B1565" s="169"/>
      <c r="C1565" s="679">
        <v>3048094</v>
      </c>
      <c r="D1565" s="677">
        <v>9</v>
      </c>
      <c r="E1565" s="678" t="s">
        <v>1904</v>
      </c>
      <c r="F1565" s="170"/>
    </row>
    <row r="1566" spans="2:6" ht="15" x14ac:dyDescent="0.25">
      <c r="B1566" s="169"/>
      <c r="C1566" s="679">
        <v>3048095</v>
      </c>
      <c r="D1566" s="677">
        <v>7</v>
      </c>
      <c r="E1566" s="678" t="s">
        <v>1905</v>
      </c>
      <c r="F1566" s="170"/>
    </row>
    <row r="1567" spans="2:6" ht="15" x14ac:dyDescent="0.25">
      <c r="B1567" s="169"/>
      <c r="C1567" s="679">
        <v>3048096</v>
      </c>
      <c r="D1567" s="677">
        <v>5</v>
      </c>
      <c r="E1567" s="678" t="s">
        <v>1906</v>
      </c>
      <c r="F1567" s="170"/>
    </row>
    <row r="1568" spans="2:6" ht="15" x14ac:dyDescent="0.25">
      <c r="B1568" s="169"/>
      <c r="C1568" s="679">
        <v>3048097</v>
      </c>
      <c r="D1568" s="677">
        <v>3</v>
      </c>
      <c r="E1568" s="678" t="s">
        <v>1907</v>
      </c>
      <c r="F1568" s="170"/>
    </row>
    <row r="1569" spans="2:6" ht="15" x14ac:dyDescent="0.25">
      <c r="B1569" s="169"/>
      <c r="C1569" s="679">
        <v>3048098</v>
      </c>
      <c r="D1569" s="677">
        <v>1</v>
      </c>
      <c r="E1569" s="678" t="s">
        <v>1908</v>
      </c>
      <c r="F1569" s="170"/>
    </row>
    <row r="1570" spans="2:6" ht="15" x14ac:dyDescent="0.25">
      <c r="B1570" s="169"/>
      <c r="C1570" s="679">
        <v>3048099</v>
      </c>
      <c r="D1570" s="677">
        <v>0</v>
      </c>
      <c r="E1570" s="678" t="s">
        <v>1909</v>
      </c>
      <c r="F1570" s="170"/>
    </row>
    <row r="1571" spans="2:6" ht="15" x14ac:dyDescent="0.25">
      <c r="B1571" s="169"/>
      <c r="C1571" s="679">
        <v>3048100</v>
      </c>
      <c r="D1571" s="677">
        <v>7</v>
      </c>
      <c r="E1571" s="678" t="s">
        <v>1910</v>
      </c>
      <c r="F1571" s="170"/>
    </row>
    <row r="1572" spans="2:6" ht="15" x14ac:dyDescent="0.25">
      <c r="B1572" s="169"/>
      <c r="C1572" s="679">
        <v>3048101</v>
      </c>
      <c r="D1572" s="677">
        <v>5</v>
      </c>
      <c r="E1572" s="678" t="s">
        <v>1911</v>
      </c>
      <c r="F1572" s="170"/>
    </row>
    <row r="1573" spans="2:6" ht="15" x14ac:dyDescent="0.25">
      <c r="B1573" s="169"/>
      <c r="C1573" s="679">
        <v>3048102</v>
      </c>
      <c r="D1573" s="677">
        <v>3</v>
      </c>
      <c r="E1573" s="678" t="s">
        <v>1912</v>
      </c>
      <c r="F1573" s="170"/>
    </row>
    <row r="1574" spans="2:6" ht="15" x14ac:dyDescent="0.25">
      <c r="B1574" s="169"/>
      <c r="C1574" s="679">
        <v>3048103</v>
      </c>
      <c r="D1574" s="677">
        <v>1</v>
      </c>
      <c r="E1574" s="678" t="s">
        <v>1913</v>
      </c>
      <c r="F1574" s="170"/>
    </row>
    <row r="1575" spans="2:6" ht="15" x14ac:dyDescent="0.25">
      <c r="B1575" s="169"/>
      <c r="C1575" s="679">
        <v>3048104</v>
      </c>
      <c r="D1575" s="677">
        <v>0</v>
      </c>
      <c r="E1575" s="678" t="s">
        <v>1914</v>
      </c>
      <c r="F1575" s="170"/>
    </row>
    <row r="1576" spans="2:6" ht="15" x14ac:dyDescent="0.25">
      <c r="B1576" s="169"/>
      <c r="C1576" s="679">
        <v>3048105</v>
      </c>
      <c r="D1576" s="677">
        <v>8</v>
      </c>
      <c r="E1576" s="678" t="s">
        <v>1915</v>
      </c>
      <c r="F1576" s="170"/>
    </row>
    <row r="1577" spans="2:6" ht="15" x14ac:dyDescent="0.25">
      <c r="B1577" s="169"/>
      <c r="C1577" s="679">
        <v>3048106</v>
      </c>
      <c r="D1577" s="677">
        <v>6</v>
      </c>
      <c r="E1577" s="678" t="s">
        <v>1916</v>
      </c>
      <c r="F1577" s="170"/>
    </row>
    <row r="1578" spans="2:6" ht="15" x14ac:dyDescent="0.25">
      <c r="B1578" s="169"/>
      <c r="C1578" s="679">
        <v>3048107</v>
      </c>
      <c r="D1578" s="677">
        <v>4</v>
      </c>
      <c r="E1578" s="678" t="s">
        <v>1917</v>
      </c>
      <c r="F1578" s="170"/>
    </row>
    <row r="1579" spans="2:6" ht="15" x14ac:dyDescent="0.25">
      <c r="B1579" s="169"/>
      <c r="C1579" s="679">
        <v>3048108</v>
      </c>
      <c r="D1579" s="677">
        <v>2</v>
      </c>
      <c r="E1579" s="678" t="s">
        <v>1918</v>
      </c>
      <c r="F1579" s="170"/>
    </row>
    <row r="1580" spans="2:6" ht="15" x14ac:dyDescent="0.25">
      <c r="B1580" s="169"/>
      <c r="C1580" s="679">
        <v>3048109</v>
      </c>
      <c r="D1580" s="677">
        <v>1</v>
      </c>
      <c r="E1580" s="678" t="s">
        <v>1919</v>
      </c>
      <c r="F1580" s="170"/>
    </row>
    <row r="1581" spans="2:6" ht="15" x14ac:dyDescent="0.25">
      <c r="B1581" s="169"/>
      <c r="C1581" s="679">
        <v>3048110</v>
      </c>
      <c r="D1581" s="677">
        <v>4</v>
      </c>
      <c r="E1581" s="678" t="s">
        <v>1920</v>
      </c>
      <c r="F1581" s="170"/>
    </row>
    <row r="1582" spans="2:6" ht="15" x14ac:dyDescent="0.25">
      <c r="B1582" s="169"/>
      <c r="C1582" s="679">
        <v>3048111</v>
      </c>
      <c r="D1582" s="677">
        <v>2</v>
      </c>
      <c r="E1582" s="678" t="s">
        <v>1921</v>
      </c>
      <c r="F1582" s="170"/>
    </row>
    <row r="1583" spans="2:6" ht="15" x14ac:dyDescent="0.25">
      <c r="B1583" s="169"/>
      <c r="C1583" s="679">
        <v>3048112</v>
      </c>
      <c r="D1583" s="677">
        <v>1</v>
      </c>
      <c r="E1583" s="678" t="s">
        <v>1922</v>
      </c>
      <c r="F1583" s="170"/>
    </row>
    <row r="1584" spans="2:6" ht="15" x14ac:dyDescent="0.25">
      <c r="B1584" s="169"/>
      <c r="C1584" s="679">
        <v>3048113</v>
      </c>
      <c r="D1584" s="677">
        <v>9</v>
      </c>
      <c r="E1584" s="678" t="s">
        <v>1923</v>
      </c>
      <c r="F1584" s="170"/>
    </row>
    <row r="1585" spans="2:6" ht="15" x14ac:dyDescent="0.25">
      <c r="B1585" s="169"/>
      <c r="C1585" s="679">
        <v>3048114</v>
      </c>
      <c r="D1585" s="677">
        <v>7</v>
      </c>
      <c r="E1585" s="678" t="s">
        <v>1924</v>
      </c>
      <c r="F1585" s="170"/>
    </row>
    <row r="1586" spans="2:6" ht="15" x14ac:dyDescent="0.25">
      <c r="B1586" s="169"/>
      <c r="C1586" s="679">
        <v>3048115</v>
      </c>
      <c r="D1586" s="677">
        <v>5</v>
      </c>
      <c r="E1586" s="678" t="s">
        <v>1925</v>
      </c>
      <c r="F1586" s="170"/>
    </row>
    <row r="1587" spans="2:6" ht="15" x14ac:dyDescent="0.25">
      <c r="B1587" s="169"/>
      <c r="C1587" s="679">
        <v>3048116</v>
      </c>
      <c r="D1587" s="677">
        <v>3</v>
      </c>
      <c r="E1587" s="678" t="s">
        <v>1926</v>
      </c>
      <c r="F1587" s="170"/>
    </row>
    <row r="1588" spans="2:6" ht="15" x14ac:dyDescent="0.25">
      <c r="B1588" s="169"/>
      <c r="C1588" s="679">
        <v>3075206</v>
      </c>
      <c r="D1588" s="677">
        <v>0</v>
      </c>
      <c r="E1588" s="678" t="s">
        <v>1927</v>
      </c>
      <c r="F1588" s="170"/>
    </row>
    <row r="1589" spans="2:6" ht="15" x14ac:dyDescent="0.25">
      <c r="B1589" s="169"/>
      <c r="C1589" s="679">
        <v>3048117</v>
      </c>
      <c r="D1589" s="677">
        <v>1</v>
      </c>
      <c r="E1589" s="678" t="s">
        <v>1928</v>
      </c>
      <c r="F1589" s="170"/>
    </row>
    <row r="1590" spans="2:6" ht="15" x14ac:dyDescent="0.25">
      <c r="B1590" s="169"/>
      <c r="C1590" s="679">
        <v>3048118</v>
      </c>
      <c r="D1590" s="677">
        <v>0</v>
      </c>
      <c r="E1590" s="678" t="s">
        <v>1929</v>
      </c>
      <c r="F1590" s="170"/>
    </row>
    <row r="1591" spans="2:6" ht="15" x14ac:dyDescent="0.25">
      <c r="B1591" s="169"/>
      <c r="C1591" s="679">
        <v>3048119</v>
      </c>
      <c r="D1591" s="677">
        <v>8</v>
      </c>
      <c r="E1591" s="678" t="s">
        <v>1930</v>
      </c>
      <c r="F1591" s="170"/>
    </row>
    <row r="1592" spans="2:6" ht="15" x14ac:dyDescent="0.25">
      <c r="B1592" s="169"/>
      <c r="C1592" s="679">
        <v>3048120</v>
      </c>
      <c r="D1592" s="677">
        <v>1</v>
      </c>
      <c r="E1592" s="678" t="s">
        <v>1931</v>
      </c>
      <c r="F1592" s="170"/>
    </row>
    <row r="1593" spans="2:6" ht="15" x14ac:dyDescent="0.25">
      <c r="B1593" s="169"/>
      <c r="C1593" s="679">
        <v>3048121</v>
      </c>
      <c r="D1593" s="677">
        <v>0</v>
      </c>
      <c r="E1593" s="678" t="s">
        <v>1932</v>
      </c>
      <c r="F1593" s="170"/>
    </row>
    <row r="1594" spans="2:6" ht="15" x14ac:dyDescent="0.25">
      <c r="B1594" s="169"/>
      <c r="C1594" s="679">
        <v>3048122</v>
      </c>
      <c r="D1594" s="677">
        <v>8</v>
      </c>
      <c r="E1594" s="678" t="s">
        <v>1933</v>
      </c>
      <c r="F1594" s="170"/>
    </row>
    <row r="1595" spans="2:6" ht="15" x14ac:dyDescent="0.25">
      <c r="B1595" s="169"/>
      <c r="C1595" s="679">
        <v>3048123</v>
      </c>
      <c r="D1595" s="677">
        <v>6</v>
      </c>
      <c r="E1595" s="678" t="s">
        <v>1934</v>
      </c>
      <c r="F1595" s="170"/>
    </row>
    <row r="1596" spans="2:6" ht="15" x14ac:dyDescent="0.25">
      <c r="B1596" s="169"/>
      <c r="C1596" s="679">
        <v>3048124</v>
      </c>
      <c r="D1596" s="677">
        <v>4</v>
      </c>
      <c r="E1596" s="678" t="s">
        <v>1935</v>
      </c>
      <c r="F1596" s="170"/>
    </row>
    <row r="1597" spans="2:6" ht="15" x14ac:dyDescent="0.25">
      <c r="B1597" s="169"/>
      <c r="C1597" s="679">
        <v>3048125</v>
      </c>
      <c r="D1597" s="677">
        <v>2</v>
      </c>
      <c r="E1597" s="678" t="s">
        <v>1936</v>
      </c>
      <c r="F1597" s="170"/>
    </row>
    <row r="1598" spans="2:6" ht="15" x14ac:dyDescent="0.25">
      <c r="B1598" s="169"/>
      <c r="C1598" s="679">
        <v>3048127</v>
      </c>
      <c r="D1598" s="677">
        <v>9</v>
      </c>
      <c r="E1598" s="678" t="s">
        <v>1937</v>
      </c>
      <c r="F1598" s="170"/>
    </row>
    <row r="1599" spans="2:6" ht="15" x14ac:dyDescent="0.25">
      <c r="B1599" s="169"/>
      <c r="C1599" s="679">
        <v>3048126</v>
      </c>
      <c r="D1599" s="677">
        <v>1</v>
      </c>
      <c r="E1599" s="678" t="s">
        <v>1937</v>
      </c>
      <c r="F1599" s="170"/>
    </row>
    <row r="1600" spans="2:6" ht="15" x14ac:dyDescent="0.25">
      <c r="B1600" s="169"/>
      <c r="C1600" s="679">
        <v>3317972</v>
      </c>
      <c r="D1600" s="677">
        <v>7</v>
      </c>
      <c r="E1600" s="678" t="s">
        <v>8283</v>
      </c>
      <c r="F1600" s="170"/>
    </row>
    <row r="1601" spans="2:6" ht="15" x14ac:dyDescent="0.25">
      <c r="B1601" s="169"/>
      <c r="C1601" s="679">
        <v>3048128</v>
      </c>
      <c r="D1601" s="677">
        <v>7</v>
      </c>
      <c r="E1601" s="678" t="s">
        <v>1938</v>
      </c>
      <c r="F1601" s="170"/>
    </row>
    <row r="1602" spans="2:6" ht="15" x14ac:dyDescent="0.25">
      <c r="B1602" s="169"/>
      <c r="C1602" s="679">
        <v>3048129</v>
      </c>
      <c r="D1602" s="677">
        <v>5</v>
      </c>
      <c r="E1602" s="678" t="s">
        <v>1939</v>
      </c>
      <c r="F1602" s="170"/>
    </row>
    <row r="1603" spans="2:6" ht="15" x14ac:dyDescent="0.25">
      <c r="B1603" s="169"/>
      <c r="C1603" s="679">
        <v>3048130</v>
      </c>
      <c r="D1603" s="677">
        <v>9</v>
      </c>
      <c r="E1603" s="678" t="s">
        <v>1940</v>
      </c>
      <c r="F1603" s="170"/>
    </row>
    <row r="1604" spans="2:6" ht="15" x14ac:dyDescent="0.25">
      <c r="B1604" s="169"/>
      <c r="C1604" s="679">
        <v>3048131</v>
      </c>
      <c r="D1604" s="677">
        <v>7</v>
      </c>
      <c r="E1604" s="678" t="s">
        <v>1941</v>
      </c>
      <c r="F1604" s="170"/>
    </row>
    <row r="1605" spans="2:6" ht="15" x14ac:dyDescent="0.25">
      <c r="B1605" s="169"/>
      <c r="C1605" s="679">
        <v>3048132</v>
      </c>
      <c r="D1605" s="677">
        <v>5</v>
      </c>
      <c r="E1605" s="678" t="s">
        <v>1942</v>
      </c>
      <c r="F1605" s="170"/>
    </row>
    <row r="1606" spans="2:6" ht="15" x14ac:dyDescent="0.25">
      <c r="B1606" s="169"/>
      <c r="C1606" s="679">
        <v>3048133</v>
      </c>
      <c r="D1606" s="677">
        <v>3</v>
      </c>
      <c r="E1606" s="678" t="s">
        <v>1943</v>
      </c>
      <c r="F1606" s="170"/>
    </row>
    <row r="1607" spans="2:6" ht="15" x14ac:dyDescent="0.25">
      <c r="B1607" s="169"/>
      <c r="C1607" s="679">
        <v>3048134</v>
      </c>
      <c r="D1607" s="677">
        <v>1</v>
      </c>
      <c r="E1607" s="678" t="s">
        <v>1944</v>
      </c>
      <c r="F1607" s="170"/>
    </row>
    <row r="1608" spans="2:6" ht="15" x14ac:dyDescent="0.25">
      <c r="B1608" s="169"/>
      <c r="C1608" s="679">
        <v>3048135</v>
      </c>
      <c r="D1608" s="677">
        <v>0</v>
      </c>
      <c r="E1608" s="678" t="s">
        <v>1945</v>
      </c>
      <c r="F1608" s="170"/>
    </row>
    <row r="1609" spans="2:6" ht="15" x14ac:dyDescent="0.25">
      <c r="B1609" s="169"/>
      <c r="C1609" s="679">
        <v>3048136</v>
      </c>
      <c r="D1609" s="677">
        <v>8</v>
      </c>
      <c r="E1609" s="678" t="s">
        <v>1946</v>
      </c>
      <c r="F1609" s="170"/>
    </row>
    <row r="1610" spans="2:6" ht="15" x14ac:dyDescent="0.25">
      <c r="B1610" s="169"/>
      <c r="C1610" s="679">
        <v>3048137</v>
      </c>
      <c r="D1610" s="677">
        <v>6</v>
      </c>
      <c r="E1610" s="678" t="s">
        <v>1947</v>
      </c>
      <c r="F1610" s="170"/>
    </row>
    <row r="1611" spans="2:6" ht="15" x14ac:dyDescent="0.25">
      <c r="B1611" s="169"/>
      <c r="C1611" s="679">
        <v>3048138</v>
      </c>
      <c r="D1611" s="677">
        <v>4</v>
      </c>
      <c r="E1611" s="678" t="s">
        <v>1948</v>
      </c>
      <c r="F1611" s="170"/>
    </row>
    <row r="1612" spans="2:6" ht="15" x14ac:dyDescent="0.25">
      <c r="B1612" s="169"/>
      <c r="C1612" s="679">
        <v>3048139</v>
      </c>
      <c r="D1612" s="677">
        <v>2</v>
      </c>
      <c r="E1612" s="678" t="s">
        <v>1949</v>
      </c>
      <c r="F1612" s="170"/>
    </row>
    <row r="1613" spans="2:6" ht="15" x14ac:dyDescent="0.25">
      <c r="B1613" s="169"/>
      <c r="C1613" s="679">
        <v>3048140</v>
      </c>
      <c r="D1613" s="677">
        <v>6</v>
      </c>
      <c r="E1613" s="678" t="s">
        <v>1950</v>
      </c>
      <c r="F1613" s="170"/>
    </row>
    <row r="1614" spans="2:6" ht="15" x14ac:dyDescent="0.25">
      <c r="B1614" s="169"/>
      <c r="C1614" s="679">
        <v>3048141</v>
      </c>
      <c r="D1614" s="677">
        <v>4</v>
      </c>
      <c r="E1614" s="678" t="s">
        <v>1951</v>
      </c>
      <c r="F1614" s="170"/>
    </row>
    <row r="1615" spans="2:6" ht="15" x14ac:dyDescent="0.25">
      <c r="B1615" s="169"/>
      <c r="C1615" s="679">
        <v>3048142</v>
      </c>
      <c r="D1615" s="677">
        <v>2</v>
      </c>
      <c r="E1615" s="678" t="s">
        <v>1952</v>
      </c>
      <c r="F1615" s="170"/>
    </row>
    <row r="1616" spans="2:6" ht="15" x14ac:dyDescent="0.25">
      <c r="B1616" s="169"/>
      <c r="C1616" s="679">
        <v>3048143</v>
      </c>
      <c r="D1616" s="677">
        <v>1</v>
      </c>
      <c r="E1616" s="678" t="s">
        <v>1953</v>
      </c>
      <c r="F1616" s="170"/>
    </row>
    <row r="1617" spans="2:6" ht="15" x14ac:dyDescent="0.25">
      <c r="B1617" s="169"/>
      <c r="C1617" s="679">
        <v>3048144</v>
      </c>
      <c r="D1617" s="677">
        <v>9</v>
      </c>
      <c r="E1617" s="678" t="s">
        <v>1954</v>
      </c>
      <c r="F1617" s="170"/>
    </row>
    <row r="1618" spans="2:6" ht="15" x14ac:dyDescent="0.25">
      <c r="B1618" s="169"/>
      <c r="C1618" s="679">
        <v>3048145</v>
      </c>
      <c r="D1618" s="677">
        <v>7</v>
      </c>
      <c r="E1618" s="678" t="s">
        <v>1955</v>
      </c>
      <c r="F1618" s="170"/>
    </row>
    <row r="1619" spans="2:6" ht="15" x14ac:dyDescent="0.25">
      <c r="B1619" s="169"/>
      <c r="C1619" s="679">
        <v>3048146</v>
      </c>
      <c r="D1619" s="677">
        <v>5</v>
      </c>
      <c r="E1619" s="678" t="s">
        <v>1956</v>
      </c>
      <c r="F1619" s="170"/>
    </row>
    <row r="1620" spans="2:6" ht="15" x14ac:dyDescent="0.25">
      <c r="B1620" s="169"/>
      <c r="C1620" s="679">
        <v>3048147</v>
      </c>
      <c r="D1620" s="677">
        <v>3</v>
      </c>
      <c r="E1620" s="678" t="s">
        <v>1957</v>
      </c>
      <c r="F1620" s="170"/>
    </row>
    <row r="1621" spans="2:6" ht="15" x14ac:dyDescent="0.25">
      <c r="B1621" s="169"/>
      <c r="C1621" s="679">
        <v>3048148</v>
      </c>
      <c r="D1621" s="677">
        <v>1</v>
      </c>
      <c r="E1621" s="678" t="s">
        <v>1958</v>
      </c>
      <c r="F1621" s="170"/>
    </row>
    <row r="1622" spans="2:6" ht="15" x14ac:dyDescent="0.25">
      <c r="B1622" s="169"/>
      <c r="C1622" s="679">
        <v>3048149</v>
      </c>
      <c r="D1622" s="677">
        <v>0</v>
      </c>
      <c r="E1622" s="678" t="s">
        <v>1959</v>
      </c>
      <c r="F1622" s="170"/>
    </row>
    <row r="1623" spans="2:6" ht="15" x14ac:dyDescent="0.25">
      <c r="B1623" s="169"/>
      <c r="C1623" s="679">
        <v>3264014</v>
      </c>
      <c r="D1623" s="677">
        <v>5</v>
      </c>
      <c r="E1623" s="678" t="s">
        <v>8284</v>
      </c>
      <c r="F1623" s="170"/>
    </row>
    <row r="1624" spans="2:6" ht="15" x14ac:dyDescent="0.25">
      <c r="B1624" s="169"/>
      <c r="C1624" s="679">
        <v>3047961</v>
      </c>
      <c r="D1624" s="677">
        <v>4</v>
      </c>
      <c r="E1624" s="678" t="s">
        <v>1960</v>
      </c>
      <c r="F1624" s="170"/>
    </row>
    <row r="1625" spans="2:6" ht="15" x14ac:dyDescent="0.25">
      <c r="B1625" s="169"/>
      <c r="C1625" s="679">
        <v>3048150</v>
      </c>
      <c r="D1625" s="677">
        <v>3</v>
      </c>
      <c r="E1625" s="678" t="s">
        <v>1961</v>
      </c>
      <c r="F1625" s="170"/>
    </row>
    <row r="1626" spans="2:6" ht="15" x14ac:dyDescent="0.25">
      <c r="B1626" s="169"/>
      <c r="C1626" s="679">
        <v>3048151</v>
      </c>
      <c r="D1626" s="677">
        <v>1</v>
      </c>
      <c r="E1626" s="678" t="s">
        <v>1962</v>
      </c>
      <c r="F1626" s="170"/>
    </row>
    <row r="1627" spans="2:6" ht="15" x14ac:dyDescent="0.25">
      <c r="B1627" s="169"/>
      <c r="C1627" s="679">
        <v>3048152</v>
      </c>
      <c r="D1627" s="677">
        <v>0</v>
      </c>
      <c r="E1627" s="678" t="s">
        <v>1963</v>
      </c>
      <c r="F1627" s="170"/>
    </row>
    <row r="1628" spans="2:6" ht="15" x14ac:dyDescent="0.25">
      <c r="B1628" s="169"/>
      <c r="C1628" s="679">
        <v>3048153</v>
      </c>
      <c r="D1628" s="677">
        <v>8</v>
      </c>
      <c r="E1628" s="678" t="s">
        <v>1964</v>
      </c>
      <c r="F1628" s="170"/>
    </row>
    <row r="1629" spans="2:6" ht="15" x14ac:dyDescent="0.25">
      <c r="B1629" s="169"/>
      <c r="C1629" s="679">
        <v>3048154</v>
      </c>
      <c r="D1629" s="677">
        <v>6</v>
      </c>
      <c r="E1629" s="678" t="s">
        <v>1965</v>
      </c>
      <c r="F1629" s="170"/>
    </row>
    <row r="1630" spans="2:6" ht="15" x14ac:dyDescent="0.25">
      <c r="B1630" s="169"/>
      <c r="C1630" s="679">
        <v>3048155</v>
      </c>
      <c r="D1630" s="677">
        <v>4</v>
      </c>
      <c r="E1630" s="678" t="s">
        <v>1966</v>
      </c>
      <c r="F1630" s="170"/>
    </row>
    <row r="1631" spans="2:6" ht="15" x14ac:dyDescent="0.25">
      <c r="B1631" s="169"/>
      <c r="C1631" s="679">
        <v>3048156</v>
      </c>
      <c r="D1631" s="677">
        <v>2</v>
      </c>
      <c r="E1631" s="678" t="s">
        <v>1967</v>
      </c>
      <c r="F1631" s="170"/>
    </row>
    <row r="1632" spans="2:6" ht="15" x14ac:dyDescent="0.25">
      <c r="B1632" s="169"/>
      <c r="C1632" s="679">
        <v>3048157</v>
      </c>
      <c r="D1632" s="677">
        <v>1</v>
      </c>
      <c r="E1632" s="678" t="s">
        <v>1968</v>
      </c>
      <c r="F1632" s="170"/>
    </row>
    <row r="1633" spans="2:6" ht="15" x14ac:dyDescent="0.25">
      <c r="B1633" s="169"/>
      <c r="C1633" s="679">
        <v>3048158</v>
      </c>
      <c r="D1633" s="677">
        <v>9</v>
      </c>
      <c r="E1633" s="678" t="s">
        <v>1969</v>
      </c>
      <c r="F1633" s="170"/>
    </row>
    <row r="1634" spans="2:6" ht="15" x14ac:dyDescent="0.25">
      <c r="B1634" s="169"/>
      <c r="C1634" s="679">
        <v>3048159</v>
      </c>
      <c r="D1634" s="677">
        <v>7</v>
      </c>
      <c r="E1634" s="678" t="s">
        <v>1970</v>
      </c>
      <c r="F1634" s="170"/>
    </row>
    <row r="1635" spans="2:6" ht="15" x14ac:dyDescent="0.25">
      <c r="B1635" s="169"/>
      <c r="C1635" s="679">
        <v>3048160</v>
      </c>
      <c r="D1635" s="677">
        <v>1</v>
      </c>
      <c r="E1635" s="678" t="s">
        <v>1971</v>
      </c>
      <c r="F1635" s="170"/>
    </row>
    <row r="1636" spans="2:6" ht="15" x14ac:dyDescent="0.25">
      <c r="B1636" s="169"/>
      <c r="C1636" s="679">
        <v>3048161</v>
      </c>
      <c r="D1636" s="677">
        <v>9</v>
      </c>
      <c r="E1636" s="678" t="s">
        <v>1972</v>
      </c>
      <c r="F1636" s="170"/>
    </row>
    <row r="1637" spans="2:6" ht="15" x14ac:dyDescent="0.25">
      <c r="B1637" s="169"/>
      <c r="C1637" s="679">
        <v>3254857</v>
      </c>
      <c r="D1637" s="677">
        <v>5</v>
      </c>
      <c r="E1637" s="678" t="s">
        <v>8285</v>
      </c>
      <c r="F1637" s="170"/>
    </row>
    <row r="1638" spans="2:6" ht="15" x14ac:dyDescent="0.25">
      <c r="B1638" s="169"/>
      <c r="C1638" s="679">
        <v>3048162</v>
      </c>
      <c r="D1638" s="677">
        <v>7</v>
      </c>
      <c r="E1638" s="678" t="s">
        <v>1973</v>
      </c>
      <c r="F1638" s="170"/>
    </row>
    <row r="1639" spans="2:6" ht="15" x14ac:dyDescent="0.25">
      <c r="B1639" s="169"/>
      <c r="C1639" s="679">
        <v>3048163</v>
      </c>
      <c r="D1639" s="677">
        <v>5</v>
      </c>
      <c r="E1639" s="678" t="s">
        <v>1974</v>
      </c>
      <c r="F1639" s="170"/>
    </row>
    <row r="1640" spans="2:6" ht="15" x14ac:dyDescent="0.25">
      <c r="B1640" s="169"/>
      <c r="C1640" s="679">
        <v>3048164</v>
      </c>
      <c r="D1640" s="677">
        <v>3</v>
      </c>
      <c r="E1640" s="678" t="s">
        <v>1975</v>
      </c>
      <c r="F1640" s="170"/>
    </row>
    <row r="1641" spans="2:6" ht="15" x14ac:dyDescent="0.25">
      <c r="B1641" s="169"/>
      <c r="C1641" s="679">
        <v>3048165</v>
      </c>
      <c r="D1641" s="677">
        <v>1</v>
      </c>
      <c r="E1641" s="678" t="s">
        <v>1976</v>
      </c>
      <c r="F1641" s="170"/>
    </row>
    <row r="1642" spans="2:6" ht="15" x14ac:dyDescent="0.25">
      <c r="B1642" s="169"/>
      <c r="C1642" s="679">
        <v>3048166</v>
      </c>
      <c r="D1642" s="677">
        <v>0</v>
      </c>
      <c r="E1642" s="678" t="s">
        <v>1977</v>
      </c>
      <c r="F1642" s="170"/>
    </row>
    <row r="1643" spans="2:6" ht="15" x14ac:dyDescent="0.25">
      <c r="B1643" s="169"/>
      <c r="C1643" s="679">
        <v>3048167</v>
      </c>
      <c r="D1643" s="677">
        <v>8</v>
      </c>
      <c r="E1643" s="678" t="s">
        <v>1978</v>
      </c>
      <c r="F1643" s="170"/>
    </row>
    <row r="1644" spans="2:6" ht="15" x14ac:dyDescent="0.25">
      <c r="B1644" s="169"/>
      <c r="C1644" s="679">
        <v>3048168</v>
      </c>
      <c r="D1644" s="677">
        <v>6</v>
      </c>
      <c r="E1644" s="678" t="s">
        <v>1979</v>
      </c>
      <c r="F1644" s="170"/>
    </row>
    <row r="1645" spans="2:6" ht="15" x14ac:dyDescent="0.25">
      <c r="B1645" s="169"/>
      <c r="C1645" s="679">
        <v>3048169</v>
      </c>
      <c r="D1645" s="677">
        <v>4</v>
      </c>
      <c r="E1645" s="678" t="s">
        <v>1980</v>
      </c>
      <c r="F1645" s="170"/>
    </row>
    <row r="1646" spans="2:6" ht="15" x14ac:dyDescent="0.25">
      <c r="B1646" s="169"/>
      <c r="C1646" s="679">
        <v>3048170</v>
      </c>
      <c r="D1646" s="677">
        <v>8</v>
      </c>
      <c r="E1646" s="678" t="s">
        <v>1981</v>
      </c>
      <c r="F1646" s="170"/>
    </row>
    <row r="1647" spans="2:6" ht="15" x14ac:dyDescent="0.25">
      <c r="B1647" s="169"/>
      <c r="C1647" s="679">
        <v>3162791</v>
      </c>
      <c r="D1647" s="677">
        <v>9</v>
      </c>
      <c r="E1647" s="678" t="s">
        <v>1982</v>
      </c>
      <c r="F1647" s="170"/>
    </row>
    <row r="1648" spans="2:6" ht="15" x14ac:dyDescent="0.25">
      <c r="B1648" s="169"/>
      <c r="C1648" s="679">
        <v>3048171</v>
      </c>
      <c r="D1648" s="677">
        <v>6</v>
      </c>
      <c r="E1648" s="678" t="s">
        <v>1983</v>
      </c>
      <c r="F1648" s="170"/>
    </row>
    <row r="1649" spans="2:6" ht="15" x14ac:dyDescent="0.25">
      <c r="B1649" s="169"/>
      <c r="C1649" s="679">
        <v>3048172</v>
      </c>
      <c r="D1649" s="677">
        <v>4</v>
      </c>
      <c r="E1649" s="678" t="s">
        <v>1984</v>
      </c>
      <c r="F1649" s="170"/>
    </row>
    <row r="1650" spans="2:6" ht="15" x14ac:dyDescent="0.25">
      <c r="B1650" s="169"/>
      <c r="C1650" s="679">
        <v>3048173</v>
      </c>
      <c r="D1650" s="677">
        <v>2</v>
      </c>
      <c r="E1650" s="678" t="s">
        <v>1985</v>
      </c>
      <c r="F1650" s="170"/>
    </row>
    <row r="1651" spans="2:6" ht="15" x14ac:dyDescent="0.25">
      <c r="B1651" s="169"/>
      <c r="C1651" s="679">
        <v>3077787</v>
      </c>
      <c r="D1651" s="677">
        <v>9</v>
      </c>
      <c r="E1651" s="678" t="s">
        <v>1986</v>
      </c>
      <c r="F1651" s="170"/>
    </row>
    <row r="1652" spans="2:6" ht="15" x14ac:dyDescent="0.25">
      <c r="B1652" s="169"/>
      <c r="C1652" s="679">
        <v>3054556</v>
      </c>
      <c r="D1652" s="677">
        <v>1</v>
      </c>
      <c r="E1652" s="678" t="s">
        <v>1987</v>
      </c>
      <c r="F1652" s="170"/>
    </row>
    <row r="1653" spans="2:6" ht="15" x14ac:dyDescent="0.25">
      <c r="B1653" s="169"/>
      <c r="C1653" s="679">
        <v>3054571</v>
      </c>
      <c r="D1653" s="677">
        <v>4</v>
      </c>
      <c r="E1653" s="678" t="s">
        <v>1988</v>
      </c>
      <c r="F1653" s="170"/>
    </row>
    <row r="1654" spans="2:6" ht="15" x14ac:dyDescent="0.25">
      <c r="B1654" s="169"/>
      <c r="C1654" s="679">
        <v>3054527</v>
      </c>
      <c r="D1654" s="677">
        <v>7</v>
      </c>
      <c r="E1654" s="678" t="s">
        <v>1989</v>
      </c>
      <c r="F1654" s="170"/>
    </row>
    <row r="1655" spans="2:6" ht="15" x14ac:dyDescent="0.25">
      <c r="B1655" s="169"/>
      <c r="C1655" s="679">
        <v>3054546</v>
      </c>
      <c r="D1655" s="677">
        <v>3</v>
      </c>
      <c r="E1655" s="678" t="s">
        <v>1990</v>
      </c>
      <c r="F1655" s="170"/>
    </row>
    <row r="1656" spans="2:6" ht="15" x14ac:dyDescent="0.25">
      <c r="B1656" s="169"/>
      <c r="C1656" s="679">
        <v>3054597</v>
      </c>
      <c r="D1656" s="677">
        <v>8</v>
      </c>
      <c r="E1656" s="678" t="s">
        <v>1991</v>
      </c>
      <c r="F1656" s="170"/>
    </row>
    <row r="1657" spans="2:6" ht="15" x14ac:dyDescent="0.25">
      <c r="B1657" s="169"/>
      <c r="C1657" s="679">
        <v>3054516</v>
      </c>
      <c r="D1657" s="677">
        <v>1</v>
      </c>
      <c r="E1657" s="678" t="s">
        <v>1992</v>
      </c>
      <c r="F1657" s="170"/>
    </row>
    <row r="1658" spans="2:6" ht="15" x14ac:dyDescent="0.25">
      <c r="B1658" s="169"/>
      <c r="C1658" s="679">
        <v>3054677</v>
      </c>
      <c r="D1658" s="677">
        <v>0</v>
      </c>
      <c r="E1658" s="678" t="s">
        <v>1993</v>
      </c>
      <c r="F1658" s="170"/>
    </row>
    <row r="1659" spans="2:6" ht="15" x14ac:dyDescent="0.25">
      <c r="B1659" s="169"/>
      <c r="C1659" s="679">
        <v>3054590</v>
      </c>
      <c r="D1659" s="677">
        <v>1</v>
      </c>
      <c r="E1659" s="678" t="s">
        <v>1994</v>
      </c>
      <c r="F1659" s="170"/>
    </row>
    <row r="1660" spans="2:6" ht="15" x14ac:dyDescent="0.25">
      <c r="B1660" s="169"/>
      <c r="C1660" s="679">
        <v>3054682</v>
      </c>
      <c r="D1660" s="677">
        <v>6</v>
      </c>
      <c r="E1660" s="678" t="s">
        <v>1995</v>
      </c>
      <c r="F1660" s="170"/>
    </row>
    <row r="1661" spans="2:6" ht="15" x14ac:dyDescent="0.25">
      <c r="B1661" s="169"/>
      <c r="C1661" s="679">
        <v>3054566</v>
      </c>
      <c r="D1661" s="677">
        <v>8</v>
      </c>
      <c r="E1661" s="678" t="s">
        <v>1996</v>
      </c>
      <c r="F1661" s="170"/>
    </row>
    <row r="1662" spans="2:6" ht="15" x14ac:dyDescent="0.25">
      <c r="B1662" s="169"/>
      <c r="C1662" s="679">
        <v>3054575</v>
      </c>
      <c r="D1662" s="677">
        <v>7</v>
      </c>
      <c r="E1662" s="678" t="s">
        <v>1997</v>
      </c>
      <c r="F1662" s="170"/>
    </row>
    <row r="1663" spans="2:6" ht="15" x14ac:dyDescent="0.25">
      <c r="B1663" s="169"/>
      <c r="C1663" s="679">
        <v>3054661</v>
      </c>
      <c r="D1663" s="677">
        <v>3</v>
      </c>
      <c r="E1663" s="678" t="s">
        <v>1998</v>
      </c>
      <c r="F1663" s="170"/>
    </row>
    <row r="1664" spans="2:6" ht="15" x14ac:dyDescent="0.25">
      <c r="B1664" s="169"/>
      <c r="C1664" s="679">
        <v>3054684</v>
      </c>
      <c r="D1664" s="677">
        <v>2</v>
      </c>
      <c r="E1664" s="678" t="s">
        <v>1999</v>
      </c>
      <c r="F1664" s="170"/>
    </row>
    <row r="1665" spans="2:6" ht="15" x14ac:dyDescent="0.25">
      <c r="B1665" s="169"/>
      <c r="C1665" s="679">
        <v>3054513</v>
      </c>
      <c r="D1665" s="677">
        <v>7</v>
      </c>
      <c r="E1665" s="678" t="s">
        <v>2000</v>
      </c>
      <c r="F1665" s="170"/>
    </row>
    <row r="1666" spans="2:6" ht="15" x14ac:dyDescent="0.25">
      <c r="B1666" s="169"/>
      <c r="C1666" s="679">
        <v>3054644</v>
      </c>
      <c r="D1666" s="677">
        <v>3</v>
      </c>
      <c r="E1666" s="678" t="s">
        <v>2001</v>
      </c>
      <c r="F1666" s="170"/>
    </row>
    <row r="1667" spans="2:6" ht="15" x14ac:dyDescent="0.25">
      <c r="B1667" s="169"/>
      <c r="C1667" s="679">
        <v>3054529</v>
      </c>
      <c r="D1667" s="677">
        <v>3</v>
      </c>
      <c r="E1667" s="678" t="s">
        <v>2002</v>
      </c>
      <c r="F1667" s="170"/>
    </row>
    <row r="1668" spans="2:6" ht="15" x14ac:dyDescent="0.25">
      <c r="B1668" s="169"/>
      <c r="C1668" s="679">
        <v>3054650</v>
      </c>
      <c r="D1668" s="677">
        <v>8</v>
      </c>
      <c r="E1668" s="678" t="s">
        <v>2003</v>
      </c>
      <c r="F1668" s="170"/>
    </row>
    <row r="1669" spans="2:6" ht="15" x14ac:dyDescent="0.25">
      <c r="B1669" s="169"/>
      <c r="C1669" s="679">
        <v>3054634</v>
      </c>
      <c r="D1669" s="677">
        <v>6</v>
      </c>
      <c r="E1669" s="678" t="s">
        <v>2004</v>
      </c>
      <c r="F1669" s="170"/>
    </row>
    <row r="1670" spans="2:6" ht="15" x14ac:dyDescent="0.25">
      <c r="B1670" s="169"/>
      <c r="C1670" s="679">
        <v>3054685</v>
      </c>
      <c r="D1670" s="677">
        <v>1</v>
      </c>
      <c r="E1670" s="678" t="s">
        <v>2005</v>
      </c>
      <c r="F1670" s="170"/>
    </row>
    <row r="1671" spans="2:6" ht="15" x14ac:dyDescent="0.25">
      <c r="B1671" s="169"/>
      <c r="C1671" s="679">
        <v>3054517</v>
      </c>
      <c r="D1671" s="677">
        <v>0</v>
      </c>
      <c r="E1671" s="678" t="s">
        <v>2006</v>
      </c>
      <c r="F1671" s="170"/>
    </row>
    <row r="1672" spans="2:6" ht="15" x14ac:dyDescent="0.25">
      <c r="B1672" s="169"/>
      <c r="C1672" s="679">
        <v>3054648</v>
      </c>
      <c r="D1672" s="677">
        <v>6</v>
      </c>
      <c r="E1672" s="678" t="s">
        <v>2007</v>
      </c>
      <c r="F1672" s="170"/>
    </row>
    <row r="1673" spans="2:6" ht="15" x14ac:dyDescent="0.25">
      <c r="B1673" s="169"/>
      <c r="C1673" s="679">
        <v>3054649</v>
      </c>
      <c r="D1673" s="677">
        <v>4</v>
      </c>
      <c r="E1673" s="678" t="s">
        <v>2008</v>
      </c>
      <c r="F1673" s="170"/>
    </row>
    <row r="1674" spans="2:6" ht="15" x14ac:dyDescent="0.25">
      <c r="B1674" s="169"/>
      <c r="C1674" s="679">
        <v>3054495</v>
      </c>
      <c r="D1674" s="677">
        <v>5</v>
      </c>
      <c r="E1674" s="678" t="s">
        <v>2009</v>
      </c>
      <c r="F1674" s="170"/>
    </row>
    <row r="1675" spans="2:6" ht="15" x14ac:dyDescent="0.25">
      <c r="B1675" s="169"/>
      <c r="C1675" s="679">
        <v>3054528</v>
      </c>
      <c r="D1675" s="677">
        <v>5</v>
      </c>
      <c r="E1675" s="678" t="s">
        <v>2010</v>
      </c>
      <c r="F1675" s="170"/>
    </row>
    <row r="1676" spans="2:6" ht="15" x14ac:dyDescent="0.25">
      <c r="B1676" s="169"/>
      <c r="C1676" s="679">
        <v>3054606</v>
      </c>
      <c r="D1676" s="677">
        <v>1</v>
      </c>
      <c r="E1676" s="678" t="s">
        <v>2011</v>
      </c>
      <c r="F1676" s="170"/>
    </row>
    <row r="1677" spans="2:6" ht="15" x14ac:dyDescent="0.25">
      <c r="B1677" s="169"/>
      <c r="C1677" s="679">
        <v>3054686</v>
      </c>
      <c r="D1677" s="677">
        <v>9</v>
      </c>
      <c r="E1677" s="678" t="s">
        <v>2012</v>
      </c>
      <c r="F1677" s="170"/>
    </row>
    <row r="1678" spans="2:6" ht="15" x14ac:dyDescent="0.25">
      <c r="B1678" s="169"/>
      <c r="C1678" s="679">
        <v>3054582</v>
      </c>
      <c r="D1678" s="677">
        <v>0</v>
      </c>
      <c r="E1678" s="678" t="s">
        <v>2013</v>
      </c>
      <c r="F1678" s="170"/>
    </row>
    <row r="1679" spans="2:6" ht="15" x14ac:dyDescent="0.25">
      <c r="B1679" s="169"/>
      <c r="C1679" s="679">
        <v>3054515</v>
      </c>
      <c r="D1679" s="677">
        <v>3</v>
      </c>
      <c r="E1679" s="678" t="s">
        <v>2014</v>
      </c>
      <c r="F1679" s="170"/>
    </row>
    <row r="1680" spans="2:6" ht="15" x14ac:dyDescent="0.25">
      <c r="B1680" s="169"/>
      <c r="C1680" s="679">
        <v>3054530</v>
      </c>
      <c r="D1680" s="677">
        <v>7</v>
      </c>
      <c r="E1680" s="678" t="s">
        <v>2015</v>
      </c>
      <c r="F1680" s="170"/>
    </row>
    <row r="1681" spans="2:6" ht="15" x14ac:dyDescent="0.25">
      <c r="B1681" s="169"/>
      <c r="C1681" s="679">
        <v>3054636</v>
      </c>
      <c r="D1681" s="677">
        <v>2</v>
      </c>
      <c r="E1681" s="678" t="s">
        <v>2016</v>
      </c>
      <c r="F1681" s="170"/>
    </row>
    <row r="1682" spans="2:6" ht="15" x14ac:dyDescent="0.25">
      <c r="B1682" s="169"/>
      <c r="C1682" s="679">
        <v>3054558</v>
      </c>
      <c r="D1682" s="677">
        <v>7</v>
      </c>
      <c r="E1682" s="678" t="s">
        <v>2017</v>
      </c>
      <c r="F1682" s="170"/>
    </row>
    <row r="1683" spans="2:6" ht="15" x14ac:dyDescent="0.25">
      <c r="B1683" s="169"/>
      <c r="C1683" s="679">
        <v>3054551</v>
      </c>
      <c r="D1683" s="677">
        <v>0</v>
      </c>
      <c r="E1683" s="678" t="s">
        <v>2018</v>
      </c>
      <c r="F1683" s="170"/>
    </row>
    <row r="1684" spans="2:6" ht="15" x14ac:dyDescent="0.25">
      <c r="B1684" s="169"/>
      <c r="C1684" s="679">
        <v>3054531</v>
      </c>
      <c r="D1684" s="677">
        <v>5</v>
      </c>
      <c r="E1684" s="678" t="s">
        <v>2019</v>
      </c>
      <c r="F1684" s="170"/>
    </row>
    <row r="1685" spans="2:6" ht="15" x14ac:dyDescent="0.25">
      <c r="B1685" s="169"/>
      <c r="C1685" s="679">
        <v>3054535</v>
      </c>
      <c r="D1685" s="677">
        <v>8</v>
      </c>
      <c r="E1685" s="678" t="s">
        <v>2020</v>
      </c>
      <c r="F1685" s="170"/>
    </row>
    <row r="1686" spans="2:6" ht="15" x14ac:dyDescent="0.25">
      <c r="B1686" s="169"/>
      <c r="C1686" s="679">
        <v>3054537</v>
      </c>
      <c r="D1686" s="677">
        <v>4</v>
      </c>
      <c r="E1686" s="678" t="s">
        <v>2021</v>
      </c>
      <c r="F1686" s="170"/>
    </row>
    <row r="1687" spans="2:6" ht="15" x14ac:dyDescent="0.25">
      <c r="B1687" s="169"/>
      <c r="C1687" s="679">
        <v>3054687</v>
      </c>
      <c r="D1687" s="677">
        <v>7</v>
      </c>
      <c r="E1687" s="678" t="s">
        <v>2022</v>
      </c>
      <c r="F1687" s="170"/>
    </row>
    <row r="1688" spans="2:6" ht="15" x14ac:dyDescent="0.25">
      <c r="B1688" s="169"/>
      <c r="C1688" s="679">
        <v>3054626</v>
      </c>
      <c r="D1688" s="677">
        <v>5</v>
      </c>
      <c r="E1688" s="678" t="s">
        <v>2023</v>
      </c>
      <c r="F1688" s="170"/>
    </row>
    <row r="1689" spans="2:6" ht="15" x14ac:dyDescent="0.25">
      <c r="B1689" s="169"/>
      <c r="C1689" s="679">
        <v>3054548</v>
      </c>
      <c r="D1689" s="677">
        <v>0</v>
      </c>
      <c r="E1689" s="678" t="s">
        <v>2024</v>
      </c>
      <c r="F1689" s="170"/>
    </row>
    <row r="1690" spans="2:6" ht="15" x14ac:dyDescent="0.25">
      <c r="B1690" s="169"/>
      <c r="C1690" s="679">
        <v>3054598</v>
      </c>
      <c r="D1690" s="677">
        <v>6</v>
      </c>
      <c r="E1690" s="678" t="s">
        <v>2025</v>
      </c>
      <c r="F1690" s="170"/>
    </row>
    <row r="1691" spans="2:6" ht="15" x14ac:dyDescent="0.25">
      <c r="B1691" s="169"/>
      <c r="C1691" s="679">
        <v>3054662</v>
      </c>
      <c r="D1691" s="677">
        <v>1</v>
      </c>
      <c r="E1691" s="678" t="s">
        <v>2026</v>
      </c>
      <c r="F1691" s="170"/>
    </row>
    <row r="1692" spans="2:6" ht="15" x14ac:dyDescent="0.25">
      <c r="B1692" s="169"/>
      <c r="C1692" s="679">
        <v>3054651</v>
      </c>
      <c r="D1692" s="677">
        <v>6</v>
      </c>
      <c r="E1692" s="678" t="s">
        <v>2027</v>
      </c>
      <c r="F1692" s="170"/>
    </row>
    <row r="1693" spans="2:6" ht="15" x14ac:dyDescent="0.25">
      <c r="B1693" s="169"/>
      <c r="C1693" s="679">
        <v>3054576</v>
      </c>
      <c r="D1693" s="677">
        <v>5</v>
      </c>
      <c r="E1693" s="678" t="s">
        <v>2028</v>
      </c>
      <c r="F1693" s="170"/>
    </row>
    <row r="1694" spans="2:6" ht="15" x14ac:dyDescent="0.25">
      <c r="B1694" s="169"/>
      <c r="C1694" s="679">
        <v>3054617</v>
      </c>
      <c r="D1694" s="677">
        <v>6</v>
      </c>
      <c r="E1694" s="678" t="s">
        <v>2029</v>
      </c>
      <c r="F1694" s="170"/>
    </row>
    <row r="1695" spans="2:6" ht="15" x14ac:dyDescent="0.25">
      <c r="B1695" s="169"/>
      <c r="C1695" s="679">
        <v>3054583</v>
      </c>
      <c r="D1695" s="677">
        <v>8</v>
      </c>
      <c r="E1695" s="678" t="s">
        <v>2030</v>
      </c>
      <c r="F1695" s="170"/>
    </row>
    <row r="1696" spans="2:6" ht="15" x14ac:dyDescent="0.25">
      <c r="B1696" s="169"/>
      <c r="C1696" s="679">
        <v>3054552</v>
      </c>
      <c r="D1696" s="677">
        <v>8</v>
      </c>
      <c r="E1696" s="678" t="s">
        <v>2031</v>
      </c>
      <c r="F1696" s="170"/>
    </row>
    <row r="1697" spans="2:6" ht="15" x14ac:dyDescent="0.25">
      <c r="B1697" s="169"/>
      <c r="C1697" s="679">
        <v>3054621</v>
      </c>
      <c r="D1697" s="677">
        <v>4</v>
      </c>
      <c r="E1697" s="678" t="s">
        <v>2032</v>
      </c>
      <c r="F1697" s="170"/>
    </row>
    <row r="1698" spans="2:6" ht="15" x14ac:dyDescent="0.25">
      <c r="B1698" s="169"/>
      <c r="C1698" s="679">
        <v>3054599</v>
      </c>
      <c r="D1698" s="677">
        <v>4</v>
      </c>
      <c r="E1698" s="678" t="s">
        <v>2033</v>
      </c>
      <c r="F1698" s="170"/>
    </row>
    <row r="1699" spans="2:6" ht="15" x14ac:dyDescent="0.25">
      <c r="B1699" s="169"/>
      <c r="C1699" s="679">
        <v>3054670</v>
      </c>
      <c r="D1699" s="677">
        <v>2</v>
      </c>
      <c r="E1699" s="678" t="s">
        <v>2034</v>
      </c>
      <c r="F1699" s="170"/>
    </row>
    <row r="1700" spans="2:6" ht="15" x14ac:dyDescent="0.25">
      <c r="B1700" s="169"/>
      <c r="C1700" s="679">
        <v>3054663</v>
      </c>
      <c r="D1700" s="677">
        <v>0</v>
      </c>
      <c r="E1700" s="678" t="s">
        <v>2035</v>
      </c>
      <c r="F1700" s="170"/>
    </row>
    <row r="1701" spans="2:6" ht="15" x14ac:dyDescent="0.25">
      <c r="B1701" s="169"/>
      <c r="C1701" s="679">
        <v>3054688</v>
      </c>
      <c r="D1701" s="677">
        <v>5</v>
      </c>
      <c r="E1701" s="678" t="s">
        <v>2036</v>
      </c>
      <c r="F1701" s="170"/>
    </row>
    <row r="1702" spans="2:6" ht="15" x14ac:dyDescent="0.25">
      <c r="B1702" s="169"/>
      <c r="C1702" s="679">
        <v>3054538</v>
      </c>
      <c r="D1702" s="677">
        <v>2</v>
      </c>
      <c r="E1702" s="678" t="s">
        <v>2037</v>
      </c>
      <c r="F1702" s="170"/>
    </row>
    <row r="1703" spans="2:6" ht="15" x14ac:dyDescent="0.25">
      <c r="B1703" s="169"/>
      <c r="C1703" s="679">
        <v>3054613</v>
      </c>
      <c r="D1703" s="677">
        <v>3</v>
      </c>
      <c r="E1703" s="678" t="s">
        <v>2038</v>
      </c>
      <c r="F1703" s="170"/>
    </row>
    <row r="1704" spans="2:6" ht="15" x14ac:dyDescent="0.25">
      <c r="B1704" s="169"/>
      <c r="C1704" s="679">
        <v>3054492</v>
      </c>
      <c r="D1704" s="677">
        <v>1</v>
      </c>
      <c r="E1704" s="678" t="s">
        <v>2039</v>
      </c>
      <c r="F1704" s="170"/>
    </row>
    <row r="1705" spans="2:6" ht="15" x14ac:dyDescent="0.25">
      <c r="B1705" s="169"/>
      <c r="C1705" s="679">
        <v>3054645</v>
      </c>
      <c r="D1705" s="677">
        <v>1</v>
      </c>
      <c r="E1705" s="678" t="s">
        <v>2040</v>
      </c>
      <c r="F1705" s="170"/>
    </row>
    <row r="1706" spans="2:6" ht="15" x14ac:dyDescent="0.25">
      <c r="B1706" s="169"/>
      <c r="C1706" s="679">
        <v>3054563</v>
      </c>
      <c r="D1706" s="677">
        <v>3</v>
      </c>
      <c r="E1706" s="678" t="s">
        <v>2041</v>
      </c>
      <c r="F1706" s="170"/>
    </row>
    <row r="1707" spans="2:6" ht="15" x14ac:dyDescent="0.25">
      <c r="B1707" s="169"/>
      <c r="C1707" s="679">
        <v>3054629</v>
      </c>
      <c r="D1707" s="677">
        <v>0</v>
      </c>
      <c r="E1707" s="678" t="s">
        <v>2042</v>
      </c>
      <c r="F1707" s="170"/>
    </row>
    <row r="1708" spans="2:6" ht="15" x14ac:dyDescent="0.25">
      <c r="B1708" s="169"/>
      <c r="C1708" s="679">
        <v>3054532</v>
      </c>
      <c r="D1708" s="677">
        <v>3</v>
      </c>
      <c r="E1708" s="678" t="s">
        <v>2043</v>
      </c>
      <c r="F1708" s="170"/>
    </row>
    <row r="1709" spans="2:6" ht="15" x14ac:dyDescent="0.25">
      <c r="B1709" s="169"/>
      <c r="C1709" s="679">
        <v>3054559</v>
      </c>
      <c r="D1709" s="677">
        <v>5</v>
      </c>
      <c r="E1709" s="678" t="s">
        <v>2044</v>
      </c>
      <c r="F1709" s="170"/>
    </row>
    <row r="1710" spans="2:6" ht="15" x14ac:dyDescent="0.25">
      <c r="B1710" s="169"/>
      <c r="C1710" s="679">
        <v>3054525</v>
      </c>
      <c r="D1710" s="677">
        <v>1</v>
      </c>
      <c r="E1710" s="678" t="s">
        <v>2045</v>
      </c>
      <c r="F1710" s="170"/>
    </row>
    <row r="1711" spans="2:6" ht="15" x14ac:dyDescent="0.25">
      <c r="B1711" s="169"/>
      <c r="C1711" s="679">
        <v>3054568</v>
      </c>
      <c r="D1711" s="677">
        <v>4</v>
      </c>
      <c r="E1711" s="678" t="s">
        <v>2046</v>
      </c>
      <c r="F1711" s="170"/>
    </row>
    <row r="1712" spans="2:6" ht="15" x14ac:dyDescent="0.25">
      <c r="B1712" s="169"/>
      <c r="C1712" s="679">
        <v>3054526</v>
      </c>
      <c r="D1712" s="677">
        <v>9</v>
      </c>
      <c r="E1712" s="678" t="s">
        <v>2047</v>
      </c>
      <c r="F1712" s="170"/>
    </row>
    <row r="1713" spans="2:6" ht="15" x14ac:dyDescent="0.25">
      <c r="B1713" s="169"/>
      <c r="C1713" s="679">
        <v>3054572</v>
      </c>
      <c r="D1713" s="677">
        <v>2</v>
      </c>
      <c r="E1713" s="678" t="s">
        <v>2048</v>
      </c>
      <c r="F1713" s="170"/>
    </row>
    <row r="1714" spans="2:6" ht="15" x14ac:dyDescent="0.25">
      <c r="B1714" s="169"/>
      <c r="C1714" s="679">
        <v>3054542</v>
      </c>
      <c r="D1714" s="677">
        <v>1</v>
      </c>
      <c r="E1714" s="678" t="s">
        <v>2049</v>
      </c>
      <c r="F1714" s="170"/>
    </row>
    <row r="1715" spans="2:6" ht="15" x14ac:dyDescent="0.25">
      <c r="B1715" s="169"/>
      <c r="C1715" s="679">
        <v>3054540</v>
      </c>
      <c r="D1715" s="677">
        <v>4</v>
      </c>
      <c r="E1715" s="678" t="s">
        <v>2050</v>
      </c>
      <c r="F1715" s="170"/>
    </row>
    <row r="1716" spans="2:6" ht="15" x14ac:dyDescent="0.25">
      <c r="B1716" s="169"/>
      <c r="C1716" s="679">
        <v>3054553</v>
      </c>
      <c r="D1716" s="677">
        <v>6</v>
      </c>
      <c r="E1716" s="678" t="s">
        <v>2051</v>
      </c>
      <c r="F1716" s="170"/>
    </row>
    <row r="1717" spans="2:6" ht="15" x14ac:dyDescent="0.25">
      <c r="B1717" s="169"/>
      <c r="C1717" s="679">
        <v>3054549</v>
      </c>
      <c r="D1717" s="677">
        <v>8</v>
      </c>
      <c r="E1717" s="678" t="s">
        <v>2052</v>
      </c>
      <c r="F1717" s="170"/>
    </row>
    <row r="1718" spans="2:6" ht="15" x14ac:dyDescent="0.25">
      <c r="B1718" s="169"/>
      <c r="C1718" s="679">
        <v>3054664</v>
      </c>
      <c r="D1718" s="677">
        <v>8</v>
      </c>
      <c r="E1718" s="678" t="s">
        <v>2053</v>
      </c>
      <c r="F1718" s="170"/>
    </row>
    <row r="1719" spans="2:6" ht="15" x14ac:dyDescent="0.25">
      <c r="B1719" s="169"/>
      <c r="C1719" s="679">
        <v>3054689</v>
      </c>
      <c r="D1719" s="677">
        <v>3</v>
      </c>
      <c r="E1719" s="678" t="s">
        <v>2054</v>
      </c>
      <c r="F1719" s="170"/>
    </row>
    <row r="1720" spans="2:6" ht="15" x14ac:dyDescent="0.25">
      <c r="B1720" s="169"/>
      <c r="C1720" s="679">
        <v>3054518</v>
      </c>
      <c r="D1720" s="677">
        <v>8</v>
      </c>
      <c r="E1720" s="678" t="s">
        <v>2055</v>
      </c>
      <c r="F1720" s="170"/>
    </row>
    <row r="1721" spans="2:6" ht="15" x14ac:dyDescent="0.25">
      <c r="B1721" s="169"/>
      <c r="C1721" s="679">
        <v>3054564</v>
      </c>
      <c r="D1721" s="677">
        <v>1</v>
      </c>
      <c r="E1721" s="678" t="s">
        <v>2056</v>
      </c>
      <c r="F1721" s="170"/>
    </row>
    <row r="1722" spans="2:6" ht="15" x14ac:dyDescent="0.25">
      <c r="B1722" s="169"/>
      <c r="C1722" s="679">
        <v>3054607</v>
      </c>
      <c r="D1722" s="677">
        <v>9</v>
      </c>
      <c r="E1722" s="678" t="s">
        <v>2057</v>
      </c>
      <c r="F1722" s="170"/>
    </row>
    <row r="1723" spans="2:6" ht="15" x14ac:dyDescent="0.25">
      <c r="B1723" s="169"/>
      <c r="C1723" s="679">
        <v>3054690</v>
      </c>
      <c r="D1723" s="677">
        <v>7</v>
      </c>
      <c r="E1723" s="678" t="s">
        <v>2058</v>
      </c>
      <c r="F1723" s="170"/>
    </row>
    <row r="1724" spans="2:6" ht="15" x14ac:dyDescent="0.25">
      <c r="B1724" s="169"/>
      <c r="C1724" s="679">
        <v>3054610</v>
      </c>
      <c r="D1724" s="677">
        <v>9</v>
      </c>
      <c r="E1724" s="678" t="s">
        <v>2059</v>
      </c>
      <c r="F1724" s="170"/>
    </row>
    <row r="1725" spans="2:6" ht="15" x14ac:dyDescent="0.25">
      <c r="B1725" s="169"/>
      <c r="C1725" s="679">
        <v>3054573</v>
      </c>
      <c r="D1725" s="677">
        <v>1</v>
      </c>
      <c r="E1725" s="678" t="s">
        <v>2060</v>
      </c>
      <c r="F1725" s="170"/>
    </row>
    <row r="1726" spans="2:6" ht="15" x14ac:dyDescent="0.25">
      <c r="B1726" s="169"/>
      <c r="C1726" s="679">
        <v>3054584</v>
      </c>
      <c r="D1726" s="677">
        <v>6</v>
      </c>
      <c r="E1726" s="678" t="s">
        <v>2061</v>
      </c>
      <c r="F1726" s="170"/>
    </row>
    <row r="1727" spans="2:6" ht="15" x14ac:dyDescent="0.25">
      <c r="B1727" s="169"/>
      <c r="C1727" s="679">
        <v>3054630</v>
      </c>
      <c r="D1727" s="677">
        <v>3</v>
      </c>
      <c r="E1727" s="678" t="s">
        <v>2062</v>
      </c>
      <c r="F1727" s="170"/>
    </row>
    <row r="1728" spans="2:6" ht="15" x14ac:dyDescent="0.25">
      <c r="B1728" s="169"/>
      <c r="C1728" s="679">
        <v>3054692</v>
      </c>
      <c r="D1728" s="677">
        <v>3</v>
      </c>
      <c r="E1728" s="678" t="s">
        <v>2063</v>
      </c>
      <c r="F1728" s="170"/>
    </row>
    <row r="1729" spans="2:6" ht="15" x14ac:dyDescent="0.25">
      <c r="B1729" s="169"/>
      <c r="C1729" s="679">
        <v>3054591</v>
      </c>
      <c r="D1729" s="677">
        <v>9</v>
      </c>
      <c r="E1729" s="678" t="s">
        <v>2064</v>
      </c>
      <c r="F1729" s="170"/>
    </row>
    <row r="1730" spans="2:6" ht="15" x14ac:dyDescent="0.25">
      <c r="B1730" s="169"/>
      <c r="C1730" s="679">
        <v>3054565</v>
      </c>
      <c r="D1730" s="677">
        <v>0</v>
      </c>
      <c r="E1730" s="678" t="s">
        <v>2065</v>
      </c>
      <c r="F1730" s="170"/>
    </row>
    <row r="1731" spans="2:6" ht="15" x14ac:dyDescent="0.25">
      <c r="B1731" s="169"/>
      <c r="C1731" s="679">
        <v>3054611</v>
      </c>
      <c r="D1731" s="677">
        <v>7</v>
      </c>
      <c r="E1731" s="678" t="s">
        <v>2066</v>
      </c>
      <c r="F1731" s="170"/>
    </row>
    <row r="1732" spans="2:6" ht="15" x14ac:dyDescent="0.25">
      <c r="B1732" s="169"/>
      <c r="C1732" s="679">
        <v>3054693</v>
      </c>
      <c r="D1732" s="677">
        <v>1</v>
      </c>
      <c r="E1732" s="678" t="s">
        <v>2067</v>
      </c>
      <c r="F1732" s="170"/>
    </row>
    <row r="1733" spans="2:6" ht="15" x14ac:dyDescent="0.25">
      <c r="B1733" s="169"/>
      <c r="C1733" s="679">
        <v>3054665</v>
      </c>
      <c r="D1733" s="677">
        <v>6</v>
      </c>
      <c r="E1733" s="678" t="s">
        <v>2068</v>
      </c>
      <c r="F1733" s="170"/>
    </row>
    <row r="1734" spans="2:6" ht="15" x14ac:dyDescent="0.25">
      <c r="B1734" s="169"/>
      <c r="C1734" s="679">
        <v>3054577</v>
      </c>
      <c r="D1734" s="677">
        <v>3</v>
      </c>
      <c r="E1734" s="678" t="s">
        <v>2069</v>
      </c>
      <c r="F1734" s="170"/>
    </row>
    <row r="1735" spans="2:6" ht="15" x14ac:dyDescent="0.25">
      <c r="B1735" s="169"/>
      <c r="C1735" s="679">
        <v>3054585</v>
      </c>
      <c r="D1735" s="677">
        <v>4</v>
      </c>
      <c r="E1735" s="678" t="s">
        <v>2070</v>
      </c>
      <c r="F1735" s="170"/>
    </row>
    <row r="1736" spans="2:6" ht="15" x14ac:dyDescent="0.25">
      <c r="B1736" s="169"/>
      <c r="C1736" s="679">
        <v>3054618</v>
      </c>
      <c r="D1736" s="677">
        <v>4</v>
      </c>
      <c r="E1736" s="678" t="s">
        <v>2071</v>
      </c>
      <c r="F1736" s="170"/>
    </row>
    <row r="1737" spans="2:6" ht="15" x14ac:dyDescent="0.25">
      <c r="B1737" s="169"/>
      <c r="C1737" s="679">
        <v>3054586</v>
      </c>
      <c r="D1737" s="677">
        <v>2</v>
      </c>
      <c r="E1737" s="678" t="s">
        <v>2072</v>
      </c>
      <c r="F1737" s="170"/>
    </row>
    <row r="1738" spans="2:6" ht="15" x14ac:dyDescent="0.25">
      <c r="B1738" s="169"/>
      <c r="C1738" s="679">
        <v>3054534</v>
      </c>
      <c r="D1738" s="677">
        <v>0</v>
      </c>
      <c r="E1738" s="678" t="s">
        <v>2073</v>
      </c>
      <c r="F1738" s="170"/>
    </row>
    <row r="1739" spans="2:6" ht="15" x14ac:dyDescent="0.25">
      <c r="B1739" s="169"/>
      <c r="C1739" s="679">
        <v>3054600</v>
      </c>
      <c r="D1739" s="677">
        <v>1</v>
      </c>
      <c r="E1739" s="678" t="s">
        <v>2074</v>
      </c>
      <c r="F1739" s="170"/>
    </row>
    <row r="1740" spans="2:6" ht="15" x14ac:dyDescent="0.25">
      <c r="B1740" s="169"/>
      <c r="C1740" s="679">
        <v>3054671</v>
      </c>
      <c r="D1740" s="677">
        <v>1</v>
      </c>
      <c r="E1740" s="678" t="s">
        <v>2075</v>
      </c>
      <c r="F1740" s="170"/>
    </row>
    <row r="1741" spans="2:6" ht="15" x14ac:dyDescent="0.25">
      <c r="B1741" s="169"/>
      <c r="C1741" s="679">
        <v>3054587</v>
      </c>
      <c r="D1741" s="677">
        <v>1</v>
      </c>
      <c r="E1741" s="678" t="s">
        <v>2076</v>
      </c>
      <c r="F1741" s="170"/>
    </row>
    <row r="1742" spans="2:6" ht="15" x14ac:dyDescent="0.25">
      <c r="B1742" s="169"/>
      <c r="C1742" s="679">
        <v>3054683</v>
      </c>
      <c r="D1742" s="677">
        <v>4</v>
      </c>
      <c r="E1742" s="678" t="s">
        <v>2077</v>
      </c>
      <c r="F1742" s="170"/>
    </row>
    <row r="1743" spans="2:6" ht="15" x14ac:dyDescent="0.25">
      <c r="B1743" s="169"/>
      <c r="C1743" s="679">
        <v>3054514</v>
      </c>
      <c r="D1743" s="677">
        <v>5</v>
      </c>
      <c r="E1743" s="678" t="s">
        <v>2078</v>
      </c>
      <c r="F1743" s="170"/>
    </row>
    <row r="1744" spans="2:6" ht="15" x14ac:dyDescent="0.25">
      <c r="B1744" s="169"/>
      <c r="C1744" s="679">
        <v>3054562</v>
      </c>
      <c r="D1744" s="677">
        <v>5</v>
      </c>
      <c r="E1744" s="678" t="s">
        <v>2079</v>
      </c>
      <c r="F1744" s="170"/>
    </row>
    <row r="1745" spans="2:6" ht="15" x14ac:dyDescent="0.25">
      <c r="B1745" s="169"/>
      <c r="C1745" s="679">
        <v>3054580</v>
      </c>
      <c r="D1745" s="677">
        <v>3</v>
      </c>
      <c r="E1745" s="678" t="s">
        <v>2080</v>
      </c>
      <c r="F1745" s="170"/>
    </row>
    <row r="1746" spans="2:6" ht="15" x14ac:dyDescent="0.25">
      <c r="B1746" s="169"/>
      <c r="C1746" s="679">
        <v>3054694</v>
      </c>
      <c r="D1746" s="677">
        <v>0</v>
      </c>
      <c r="E1746" s="678" t="s">
        <v>2081</v>
      </c>
      <c r="F1746" s="170"/>
    </row>
    <row r="1747" spans="2:6" ht="15" x14ac:dyDescent="0.25">
      <c r="B1747" s="169"/>
      <c r="C1747" s="679">
        <v>3054695</v>
      </c>
      <c r="D1747" s="677">
        <v>8</v>
      </c>
      <c r="E1747" s="678" t="s">
        <v>2082</v>
      </c>
      <c r="F1747" s="170"/>
    </row>
    <row r="1748" spans="2:6" ht="15" x14ac:dyDescent="0.25">
      <c r="B1748" s="169"/>
      <c r="C1748" s="679">
        <v>3054508</v>
      </c>
      <c r="D1748" s="677">
        <v>1</v>
      </c>
      <c r="E1748" s="678" t="s">
        <v>2083</v>
      </c>
      <c r="F1748" s="170"/>
    </row>
    <row r="1749" spans="2:6" ht="15" x14ac:dyDescent="0.25">
      <c r="B1749" s="169"/>
      <c r="C1749" s="679">
        <v>3054509</v>
      </c>
      <c r="D1749" s="677">
        <v>9</v>
      </c>
      <c r="E1749" s="678" t="s">
        <v>2084</v>
      </c>
      <c r="F1749" s="170"/>
    </row>
    <row r="1750" spans="2:6" ht="15" x14ac:dyDescent="0.25">
      <c r="B1750" s="169"/>
      <c r="C1750" s="679">
        <v>3054510</v>
      </c>
      <c r="D1750" s="677">
        <v>2</v>
      </c>
      <c r="E1750" s="678" t="s">
        <v>2085</v>
      </c>
      <c r="F1750" s="170"/>
    </row>
    <row r="1751" spans="2:6" ht="15" x14ac:dyDescent="0.25">
      <c r="B1751" s="169"/>
      <c r="C1751" s="679">
        <v>3054560</v>
      </c>
      <c r="D1751" s="677">
        <v>9</v>
      </c>
      <c r="E1751" s="678" t="s">
        <v>2086</v>
      </c>
      <c r="F1751" s="170"/>
    </row>
    <row r="1752" spans="2:6" ht="15" x14ac:dyDescent="0.25">
      <c r="B1752" s="169"/>
      <c r="C1752" s="679">
        <v>3054646</v>
      </c>
      <c r="D1752" s="677">
        <v>0</v>
      </c>
      <c r="E1752" s="678" t="s">
        <v>2087</v>
      </c>
      <c r="F1752" s="170"/>
    </row>
    <row r="1753" spans="2:6" ht="15" x14ac:dyDescent="0.25">
      <c r="B1753" s="169"/>
      <c r="C1753" s="679">
        <v>3054608</v>
      </c>
      <c r="D1753" s="677">
        <v>7</v>
      </c>
      <c r="E1753" s="678" t="s">
        <v>2088</v>
      </c>
      <c r="F1753" s="170"/>
    </row>
    <row r="1754" spans="2:6" ht="15" x14ac:dyDescent="0.25">
      <c r="B1754" s="169"/>
      <c r="C1754" s="679">
        <v>3054697</v>
      </c>
      <c r="D1754" s="677">
        <v>4</v>
      </c>
      <c r="E1754" s="678" t="s">
        <v>2089</v>
      </c>
      <c r="F1754" s="170"/>
    </row>
    <row r="1755" spans="2:6" ht="15" x14ac:dyDescent="0.25">
      <c r="B1755" s="169"/>
      <c r="C1755" s="679">
        <v>3054612</v>
      </c>
      <c r="D1755" s="677">
        <v>5</v>
      </c>
      <c r="E1755" s="678" t="s">
        <v>2090</v>
      </c>
      <c r="F1755" s="170"/>
    </row>
    <row r="1756" spans="2:6" ht="15" x14ac:dyDescent="0.25">
      <c r="B1756" s="169"/>
      <c r="C1756" s="679">
        <v>3054614</v>
      </c>
      <c r="D1756" s="677">
        <v>1</v>
      </c>
      <c r="E1756" s="678" t="s">
        <v>2091</v>
      </c>
      <c r="F1756" s="170"/>
    </row>
    <row r="1757" spans="2:6" ht="15" x14ac:dyDescent="0.25">
      <c r="B1757" s="169"/>
      <c r="C1757" s="679">
        <v>3054619</v>
      </c>
      <c r="D1757" s="677">
        <v>2</v>
      </c>
      <c r="E1757" s="678" t="s">
        <v>2092</v>
      </c>
      <c r="F1757" s="170"/>
    </row>
    <row r="1758" spans="2:6" ht="15" x14ac:dyDescent="0.25">
      <c r="B1758" s="169"/>
      <c r="C1758" s="679">
        <v>3054555</v>
      </c>
      <c r="D1758" s="677">
        <v>2</v>
      </c>
      <c r="E1758" s="678" t="s">
        <v>2093</v>
      </c>
      <c r="F1758" s="170"/>
    </row>
    <row r="1759" spans="2:6" ht="15" x14ac:dyDescent="0.25">
      <c r="B1759" s="169"/>
      <c r="C1759" s="679">
        <v>3054698</v>
      </c>
      <c r="D1759" s="677">
        <v>2</v>
      </c>
      <c r="E1759" s="678" t="s">
        <v>2094</v>
      </c>
      <c r="F1759" s="170"/>
    </row>
    <row r="1760" spans="2:6" ht="15" x14ac:dyDescent="0.25">
      <c r="B1760" s="169"/>
      <c r="C1760" s="679">
        <v>3054696</v>
      </c>
      <c r="D1760" s="677">
        <v>6</v>
      </c>
      <c r="E1760" s="678" t="s">
        <v>2095</v>
      </c>
      <c r="F1760" s="170"/>
    </row>
    <row r="1761" spans="2:6" ht="15" x14ac:dyDescent="0.25">
      <c r="B1761" s="169"/>
      <c r="C1761" s="679">
        <v>3054622</v>
      </c>
      <c r="D1761" s="677">
        <v>2</v>
      </c>
      <c r="E1761" s="678" t="s">
        <v>2096</v>
      </c>
      <c r="F1761" s="170"/>
    </row>
    <row r="1762" spans="2:6" ht="15" x14ac:dyDescent="0.25">
      <c r="B1762" s="169"/>
      <c r="C1762" s="679">
        <v>3054588</v>
      </c>
      <c r="D1762" s="677">
        <v>9</v>
      </c>
      <c r="E1762" s="678" t="s">
        <v>2097</v>
      </c>
      <c r="F1762" s="170"/>
    </row>
    <row r="1763" spans="2:6" ht="15" x14ac:dyDescent="0.25">
      <c r="B1763" s="169"/>
      <c r="C1763" s="679">
        <v>3054699</v>
      </c>
      <c r="D1763" s="677">
        <v>1</v>
      </c>
      <c r="E1763" s="678" t="s">
        <v>2098</v>
      </c>
      <c r="F1763" s="170"/>
    </row>
    <row r="1764" spans="2:6" ht="15" x14ac:dyDescent="0.25">
      <c r="B1764" s="169"/>
      <c r="C1764" s="679">
        <v>3054578</v>
      </c>
      <c r="D1764" s="677">
        <v>1</v>
      </c>
      <c r="E1764" s="678" t="s">
        <v>2099</v>
      </c>
      <c r="F1764" s="170"/>
    </row>
    <row r="1765" spans="2:6" ht="15" x14ac:dyDescent="0.25">
      <c r="B1765" s="169"/>
      <c r="C1765" s="679">
        <v>3054624</v>
      </c>
      <c r="D1765" s="677">
        <v>9</v>
      </c>
      <c r="E1765" s="678" t="s">
        <v>2100</v>
      </c>
      <c r="F1765" s="170"/>
    </row>
    <row r="1766" spans="2:6" ht="15" x14ac:dyDescent="0.25">
      <c r="B1766" s="169"/>
      <c r="C1766" s="679">
        <v>3054493</v>
      </c>
      <c r="D1766" s="677">
        <v>9</v>
      </c>
      <c r="E1766" s="678" t="s">
        <v>2101</v>
      </c>
      <c r="F1766" s="170"/>
    </row>
    <row r="1767" spans="2:6" ht="15" x14ac:dyDescent="0.25">
      <c r="B1767" s="169"/>
      <c r="C1767" s="679">
        <v>3054676</v>
      </c>
      <c r="D1767" s="677">
        <v>1</v>
      </c>
      <c r="E1767" s="678" t="s">
        <v>2102</v>
      </c>
      <c r="F1767" s="170"/>
    </row>
    <row r="1768" spans="2:6" ht="15" x14ac:dyDescent="0.25">
      <c r="B1768" s="169"/>
      <c r="C1768" s="679">
        <v>3054700</v>
      </c>
      <c r="D1768" s="677">
        <v>8</v>
      </c>
      <c r="E1768" s="678" t="s">
        <v>2103</v>
      </c>
      <c r="F1768" s="170"/>
    </row>
    <row r="1769" spans="2:6" ht="15" x14ac:dyDescent="0.25">
      <c r="B1769" s="169"/>
      <c r="C1769" s="679">
        <v>3054631</v>
      </c>
      <c r="D1769" s="677">
        <v>1</v>
      </c>
      <c r="E1769" s="678" t="s">
        <v>2104</v>
      </c>
      <c r="F1769" s="170"/>
    </row>
    <row r="1770" spans="2:6" ht="15" x14ac:dyDescent="0.25">
      <c r="B1770" s="169"/>
      <c r="C1770" s="679">
        <v>3054633</v>
      </c>
      <c r="D1770" s="677">
        <v>8</v>
      </c>
      <c r="E1770" s="678" t="s">
        <v>2105</v>
      </c>
      <c r="F1770" s="170"/>
    </row>
    <row r="1771" spans="2:6" ht="15" x14ac:dyDescent="0.25">
      <c r="B1771" s="169"/>
      <c r="C1771" s="679">
        <v>3054589</v>
      </c>
      <c r="D1771" s="677">
        <v>7</v>
      </c>
      <c r="E1771" s="678" t="s">
        <v>2106</v>
      </c>
      <c r="F1771" s="170"/>
    </row>
    <row r="1772" spans="2:6" ht="15" x14ac:dyDescent="0.25">
      <c r="B1772" s="169"/>
      <c r="C1772" s="679">
        <v>3054604</v>
      </c>
      <c r="D1772" s="677">
        <v>4</v>
      </c>
      <c r="E1772" s="678" t="s">
        <v>2107</v>
      </c>
      <c r="F1772" s="170"/>
    </row>
    <row r="1773" spans="2:6" ht="15" x14ac:dyDescent="0.25">
      <c r="B1773" s="169"/>
      <c r="C1773" s="679">
        <v>3054627</v>
      </c>
      <c r="D1773" s="677">
        <v>3</v>
      </c>
      <c r="E1773" s="678" t="s">
        <v>2108</v>
      </c>
      <c r="F1773" s="170"/>
    </row>
    <row r="1774" spans="2:6" ht="15" x14ac:dyDescent="0.25">
      <c r="B1774" s="169"/>
      <c r="C1774" s="679">
        <v>3054701</v>
      </c>
      <c r="D1774" s="677">
        <v>6</v>
      </c>
      <c r="E1774" s="678" t="s">
        <v>2109</v>
      </c>
      <c r="F1774" s="170"/>
    </row>
    <row r="1775" spans="2:6" ht="15" x14ac:dyDescent="0.25">
      <c r="B1775" s="169"/>
      <c r="C1775" s="679">
        <v>3054635</v>
      </c>
      <c r="D1775" s="677">
        <v>4</v>
      </c>
      <c r="E1775" s="678" t="s">
        <v>2110</v>
      </c>
      <c r="F1775" s="170"/>
    </row>
    <row r="1776" spans="2:6" ht="15" x14ac:dyDescent="0.25">
      <c r="B1776" s="169"/>
      <c r="C1776" s="679">
        <v>3054702</v>
      </c>
      <c r="D1776" s="677">
        <v>4</v>
      </c>
      <c r="E1776" s="678" t="s">
        <v>2111</v>
      </c>
      <c r="F1776" s="170"/>
    </row>
    <row r="1777" spans="2:6" ht="15" x14ac:dyDescent="0.25">
      <c r="B1777" s="169"/>
      <c r="C1777" s="679">
        <v>3054668</v>
      </c>
      <c r="D1777" s="677">
        <v>1</v>
      </c>
      <c r="E1777" s="678" t="s">
        <v>2112</v>
      </c>
      <c r="F1777" s="170"/>
    </row>
    <row r="1778" spans="2:6" ht="15" x14ac:dyDescent="0.25">
      <c r="B1778" s="169"/>
      <c r="C1778" s="679">
        <v>3054666</v>
      </c>
      <c r="D1778" s="677">
        <v>4</v>
      </c>
      <c r="E1778" s="678" t="s">
        <v>2113</v>
      </c>
      <c r="F1778" s="170"/>
    </row>
    <row r="1779" spans="2:6" ht="15" x14ac:dyDescent="0.25">
      <c r="B1779" s="169"/>
      <c r="C1779" s="679">
        <v>3054632</v>
      </c>
      <c r="D1779" s="677">
        <v>0</v>
      </c>
      <c r="E1779" s="678" t="s">
        <v>2114</v>
      </c>
      <c r="F1779" s="170"/>
    </row>
    <row r="1780" spans="2:6" ht="15" x14ac:dyDescent="0.25">
      <c r="B1780" s="169"/>
      <c r="C1780" s="679">
        <v>3054592</v>
      </c>
      <c r="D1780" s="677">
        <v>7</v>
      </c>
      <c r="E1780" s="678" t="s">
        <v>2115</v>
      </c>
      <c r="F1780" s="170"/>
    </row>
    <row r="1781" spans="2:6" ht="15" x14ac:dyDescent="0.25">
      <c r="B1781" s="169"/>
      <c r="C1781" s="679">
        <v>3054625</v>
      </c>
      <c r="D1781" s="677">
        <v>7</v>
      </c>
      <c r="E1781" s="678" t="s">
        <v>2116</v>
      </c>
      <c r="F1781" s="170"/>
    </row>
    <row r="1782" spans="2:6" ht="15" x14ac:dyDescent="0.25">
      <c r="B1782" s="169"/>
      <c r="C1782" s="679">
        <v>3180821</v>
      </c>
      <c r="D1782" s="677">
        <v>2</v>
      </c>
      <c r="E1782" s="678" t="s">
        <v>2117</v>
      </c>
      <c r="F1782" s="170"/>
    </row>
    <row r="1783" spans="2:6" ht="15" x14ac:dyDescent="0.25">
      <c r="B1783" s="169"/>
      <c r="C1783" s="679">
        <v>2962382</v>
      </c>
      <c r="D1783" s="677">
        <v>1</v>
      </c>
      <c r="E1783" s="678" t="s">
        <v>2118</v>
      </c>
      <c r="F1783" s="170"/>
    </row>
    <row r="1784" spans="2:6" ht="15" x14ac:dyDescent="0.25">
      <c r="B1784" s="169"/>
      <c r="C1784" s="679">
        <v>2962187</v>
      </c>
      <c r="D1784" s="677">
        <v>9</v>
      </c>
      <c r="E1784" s="678" t="s">
        <v>2119</v>
      </c>
      <c r="F1784" s="170"/>
    </row>
    <row r="1785" spans="2:6" ht="15" x14ac:dyDescent="0.25">
      <c r="B1785" s="169"/>
      <c r="C1785" s="679">
        <v>3156367</v>
      </c>
      <c r="D1785" s="677">
        <v>8</v>
      </c>
      <c r="E1785" s="678" t="s">
        <v>2120</v>
      </c>
      <c r="F1785" s="170"/>
    </row>
    <row r="1786" spans="2:6" ht="15" x14ac:dyDescent="0.25">
      <c r="B1786" s="169"/>
      <c r="C1786" s="679">
        <v>3219030</v>
      </c>
      <c r="D1786" s="677">
        <v>1</v>
      </c>
      <c r="E1786" s="678" t="s">
        <v>8286</v>
      </c>
      <c r="F1786" s="170"/>
    </row>
    <row r="1787" spans="2:6" ht="15" x14ac:dyDescent="0.25">
      <c r="B1787" s="169"/>
      <c r="C1787" s="679">
        <v>3163923</v>
      </c>
      <c r="D1787" s="677">
        <v>2</v>
      </c>
      <c r="E1787" s="678" t="s">
        <v>2121</v>
      </c>
      <c r="F1787" s="170"/>
    </row>
    <row r="1788" spans="2:6" ht="15" x14ac:dyDescent="0.25">
      <c r="B1788" s="169"/>
      <c r="C1788" s="679">
        <v>3100893</v>
      </c>
      <c r="D1788" s="677">
        <v>3</v>
      </c>
      <c r="E1788" s="678" t="s">
        <v>2122</v>
      </c>
      <c r="F1788" s="170"/>
    </row>
    <row r="1789" spans="2:6" ht="15" x14ac:dyDescent="0.25">
      <c r="B1789" s="169"/>
      <c r="C1789" s="679">
        <v>3223836</v>
      </c>
      <c r="D1789" s="677">
        <v>3</v>
      </c>
      <c r="E1789" s="678" t="s">
        <v>8287</v>
      </c>
      <c r="F1789" s="170"/>
    </row>
    <row r="1790" spans="2:6" ht="15" x14ac:dyDescent="0.25">
      <c r="B1790" s="169"/>
      <c r="C1790" s="679">
        <v>3100901</v>
      </c>
      <c r="D1790" s="677">
        <v>8</v>
      </c>
      <c r="E1790" s="678" t="s">
        <v>2123</v>
      </c>
      <c r="F1790" s="170"/>
    </row>
    <row r="1791" spans="2:6" ht="15" x14ac:dyDescent="0.25">
      <c r="B1791" s="169"/>
      <c r="C1791" s="679">
        <v>3162788</v>
      </c>
      <c r="D1791" s="677">
        <v>9</v>
      </c>
      <c r="E1791" s="678" t="s">
        <v>2124</v>
      </c>
      <c r="F1791" s="170"/>
    </row>
    <row r="1792" spans="2:6" ht="15" x14ac:dyDescent="0.25">
      <c r="B1792" s="169"/>
      <c r="C1792" s="679">
        <v>2962188</v>
      </c>
      <c r="D1792" s="677">
        <v>7</v>
      </c>
      <c r="E1792" s="678" t="s">
        <v>2125</v>
      </c>
      <c r="F1792" s="170"/>
    </row>
    <row r="1793" spans="2:6" ht="15" x14ac:dyDescent="0.25">
      <c r="B1793" s="169"/>
      <c r="C1793" s="679">
        <v>3220676</v>
      </c>
      <c r="D1793" s="677">
        <v>3</v>
      </c>
      <c r="E1793" s="678" t="s">
        <v>8288</v>
      </c>
      <c r="F1793" s="170"/>
    </row>
    <row r="1794" spans="2:6" ht="15" x14ac:dyDescent="0.25">
      <c r="B1794" s="169"/>
      <c r="C1794" s="679">
        <v>3127018</v>
      </c>
      <c r="D1794" s="677">
        <v>2</v>
      </c>
      <c r="E1794" s="678" t="s">
        <v>2126</v>
      </c>
      <c r="F1794" s="170"/>
    </row>
    <row r="1795" spans="2:6" ht="15" x14ac:dyDescent="0.25">
      <c r="B1795" s="169"/>
      <c r="C1795" s="679">
        <v>3100059</v>
      </c>
      <c r="D1795" s="677">
        <v>2</v>
      </c>
      <c r="E1795" s="678" t="s">
        <v>2127</v>
      </c>
      <c r="F1795" s="170"/>
    </row>
    <row r="1796" spans="2:6" ht="15" x14ac:dyDescent="0.25">
      <c r="B1796" s="169"/>
      <c r="C1796" s="679">
        <v>3100894</v>
      </c>
      <c r="D1796" s="677">
        <v>1</v>
      </c>
      <c r="E1796" s="678" t="s">
        <v>2128</v>
      </c>
      <c r="F1796" s="170"/>
    </row>
    <row r="1797" spans="2:6" ht="15" x14ac:dyDescent="0.25">
      <c r="B1797" s="169"/>
      <c r="C1797" s="679">
        <v>3139809</v>
      </c>
      <c r="D1797" s="677">
        <v>0</v>
      </c>
      <c r="E1797" s="678" t="s">
        <v>2129</v>
      </c>
      <c r="F1797" s="170"/>
    </row>
    <row r="1798" spans="2:6" ht="15" x14ac:dyDescent="0.25">
      <c r="B1798" s="169"/>
      <c r="C1798" s="679">
        <v>3157974</v>
      </c>
      <c r="D1798" s="677">
        <v>4</v>
      </c>
      <c r="E1798" s="678" t="s">
        <v>2130</v>
      </c>
      <c r="F1798" s="170"/>
    </row>
    <row r="1799" spans="2:6" ht="15" x14ac:dyDescent="0.25">
      <c r="B1799" s="169"/>
      <c r="C1799" s="679">
        <v>3074355</v>
      </c>
      <c r="D1799" s="677">
        <v>9</v>
      </c>
      <c r="E1799" s="678" t="s">
        <v>2131</v>
      </c>
      <c r="F1799" s="170"/>
    </row>
    <row r="1800" spans="2:6" ht="15" x14ac:dyDescent="0.25">
      <c r="B1800" s="169"/>
      <c r="C1800" s="679">
        <v>3161811</v>
      </c>
      <c r="D1800" s="677">
        <v>1</v>
      </c>
      <c r="E1800" s="678" t="s">
        <v>2132</v>
      </c>
      <c r="F1800" s="170"/>
    </row>
    <row r="1801" spans="2:6" ht="15" x14ac:dyDescent="0.25">
      <c r="B1801" s="169"/>
      <c r="C1801" s="679">
        <v>3140409</v>
      </c>
      <c r="D1801" s="677">
        <v>0</v>
      </c>
      <c r="E1801" s="678" t="s">
        <v>2133</v>
      </c>
      <c r="F1801" s="170"/>
    </row>
    <row r="1802" spans="2:6" ht="15" x14ac:dyDescent="0.25">
      <c r="B1802" s="169"/>
      <c r="C1802" s="679">
        <v>3158647</v>
      </c>
      <c r="D1802" s="677">
        <v>3</v>
      </c>
      <c r="E1802" s="678" t="s">
        <v>2134</v>
      </c>
      <c r="F1802" s="170"/>
    </row>
    <row r="1803" spans="2:6" ht="15" x14ac:dyDescent="0.25">
      <c r="B1803" s="169"/>
      <c r="C1803" s="679">
        <v>3154566</v>
      </c>
      <c r="D1803" s="677">
        <v>1</v>
      </c>
      <c r="E1803" s="678" t="s">
        <v>2135</v>
      </c>
      <c r="F1803" s="170"/>
    </row>
    <row r="1804" spans="2:6" ht="15" x14ac:dyDescent="0.25">
      <c r="B1804" s="169"/>
      <c r="C1804" s="679">
        <v>3075023</v>
      </c>
      <c r="D1804" s="677">
        <v>7</v>
      </c>
      <c r="E1804" s="678" t="s">
        <v>2136</v>
      </c>
      <c r="F1804" s="170"/>
    </row>
    <row r="1805" spans="2:6" ht="15" x14ac:dyDescent="0.25">
      <c r="B1805" s="169"/>
      <c r="C1805" s="679">
        <v>3155461</v>
      </c>
      <c r="D1805" s="677">
        <v>0</v>
      </c>
      <c r="E1805" s="678" t="s">
        <v>2137</v>
      </c>
      <c r="F1805" s="170"/>
    </row>
    <row r="1806" spans="2:6" ht="15" x14ac:dyDescent="0.25">
      <c r="B1806" s="169"/>
      <c r="C1806" s="679">
        <v>3076262</v>
      </c>
      <c r="D1806" s="677">
        <v>6</v>
      </c>
      <c r="E1806" s="678" t="s">
        <v>2138</v>
      </c>
      <c r="F1806" s="170"/>
    </row>
    <row r="1807" spans="2:6" ht="15" x14ac:dyDescent="0.25">
      <c r="B1807" s="169"/>
      <c r="C1807" s="679">
        <v>3157341</v>
      </c>
      <c r="D1807" s="677">
        <v>0</v>
      </c>
      <c r="E1807" s="678" t="s">
        <v>2139</v>
      </c>
      <c r="F1807" s="170"/>
    </row>
    <row r="1808" spans="2:6" ht="15" x14ac:dyDescent="0.25">
      <c r="B1808" s="169"/>
      <c r="C1808" s="679">
        <v>3087459</v>
      </c>
      <c r="D1808" s="677">
        <v>9</v>
      </c>
      <c r="E1808" s="678" t="s">
        <v>2140</v>
      </c>
      <c r="F1808" s="170"/>
    </row>
    <row r="1809" spans="2:6" ht="15" x14ac:dyDescent="0.25">
      <c r="B1809" s="169"/>
      <c r="C1809" s="679">
        <v>3087456</v>
      </c>
      <c r="D1809" s="677">
        <v>4</v>
      </c>
      <c r="E1809" s="678" t="s">
        <v>2141</v>
      </c>
      <c r="F1809" s="170"/>
    </row>
    <row r="1810" spans="2:6" ht="15" x14ac:dyDescent="0.25">
      <c r="B1810" s="169"/>
      <c r="C1810" s="679">
        <v>2962384</v>
      </c>
      <c r="D1810" s="677">
        <v>7</v>
      </c>
      <c r="E1810" s="678" t="s">
        <v>2142</v>
      </c>
      <c r="F1810" s="170"/>
    </row>
    <row r="1811" spans="2:6" ht="15" x14ac:dyDescent="0.25">
      <c r="B1811" s="169"/>
      <c r="C1811" s="679">
        <v>2962383</v>
      </c>
      <c r="D1811" s="677">
        <v>9</v>
      </c>
      <c r="E1811" s="678" t="s">
        <v>2143</v>
      </c>
      <c r="F1811" s="170"/>
    </row>
    <row r="1812" spans="2:6" ht="15" x14ac:dyDescent="0.25">
      <c r="B1812" s="169"/>
      <c r="C1812" s="679">
        <v>3067731</v>
      </c>
      <c r="D1812" s="677">
        <v>9</v>
      </c>
      <c r="E1812" s="678" t="s">
        <v>2144</v>
      </c>
      <c r="F1812" s="170"/>
    </row>
    <row r="1813" spans="2:6" ht="15" x14ac:dyDescent="0.25">
      <c r="B1813" s="169"/>
      <c r="C1813" s="679">
        <v>2962343</v>
      </c>
      <c r="D1813" s="677">
        <v>0</v>
      </c>
      <c r="E1813" s="678" t="s">
        <v>2145</v>
      </c>
      <c r="F1813" s="170"/>
    </row>
    <row r="1814" spans="2:6" ht="15" x14ac:dyDescent="0.25">
      <c r="B1814" s="169"/>
      <c r="C1814" s="679">
        <v>2962385</v>
      </c>
      <c r="D1814" s="677">
        <v>5</v>
      </c>
      <c r="E1814" s="678" t="s">
        <v>2146</v>
      </c>
      <c r="F1814" s="170"/>
    </row>
    <row r="1815" spans="2:6" ht="15" x14ac:dyDescent="0.25">
      <c r="B1815" s="169"/>
      <c r="C1815" s="679">
        <v>2962386</v>
      </c>
      <c r="D1815" s="677">
        <v>3</v>
      </c>
      <c r="E1815" s="678" t="s">
        <v>2147</v>
      </c>
      <c r="F1815" s="170"/>
    </row>
    <row r="1816" spans="2:6" ht="15" x14ac:dyDescent="0.25">
      <c r="B1816" s="169"/>
      <c r="C1816" s="679">
        <v>2962387</v>
      </c>
      <c r="D1816" s="677">
        <v>1</v>
      </c>
      <c r="E1816" s="678" t="s">
        <v>2148</v>
      </c>
      <c r="F1816" s="170"/>
    </row>
    <row r="1817" spans="2:6" ht="15" x14ac:dyDescent="0.25">
      <c r="B1817" s="169"/>
      <c r="C1817" s="679">
        <v>3176471</v>
      </c>
      <c r="D1817" s="677">
        <v>1</v>
      </c>
      <c r="E1817" s="678" t="s">
        <v>2149</v>
      </c>
      <c r="F1817" s="170"/>
    </row>
    <row r="1818" spans="2:6" ht="15" x14ac:dyDescent="0.25">
      <c r="B1818" s="169"/>
      <c r="C1818" s="679">
        <v>3156369</v>
      </c>
      <c r="D1818" s="677">
        <v>4</v>
      </c>
      <c r="E1818" s="678" t="s">
        <v>2150</v>
      </c>
      <c r="F1818" s="170"/>
    </row>
    <row r="1819" spans="2:6" ht="15" x14ac:dyDescent="0.25">
      <c r="B1819" s="169"/>
      <c r="C1819" s="679">
        <v>3074360</v>
      </c>
      <c r="D1819" s="677">
        <v>5</v>
      </c>
      <c r="E1819" s="678" t="s">
        <v>2151</v>
      </c>
      <c r="F1819" s="170"/>
    </row>
    <row r="1820" spans="2:6" ht="15" x14ac:dyDescent="0.25">
      <c r="B1820" s="169"/>
      <c r="C1820" s="679">
        <v>2962388</v>
      </c>
      <c r="D1820" s="677">
        <v>0</v>
      </c>
      <c r="E1820" s="678" t="s">
        <v>2152</v>
      </c>
      <c r="F1820" s="170"/>
    </row>
    <row r="1821" spans="2:6" ht="15" x14ac:dyDescent="0.25">
      <c r="B1821" s="169"/>
      <c r="C1821" s="679">
        <v>3103783</v>
      </c>
      <c r="D1821" s="677">
        <v>6</v>
      </c>
      <c r="E1821" s="678" t="s">
        <v>2153</v>
      </c>
      <c r="F1821" s="170"/>
    </row>
    <row r="1822" spans="2:6" ht="15" x14ac:dyDescent="0.25">
      <c r="B1822" s="169"/>
      <c r="C1822" s="679">
        <v>2962389</v>
      </c>
      <c r="D1822" s="677">
        <v>8</v>
      </c>
      <c r="E1822" s="678" t="s">
        <v>2154</v>
      </c>
      <c r="F1822" s="170"/>
    </row>
    <row r="1823" spans="2:6" ht="15" x14ac:dyDescent="0.25">
      <c r="B1823" s="169"/>
      <c r="C1823" s="679">
        <v>2962390</v>
      </c>
      <c r="D1823" s="677">
        <v>1</v>
      </c>
      <c r="E1823" s="678" t="s">
        <v>2155</v>
      </c>
      <c r="F1823" s="170"/>
    </row>
    <row r="1824" spans="2:6" ht="15" x14ac:dyDescent="0.25">
      <c r="B1824" s="169"/>
      <c r="C1824" s="679">
        <v>2962391</v>
      </c>
      <c r="D1824" s="677">
        <v>0</v>
      </c>
      <c r="E1824" s="678" t="s">
        <v>2156</v>
      </c>
      <c r="F1824" s="170"/>
    </row>
    <row r="1825" spans="2:6" ht="15" x14ac:dyDescent="0.25">
      <c r="B1825" s="169"/>
      <c r="C1825" s="679">
        <v>3100892</v>
      </c>
      <c r="D1825" s="677">
        <v>5</v>
      </c>
      <c r="E1825" s="678" t="s">
        <v>2157</v>
      </c>
      <c r="F1825" s="170"/>
    </row>
    <row r="1826" spans="2:6" ht="15" x14ac:dyDescent="0.25">
      <c r="B1826" s="169"/>
      <c r="C1826" s="679">
        <v>2962189</v>
      </c>
      <c r="D1826" s="677">
        <v>5</v>
      </c>
      <c r="E1826" s="678" t="s">
        <v>2158</v>
      </c>
      <c r="F1826" s="170"/>
    </row>
    <row r="1827" spans="2:6" ht="15" x14ac:dyDescent="0.25">
      <c r="B1827" s="169"/>
      <c r="C1827" s="679">
        <v>3214527</v>
      </c>
      <c r="D1827" s="677">
        <v>6</v>
      </c>
      <c r="E1827" s="678" t="s">
        <v>8289</v>
      </c>
      <c r="F1827" s="170"/>
    </row>
    <row r="1828" spans="2:6" ht="15" x14ac:dyDescent="0.25">
      <c r="B1828" s="169"/>
      <c r="C1828" s="679">
        <v>2962190</v>
      </c>
      <c r="D1828" s="677">
        <v>9</v>
      </c>
      <c r="E1828" s="678" t="s">
        <v>2159</v>
      </c>
      <c r="F1828" s="170"/>
    </row>
    <row r="1829" spans="2:6" ht="15" x14ac:dyDescent="0.25">
      <c r="B1829" s="169"/>
      <c r="C1829" s="679">
        <v>3218683</v>
      </c>
      <c r="D1829" s="677">
        <v>5</v>
      </c>
      <c r="E1829" s="678" t="s">
        <v>8290</v>
      </c>
      <c r="F1829" s="170"/>
    </row>
    <row r="1830" spans="2:6" ht="15" x14ac:dyDescent="0.25">
      <c r="B1830" s="169"/>
      <c r="C1830" s="679">
        <v>2962392</v>
      </c>
      <c r="D1830" s="677">
        <v>8</v>
      </c>
      <c r="E1830" s="678" t="s">
        <v>2160</v>
      </c>
      <c r="F1830" s="170"/>
    </row>
    <row r="1831" spans="2:6" ht="15" x14ac:dyDescent="0.25">
      <c r="B1831" s="169"/>
      <c r="C1831" s="679">
        <v>3112412</v>
      </c>
      <c r="D1831" s="677">
        <v>7</v>
      </c>
      <c r="E1831" s="678" t="s">
        <v>2161</v>
      </c>
      <c r="F1831" s="170"/>
    </row>
    <row r="1832" spans="2:6" ht="15" x14ac:dyDescent="0.25">
      <c r="B1832" s="169"/>
      <c r="C1832" s="679">
        <v>3078208</v>
      </c>
      <c r="D1832" s="677">
        <v>2</v>
      </c>
      <c r="E1832" s="678" t="s">
        <v>2162</v>
      </c>
      <c r="F1832" s="170"/>
    </row>
    <row r="1833" spans="2:6" ht="15" x14ac:dyDescent="0.25">
      <c r="B1833" s="169"/>
      <c r="C1833" s="679">
        <v>3074359</v>
      </c>
      <c r="D1833" s="677">
        <v>1</v>
      </c>
      <c r="E1833" s="678" t="s">
        <v>2163</v>
      </c>
      <c r="F1833" s="170"/>
    </row>
    <row r="1834" spans="2:6" ht="15" x14ac:dyDescent="0.25">
      <c r="B1834" s="169"/>
      <c r="C1834" s="679">
        <v>3071347</v>
      </c>
      <c r="D1834" s="677">
        <v>1</v>
      </c>
      <c r="E1834" s="678" t="s">
        <v>2164</v>
      </c>
      <c r="F1834" s="170"/>
    </row>
    <row r="1835" spans="2:6" ht="15" x14ac:dyDescent="0.25">
      <c r="B1835" s="169"/>
      <c r="C1835" s="679">
        <v>3070334</v>
      </c>
      <c r="D1835" s="677">
        <v>4</v>
      </c>
      <c r="E1835" s="678" t="s">
        <v>2165</v>
      </c>
      <c r="F1835" s="170"/>
    </row>
    <row r="1836" spans="2:6" ht="15" x14ac:dyDescent="0.25">
      <c r="B1836" s="169"/>
      <c r="C1836" s="679">
        <v>3069338</v>
      </c>
      <c r="D1836" s="677">
        <v>1</v>
      </c>
      <c r="E1836" s="678" t="s">
        <v>2166</v>
      </c>
      <c r="F1836" s="170"/>
    </row>
    <row r="1837" spans="2:6" ht="15" x14ac:dyDescent="0.25">
      <c r="B1837" s="169"/>
      <c r="C1837" s="679">
        <v>2962344</v>
      </c>
      <c r="D1837" s="677">
        <v>8</v>
      </c>
      <c r="E1837" s="678" t="s">
        <v>2167</v>
      </c>
      <c r="F1837" s="170"/>
    </row>
    <row r="1838" spans="2:6" ht="15" x14ac:dyDescent="0.25">
      <c r="B1838" s="169"/>
      <c r="C1838" s="679">
        <v>3079575</v>
      </c>
      <c r="D1838" s="677">
        <v>3</v>
      </c>
      <c r="E1838" s="678" t="s">
        <v>2168</v>
      </c>
      <c r="F1838" s="170"/>
    </row>
    <row r="1839" spans="2:6" ht="15" x14ac:dyDescent="0.25">
      <c r="B1839" s="169"/>
      <c r="C1839" s="679">
        <v>3110507</v>
      </c>
      <c r="D1839" s="677">
        <v>6</v>
      </c>
      <c r="E1839" s="678" t="s">
        <v>2169</v>
      </c>
      <c r="F1839" s="170"/>
    </row>
    <row r="1840" spans="2:6" ht="15" x14ac:dyDescent="0.25">
      <c r="B1840" s="169"/>
      <c r="C1840" s="679">
        <v>2962191</v>
      </c>
      <c r="D1840" s="677">
        <v>7</v>
      </c>
      <c r="E1840" s="678" t="s">
        <v>2170</v>
      </c>
      <c r="F1840" s="170"/>
    </row>
    <row r="1841" spans="2:6" ht="15" x14ac:dyDescent="0.25">
      <c r="B1841" s="169"/>
      <c r="C1841" s="679">
        <v>2962345</v>
      </c>
      <c r="D1841" s="677">
        <v>6</v>
      </c>
      <c r="E1841" s="678" t="s">
        <v>2171</v>
      </c>
      <c r="F1841" s="170"/>
    </row>
    <row r="1842" spans="2:6" ht="15" x14ac:dyDescent="0.25">
      <c r="B1842" s="169"/>
      <c r="C1842" s="679">
        <v>3082968</v>
      </c>
      <c r="D1842" s="677">
        <v>2</v>
      </c>
      <c r="E1842" s="678" t="s">
        <v>2172</v>
      </c>
      <c r="F1842" s="170"/>
    </row>
    <row r="1843" spans="2:6" ht="15" x14ac:dyDescent="0.25">
      <c r="B1843" s="169"/>
      <c r="C1843" s="679">
        <v>2962346</v>
      </c>
      <c r="D1843" s="677">
        <v>4</v>
      </c>
      <c r="E1843" s="678" t="s">
        <v>2173</v>
      </c>
      <c r="F1843" s="170"/>
    </row>
    <row r="1844" spans="2:6" ht="15" x14ac:dyDescent="0.25">
      <c r="B1844" s="169"/>
      <c r="C1844" s="679">
        <v>3164410</v>
      </c>
      <c r="D1844" s="677">
        <v>4</v>
      </c>
      <c r="E1844" s="678" t="s">
        <v>2174</v>
      </c>
      <c r="F1844" s="170"/>
    </row>
    <row r="1845" spans="2:6" ht="15" x14ac:dyDescent="0.25">
      <c r="B1845" s="169"/>
      <c r="C1845" s="679">
        <v>2962192</v>
      </c>
      <c r="D1845" s="677">
        <v>5</v>
      </c>
      <c r="E1845" s="678" t="s">
        <v>2175</v>
      </c>
      <c r="F1845" s="170"/>
    </row>
    <row r="1846" spans="2:6" ht="15" x14ac:dyDescent="0.25">
      <c r="B1846" s="169"/>
      <c r="C1846" s="679">
        <v>3157721</v>
      </c>
      <c r="D1846" s="677">
        <v>1</v>
      </c>
      <c r="E1846" s="678" t="s">
        <v>2176</v>
      </c>
      <c r="F1846" s="170"/>
    </row>
    <row r="1847" spans="2:6" ht="15" x14ac:dyDescent="0.25">
      <c r="B1847" s="169"/>
      <c r="C1847" s="679">
        <v>3158631</v>
      </c>
      <c r="D1847" s="677">
        <v>7</v>
      </c>
      <c r="E1847" s="678" t="s">
        <v>2177</v>
      </c>
      <c r="F1847" s="170"/>
    </row>
    <row r="1848" spans="2:6" ht="15" x14ac:dyDescent="0.25">
      <c r="B1848" s="169"/>
      <c r="C1848" s="679">
        <v>3143439</v>
      </c>
      <c r="D1848" s="677">
        <v>8</v>
      </c>
      <c r="E1848" s="678" t="s">
        <v>2178</v>
      </c>
      <c r="F1848" s="170"/>
    </row>
    <row r="1849" spans="2:6" ht="15" x14ac:dyDescent="0.25">
      <c r="B1849" s="169"/>
      <c r="C1849" s="679">
        <v>3156695</v>
      </c>
      <c r="D1849" s="677">
        <v>2</v>
      </c>
      <c r="E1849" s="678" t="s">
        <v>2179</v>
      </c>
      <c r="F1849" s="170"/>
    </row>
    <row r="1850" spans="2:6" ht="15" x14ac:dyDescent="0.25">
      <c r="B1850" s="169"/>
      <c r="C1850" s="679">
        <v>2962193</v>
      </c>
      <c r="D1850" s="677">
        <v>3</v>
      </c>
      <c r="E1850" s="678" t="s">
        <v>2180</v>
      </c>
      <c r="F1850" s="170"/>
    </row>
    <row r="1851" spans="2:6" ht="15" x14ac:dyDescent="0.25">
      <c r="B1851" s="169"/>
      <c r="C1851" s="679">
        <v>2962194</v>
      </c>
      <c r="D1851" s="677">
        <v>1</v>
      </c>
      <c r="E1851" s="678" t="s">
        <v>2181</v>
      </c>
      <c r="F1851" s="170"/>
    </row>
    <row r="1852" spans="2:6" ht="15" x14ac:dyDescent="0.25">
      <c r="B1852" s="169"/>
      <c r="C1852" s="679">
        <v>2962347</v>
      </c>
      <c r="D1852" s="677">
        <v>2</v>
      </c>
      <c r="E1852" s="678" t="s">
        <v>2182</v>
      </c>
      <c r="F1852" s="170"/>
    </row>
    <row r="1853" spans="2:6" ht="15" x14ac:dyDescent="0.25">
      <c r="B1853" s="169"/>
      <c r="C1853" s="679">
        <v>2962348</v>
      </c>
      <c r="D1853" s="677">
        <v>1</v>
      </c>
      <c r="E1853" s="678" t="s">
        <v>2183</v>
      </c>
      <c r="F1853" s="170"/>
    </row>
    <row r="1854" spans="2:6" ht="15" x14ac:dyDescent="0.25">
      <c r="B1854" s="169"/>
      <c r="C1854" s="679">
        <v>3161812</v>
      </c>
      <c r="D1854" s="677">
        <v>0</v>
      </c>
      <c r="E1854" s="678" t="s">
        <v>2184</v>
      </c>
      <c r="F1854" s="170"/>
    </row>
    <row r="1855" spans="2:6" ht="15" x14ac:dyDescent="0.25">
      <c r="B1855" s="169"/>
      <c r="C1855" s="679">
        <v>3088097</v>
      </c>
      <c r="D1855" s="677">
        <v>1</v>
      </c>
      <c r="E1855" s="678" t="s">
        <v>2185</v>
      </c>
      <c r="F1855" s="170"/>
    </row>
    <row r="1856" spans="2:6" ht="15" x14ac:dyDescent="0.25">
      <c r="B1856" s="169"/>
      <c r="C1856" s="679">
        <v>3080170</v>
      </c>
      <c r="D1856" s="677">
        <v>2</v>
      </c>
      <c r="E1856" s="678" t="s">
        <v>2186</v>
      </c>
      <c r="F1856" s="170"/>
    </row>
    <row r="1857" spans="2:6" ht="15" x14ac:dyDescent="0.25">
      <c r="B1857" s="169"/>
      <c r="C1857" s="679">
        <v>3087527</v>
      </c>
      <c r="D1857" s="677">
        <v>7</v>
      </c>
      <c r="E1857" s="678" t="s">
        <v>2187</v>
      </c>
      <c r="F1857" s="170"/>
    </row>
    <row r="1858" spans="2:6" ht="15" x14ac:dyDescent="0.25">
      <c r="B1858" s="169"/>
      <c r="C1858" s="679">
        <v>3087533</v>
      </c>
      <c r="D1858" s="677">
        <v>1</v>
      </c>
      <c r="E1858" s="678" t="s">
        <v>2187</v>
      </c>
      <c r="F1858" s="170"/>
    </row>
    <row r="1859" spans="2:6" ht="15" x14ac:dyDescent="0.25">
      <c r="B1859" s="169"/>
      <c r="C1859" s="679">
        <v>3087531</v>
      </c>
      <c r="D1859" s="677">
        <v>5</v>
      </c>
      <c r="E1859" s="678" t="s">
        <v>2187</v>
      </c>
      <c r="F1859" s="170"/>
    </row>
    <row r="1860" spans="2:6" ht="15" x14ac:dyDescent="0.25">
      <c r="B1860" s="169"/>
      <c r="C1860" s="679">
        <v>3087529</v>
      </c>
      <c r="D1860" s="677">
        <v>3</v>
      </c>
      <c r="E1860" s="678" t="s">
        <v>2187</v>
      </c>
      <c r="F1860" s="170"/>
    </row>
    <row r="1861" spans="2:6" ht="15" x14ac:dyDescent="0.25">
      <c r="B1861" s="169"/>
      <c r="C1861" s="679">
        <v>3087528</v>
      </c>
      <c r="D1861" s="677">
        <v>5</v>
      </c>
      <c r="E1861" s="678" t="s">
        <v>2187</v>
      </c>
      <c r="F1861" s="170"/>
    </row>
    <row r="1862" spans="2:6" ht="15" x14ac:dyDescent="0.25">
      <c r="B1862" s="169"/>
      <c r="C1862" s="679">
        <v>3217211</v>
      </c>
      <c r="D1862" s="677">
        <v>7</v>
      </c>
      <c r="E1862" s="678" t="s">
        <v>8291</v>
      </c>
      <c r="F1862" s="170"/>
    </row>
    <row r="1863" spans="2:6" ht="15" x14ac:dyDescent="0.25">
      <c r="B1863" s="169"/>
      <c r="C1863" s="679">
        <v>3157882</v>
      </c>
      <c r="D1863" s="677">
        <v>9</v>
      </c>
      <c r="E1863" s="678" t="s">
        <v>2188</v>
      </c>
      <c r="F1863" s="170"/>
    </row>
    <row r="1864" spans="2:6" ht="15" x14ac:dyDescent="0.25">
      <c r="B1864" s="169"/>
      <c r="C1864" s="679">
        <v>3156362</v>
      </c>
      <c r="D1864" s="677">
        <v>7</v>
      </c>
      <c r="E1864" s="678" t="s">
        <v>2189</v>
      </c>
      <c r="F1864" s="170"/>
    </row>
    <row r="1865" spans="2:6" ht="15" x14ac:dyDescent="0.25">
      <c r="B1865" s="169"/>
      <c r="C1865" s="679">
        <v>3087534</v>
      </c>
      <c r="D1865" s="677">
        <v>0</v>
      </c>
      <c r="E1865" s="678" t="s">
        <v>2190</v>
      </c>
      <c r="F1865" s="170"/>
    </row>
    <row r="1866" spans="2:6" ht="15" x14ac:dyDescent="0.25">
      <c r="B1866" s="169"/>
      <c r="C1866" s="679">
        <v>3113742</v>
      </c>
      <c r="D1866" s="677">
        <v>3</v>
      </c>
      <c r="E1866" s="678" t="s">
        <v>2191</v>
      </c>
      <c r="F1866" s="170"/>
    </row>
    <row r="1867" spans="2:6" ht="15" x14ac:dyDescent="0.25">
      <c r="B1867" s="169"/>
      <c r="C1867" s="679">
        <v>3087504</v>
      </c>
      <c r="D1867" s="677">
        <v>8</v>
      </c>
      <c r="E1867" s="678" t="s">
        <v>2192</v>
      </c>
      <c r="F1867" s="170"/>
    </row>
    <row r="1868" spans="2:6" ht="15" x14ac:dyDescent="0.25">
      <c r="B1868" s="169"/>
      <c r="C1868" s="679">
        <v>3103121</v>
      </c>
      <c r="D1868" s="677">
        <v>8</v>
      </c>
      <c r="E1868" s="678" t="s">
        <v>2193</v>
      </c>
      <c r="F1868" s="170"/>
    </row>
    <row r="1869" spans="2:6" ht="15" x14ac:dyDescent="0.25">
      <c r="B1869" s="169"/>
      <c r="C1869" s="679">
        <v>3081518</v>
      </c>
      <c r="D1869" s="677">
        <v>5</v>
      </c>
      <c r="E1869" s="678" t="s">
        <v>2194</v>
      </c>
      <c r="F1869" s="170"/>
    </row>
    <row r="1870" spans="2:6" ht="15" x14ac:dyDescent="0.25">
      <c r="B1870" s="169"/>
      <c r="C1870" s="679">
        <v>3194799</v>
      </c>
      <c r="D1870" s="677">
        <v>9</v>
      </c>
      <c r="E1870" s="678" t="s">
        <v>8292</v>
      </c>
      <c r="F1870" s="170"/>
    </row>
    <row r="1871" spans="2:6" ht="15" x14ac:dyDescent="0.25">
      <c r="B1871" s="169"/>
      <c r="C1871" s="679">
        <v>3113711</v>
      </c>
      <c r="D1871" s="677">
        <v>3</v>
      </c>
      <c r="E1871" s="678" t="s">
        <v>2195</v>
      </c>
      <c r="F1871" s="170"/>
    </row>
    <row r="1872" spans="2:6" ht="15" x14ac:dyDescent="0.25">
      <c r="B1872" s="169"/>
      <c r="C1872" s="679">
        <v>3086246</v>
      </c>
      <c r="D1872" s="677">
        <v>9</v>
      </c>
      <c r="E1872" s="678" t="s">
        <v>2196</v>
      </c>
      <c r="F1872" s="170"/>
    </row>
    <row r="1873" spans="2:6" ht="15" x14ac:dyDescent="0.25">
      <c r="B1873" s="169"/>
      <c r="C1873" s="679">
        <v>3220678</v>
      </c>
      <c r="D1873" s="677">
        <v>0</v>
      </c>
      <c r="E1873" s="678" t="s">
        <v>8293</v>
      </c>
      <c r="F1873" s="170"/>
    </row>
    <row r="1874" spans="2:6" ht="15" x14ac:dyDescent="0.25">
      <c r="B1874" s="169"/>
      <c r="C1874" s="679">
        <v>2962195</v>
      </c>
      <c r="D1874" s="677">
        <v>0</v>
      </c>
      <c r="E1874" s="678" t="s">
        <v>2197</v>
      </c>
      <c r="F1874" s="170"/>
    </row>
    <row r="1875" spans="2:6" ht="15" x14ac:dyDescent="0.25">
      <c r="B1875" s="169"/>
      <c r="C1875" s="679">
        <v>2962393</v>
      </c>
      <c r="D1875" s="677">
        <v>6</v>
      </c>
      <c r="E1875" s="678" t="s">
        <v>2198</v>
      </c>
      <c r="F1875" s="170"/>
    </row>
    <row r="1876" spans="2:6" ht="15" x14ac:dyDescent="0.25">
      <c r="B1876" s="169"/>
      <c r="C1876" s="679">
        <v>3078264</v>
      </c>
      <c r="D1876" s="677">
        <v>3</v>
      </c>
      <c r="E1876" s="678" t="s">
        <v>2199</v>
      </c>
      <c r="F1876" s="170"/>
    </row>
    <row r="1877" spans="2:6" ht="15" x14ac:dyDescent="0.25">
      <c r="B1877" s="169"/>
      <c r="C1877" s="679">
        <v>2962349</v>
      </c>
      <c r="D1877" s="677">
        <v>9</v>
      </c>
      <c r="E1877" s="678" t="s">
        <v>2200</v>
      </c>
      <c r="F1877" s="170"/>
    </row>
    <row r="1878" spans="2:6" ht="15" x14ac:dyDescent="0.25">
      <c r="B1878" s="169"/>
      <c r="C1878" s="679">
        <v>3157865</v>
      </c>
      <c r="D1878" s="677">
        <v>9</v>
      </c>
      <c r="E1878" s="678" t="s">
        <v>2201</v>
      </c>
      <c r="F1878" s="170"/>
    </row>
    <row r="1879" spans="2:6" ht="15" x14ac:dyDescent="0.25">
      <c r="B1879" s="169"/>
      <c r="C1879" s="679">
        <v>2962196</v>
      </c>
      <c r="D1879" s="677">
        <v>8</v>
      </c>
      <c r="E1879" s="678" t="s">
        <v>2202</v>
      </c>
      <c r="F1879" s="170"/>
    </row>
    <row r="1880" spans="2:6" ht="15" x14ac:dyDescent="0.25">
      <c r="B1880" s="169"/>
      <c r="C1880" s="679">
        <v>2962197</v>
      </c>
      <c r="D1880" s="677">
        <v>6</v>
      </c>
      <c r="E1880" s="678" t="s">
        <v>2203</v>
      </c>
      <c r="F1880" s="170"/>
    </row>
    <row r="1881" spans="2:6" ht="15" x14ac:dyDescent="0.25">
      <c r="B1881" s="169"/>
      <c r="C1881" s="679">
        <v>2962350</v>
      </c>
      <c r="D1881" s="677">
        <v>2</v>
      </c>
      <c r="E1881" s="678" t="s">
        <v>2204</v>
      </c>
      <c r="F1881" s="170"/>
    </row>
    <row r="1882" spans="2:6" ht="15" x14ac:dyDescent="0.25">
      <c r="B1882" s="169"/>
      <c r="C1882" s="679">
        <v>3156370</v>
      </c>
      <c r="D1882" s="677">
        <v>8</v>
      </c>
      <c r="E1882" s="678" t="s">
        <v>2205</v>
      </c>
      <c r="F1882" s="170"/>
    </row>
    <row r="1883" spans="2:6" ht="15" x14ac:dyDescent="0.25">
      <c r="B1883" s="169"/>
      <c r="C1883" s="679">
        <v>2962394</v>
      </c>
      <c r="D1883" s="677">
        <v>4</v>
      </c>
      <c r="E1883" s="678" t="s">
        <v>2206</v>
      </c>
      <c r="F1883" s="170"/>
    </row>
    <row r="1884" spans="2:6" ht="15" x14ac:dyDescent="0.25">
      <c r="B1884" s="169"/>
      <c r="C1884" s="679">
        <v>3048379</v>
      </c>
      <c r="D1884" s="677">
        <v>4</v>
      </c>
      <c r="E1884" s="678" t="s">
        <v>2207</v>
      </c>
      <c r="F1884" s="170"/>
    </row>
    <row r="1885" spans="2:6" ht="15" x14ac:dyDescent="0.25">
      <c r="B1885" s="169"/>
      <c r="C1885" s="679">
        <v>3069594</v>
      </c>
      <c r="D1885" s="677">
        <v>5</v>
      </c>
      <c r="E1885" s="678" t="s">
        <v>2208</v>
      </c>
      <c r="F1885" s="170"/>
    </row>
    <row r="1886" spans="2:6" ht="15" x14ac:dyDescent="0.25">
      <c r="B1886" s="169"/>
      <c r="C1886" s="679">
        <v>3048174</v>
      </c>
      <c r="D1886" s="677">
        <v>1</v>
      </c>
      <c r="E1886" s="678" t="s">
        <v>2209</v>
      </c>
      <c r="F1886" s="170"/>
    </row>
    <row r="1887" spans="2:6" ht="15" x14ac:dyDescent="0.25">
      <c r="B1887" s="169"/>
      <c r="C1887" s="679">
        <v>3087502</v>
      </c>
      <c r="D1887" s="677">
        <v>1</v>
      </c>
      <c r="E1887" s="678" t="s">
        <v>2210</v>
      </c>
      <c r="F1887" s="170"/>
    </row>
    <row r="1888" spans="2:6" ht="15" x14ac:dyDescent="0.25">
      <c r="B1888" s="169"/>
      <c r="C1888" s="679">
        <v>3080663</v>
      </c>
      <c r="D1888" s="677">
        <v>1</v>
      </c>
      <c r="E1888" s="678" t="s">
        <v>2211</v>
      </c>
      <c r="F1888" s="170"/>
    </row>
    <row r="1889" spans="2:6" ht="15" x14ac:dyDescent="0.25">
      <c r="B1889" s="169"/>
      <c r="C1889" s="679">
        <v>3082969</v>
      </c>
      <c r="D1889" s="677">
        <v>1</v>
      </c>
      <c r="E1889" s="678" t="s">
        <v>2212</v>
      </c>
      <c r="F1889" s="170"/>
    </row>
    <row r="1890" spans="2:6" ht="15" x14ac:dyDescent="0.25">
      <c r="B1890" s="169"/>
      <c r="C1890" s="679">
        <v>3086242</v>
      </c>
      <c r="D1890" s="677">
        <v>6</v>
      </c>
      <c r="E1890" s="678" t="s">
        <v>2213</v>
      </c>
      <c r="F1890" s="170"/>
    </row>
    <row r="1891" spans="2:6" ht="15" x14ac:dyDescent="0.25">
      <c r="B1891" s="169"/>
      <c r="C1891" s="679">
        <v>3079578</v>
      </c>
      <c r="D1891" s="677">
        <v>8</v>
      </c>
      <c r="E1891" s="678" t="s">
        <v>2214</v>
      </c>
      <c r="F1891" s="170"/>
    </row>
    <row r="1892" spans="2:6" ht="15" x14ac:dyDescent="0.25">
      <c r="B1892" s="169"/>
      <c r="C1892" s="679">
        <v>3054543</v>
      </c>
      <c r="D1892" s="677">
        <v>9</v>
      </c>
      <c r="E1892" s="678" t="s">
        <v>2214</v>
      </c>
      <c r="F1892" s="170"/>
    </row>
    <row r="1893" spans="2:6" ht="15" x14ac:dyDescent="0.25">
      <c r="B1893" s="169"/>
      <c r="C1893" s="679">
        <v>3048177</v>
      </c>
      <c r="D1893" s="677">
        <v>5</v>
      </c>
      <c r="E1893" s="678" t="s">
        <v>2215</v>
      </c>
      <c r="F1893" s="170"/>
    </row>
    <row r="1894" spans="2:6" ht="15" x14ac:dyDescent="0.25">
      <c r="B1894" s="169"/>
      <c r="C1894" s="679">
        <v>3048178</v>
      </c>
      <c r="D1894" s="677">
        <v>3</v>
      </c>
      <c r="E1894" s="678" t="s">
        <v>2216</v>
      </c>
      <c r="F1894" s="170"/>
    </row>
    <row r="1895" spans="2:6" ht="15" x14ac:dyDescent="0.25">
      <c r="B1895" s="169"/>
      <c r="C1895" s="679">
        <v>2961258</v>
      </c>
      <c r="D1895" s="677">
        <v>6</v>
      </c>
      <c r="E1895" s="678" t="s">
        <v>2217</v>
      </c>
      <c r="F1895" s="170"/>
    </row>
    <row r="1896" spans="2:6" ht="15" x14ac:dyDescent="0.25">
      <c r="B1896" s="169"/>
      <c r="C1896" s="679">
        <v>2961536</v>
      </c>
      <c r="D1896" s="677">
        <v>4</v>
      </c>
      <c r="E1896" s="678" t="s">
        <v>2218</v>
      </c>
      <c r="F1896" s="170"/>
    </row>
    <row r="1897" spans="2:6" ht="15" x14ac:dyDescent="0.25">
      <c r="B1897" s="169"/>
      <c r="C1897" s="679">
        <v>3078207</v>
      </c>
      <c r="D1897" s="677">
        <v>4</v>
      </c>
      <c r="E1897" s="678" t="s">
        <v>2219</v>
      </c>
      <c r="F1897" s="170"/>
    </row>
    <row r="1898" spans="2:6" ht="15" x14ac:dyDescent="0.25">
      <c r="B1898" s="169"/>
      <c r="C1898" s="679">
        <v>2961524</v>
      </c>
      <c r="D1898" s="677">
        <v>1</v>
      </c>
      <c r="E1898" s="678" t="s">
        <v>2220</v>
      </c>
      <c r="F1898" s="170"/>
    </row>
    <row r="1899" spans="2:6" ht="15" x14ac:dyDescent="0.25">
      <c r="B1899" s="169"/>
      <c r="C1899" s="679">
        <v>3081517</v>
      </c>
      <c r="D1899" s="677">
        <v>7</v>
      </c>
      <c r="E1899" s="678" t="s">
        <v>2221</v>
      </c>
      <c r="F1899" s="170"/>
    </row>
    <row r="1900" spans="2:6" ht="15" x14ac:dyDescent="0.25">
      <c r="B1900" s="169"/>
      <c r="C1900" s="679">
        <v>3054637</v>
      </c>
      <c r="D1900" s="677">
        <v>1</v>
      </c>
      <c r="E1900" s="678" t="s">
        <v>2222</v>
      </c>
      <c r="F1900" s="170"/>
    </row>
    <row r="1901" spans="2:6" ht="15" x14ac:dyDescent="0.25">
      <c r="B1901" s="169"/>
      <c r="C1901" s="679">
        <v>3084475</v>
      </c>
      <c r="D1901" s="677">
        <v>4</v>
      </c>
      <c r="E1901" s="678" t="s">
        <v>2223</v>
      </c>
      <c r="F1901" s="170"/>
    </row>
    <row r="1902" spans="2:6" ht="15" x14ac:dyDescent="0.25">
      <c r="B1902" s="169"/>
      <c r="C1902" s="679">
        <v>3048179</v>
      </c>
      <c r="D1902" s="677">
        <v>1</v>
      </c>
      <c r="E1902" s="678" t="s">
        <v>2224</v>
      </c>
      <c r="F1902" s="170"/>
    </row>
    <row r="1903" spans="2:6" ht="15" x14ac:dyDescent="0.25">
      <c r="B1903" s="169"/>
      <c r="C1903" s="679">
        <v>3069052</v>
      </c>
      <c r="D1903" s="677">
        <v>8</v>
      </c>
      <c r="E1903" s="678" t="s">
        <v>2225</v>
      </c>
      <c r="F1903" s="170"/>
    </row>
    <row r="1904" spans="2:6" ht="15" x14ac:dyDescent="0.25">
      <c r="B1904" s="169"/>
      <c r="C1904" s="679">
        <v>3088245</v>
      </c>
      <c r="D1904" s="677">
        <v>1</v>
      </c>
      <c r="E1904" s="678" t="s">
        <v>2226</v>
      </c>
      <c r="F1904" s="170"/>
    </row>
    <row r="1905" spans="2:6" ht="15" x14ac:dyDescent="0.25">
      <c r="B1905" s="169"/>
      <c r="C1905" s="679">
        <v>3080655</v>
      </c>
      <c r="D1905" s="677">
        <v>1</v>
      </c>
      <c r="E1905" s="678" t="s">
        <v>2227</v>
      </c>
      <c r="F1905" s="170"/>
    </row>
    <row r="1906" spans="2:6" ht="15" x14ac:dyDescent="0.25">
      <c r="B1906" s="169"/>
      <c r="C1906" s="679">
        <v>3087503</v>
      </c>
      <c r="D1906" s="677">
        <v>0</v>
      </c>
      <c r="E1906" s="678" t="s">
        <v>2228</v>
      </c>
      <c r="F1906" s="170"/>
    </row>
    <row r="1907" spans="2:6" ht="15" x14ac:dyDescent="0.25">
      <c r="B1907" s="169"/>
      <c r="C1907" s="679">
        <v>3080164</v>
      </c>
      <c r="D1907" s="677">
        <v>8</v>
      </c>
      <c r="E1907" s="678" t="s">
        <v>2229</v>
      </c>
      <c r="F1907" s="170"/>
    </row>
    <row r="1908" spans="2:6" ht="15" x14ac:dyDescent="0.25">
      <c r="B1908" s="169"/>
      <c r="C1908" s="679">
        <v>3084421</v>
      </c>
      <c r="D1908" s="677">
        <v>5</v>
      </c>
      <c r="E1908" s="678" t="s">
        <v>2230</v>
      </c>
      <c r="F1908" s="170"/>
    </row>
    <row r="1909" spans="2:6" ht="15" x14ac:dyDescent="0.25">
      <c r="B1909" s="169"/>
      <c r="C1909" s="679">
        <v>2961248</v>
      </c>
      <c r="D1909" s="677">
        <v>9</v>
      </c>
      <c r="E1909" s="678" t="s">
        <v>2231</v>
      </c>
      <c r="F1909" s="170"/>
    </row>
    <row r="1910" spans="2:6" ht="15" x14ac:dyDescent="0.25">
      <c r="B1910" s="169"/>
      <c r="C1910" s="679">
        <v>3054652</v>
      </c>
      <c r="D1910" s="677">
        <v>4</v>
      </c>
      <c r="E1910" s="678" t="s">
        <v>2232</v>
      </c>
      <c r="F1910" s="170"/>
    </row>
    <row r="1911" spans="2:6" ht="15" x14ac:dyDescent="0.25">
      <c r="B1911" s="169"/>
      <c r="C1911" s="679">
        <v>3069984</v>
      </c>
      <c r="D1911" s="677">
        <v>3</v>
      </c>
      <c r="E1911" s="678" t="s">
        <v>2233</v>
      </c>
      <c r="F1911" s="170"/>
    </row>
    <row r="1912" spans="2:6" ht="15" x14ac:dyDescent="0.25">
      <c r="B1912" s="169"/>
      <c r="C1912" s="679">
        <v>3088249</v>
      </c>
      <c r="D1912" s="677">
        <v>4</v>
      </c>
      <c r="E1912" s="678" t="s">
        <v>2234</v>
      </c>
      <c r="F1912" s="170"/>
    </row>
    <row r="1913" spans="2:6" ht="15" x14ac:dyDescent="0.25">
      <c r="B1913" s="169"/>
      <c r="C1913" s="679">
        <v>3084481</v>
      </c>
      <c r="D1913" s="677">
        <v>9</v>
      </c>
      <c r="E1913" s="678" t="s">
        <v>2235</v>
      </c>
      <c r="F1913" s="170"/>
    </row>
    <row r="1914" spans="2:6" ht="15" x14ac:dyDescent="0.25">
      <c r="B1914" s="169"/>
      <c r="C1914" s="679">
        <v>3086243</v>
      </c>
      <c r="D1914" s="677">
        <v>4</v>
      </c>
      <c r="E1914" s="678" t="s">
        <v>2236</v>
      </c>
      <c r="F1914" s="170"/>
    </row>
    <row r="1915" spans="2:6" ht="15" x14ac:dyDescent="0.25">
      <c r="B1915" s="169"/>
      <c r="C1915" s="679">
        <v>2961526</v>
      </c>
      <c r="D1915" s="677">
        <v>7</v>
      </c>
      <c r="E1915" s="678" t="s">
        <v>2237</v>
      </c>
      <c r="F1915" s="170"/>
    </row>
    <row r="1916" spans="2:6" ht="15" x14ac:dyDescent="0.25">
      <c r="B1916" s="169"/>
      <c r="C1916" s="679">
        <v>3088264</v>
      </c>
      <c r="D1916" s="677">
        <v>8</v>
      </c>
      <c r="E1916" s="678" t="s">
        <v>2238</v>
      </c>
      <c r="F1916" s="170"/>
    </row>
    <row r="1917" spans="2:6" ht="15" x14ac:dyDescent="0.25">
      <c r="B1917" s="169"/>
      <c r="C1917" s="679">
        <v>2961527</v>
      </c>
      <c r="D1917" s="677">
        <v>5</v>
      </c>
      <c r="E1917" s="678" t="s">
        <v>2239</v>
      </c>
      <c r="F1917" s="170"/>
    </row>
    <row r="1918" spans="2:6" ht="15" x14ac:dyDescent="0.25">
      <c r="B1918" s="169"/>
      <c r="C1918" s="679">
        <v>3054674</v>
      </c>
      <c r="D1918" s="677">
        <v>5</v>
      </c>
      <c r="E1918" s="678" t="s">
        <v>2240</v>
      </c>
      <c r="F1918" s="170"/>
    </row>
    <row r="1919" spans="2:6" ht="15" x14ac:dyDescent="0.25">
      <c r="B1919" s="169"/>
      <c r="C1919" s="679">
        <v>3084476</v>
      </c>
      <c r="D1919" s="677">
        <v>2</v>
      </c>
      <c r="E1919" s="678" t="s">
        <v>2241</v>
      </c>
      <c r="F1919" s="170"/>
    </row>
    <row r="1920" spans="2:6" ht="15" x14ac:dyDescent="0.25">
      <c r="B1920" s="169"/>
      <c r="C1920" s="679">
        <v>3068803</v>
      </c>
      <c r="D1920" s="677">
        <v>5</v>
      </c>
      <c r="E1920" s="678" t="s">
        <v>2242</v>
      </c>
      <c r="F1920" s="170"/>
    </row>
    <row r="1921" spans="2:6" ht="15" x14ac:dyDescent="0.25">
      <c r="B1921" s="169"/>
      <c r="C1921" s="679">
        <v>3048180</v>
      </c>
      <c r="D1921" s="677">
        <v>5</v>
      </c>
      <c r="E1921" s="678" t="s">
        <v>2243</v>
      </c>
      <c r="F1921" s="170"/>
    </row>
    <row r="1922" spans="2:6" ht="15" x14ac:dyDescent="0.25">
      <c r="B1922" s="169"/>
      <c r="C1922" s="679">
        <v>3078210</v>
      </c>
      <c r="D1922" s="677">
        <v>4</v>
      </c>
      <c r="E1922" s="678" t="s">
        <v>2244</v>
      </c>
      <c r="F1922" s="170"/>
    </row>
    <row r="1923" spans="2:6" ht="15" x14ac:dyDescent="0.25">
      <c r="B1923" s="169"/>
      <c r="C1923" s="679">
        <v>3054615</v>
      </c>
      <c r="D1923" s="677">
        <v>0</v>
      </c>
      <c r="E1923" s="678" t="s">
        <v>2245</v>
      </c>
      <c r="F1923" s="170"/>
    </row>
    <row r="1924" spans="2:6" ht="15" x14ac:dyDescent="0.25">
      <c r="B1924" s="169"/>
      <c r="C1924" s="679">
        <v>3087487</v>
      </c>
      <c r="D1924" s="677">
        <v>4</v>
      </c>
      <c r="E1924" s="678" t="s">
        <v>2246</v>
      </c>
      <c r="F1924" s="170"/>
    </row>
    <row r="1925" spans="2:6" ht="15" x14ac:dyDescent="0.25">
      <c r="B1925" s="169"/>
      <c r="C1925" s="679">
        <v>2961260</v>
      </c>
      <c r="D1925" s="677">
        <v>8</v>
      </c>
      <c r="E1925" s="678" t="s">
        <v>2247</v>
      </c>
      <c r="F1925" s="170"/>
    </row>
    <row r="1926" spans="2:6" ht="15" x14ac:dyDescent="0.25">
      <c r="B1926" s="169"/>
      <c r="C1926" s="679">
        <v>3077784</v>
      </c>
      <c r="D1926" s="677">
        <v>4</v>
      </c>
      <c r="E1926" s="678" t="s">
        <v>2248</v>
      </c>
      <c r="F1926" s="170"/>
    </row>
    <row r="1927" spans="2:6" ht="15" x14ac:dyDescent="0.25">
      <c r="B1927" s="169"/>
      <c r="C1927" s="679">
        <v>3077783</v>
      </c>
      <c r="D1927" s="677">
        <v>6</v>
      </c>
      <c r="E1927" s="678" t="s">
        <v>2248</v>
      </c>
      <c r="F1927" s="170"/>
    </row>
    <row r="1928" spans="2:6" ht="15" x14ac:dyDescent="0.25">
      <c r="B1928" s="169"/>
      <c r="C1928" s="679">
        <v>3078279</v>
      </c>
      <c r="D1928" s="677">
        <v>1</v>
      </c>
      <c r="E1928" s="678" t="s">
        <v>2249</v>
      </c>
      <c r="F1928" s="170"/>
    </row>
    <row r="1929" spans="2:6" ht="15" x14ac:dyDescent="0.25">
      <c r="B1929" s="169"/>
      <c r="C1929" s="679">
        <v>3077816</v>
      </c>
      <c r="D1929" s="677">
        <v>6</v>
      </c>
      <c r="E1929" s="678" t="s">
        <v>2250</v>
      </c>
      <c r="F1929" s="170"/>
    </row>
    <row r="1930" spans="2:6" ht="15" x14ac:dyDescent="0.25">
      <c r="B1930" s="169"/>
      <c r="C1930" s="679">
        <v>3077797</v>
      </c>
      <c r="D1930" s="677">
        <v>6</v>
      </c>
      <c r="E1930" s="678" t="s">
        <v>2250</v>
      </c>
      <c r="F1930" s="170"/>
    </row>
    <row r="1931" spans="2:6" ht="15" x14ac:dyDescent="0.25">
      <c r="B1931" s="169"/>
      <c r="C1931" s="679">
        <v>3078260</v>
      </c>
      <c r="D1931" s="677">
        <v>1</v>
      </c>
      <c r="E1931" s="678" t="s">
        <v>2250</v>
      </c>
      <c r="F1931" s="170"/>
    </row>
    <row r="1932" spans="2:6" ht="15" x14ac:dyDescent="0.25">
      <c r="B1932" s="169"/>
      <c r="C1932" s="679">
        <v>3077690</v>
      </c>
      <c r="D1932" s="677">
        <v>2</v>
      </c>
      <c r="E1932" s="678" t="s">
        <v>2251</v>
      </c>
      <c r="F1932" s="170"/>
    </row>
    <row r="1933" spans="2:6" ht="15" x14ac:dyDescent="0.25">
      <c r="B1933" s="169"/>
      <c r="C1933" s="679">
        <v>3077789</v>
      </c>
      <c r="D1933" s="677">
        <v>5</v>
      </c>
      <c r="E1933" s="678" t="s">
        <v>2252</v>
      </c>
      <c r="F1933" s="170"/>
    </row>
    <row r="1934" spans="2:6" ht="15" x14ac:dyDescent="0.25">
      <c r="B1934" s="169"/>
      <c r="C1934" s="679">
        <v>3077785</v>
      </c>
      <c r="D1934" s="677">
        <v>2</v>
      </c>
      <c r="E1934" s="678" t="s">
        <v>2252</v>
      </c>
      <c r="F1934" s="170"/>
    </row>
    <row r="1935" spans="2:6" ht="15" x14ac:dyDescent="0.25">
      <c r="B1935" s="169"/>
      <c r="C1935" s="679">
        <v>3086235</v>
      </c>
      <c r="D1935" s="677">
        <v>3</v>
      </c>
      <c r="E1935" s="678" t="s">
        <v>2253</v>
      </c>
      <c r="F1935" s="170"/>
    </row>
    <row r="1936" spans="2:6" ht="15" x14ac:dyDescent="0.25">
      <c r="B1936" s="169"/>
      <c r="C1936" s="679">
        <v>3086234</v>
      </c>
      <c r="D1936" s="677">
        <v>5</v>
      </c>
      <c r="E1936" s="678" t="s">
        <v>2253</v>
      </c>
      <c r="F1936" s="170"/>
    </row>
    <row r="1937" spans="2:6" ht="15" x14ac:dyDescent="0.25">
      <c r="B1937" s="169"/>
      <c r="C1937" s="679">
        <v>3070600</v>
      </c>
      <c r="D1937" s="677">
        <v>9</v>
      </c>
      <c r="E1937" s="678" t="s">
        <v>2254</v>
      </c>
      <c r="F1937" s="170"/>
    </row>
    <row r="1938" spans="2:6" ht="15" x14ac:dyDescent="0.25">
      <c r="B1938" s="169"/>
      <c r="C1938" s="679">
        <v>3086237</v>
      </c>
      <c r="D1938" s="677">
        <v>0</v>
      </c>
      <c r="E1938" s="678" t="s">
        <v>2255</v>
      </c>
      <c r="F1938" s="170"/>
    </row>
    <row r="1939" spans="2:6" ht="15" x14ac:dyDescent="0.25">
      <c r="B1939" s="169"/>
      <c r="C1939" s="679">
        <v>3078294</v>
      </c>
      <c r="D1939" s="677">
        <v>5</v>
      </c>
      <c r="E1939" s="678" t="s">
        <v>2256</v>
      </c>
      <c r="F1939" s="170"/>
    </row>
    <row r="1940" spans="2:6" ht="15" x14ac:dyDescent="0.25">
      <c r="B1940" s="169"/>
      <c r="C1940" s="679">
        <v>2961252</v>
      </c>
      <c r="D1940" s="677">
        <v>7</v>
      </c>
      <c r="E1940" s="678" t="s">
        <v>2257</v>
      </c>
      <c r="F1940" s="170"/>
    </row>
    <row r="1941" spans="2:6" ht="15" x14ac:dyDescent="0.25">
      <c r="B1941" s="169"/>
      <c r="C1941" s="679">
        <v>3082934</v>
      </c>
      <c r="D1941" s="677">
        <v>8</v>
      </c>
      <c r="E1941" s="678" t="s">
        <v>2258</v>
      </c>
      <c r="F1941" s="170"/>
    </row>
    <row r="1942" spans="2:6" ht="15" x14ac:dyDescent="0.25">
      <c r="B1942" s="169"/>
      <c r="C1942" s="679">
        <v>3087451</v>
      </c>
      <c r="D1942" s="677">
        <v>3</v>
      </c>
      <c r="E1942" s="678" t="s">
        <v>2259</v>
      </c>
      <c r="F1942" s="170"/>
    </row>
    <row r="1943" spans="2:6" ht="15" x14ac:dyDescent="0.25">
      <c r="B1943" s="169"/>
      <c r="C1943" s="679">
        <v>3078289</v>
      </c>
      <c r="D1943" s="677">
        <v>9</v>
      </c>
      <c r="E1943" s="678" t="s">
        <v>2260</v>
      </c>
      <c r="F1943" s="170"/>
    </row>
    <row r="1944" spans="2:6" ht="15" x14ac:dyDescent="0.25">
      <c r="B1944" s="169"/>
      <c r="C1944" s="679">
        <v>2961254</v>
      </c>
      <c r="D1944" s="677">
        <v>3</v>
      </c>
      <c r="E1944" s="678" t="s">
        <v>2261</v>
      </c>
      <c r="F1944" s="170"/>
    </row>
    <row r="1945" spans="2:6" ht="15" x14ac:dyDescent="0.25">
      <c r="B1945" s="169"/>
      <c r="C1945" s="679">
        <v>3078213</v>
      </c>
      <c r="D1945" s="677">
        <v>9</v>
      </c>
      <c r="E1945" s="678" t="s">
        <v>2262</v>
      </c>
      <c r="F1945" s="170"/>
    </row>
    <row r="1946" spans="2:6" ht="15" x14ac:dyDescent="0.25">
      <c r="B1946" s="169"/>
      <c r="C1946" s="679">
        <v>3156357</v>
      </c>
      <c r="D1946" s="677">
        <v>1</v>
      </c>
      <c r="E1946" s="678" t="s">
        <v>2263</v>
      </c>
      <c r="F1946" s="170"/>
    </row>
    <row r="1947" spans="2:6" ht="15" x14ac:dyDescent="0.25">
      <c r="B1947" s="169"/>
      <c r="C1947" s="679">
        <v>3112407</v>
      </c>
      <c r="D1947" s="677">
        <v>1</v>
      </c>
      <c r="E1947" s="678" t="s">
        <v>2264</v>
      </c>
      <c r="F1947" s="170"/>
    </row>
    <row r="1948" spans="2:6" ht="15" x14ac:dyDescent="0.25">
      <c r="B1948" s="169"/>
      <c r="C1948" s="679">
        <v>3157878</v>
      </c>
      <c r="D1948" s="677">
        <v>1</v>
      </c>
      <c r="E1948" s="678" t="s">
        <v>2265</v>
      </c>
      <c r="F1948" s="170"/>
    </row>
    <row r="1949" spans="2:6" ht="15" x14ac:dyDescent="0.25">
      <c r="B1949" s="169"/>
      <c r="C1949" s="679">
        <v>3194805</v>
      </c>
      <c r="D1949" s="677">
        <v>7</v>
      </c>
      <c r="E1949" s="678" t="s">
        <v>8294</v>
      </c>
      <c r="F1949" s="170"/>
    </row>
    <row r="1950" spans="2:6" ht="15" x14ac:dyDescent="0.25">
      <c r="B1950" s="169"/>
      <c r="C1950" s="679">
        <v>3103110</v>
      </c>
      <c r="D1950" s="677">
        <v>2</v>
      </c>
      <c r="E1950" s="678" t="s">
        <v>2266</v>
      </c>
      <c r="F1950" s="170"/>
    </row>
    <row r="1951" spans="2:6" ht="15" x14ac:dyDescent="0.25">
      <c r="B1951" s="169"/>
      <c r="C1951" s="679">
        <v>3163597</v>
      </c>
      <c r="D1951" s="677">
        <v>1</v>
      </c>
      <c r="E1951" s="678" t="s">
        <v>2267</v>
      </c>
      <c r="F1951" s="170"/>
    </row>
    <row r="1952" spans="2:6" ht="15" x14ac:dyDescent="0.25">
      <c r="B1952" s="169"/>
      <c r="C1952" s="679">
        <v>3054569</v>
      </c>
      <c r="D1952" s="677">
        <v>2</v>
      </c>
      <c r="E1952" s="678" t="s">
        <v>2268</v>
      </c>
      <c r="F1952" s="170"/>
    </row>
    <row r="1953" spans="2:6" ht="15" x14ac:dyDescent="0.25">
      <c r="B1953" s="169"/>
      <c r="C1953" s="679">
        <v>3103146</v>
      </c>
      <c r="D1953" s="677">
        <v>3</v>
      </c>
      <c r="E1953" s="678" t="s">
        <v>2269</v>
      </c>
      <c r="F1953" s="170"/>
    </row>
    <row r="1954" spans="2:6" ht="15" x14ac:dyDescent="0.25">
      <c r="B1954" s="169"/>
      <c r="C1954" s="679">
        <v>3100888</v>
      </c>
      <c r="D1954" s="677">
        <v>7</v>
      </c>
      <c r="E1954" s="678" t="s">
        <v>2270</v>
      </c>
      <c r="F1954" s="170"/>
    </row>
    <row r="1955" spans="2:6" ht="15" x14ac:dyDescent="0.25">
      <c r="B1955" s="169"/>
      <c r="C1955" s="679">
        <v>3103150</v>
      </c>
      <c r="D1955" s="677">
        <v>1</v>
      </c>
      <c r="E1955" s="678" t="s">
        <v>2271</v>
      </c>
      <c r="F1955" s="170"/>
    </row>
    <row r="1956" spans="2:6" ht="15" x14ac:dyDescent="0.25">
      <c r="B1956" s="169"/>
      <c r="C1956" s="679">
        <v>3075035</v>
      </c>
      <c r="D1956" s="677">
        <v>1</v>
      </c>
      <c r="E1956" s="678" t="s">
        <v>2272</v>
      </c>
      <c r="F1956" s="170"/>
    </row>
    <row r="1957" spans="2:6" ht="15" x14ac:dyDescent="0.25">
      <c r="B1957" s="169"/>
      <c r="C1957" s="679">
        <v>2962351</v>
      </c>
      <c r="D1957" s="677">
        <v>1</v>
      </c>
      <c r="E1957" s="678" t="s">
        <v>2273</v>
      </c>
      <c r="F1957" s="170"/>
    </row>
    <row r="1958" spans="2:6" ht="15" x14ac:dyDescent="0.25">
      <c r="B1958" s="169"/>
      <c r="C1958" s="679">
        <v>3163916</v>
      </c>
      <c r="D1958" s="677">
        <v>0</v>
      </c>
      <c r="E1958" s="678" t="s">
        <v>2274</v>
      </c>
      <c r="F1958" s="170"/>
    </row>
    <row r="1959" spans="2:6" ht="15" x14ac:dyDescent="0.25">
      <c r="B1959" s="169"/>
      <c r="C1959" s="679">
        <v>3100136</v>
      </c>
      <c r="D1959" s="677">
        <v>0</v>
      </c>
      <c r="E1959" s="678" t="s">
        <v>2275</v>
      </c>
      <c r="F1959" s="170"/>
    </row>
    <row r="1960" spans="2:6" ht="15" x14ac:dyDescent="0.25">
      <c r="B1960" s="169"/>
      <c r="C1960" s="679">
        <v>2962198</v>
      </c>
      <c r="D1960" s="677">
        <v>4</v>
      </c>
      <c r="E1960" s="678" t="s">
        <v>2276</v>
      </c>
      <c r="F1960" s="170"/>
    </row>
    <row r="1961" spans="2:6" ht="15" x14ac:dyDescent="0.25">
      <c r="B1961" s="169"/>
      <c r="C1961" s="679">
        <v>2962352</v>
      </c>
      <c r="D1961" s="677">
        <v>9</v>
      </c>
      <c r="E1961" s="678" t="s">
        <v>2277</v>
      </c>
      <c r="F1961" s="170"/>
    </row>
    <row r="1962" spans="2:6" ht="15" x14ac:dyDescent="0.25">
      <c r="B1962" s="169"/>
      <c r="C1962" s="679">
        <v>3153451</v>
      </c>
      <c r="D1962" s="677">
        <v>1</v>
      </c>
      <c r="E1962" s="678" t="s">
        <v>2278</v>
      </c>
      <c r="F1962" s="170"/>
    </row>
    <row r="1963" spans="2:6" ht="15" x14ac:dyDescent="0.25">
      <c r="B1963" s="169"/>
      <c r="C1963" s="679">
        <v>2962199</v>
      </c>
      <c r="D1963" s="677">
        <v>2</v>
      </c>
      <c r="E1963" s="678" t="s">
        <v>2279</v>
      </c>
      <c r="F1963" s="170"/>
    </row>
    <row r="1964" spans="2:6" ht="15" x14ac:dyDescent="0.25">
      <c r="B1964" s="169"/>
      <c r="C1964" s="679">
        <v>2962200</v>
      </c>
      <c r="D1964" s="677">
        <v>0</v>
      </c>
      <c r="E1964" s="678" t="s">
        <v>2280</v>
      </c>
      <c r="F1964" s="170"/>
    </row>
    <row r="1965" spans="2:6" ht="15" x14ac:dyDescent="0.25">
      <c r="B1965" s="169"/>
      <c r="C1965" s="679">
        <v>2962395</v>
      </c>
      <c r="D1965" s="677">
        <v>2</v>
      </c>
      <c r="E1965" s="678" t="s">
        <v>2281</v>
      </c>
      <c r="F1965" s="170"/>
    </row>
    <row r="1966" spans="2:6" ht="15" x14ac:dyDescent="0.25">
      <c r="B1966" s="169"/>
      <c r="C1966" s="679">
        <v>2962201</v>
      </c>
      <c r="D1966" s="677">
        <v>8</v>
      </c>
      <c r="E1966" s="678" t="s">
        <v>2282</v>
      </c>
      <c r="F1966" s="170"/>
    </row>
    <row r="1967" spans="2:6" ht="15" x14ac:dyDescent="0.25">
      <c r="B1967" s="169"/>
      <c r="C1967" s="679">
        <v>3171249</v>
      </c>
      <c r="D1967" s="677">
        <v>5</v>
      </c>
      <c r="E1967" s="678" t="s">
        <v>2283</v>
      </c>
      <c r="F1967" s="170"/>
    </row>
    <row r="1968" spans="2:6" ht="15" x14ac:dyDescent="0.25">
      <c r="B1968" s="169"/>
      <c r="C1968" s="679">
        <v>3212347</v>
      </c>
      <c r="D1968" s="677">
        <v>7</v>
      </c>
      <c r="E1968" s="678" t="s">
        <v>8295</v>
      </c>
      <c r="F1968" s="170"/>
    </row>
    <row r="1969" spans="2:6" ht="15" x14ac:dyDescent="0.25">
      <c r="B1969" s="169"/>
      <c r="C1969" s="679">
        <v>2962396</v>
      </c>
      <c r="D1969" s="677">
        <v>1</v>
      </c>
      <c r="E1969" s="678" t="s">
        <v>2284</v>
      </c>
      <c r="F1969" s="170"/>
    </row>
    <row r="1970" spans="2:6" ht="15" x14ac:dyDescent="0.25">
      <c r="B1970" s="169"/>
      <c r="C1970" s="679">
        <v>2962202</v>
      </c>
      <c r="D1970" s="677">
        <v>6</v>
      </c>
      <c r="E1970" s="678" t="s">
        <v>2285</v>
      </c>
      <c r="F1970" s="170"/>
    </row>
    <row r="1971" spans="2:6" ht="15" x14ac:dyDescent="0.25">
      <c r="B1971" s="169"/>
      <c r="C1971" s="679">
        <v>2962204</v>
      </c>
      <c r="D1971" s="677">
        <v>2</v>
      </c>
      <c r="E1971" s="678" t="s">
        <v>2286</v>
      </c>
      <c r="F1971" s="170"/>
    </row>
    <row r="1972" spans="2:6" ht="15" x14ac:dyDescent="0.25">
      <c r="B1972" s="169"/>
      <c r="C1972" s="679">
        <v>2962353</v>
      </c>
      <c r="D1972" s="677">
        <v>7</v>
      </c>
      <c r="E1972" s="678" t="s">
        <v>2287</v>
      </c>
      <c r="F1972" s="170"/>
    </row>
    <row r="1973" spans="2:6" ht="15" x14ac:dyDescent="0.25">
      <c r="B1973" s="169"/>
      <c r="C1973" s="679">
        <v>2962397</v>
      </c>
      <c r="D1973" s="677">
        <v>9</v>
      </c>
      <c r="E1973" s="678" t="s">
        <v>2288</v>
      </c>
      <c r="F1973" s="170"/>
    </row>
    <row r="1974" spans="2:6" ht="15" x14ac:dyDescent="0.25">
      <c r="B1974" s="169"/>
      <c r="C1974" s="679">
        <v>2962205</v>
      </c>
      <c r="D1974" s="677">
        <v>1</v>
      </c>
      <c r="E1974" s="678" t="s">
        <v>2289</v>
      </c>
      <c r="F1974" s="170"/>
    </row>
    <row r="1975" spans="2:6" ht="15" x14ac:dyDescent="0.25">
      <c r="B1975" s="169"/>
      <c r="C1975" s="679">
        <v>2962206</v>
      </c>
      <c r="D1975" s="677">
        <v>9</v>
      </c>
      <c r="E1975" s="678" t="s">
        <v>2290</v>
      </c>
      <c r="F1975" s="170"/>
    </row>
    <row r="1976" spans="2:6" ht="15" x14ac:dyDescent="0.25">
      <c r="B1976" s="169"/>
      <c r="C1976" s="679">
        <v>2962207</v>
      </c>
      <c r="D1976" s="677">
        <v>7</v>
      </c>
      <c r="E1976" s="678" t="s">
        <v>2291</v>
      </c>
      <c r="F1976" s="170"/>
    </row>
    <row r="1977" spans="2:6" ht="15" x14ac:dyDescent="0.25">
      <c r="B1977" s="169"/>
      <c r="C1977" s="679">
        <v>2962221</v>
      </c>
      <c r="D1977" s="677">
        <v>2</v>
      </c>
      <c r="E1977" s="678" t="s">
        <v>2292</v>
      </c>
      <c r="F1977" s="170"/>
    </row>
    <row r="1978" spans="2:6" ht="15" x14ac:dyDescent="0.25">
      <c r="B1978" s="169"/>
      <c r="C1978" s="679">
        <v>2962208</v>
      </c>
      <c r="D1978" s="677">
        <v>5</v>
      </c>
      <c r="E1978" s="678" t="s">
        <v>2293</v>
      </c>
      <c r="F1978" s="170"/>
    </row>
    <row r="1979" spans="2:6" ht="15" x14ac:dyDescent="0.25">
      <c r="B1979" s="169"/>
      <c r="C1979" s="679">
        <v>2962209</v>
      </c>
      <c r="D1979" s="677">
        <v>3</v>
      </c>
      <c r="E1979" s="678" t="s">
        <v>2294</v>
      </c>
      <c r="F1979" s="170"/>
    </row>
    <row r="1980" spans="2:6" ht="15" x14ac:dyDescent="0.25">
      <c r="B1980" s="169"/>
      <c r="C1980" s="679">
        <v>2962210</v>
      </c>
      <c r="D1980" s="677">
        <v>7</v>
      </c>
      <c r="E1980" s="678" t="s">
        <v>2295</v>
      </c>
      <c r="F1980" s="170"/>
    </row>
    <row r="1981" spans="2:6" ht="15" x14ac:dyDescent="0.25">
      <c r="B1981" s="169"/>
      <c r="C1981" s="679">
        <v>2962211</v>
      </c>
      <c r="D1981" s="677">
        <v>5</v>
      </c>
      <c r="E1981" s="678" t="s">
        <v>2296</v>
      </c>
      <c r="F1981" s="170"/>
    </row>
    <row r="1982" spans="2:6" ht="15" x14ac:dyDescent="0.25">
      <c r="B1982" s="169"/>
      <c r="C1982" s="679">
        <v>2962212</v>
      </c>
      <c r="D1982" s="677">
        <v>3</v>
      </c>
      <c r="E1982" s="678" t="s">
        <v>2297</v>
      </c>
      <c r="F1982" s="170"/>
    </row>
    <row r="1983" spans="2:6" ht="15" x14ac:dyDescent="0.25">
      <c r="B1983" s="169"/>
      <c r="C1983" s="679">
        <v>2962213</v>
      </c>
      <c r="D1983" s="677">
        <v>1</v>
      </c>
      <c r="E1983" s="678" t="s">
        <v>2298</v>
      </c>
      <c r="F1983" s="170"/>
    </row>
    <row r="1984" spans="2:6" ht="15" x14ac:dyDescent="0.25">
      <c r="B1984" s="169"/>
      <c r="C1984" s="679">
        <v>2962214</v>
      </c>
      <c r="D1984" s="677">
        <v>0</v>
      </c>
      <c r="E1984" s="678" t="s">
        <v>2299</v>
      </c>
      <c r="F1984" s="170"/>
    </row>
    <row r="1985" spans="2:6" ht="15" x14ac:dyDescent="0.25">
      <c r="B1985" s="169"/>
      <c r="C1985" s="679">
        <v>2962398</v>
      </c>
      <c r="D1985" s="677">
        <v>7</v>
      </c>
      <c r="E1985" s="678" t="s">
        <v>2300</v>
      </c>
      <c r="F1985" s="170"/>
    </row>
    <row r="1986" spans="2:6" ht="15" x14ac:dyDescent="0.25">
      <c r="B1986" s="169"/>
      <c r="C1986" s="679">
        <v>2962215</v>
      </c>
      <c r="D1986" s="677">
        <v>8</v>
      </c>
      <c r="E1986" s="678" t="s">
        <v>2301</v>
      </c>
      <c r="F1986" s="170"/>
    </row>
    <row r="1987" spans="2:6" ht="15" x14ac:dyDescent="0.25">
      <c r="B1987" s="169"/>
      <c r="C1987" s="679">
        <v>2962216</v>
      </c>
      <c r="D1987" s="677">
        <v>6</v>
      </c>
      <c r="E1987" s="678" t="s">
        <v>2302</v>
      </c>
      <c r="F1987" s="170"/>
    </row>
    <row r="1988" spans="2:6" ht="15" x14ac:dyDescent="0.25">
      <c r="B1988" s="169"/>
      <c r="C1988" s="679">
        <v>2962217</v>
      </c>
      <c r="D1988" s="677">
        <v>4</v>
      </c>
      <c r="E1988" s="678" t="s">
        <v>2303</v>
      </c>
      <c r="F1988" s="170"/>
    </row>
    <row r="1989" spans="2:6" ht="15" x14ac:dyDescent="0.25">
      <c r="B1989" s="169"/>
      <c r="C1989" s="679">
        <v>2962218</v>
      </c>
      <c r="D1989" s="677">
        <v>2</v>
      </c>
      <c r="E1989" s="678" t="s">
        <v>2304</v>
      </c>
      <c r="F1989" s="170"/>
    </row>
    <row r="1990" spans="2:6" ht="15" x14ac:dyDescent="0.25">
      <c r="B1990" s="169"/>
      <c r="C1990" s="679">
        <v>2962219</v>
      </c>
      <c r="D1990" s="677">
        <v>1</v>
      </c>
      <c r="E1990" s="678" t="s">
        <v>2305</v>
      </c>
      <c r="F1990" s="170"/>
    </row>
    <row r="1991" spans="2:6" ht="15" x14ac:dyDescent="0.25">
      <c r="B1991" s="169"/>
      <c r="C1991" s="679">
        <v>2962220</v>
      </c>
      <c r="D1991" s="677">
        <v>4</v>
      </c>
      <c r="E1991" s="678" t="s">
        <v>2306</v>
      </c>
      <c r="F1991" s="170"/>
    </row>
    <row r="1992" spans="2:6" ht="15" x14ac:dyDescent="0.25">
      <c r="B1992" s="169"/>
      <c r="C1992" s="679">
        <v>2962222</v>
      </c>
      <c r="D1992" s="677">
        <v>1</v>
      </c>
      <c r="E1992" s="678" t="s">
        <v>2307</v>
      </c>
      <c r="F1992" s="170"/>
    </row>
    <row r="1993" spans="2:6" ht="15" x14ac:dyDescent="0.25">
      <c r="B1993" s="169"/>
      <c r="C1993" s="679">
        <v>3155467</v>
      </c>
      <c r="D1993" s="677">
        <v>9</v>
      </c>
      <c r="E1993" s="678" t="s">
        <v>2308</v>
      </c>
      <c r="F1993" s="170"/>
    </row>
    <row r="1994" spans="2:6" ht="15" x14ac:dyDescent="0.25">
      <c r="B1994" s="169"/>
      <c r="C1994" s="679">
        <v>2962223</v>
      </c>
      <c r="D1994" s="677">
        <v>9</v>
      </c>
      <c r="E1994" s="678" t="s">
        <v>2309</v>
      </c>
      <c r="F1994" s="170"/>
    </row>
    <row r="1995" spans="2:6" ht="15" x14ac:dyDescent="0.25">
      <c r="B1995" s="169"/>
      <c r="C1995" s="679">
        <v>2962224</v>
      </c>
      <c r="D1995" s="677">
        <v>7</v>
      </c>
      <c r="E1995" s="678" t="s">
        <v>2310</v>
      </c>
      <c r="F1995" s="170"/>
    </row>
    <row r="1996" spans="2:6" ht="15" x14ac:dyDescent="0.25">
      <c r="B1996" s="169"/>
      <c r="C1996" s="679">
        <v>2962225</v>
      </c>
      <c r="D1996" s="677">
        <v>5</v>
      </c>
      <c r="E1996" s="678" t="s">
        <v>2311</v>
      </c>
      <c r="F1996" s="170"/>
    </row>
    <row r="1997" spans="2:6" ht="15" x14ac:dyDescent="0.25">
      <c r="B1997" s="169"/>
      <c r="C1997" s="679">
        <v>2962354</v>
      </c>
      <c r="D1997" s="677">
        <v>5</v>
      </c>
      <c r="E1997" s="678" t="s">
        <v>2312</v>
      </c>
      <c r="F1997" s="170"/>
    </row>
    <row r="1998" spans="2:6" ht="15" x14ac:dyDescent="0.25">
      <c r="B1998" s="169"/>
      <c r="C1998" s="679">
        <v>2962226</v>
      </c>
      <c r="D1998" s="677">
        <v>3</v>
      </c>
      <c r="E1998" s="678" t="s">
        <v>2313</v>
      </c>
      <c r="F1998" s="170"/>
    </row>
    <row r="1999" spans="2:6" ht="15" x14ac:dyDescent="0.25">
      <c r="B1999" s="169"/>
      <c r="C1999" s="679">
        <v>2962227</v>
      </c>
      <c r="D1999" s="677">
        <v>1</v>
      </c>
      <c r="E1999" s="678" t="s">
        <v>2314</v>
      </c>
      <c r="F1999" s="170"/>
    </row>
    <row r="2000" spans="2:6" ht="15" x14ac:dyDescent="0.25">
      <c r="B2000" s="169"/>
      <c r="C2000" s="679">
        <v>2962228</v>
      </c>
      <c r="D2000" s="677">
        <v>0</v>
      </c>
      <c r="E2000" s="678" t="s">
        <v>2315</v>
      </c>
      <c r="F2000" s="170"/>
    </row>
    <row r="2001" spans="2:6" ht="15" x14ac:dyDescent="0.25">
      <c r="B2001" s="169"/>
      <c r="C2001" s="679">
        <v>2962229</v>
      </c>
      <c r="D2001" s="677">
        <v>8</v>
      </c>
      <c r="E2001" s="678" t="s">
        <v>2316</v>
      </c>
      <c r="F2001" s="170"/>
    </row>
    <row r="2002" spans="2:6" ht="15" x14ac:dyDescent="0.25">
      <c r="B2002" s="169"/>
      <c r="C2002" s="679">
        <v>2962230</v>
      </c>
      <c r="D2002" s="677">
        <v>1</v>
      </c>
      <c r="E2002" s="678" t="s">
        <v>2317</v>
      </c>
      <c r="F2002" s="170"/>
    </row>
    <row r="2003" spans="2:6" ht="15" x14ac:dyDescent="0.25">
      <c r="B2003" s="169"/>
      <c r="C2003" s="679">
        <v>2962231</v>
      </c>
      <c r="D2003" s="677">
        <v>0</v>
      </c>
      <c r="E2003" s="678" t="s">
        <v>2318</v>
      </c>
      <c r="F2003" s="170"/>
    </row>
    <row r="2004" spans="2:6" ht="15" x14ac:dyDescent="0.25">
      <c r="B2004" s="169"/>
      <c r="C2004" s="679">
        <v>2962232</v>
      </c>
      <c r="D2004" s="677">
        <v>8</v>
      </c>
      <c r="E2004" s="678" t="s">
        <v>2319</v>
      </c>
      <c r="F2004" s="170"/>
    </row>
    <row r="2005" spans="2:6" ht="15" x14ac:dyDescent="0.25">
      <c r="B2005" s="169"/>
      <c r="C2005" s="679">
        <v>2962233</v>
      </c>
      <c r="D2005" s="677">
        <v>6</v>
      </c>
      <c r="E2005" s="678" t="s">
        <v>2320</v>
      </c>
      <c r="F2005" s="170"/>
    </row>
    <row r="2006" spans="2:6" ht="15" x14ac:dyDescent="0.25">
      <c r="B2006" s="169"/>
      <c r="C2006" s="679">
        <v>2962234</v>
      </c>
      <c r="D2006" s="677">
        <v>4</v>
      </c>
      <c r="E2006" s="678" t="s">
        <v>2321</v>
      </c>
      <c r="F2006" s="170"/>
    </row>
    <row r="2007" spans="2:6" ht="15" x14ac:dyDescent="0.25">
      <c r="B2007" s="169"/>
      <c r="C2007" s="679">
        <v>2962235</v>
      </c>
      <c r="D2007" s="677">
        <v>2</v>
      </c>
      <c r="E2007" s="678" t="s">
        <v>2322</v>
      </c>
      <c r="F2007" s="170"/>
    </row>
    <row r="2008" spans="2:6" ht="15" x14ac:dyDescent="0.25">
      <c r="B2008" s="169"/>
      <c r="C2008" s="679">
        <v>2962236</v>
      </c>
      <c r="D2008" s="677">
        <v>1</v>
      </c>
      <c r="E2008" s="678" t="s">
        <v>2323</v>
      </c>
      <c r="F2008" s="170"/>
    </row>
    <row r="2009" spans="2:6" ht="15" x14ac:dyDescent="0.25">
      <c r="B2009" s="169"/>
      <c r="C2009" s="679">
        <v>2962237</v>
      </c>
      <c r="D2009" s="677">
        <v>9</v>
      </c>
      <c r="E2009" s="678" t="s">
        <v>2324</v>
      </c>
      <c r="F2009" s="170"/>
    </row>
    <row r="2010" spans="2:6" ht="15" x14ac:dyDescent="0.25">
      <c r="B2010" s="169"/>
      <c r="C2010" s="679">
        <v>2962238</v>
      </c>
      <c r="D2010" s="677">
        <v>7</v>
      </c>
      <c r="E2010" s="678" t="s">
        <v>2325</v>
      </c>
      <c r="F2010" s="170"/>
    </row>
    <row r="2011" spans="2:6" ht="15" x14ac:dyDescent="0.25">
      <c r="B2011" s="169"/>
      <c r="C2011" s="679">
        <v>2962239</v>
      </c>
      <c r="D2011" s="677">
        <v>5</v>
      </c>
      <c r="E2011" s="678" t="s">
        <v>2326</v>
      </c>
      <c r="F2011" s="170"/>
    </row>
    <row r="2012" spans="2:6" ht="15" x14ac:dyDescent="0.25">
      <c r="B2012" s="169"/>
      <c r="C2012" s="679">
        <v>2962240</v>
      </c>
      <c r="D2012" s="677">
        <v>9</v>
      </c>
      <c r="E2012" s="678" t="s">
        <v>2327</v>
      </c>
      <c r="F2012" s="170"/>
    </row>
    <row r="2013" spans="2:6" ht="15" x14ac:dyDescent="0.25">
      <c r="B2013" s="169"/>
      <c r="C2013" s="679">
        <v>2962241</v>
      </c>
      <c r="D2013" s="677">
        <v>7</v>
      </c>
      <c r="E2013" s="678" t="s">
        <v>2328</v>
      </c>
      <c r="F2013" s="170"/>
    </row>
    <row r="2014" spans="2:6" ht="15" x14ac:dyDescent="0.25">
      <c r="B2014" s="169"/>
      <c r="C2014" s="679">
        <v>2962355</v>
      </c>
      <c r="D2014" s="677">
        <v>3</v>
      </c>
      <c r="E2014" s="678" t="s">
        <v>2329</v>
      </c>
      <c r="F2014" s="170"/>
    </row>
    <row r="2015" spans="2:6" ht="15" x14ac:dyDescent="0.25">
      <c r="B2015" s="169"/>
      <c r="C2015" s="679">
        <v>2962242</v>
      </c>
      <c r="D2015" s="677">
        <v>5</v>
      </c>
      <c r="E2015" s="678" t="s">
        <v>2330</v>
      </c>
      <c r="F2015" s="170"/>
    </row>
    <row r="2016" spans="2:6" ht="15" x14ac:dyDescent="0.25">
      <c r="B2016" s="169"/>
      <c r="C2016" s="679">
        <v>2962243</v>
      </c>
      <c r="D2016" s="677">
        <v>3</v>
      </c>
      <c r="E2016" s="678" t="s">
        <v>2331</v>
      </c>
      <c r="F2016" s="170"/>
    </row>
    <row r="2017" spans="2:6" ht="15" x14ac:dyDescent="0.25">
      <c r="B2017" s="169"/>
      <c r="C2017" s="679">
        <v>2962244</v>
      </c>
      <c r="D2017" s="677">
        <v>1</v>
      </c>
      <c r="E2017" s="678" t="s">
        <v>2332</v>
      </c>
      <c r="F2017" s="170"/>
    </row>
    <row r="2018" spans="2:6" ht="15" x14ac:dyDescent="0.25">
      <c r="B2018" s="169"/>
      <c r="C2018" s="679">
        <v>2962245</v>
      </c>
      <c r="D2018" s="677">
        <v>0</v>
      </c>
      <c r="E2018" s="678" t="s">
        <v>2333</v>
      </c>
      <c r="F2018" s="170"/>
    </row>
    <row r="2019" spans="2:6" ht="15" x14ac:dyDescent="0.25">
      <c r="B2019" s="169"/>
      <c r="C2019" s="679">
        <v>2962356</v>
      </c>
      <c r="D2019" s="677">
        <v>1</v>
      </c>
      <c r="E2019" s="678" t="s">
        <v>2334</v>
      </c>
      <c r="F2019" s="170"/>
    </row>
    <row r="2020" spans="2:6" ht="15" x14ac:dyDescent="0.25">
      <c r="B2020" s="169"/>
      <c r="C2020" s="679">
        <v>2962246</v>
      </c>
      <c r="D2020" s="677">
        <v>8</v>
      </c>
      <c r="E2020" s="678" t="s">
        <v>2335</v>
      </c>
      <c r="F2020" s="170"/>
    </row>
    <row r="2021" spans="2:6" ht="15" x14ac:dyDescent="0.25">
      <c r="B2021" s="169"/>
      <c r="C2021" s="679">
        <v>2962247</v>
      </c>
      <c r="D2021" s="677">
        <v>6</v>
      </c>
      <c r="E2021" s="678" t="s">
        <v>2336</v>
      </c>
      <c r="F2021" s="170"/>
    </row>
    <row r="2022" spans="2:6" ht="15" x14ac:dyDescent="0.25">
      <c r="B2022" s="169"/>
      <c r="C2022" s="679">
        <v>3156698</v>
      </c>
      <c r="D2022" s="677">
        <v>7</v>
      </c>
      <c r="E2022" s="678" t="s">
        <v>2337</v>
      </c>
      <c r="F2022" s="170"/>
    </row>
    <row r="2023" spans="2:6" ht="15" x14ac:dyDescent="0.25">
      <c r="B2023" s="169"/>
      <c r="C2023" s="679">
        <v>3156690</v>
      </c>
      <c r="D2023" s="677">
        <v>1</v>
      </c>
      <c r="E2023" s="678" t="s">
        <v>2338</v>
      </c>
      <c r="F2023" s="170"/>
    </row>
    <row r="2024" spans="2:6" ht="15" x14ac:dyDescent="0.25">
      <c r="B2024" s="169"/>
      <c r="C2024" s="679">
        <v>2962248</v>
      </c>
      <c r="D2024" s="677">
        <v>4</v>
      </c>
      <c r="E2024" s="678" t="s">
        <v>2339</v>
      </c>
      <c r="F2024" s="170"/>
    </row>
    <row r="2025" spans="2:6" ht="15" x14ac:dyDescent="0.25">
      <c r="B2025" s="169"/>
      <c r="C2025" s="679">
        <v>2962249</v>
      </c>
      <c r="D2025" s="677">
        <v>2</v>
      </c>
      <c r="E2025" s="678" t="s">
        <v>2340</v>
      </c>
      <c r="F2025" s="170"/>
    </row>
    <row r="2026" spans="2:6" ht="15" x14ac:dyDescent="0.25">
      <c r="B2026" s="169"/>
      <c r="C2026" s="679">
        <v>3223835</v>
      </c>
      <c r="D2026" s="677">
        <v>5</v>
      </c>
      <c r="E2026" s="678" t="s">
        <v>8296</v>
      </c>
      <c r="F2026" s="170"/>
    </row>
    <row r="2027" spans="2:6" ht="15" x14ac:dyDescent="0.25">
      <c r="B2027" s="169"/>
      <c r="C2027" s="679">
        <v>3156897</v>
      </c>
      <c r="D2027" s="677">
        <v>1</v>
      </c>
      <c r="E2027" s="678" t="s">
        <v>2341</v>
      </c>
      <c r="F2027" s="170"/>
    </row>
    <row r="2028" spans="2:6" ht="15" x14ac:dyDescent="0.25">
      <c r="B2028" s="169"/>
      <c r="C2028" s="679">
        <v>3143443</v>
      </c>
      <c r="D2028" s="677">
        <v>6</v>
      </c>
      <c r="E2028" s="678" t="s">
        <v>2342</v>
      </c>
      <c r="F2028" s="170"/>
    </row>
    <row r="2029" spans="2:6" ht="15" x14ac:dyDescent="0.25">
      <c r="B2029" s="169"/>
      <c r="C2029" s="679">
        <v>3071213</v>
      </c>
      <c r="D2029" s="677">
        <v>1</v>
      </c>
      <c r="E2029" s="678" t="s">
        <v>2343</v>
      </c>
      <c r="F2029" s="170"/>
    </row>
    <row r="2030" spans="2:6" ht="15" x14ac:dyDescent="0.25">
      <c r="B2030" s="169"/>
      <c r="C2030" s="679">
        <v>3103148</v>
      </c>
      <c r="D2030" s="677">
        <v>0</v>
      </c>
      <c r="E2030" s="678" t="s">
        <v>2344</v>
      </c>
      <c r="F2030" s="170"/>
    </row>
    <row r="2031" spans="2:6" ht="15" x14ac:dyDescent="0.25">
      <c r="B2031" s="169"/>
      <c r="C2031" s="679">
        <v>3162789</v>
      </c>
      <c r="D2031" s="677">
        <v>7</v>
      </c>
      <c r="E2031" s="678" t="s">
        <v>2345</v>
      </c>
      <c r="F2031" s="170"/>
    </row>
    <row r="2032" spans="2:6" ht="15" x14ac:dyDescent="0.25">
      <c r="B2032" s="169"/>
      <c r="C2032" s="679">
        <v>3150390</v>
      </c>
      <c r="D2032" s="677">
        <v>0</v>
      </c>
      <c r="E2032" s="678" t="s">
        <v>2346</v>
      </c>
      <c r="F2032" s="170"/>
    </row>
    <row r="2033" spans="2:6" ht="15" x14ac:dyDescent="0.25">
      <c r="B2033" s="169"/>
      <c r="C2033" s="679">
        <v>3082941</v>
      </c>
      <c r="D2033" s="677">
        <v>1</v>
      </c>
      <c r="E2033" s="678" t="s">
        <v>2347</v>
      </c>
      <c r="F2033" s="170"/>
    </row>
    <row r="2034" spans="2:6" ht="15" x14ac:dyDescent="0.25">
      <c r="B2034" s="169"/>
      <c r="C2034" s="679">
        <v>3164415</v>
      </c>
      <c r="D2034" s="677">
        <v>5</v>
      </c>
      <c r="E2034" s="678" t="s">
        <v>2348</v>
      </c>
      <c r="F2034" s="170"/>
    </row>
    <row r="2035" spans="2:6" ht="15" x14ac:dyDescent="0.25">
      <c r="B2035" s="169"/>
      <c r="C2035" s="679">
        <v>3223837</v>
      </c>
      <c r="D2035" s="677">
        <v>1</v>
      </c>
      <c r="E2035" s="678" t="s">
        <v>8297</v>
      </c>
      <c r="F2035" s="170"/>
    </row>
    <row r="2036" spans="2:6" ht="15" x14ac:dyDescent="0.25">
      <c r="B2036" s="169"/>
      <c r="C2036" s="679">
        <v>3106792</v>
      </c>
      <c r="D2036" s="677">
        <v>1</v>
      </c>
      <c r="E2036" s="678" t="s">
        <v>2349</v>
      </c>
      <c r="F2036" s="170"/>
    </row>
    <row r="2037" spans="2:6" ht="15" x14ac:dyDescent="0.25">
      <c r="B2037" s="169"/>
      <c r="C2037" s="679">
        <v>3080169</v>
      </c>
      <c r="D2037" s="677">
        <v>9</v>
      </c>
      <c r="E2037" s="678" t="s">
        <v>2350</v>
      </c>
      <c r="F2037" s="170"/>
    </row>
    <row r="2038" spans="2:6" ht="15" x14ac:dyDescent="0.25">
      <c r="B2038" s="169"/>
      <c r="C2038" s="679">
        <v>2962357</v>
      </c>
      <c r="D2038" s="677">
        <v>0</v>
      </c>
      <c r="E2038" s="678" t="s">
        <v>2351</v>
      </c>
      <c r="F2038" s="170"/>
    </row>
    <row r="2039" spans="2:6" ht="15" x14ac:dyDescent="0.25">
      <c r="B2039" s="169"/>
      <c r="C2039" s="679">
        <v>2962250</v>
      </c>
      <c r="D2039" s="677">
        <v>6</v>
      </c>
      <c r="E2039" s="678" t="s">
        <v>2352</v>
      </c>
      <c r="F2039" s="170"/>
    </row>
    <row r="2040" spans="2:6" ht="15" x14ac:dyDescent="0.25">
      <c r="B2040" s="169"/>
      <c r="C2040" s="679">
        <v>2962251</v>
      </c>
      <c r="D2040" s="677">
        <v>4</v>
      </c>
      <c r="E2040" s="678" t="s">
        <v>2353</v>
      </c>
      <c r="F2040" s="170"/>
    </row>
    <row r="2041" spans="2:6" ht="15" x14ac:dyDescent="0.25">
      <c r="B2041" s="169"/>
      <c r="C2041" s="679">
        <v>3100889</v>
      </c>
      <c r="D2041" s="677">
        <v>5</v>
      </c>
      <c r="E2041" s="678" t="s">
        <v>2354</v>
      </c>
      <c r="F2041" s="170"/>
    </row>
    <row r="2042" spans="2:6" ht="15" x14ac:dyDescent="0.25">
      <c r="B2042" s="169"/>
      <c r="C2042" s="679">
        <v>3157336</v>
      </c>
      <c r="D2042" s="677">
        <v>3</v>
      </c>
      <c r="E2042" s="678" t="s">
        <v>2355</v>
      </c>
      <c r="F2042" s="170"/>
    </row>
    <row r="2043" spans="2:6" ht="15" x14ac:dyDescent="0.25">
      <c r="B2043" s="169"/>
      <c r="C2043" s="679">
        <v>3095195</v>
      </c>
      <c r="D2043" s="677">
        <v>0</v>
      </c>
      <c r="E2043" s="678" t="s">
        <v>2356</v>
      </c>
      <c r="F2043" s="170"/>
    </row>
    <row r="2044" spans="2:6" ht="15" x14ac:dyDescent="0.25">
      <c r="B2044" s="169"/>
      <c r="C2044" s="679">
        <v>3054541</v>
      </c>
      <c r="D2044" s="677">
        <v>2</v>
      </c>
      <c r="E2044" s="678" t="s">
        <v>2357</v>
      </c>
      <c r="F2044" s="170"/>
    </row>
    <row r="2045" spans="2:6" ht="15" x14ac:dyDescent="0.25">
      <c r="B2045" s="169"/>
      <c r="C2045" s="679">
        <v>3157886</v>
      </c>
      <c r="D2045" s="677">
        <v>1</v>
      </c>
      <c r="E2045" s="678" t="s">
        <v>2358</v>
      </c>
      <c r="F2045" s="170"/>
    </row>
    <row r="2046" spans="2:6" ht="15" x14ac:dyDescent="0.25">
      <c r="B2046" s="169"/>
      <c r="C2046" s="679">
        <v>3183607</v>
      </c>
      <c r="D2046" s="677">
        <v>1</v>
      </c>
      <c r="E2046" s="678" t="s">
        <v>2359</v>
      </c>
      <c r="F2046" s="170"/>
    </row>
    <row r="2047" spans="2:6" ht="15" x14ac:dyDescent="0.25">
      <c r="B2047" s="169"/>
      <c r="C2047" s="679">
        <v>3113706</v>
      </c>
      <c r="D2047" s="677">
        <v>7</v>
      </c>
      <c r="E2047" s="678" t="s">
        <v>2360</v>
      </c>
      <c r="F2047" s="170"/>
    </row>
    <row r="2048" spans="2:6" ht="15" x14ac:dyDescent="0.25">
      <c r="B2048" s="169"/>
      <c r="C2048" s="679">
        <v>3186619</v>
      </c>
      <c r="D2048" s="677">
        <v>1</v>
      </c>
      <c r="E2048" s="678" t="s">
        <v>2361</v>
      </c>
      <c r="F2048" s="170"/>
    </row>
    <row r="2049" spans="2:6" ht="15" x14ac:dyDescent="0.25">
      <c r="B2049" s="169"/>
      <c r="C2049" s="679">
        <v>3176525</v>
      </c>
      <c r="D2049" s="677">
        <v>4</v>
      </c>
      <c r="E2049" s="678" t="s">
        <v>2362</v>
      </c>
      <c r="F2049" s="170"/>
    </row>
    <row r="2050" spans="2:6" ht="15" x14ac:dyDescent="0.25">
      <c r="B2050" s="169"/>
      <c r="C2050" s="679">
        <v>3156384</v>
      </c>
      <c r="D2050" s="677">
        <v>8</v>
      </c>
      <c r="E2050" s="678" t="s">
        <v>2363</v>
      </c>
      <c r="F2050" s="170"/>
    </row>
    <row r="2051" spans="2:6" ht="15" x14ac:dyDescent="0.25">
      <c r="B2051" s="169"/>
      <c r="C2051" s="679">
        <v>3157870</v>
      </c>
      <c r="D2051" s="677">
        <v>5</v>
      </c>
      <c r="E2051" s="678" t="s">
        <v>2364</v>
      </c>
      <c r="F2051" s="170"/>
    </row>
    <row r="2052" spans="2:6" ht="15" x14ac:dyDescent="0.25">
      <c r="B2052" s="169"/>
      <c r="C2052" s="679">
        <v>3155455</v>
      </c>
      <c r="D2052" s="677">
        <v>5</v>
      </c>
      <c r="E2052" s="678" t="s">
        <v>2365</v>
      </c>
      <c r="F2052" s="170"/>
    </row>
    <row r="2053" spans="2:6" ht="15" x14ac:dyDescent="0.25">
      <c r="B2053" s="169"/>
      <c r="C2053" s="679">
        <v>3158343</v>
      </c>
      <c r="D2053" s="677">
        <v>1</v>
      </c>
      <c r="E2053" s="678" t="s">
        <v>2366</v>
      </c>
      <c r="F2053" s="170"/>
    </row>
    <row r="2054" spans="2:6" ht="15" x14ac:dyDescent="0.25">
      <c r="B2054" s="169"/>
      <c r="C2054" s="679">
        <v>3156358</v>
      </c>
      <c r="D2054" s="677">
        <v>9</v>
      </c>
      <c r="E2054" s="678" t="s">
        <v>2367</v>
      </c>
      <c r="F2054" s="170"/>
    </row>
    <row r="2055" spans="2:6" ht="15" x14ac:dyDescent="0.25">
      <c r="B2055" s="169"/>
      <c r="C2055" s="679">
        <v>3103145</v>
      </c>
      <c r="D2055" s="677">
        <v>5</v>
      </c>
      <c r="E2055" s="678" t="s">
        <v>2368</v>
      </c>
      <c r="F2055" s="170"/>
    </row>
    <row r="2056" spans="2:6" ht="15" x14ac:dyDescent="0.25">
      <c r="B2056" s="169"/>
      <c r="C2056" s="679">
        <v>3103141</v>
      </c>
      <c r="D2056" s="677">
        <v>2</v>
      </c>
      <c r="E2056" s="678" t="s">
        <v>2369</v>
      </c>
      <c r="F2056" s="170"/>
    </row>
    <row r="2057" spans="2:6" ht="15" x14ac:dyDescent="0.25">
      <c r="B2057" s="169"/>
      <c r="C2057" s="679">
        <v>3100883</v>
      </c>
      <c r="D2057" s="677">
        <v>6</v>
      </c>
      <c r="E2057" s="678" t="s">
        <v>2370</v>
      </c>
      <c r="F2057" s="170"/>
    </row>
    <row r="2058" spans="2:6" ht="15" x14ac:dyDescent="0.25">
      <c r="B2058" s="169"/>
      <c r="C2058" s="679">
        <v>3054547</v>
      </c>
      <c r="D2058" s="677">
        <v>1</v>
      </c>
      <c r="E2058" s="678" t="s">
        <v>2371</v>
      </c>
      <c r="F2058" s="170"/>
    </row>
    <row r="2059" spans="2:6" ht="15" x14ac:dyDescent="0.25">
      <c r="B2059" s="169"/>
      <c r="C2059" s="679">
        <v>3103134</v>
      </c>
      <c r="D2059" s="677">
        <v>0</v>
      </c>
      <c r="E2059" s="678" t="s">
        <v>2372</v>
      </c>
      <c r="F2059" s="170"/>
    </row>
    <row r="2060" spans="2:6" ht="15" x14ac:dyDescent="0.25">
      <c r="B2060" s="169"/>
      <c r="C2060" s="679">
        <v>3156360</v>
      </c>
      <c r="D2060" s="677">
        <v>1</v>
      </c>
      <c r="E2060" s="678" t="s">
        <v>2373</v>
      </c>
      <c r="F2060" s="170"/>
    </row>
    <row r="2061" spans="2:6" ht="15" x14ac:dyDescent="0.25">
      <c r="B2061" s="169"/>
      <c r="C2061" s="679">
        <v>3054554</v>
      </c>
      <c r="D2061" s="677">
        <v>4</v>
      </c>
      <c r="E2061" s="678" t="s">
        <v>2374</v>
      </c>
      <c r="F2061" s="170"/>
    </row>
    <row r="2062" spans="2:6" ht="15" x14ac:dyDescent="0.25">
      <c r="B2062" s="169"/>
      <c r="C2062" s="679">
        <v>3123364</v>
      </c>
      <c r="D2062" s="677">
        <v>3</v>
      </c>
      <c r="E2062" s="678" t="s">
        <v>2375</v>
      </c>
      <c r="F2062" s="170"/>
    </row>
    <row r="2063" spans="2:6" ht="15" x14ac:dyDescent="0.25">
      <c r="B2063" s="169"/>
      <c r="C2063" s="679">
        <v>2961530</v>
      </c>
      <c r="D2063" s="677">
        <v>5</v>
      </c>
      <c r="E2063" s="678" t="s">
        <v>2376</v>
      </c>
      <c r="F2063" s="170"/>
    </row>
    <row r="2064" spans="2:6" ht="15" x14ac:dyDescent="0.25">
      <c r="B2064" s="169"/>
      <c r="C2064" s="679">
        <v>2962252</v>
      </c>
      <c r="D2064" s="677">
        <v>2</v>
      </c>
      <c r="E2064" s="678" t="s">
        <v>2377</v>
      </c>
      <c r="F2064" s="170"/>
    </row>
    <row r="2065" spans="2:6" ht="15" x14ac:dyDescent="0.25">
      <c r="B2065" s="169"/>
      <c r="C2065" s="679">
        <v>2962358</v>
      </c>
      <c r="D2065" s="677">
        <v>8</v>
      </c>
      <c r="E2065" s="678" t="s">
        <v>2378</v>
      </c>
      <c r="F2065" s="170"/>
    </row>
    <row r="2066" spans="2:6" ht="15" x14ac:dyDescent="0.25">
      <c r="B2066" s="169"/>
      <c r="C2066" s="679">
        <v>2962253</v>
      </c>
      <c r="D2066" s="677">
        <v>1</v>
      </c>
      <c r="E2066" s="678" t="s">
        <v>2379</v>
      </c>
      <c r="F2066" s="170"/>
    </row>
    <row r="2067" spans="2:6" ht="15" x14ac:dyDescent="0.25">
      <c r="B2067" s="169"/>
      <c r="C2067" s="679">
        <v>2962254</v>
      </c>
      <c r="D2067" s="677">
        <v>9</v>
      </c>
      <c r="E2067" s="678" t="s">
        <v>2380</v>
      </c>
      <c r="F2067" s="170"/>
    </row>
    <row r="2068" spans="2:6" ht="15" x14ac:dyDescent="0.25">
      <c r="B2068" s="169"/>
      <c r="C2068" s="679">
        <v>2962255</v>
      </c>
      <c r="D2068" s="677">
        <v>7</v>
      </c>
      <c r="E2068" s="678" t="s">
        <v>2381</v>
      </c>
      <c r="F2068" s="170"/>
    </row>
    <row r="2069" spans="2:6" ht="15" x14ac:dyDescent="0.25">
      <c r="B2069" s="169"/>
      <c r="C2069" s="679">
        <v>2962256</v>
      </c>
      <c r="D2069" s="677">
        <v>5</v>
      </c>
      <c r="E2069" s="678" t="s">
        <v>2382</v>
      </c>
      <c r="F2069" s="170"/>
    </row>
    <row r="2070" spans="2:6" ht="15" x14ac:dyDescent="0.25">
      <c r="B2070" s="169"/>
      <c r="C2070" s="679">
        <v>3157394</v>
      </c>
      <c r="D2070" s="677">
        <v>1</v>
      </c>
      <c r="E2070" s="678" t="s">
        <v>2383</v>
      </c>
      <c r="F2070" s="170"/>
    </row>
    <row r="2071" spans="2:6" ht="15" x14ac:dyDescent="0.25">
      <c r="B2071" s="169"/>
      <c r="C2071" s="679">
        <v>3158995</v>
      </c>
      <c r="D2071" s="677">
        <v>2</v>
      </c>
      <c r="E2071" s="678" t="s">
        <v>2384</v>
      </c>
      <c r="F2071" s="170"/>
    </row>
    <row r="2072" spans="2:6" ht="15" x14ac:dyDescent="0.25">
      <c r="B2072" s="169"/>
      <c r="C2072" s="679">
        <v>2962257</v>
      </c>
      <c r="D2072" s="677">
        <v>3</v>
      </c>
      <c r="E2072" s="678" t="s">
        <v>2385</v>
      </c>
      <c r="F2072" s="170"/>
    </row>
    <row r="2073" spans="2:6" ht="15" x14ac:dyDescent="0.25">
      <c r="B2073" s="169"/>
      <c r="C2073" s="679">
        <v>3143438</v>
      </c>
      <c r="D2073" s="677">
        <v>0</v>
      </c>
      <c r="E2073" s="678" t="s">
        <v>2386</v>
      </c>
      <c r="F2073" s="170"/>
    </row>
    <row r="2074" spans="2:6" ht="15" x14ac:dyDescent="0.25">
      <c r="B2074" s="169"/>
      <c r="C2074" s="679">
        <v>3156359</v>
      </c>
      <c r="D2074" s="677">
        <v>7</v>
      </c>
      <c r="E2074" s="678" t="s">
        <v>2387</v>
      </c>
      <c r="F2074" s="170"/>
    </row>
    <row r="2075" spans="2:6" ht="15" x14ac:dyDescent="0.25">
      <c r="B2075" s="169"/>
      <c r="C2075" s="679">
        <v>2962275</v>
      </c>
      <c r="D2075" s="677">
        <v>1</v>
      </c>
      <c r="E2075" s="678" t="s">
        <v>2388</v>
      </c>
      <c r="F2075" s="170"/>
    </row>
    <row r="2076" spans="2:6" ht="15" x14ac:dyDescent="0.25">
      <c r="B2076" s="169"/>
      <c r="C2076" s="679">
        <v>2962276</v>
      </c>
      <c r="D2076" s="677">
        <v>0</v>
      </c>
      <c r="E2076" s="678" t="s">
        <v>2389</v>
      </c>
      <c r="F2076" s="170"/>
    </row>
    <row r="2077" spans="2:6" ht="15" x14ac:dyDescent="0.25">
      <c r="B2077" s="169"/>
      <c r="C2077" s="679">
        <v>3087484</v>
      </c>
      <c r="D2077" s="677">
        <v>0</v>
      </c>
      <c r="E2077" s="678" t="s">
        <v>2390</v>
      </c>
      <c r="F2077" s="170"/>
    </row>
    <row r="2078" spans="2:6" ht="15" x14ac:dyDescent="0.25">
      <c r="B2078" s="169"/>
      <c r="C2078" s="679">
        <v>3223838</v>
      </c>
      <c r="D2078" s="677">
        <v>0</v>
      </c>
      <c r="E2078" s="678" t="s">
        <v>8298</v>
      </c>
      <c r="F2078" s="170"/>
    </row>
    <row r="2079" spans="2:6" ht="15" x14ac:dyDescent="0.25">
      <c r="B2079" s="169"/>
      <c r="C2079" s="679">
        <v>3151166</v>
      </c>
      <c r="D2079" s="677">
        <v>0</v>
      </c>
      <c r="E2079" s="678" t="s">
        <v>2391</v>
      </c>
      <c r="F2079" s="170"/>
    </row>
    <row r="2080" spans="2:6" ht="15" x14ac:dyDescent="0.25">
      <c r="B2080" s="169"/>
      <c r="C2080" s="679">
        <v>2962277</v>
      </c>
      <c r="D2080" s="677">
        <v>8</v>
      </c>
      <c r="E2080" s="678" t="s">
        <v>2392</v>
      </c>
      <c r="F2080" s="170"/>
    </row>
    <row r="2081" spans="2:6" ht="15" x14ac:dyDescent="0.25">
      <c r="B2081" s="169"/>
      <c r="C2081" s="679">
        <v>2962278</v>
      </c>
      <c r="D2081" s="677">
        <v>6</v>
      </c>
      <c r="E2081" s="678" t="s">
        <v>2393</v>
      </c>
      <c r="F2081" s="170"/>
    </row>
    <row r="2082" spans="2:6" ht="15" x14ac:dyDescent="0.25">
      <c r="B2082" s="169"/>
      <c r="C2082" s="679">
        <v>3143447</v>
      </c>
      <c r="D2082" s="677">
        <v>9</v>
      </c>
      <c r="E2082" s="678" t="s">
        <v>2394</v>
      </c>
      <c r="F2082" s="170"/>
    </row>
    <row r="2083" spans="2:6" ht="15" x14ac:dyDescent="0.25">
      <c r="B2083" s="169"/>
      <c r="C2083" s="679">
        <v>3181538</v>
      </c>
      <c r="D2083" s="677">
        <v>3</v>
      </c>
      <c r="E2083" s="678" t="s">
        <v>2395</v>
      </c>
      <c r="F2083" s="170"/>
    </row>
    <row r="2084" spans="2:6" ht="15" x14ac:dyDescent="0.25">
      <c r="B2084" s="169"/>
      <c r="C2084" s="679">
        <v>3100895</v>
      </c>
      <c r="D2084" s="677">
        <v>0</v>
      </c>
      <c r="E2084" s="678" t="s">
        <v>2396</v>
      </c>
      <c r="F2084" s="170"/>
    </row>
    <row r="2085" spans="2:6" ht="15" x14ac:dyDescent="0.25">
      <c r="B2085" s="169"/>
      <c r="C2085" s="679">
        <v>3157720</v>
      </c>
      <c r="D2085" s="677">
        <v>2</v>
      </c>
      <c r="E2085" s="678" t="s">
        <v>2397</v>
      </c>
      <c r="F2085" s="170"/>
    </row>
    <row r="2086" spans="2:6" ht="15" x14ac:dyDescent="0.25">
      <c r="B2086" s="169"/>
      <c r="C2086" s="679">
        <v>2962258</v>
      </c>
      <c r="D2086" s="677">
        <v>1</v>
      </c>
      <c r="E2086" s="678" t="s">
        <v>2398</v>
      </c>
      <c r="F2086" s="170"/>
    </row>
    <row r="2087" spans="2:6" ht="15" x14ac:dyDescent="0.25">
      <c r="B2087" s="169"/>
      <c r="C2087" s="679">
        <v>2962259</v>
      </c>
      <c r="D2087" s="677">
        <v>0</v>
      </c>
      <c r="E2087" s="678" t="s">
        <v>2399</v>
      </c>
      <c r="F2087" s="170"/>
    </row>
    <row r="2088" spans="2:6" ht="15" x14ac:dyDescent="0.25">
      <c r="B2088" s="169"/>
      <c r="C2088" s="679">
        <v>2962260</v>
      </c>
      <c r="D2088" s="677">
        <v>3</v>
      </c>
      <c r="E2088" s="678" t="s">
        <v>2400</v>
      </c>
      <c r="F2088" s="170"/>
    </row>
    <row r="2089" spans="2:6" ht="15" x14ac:dyDescent="0.25">
      <c r="B2089" s="169"/>
      <c r="C2089" s="679">
        <v>2962261</v>
      </c>
      <c r="D2089" s="677">
        <v>1</v>
      </c>
      <c r="E2089" s="678" t="s">
        <v>2401</v>
      </c>
      <c r="F2089" s="170"/>
    </row>
    <row r="2090" spans="2:6" ht="15" x14ac:dyDescent="0.25">
      <c r="B2090" s="169"/>
      <c r="C2090" s="679">
        <v>2962262</v>
      </c>
      <c r="D2090" s="677">
        <v>0</v>
      </c>
      <c r="E2090" s="678" t="s">
        <v>2402</v>
      </c>
      <c r="F2090" s="170"/>
    </row>
    <row r="2091" spans="2:6" ht="15" x14ac:dyDescent="0.25">
      <c r="B2091" s="169"/>
      <c r="C2091" s="679">
        <v>2962359</v>
      </c>
      <c r="D2091" s="677">
        <v>6</v>
      </c>
      <c r="E2091" s="678" t="s">
        <v>2403</v>
      </c>
      <c r="F2091" s="170"/>
    </row>
    <row r="2092" spans="2:6" ht="15" x14ac:dyDescent="0.25">
      <c r="B2092" s="169"/>
      <c r="C2092" s="679">
        <v>2962263</v>
      </c>
      <c r="D2092" s="677">
        <v>8</v>
      </c>
      <c r="E2092" s="678" t="s">
        <v>2404</v>
      </c>
      <c r="F2092" s="170"/>
    </row>
    <row r="2093" spans="2:6" ht="15" x14ac:dyDescent="0.25">
      <c r="B2093" s="169"/>
      <c r="C2093" s="679">
        <v>2962264</v>
      </c>
      <c r="D2093" s="677">
        <v>6</v>
      </c>
      <c r="E2093" s="678" t="s">
        <v>2405</v>
      </c>
      <c r="F2093" s="170"/>
    </row>
    <row r="2094" spans="2:6" ht="15" x14ac:dyDescent="0.25">
      <c r="B2094" s="169"/>
      <c r="C2094" s="679">
        <v>2962360</v>
      </c>
      <c r="D2094" s="677">
        <v>0</v>
      </c>
      <c r="E2094" s="678" t="s">
        <v>2406</v>
      </c>
      <c r="F2094" s="170"/>
    </row>
    <row r="2095" spans="2:6" ht="15" x14ac:dyDescent="0.25">
      <c r="B2095" s="169"/>
      <c r="C2095" s="679">
        <v>2962362</v>
      </c>
      <c r="D2095" s="677">
        <v>6</v>
      </c>
      <c r="E2095" s="678" t="s">
        <v>2407</v>
      </c>
      <c r="F2095" s="170"/>
    </row>
    <row r="2096" spans="2:6" ht="15" x14ac:dyDescent="0.25">
      <c r="B2096" s="169"/>
      <c r="C2096" s="679">
        <v>3156934</v>
      </c>
      <c r="D2096" s="677">
        <v>0</v>
      </c>
      <c r="E2096" s="678" t="s">
        <v>2408</v>
      </c>
      <c r="F2096" s="170"/>
    </row>
    <row r="2097" spans="2:6" ht="15" x14ac:dyDescent="0.25">
      <c r="B2097" s="169"/>
      <c r="C2097" s="679">
        <v>3112406</v>
      </c>
      <c r="D2097" s="677">
        <v>2</v>
      </c>
      <c r="E2097" s="678" t="s">
        <v>2409</v>
      </c>
      <c r="F2097" s="170"/>
    </row>
    <row r="2098" spans="2:6" ht="15" x14ac:dyDescent="0.25">
      <c r="B2098" s="169"/>
      <c r="C2098" s="679">
        <v>3188400</v>
      </c>
      <c r="D2098" s="677">
        <v>8</v>
      </c>
      <c r="E2098" s="678" t="s">
        <v>2410</v>
      </c>
      <c r="F2098" s="170"/>
    </row>
    <row r="2099" spans="2:6" ht="15" x14ac:dyDescent="0.25">
      <c r="B2099" s="169"/>
      <c r="C2099" s="679">
        <v>2962279</v>
      </c>
      <c r="D2099" s="677">
        <v>4</v>
      </c>
      <c r="E2099" s="678" t="s">
        <v>2411</v>
      </c>
      <c r="F2099" s="170"/>
    </row>
    <row r="2100" spans="2:6" ht="15" x14ac:dyDescent="0.25">
      <c r="B2100" s="169"/>
      <c r="C2100" s="679">
        <v>2962265</v>
      </c>
      <c r="D2100" s="677">
        <v>4</v>
      </c>
      <c r="E2100" s="678" t="s">
        <v>2412</v>
      </c>
      <c r="F2100" s="170"/>
    </row>
    <row r="2101" spans="2:6" ht="15" x14ac:dyDescent="0.25">
      <c r="B2101" s="169"/>
      <c r="C2101" s="679">
        <v>2962266</v>
      </c>
      <c r="D2101" s="677">
        <v>2</v>
      </c>
      <c r="E2101" s="678" t="s">
        <v>2413</v>
      </c>
      <c r="F2101" s="170"/>
    </row>
    <row r="2102" spans="2:6" ht="15" x14ac:dyDescent="0.25">
      <c r="B2102" s="169"/>
      <c r="C2102" s="679">
        <v>3159620</v>
      </c>
      <c r="D2102" s="677">
        <v>7</v>
      </c>
      <c r="E2102" s="678" t="s">
        <v>2414</v>
      </c>
      <c r="F2102" s="170"/>
    </row>
    <row r="2103" spans="2:6" ht="15" x14ac:dyDescent="0.25">
      <c r="B2103" s="169"/>
      <c r="C2103" s="679">
        <v>2962267</v>
      </c>
      <c r="D2103" s="677">
        <v>1</v>
      </c>
      <c r="E2103" s="678" t="s">
        <v>2415</v>
      </c>
      <c r="F2103" s="170"/>
    </row>
    <row r="2104" spans="2:6" ht="15" x14ac:dyDescent="0.25">
      <c r="B2104" s="169"/>
      <c r="C2104" s="679">
        <v>2962268</v>
      </c>
      <c r="D2104" s="677">
        <v>9</v>
      </c>
      <c r="E2104" s="678" t="s">
        <v>2416</v>
      </c>
      <c r="F2104" s="170"/>
    </row>
    <row r="2105" spans="2:6" ht="15" x14ac:dyDescent="0.25">
      <c r="B2105" s="169"/>
      <c r="C2105" s="679">
        <v>2962269</v>
      </c>
      <c r="D2105" s="677">
        <v>7</v>
      </c>
      <c r="E2105" s="678" t="s">
        <v>2417</v>
      </c>
      <c r="F2105" s="170"/>
    </row>
    <row r="2106" spans="2:6" ht="15" x14ac:dyDescent="0.25">
      <c r="B2106" s="169"/>
      <c r="C2106" s="679">
        <v>3151163</v>
      </c>
      <c r="D2106" s="677">
        <v>5</v>
      </c>
      <c r="E2106" s="678" t="s">
        <v>2418</v>
      </c>
      <c r="F2106" s="170"/>
    </row>
    <row r="2107" spans="2:6" ht="15" x14ac:dyDescent="0.25">
      <c r="B2107" s="169"/>
      <c r="C2107" s="679">
        <v>2962270</v>
      </c>
      <c r="D2107" s="677">
        <v>1</v>
      </c>
      <c r="E2107" s="678" t="s">
        <v>2419</v>
      </c>
      <c r="F2107" s="170"/>
    </row>
    <row r="2108" spans="2:6" ht="15" x14ac:dyDescent="0.25">
      <c r="B2108" s="169"/>
      <c r="C2108" s="679">
        <v>2962399</v>
      </c>
      <c r="D2108" s="677">
        <v>5</v>
      </c>
      <c r="E2108" s="678" t="s">
        <v>2420</v>
      </c>
      <c r="F2108" s="170"/>
    </row>
    <row r="2109" spans="2:6" ht="15" x14ac:dyDescent="0.25">
      <c r="B2109" s="169"/>
      <c r="C2109" s="679">
        <v>2962400</v>
      </c>
      <c r="D2109" s="677">
        <v>2</v>
      </c>
      <c r="E2109" s="678" t="s">
        <v>2421</v>
      </c>
      <c r="F2109" s="170"/>
    </row>
    <row r="2110" spans="2:6" ht="15" x14ac:dyDescent="0.25">
      <c r="B2110" s="169"/>
      <c r="C2110" s="679">
        <v>2962401</v>
      </c>
      <c r="D2110" s="677">
        <v>1</v>
      </c>
      <c r="E2110" s="678" t="s">
        <v>2422</v>
      </c>
      <c r="F2110" s="170"/>
    </row>
    <row r="2111" spans="2:6" ht="15" x14ac:dyDescent="0.25">
      <c r="B2111" s="169"/>
      <c r="C2111" s="679">
        <v>2962271</v>
      </c>
      <c r="D2111" s="677">
        <v>9</v>
      </c>
      <c r="E2111" s="678" t="s">
        <v>2423</v>
      </c>
      <c r="F2111" s="170"/>
    </row>
    <row r="2112" spans="2:6" ht="15" x14ac:dyDescent="0.25">
      <c r="B2112" s="169"/>
      <c r="C2112" s="679">
        <v>2962272</v>
      </c>
      <c r="D2112" s="677">
        <v>7</v>
      </c>
      <c r="E2112" s="678" t="s">
        <v>2424</v>
      </c>
      <c r="F2112" s="170"/>
    </row>
    <row r="2113" spans="2:6" ht="15" x14ac:dyDescent="0.25">
      <c r="B2113" s="169"/>
      <c r="C2113" s="679">
        <v>3201608</v>
      </c>
      <c r="D2113" s="677">
        <v>5</v>
      </c>
      <c r="E2113" s="678" t="s">
        <v>8299</v>
      </c>
      <c r="F2113" s="170"/>
    </row>
    <row r="2114" spans="2:6" ht="15" x14ac:dyDescent="0.25">
      <c r="B2114" s="169"/>
      <c r="C2114" s="679">
        <v>3200098</v>
      </c>
      <c r="D2114" s="677">
        <v>7</v>
      </c>
      <c r="E2114" s="678" t="s">
        <v>8300</v>
      </c>
      <c r="F2114" s="170"/>
    </row>
    <row r="2115" spans="2:6" ht="15" x14ac:dyDescent="0.25">
      <c r="B2115" s="169"/>
      <c r="C2115" s="679">
        <v>3210410</v>
      </c>
      <c r="D2115" s="677">
        <v>3</v>
      </c>
      <c r="E2115" s="678" t="s">
        <v>8301</v>
      </c>
      <c r="F2115" s="170"/>
    </row>
    <row r="2116" spans="2:6" ht="15" x14ac:dyDescent="0.25">
      <c r="B2116" s="169"/>
      <c r="C2116" s="679">
        <v>3210411</v>
      </c>
      <c r="D2116" s="677">
        <v>1</v>
      </c>
      <c r="E2116" s="678" t="s">
        <v>8302</v>
      </c>
      <c r="F2116" s="170"/>
    </row>
    <row r="2117" spans="2:6" ht="15" x14ac:dyDescent="0.25">
      <c r="B2117" s="169"/>
      <c r="C2117" s="679">
        <v>3155456</v>
      </c>
      <c r="D2117" s="677">
        <v>3</v>
      </c>
      <c r="E2117" s="678" t="s">
        <v>2425</v>
      </c>
      <c r="F2117" s="170"/>
    </row>
    <row r="2118" spans="2:6" ht="15" x14ac:dyDescent="0.25">
      <c r="B2118" s="169"/>
      <c r="C2118" s="679">
        <v>3078291</v>
      </c>
      <c r="D2118" s="677">
        <v>1</v>
      </c>
      <c r="E2118" s="678" t="s">
        <v>2426</v>
      </c>
      <c r="F2118" s="170"/>
    </row>
    <row r="2119" spans="2:6" ht="15" x14ac:dyDescent="0.25">
      <c r="B2119" s="169"/>
      <c r="C2119" s="679">
        <v>2962273</v>
      </c>
      <c r="D2119" s="677">
        <v>5</v>
      </c>
      <c r="E2119" s="678" t="s">
        <v>2427</v>
      </c>
      <c r="F2119" s="170"/>
    </row>
    <row r="2120" spans="2:6" ht="15" x14ac:dyDescent="0.25">
      <c r="B2120" s="169"/>
      <c r="C2120" s="679">
        <v>3159929</v>
      </c>
      <c r="D2120" s="677">
        <v>0</v>
      </c>
      <c r="E2120" s="678" t="s">
        <v>2428</v>
      </c>
      <c r="F2120" s="170"/>
    </row>
    <row r="2121" spans="2:6" ht="15" x14ac:dyDescent="0.25">
      <c r="B2121" s="169"/>
      <c r="C2121" s="679">
        <v>2962274</v>
      </c>
      <c r="D2121" s="677">
        <v>3</v>
      </c>
      <c r="E2121" s="678" t="s">
        <v>2429</v>
      </c>
      <c r="F2121" s="170"/>
    </row>
    <row r="2122" spans="2:6" ht="15" x14ac:dyDescent="0.25">
      <c r="B2122" s="169"/>
      <c r="C2122" s="679">
        <v>3156381</v>
      </c>
      <c r="D2122" s="677">
        <v>3</v>
      </c>
      <c r="E2122" s="678" t="s">
        <v>2430</v>
      </c>
      <c r="F2122" s="170"/>
    </row>
    <row r="2123" spans="2:6" ht="15" x14ac:dyDescent="0.25">
      <c r="B2123" s="169"/>
      <c r="C2123" s="679">
        <v>3156759</v>
      </c>
      <c r="D2123" s="677">
        <v>2</v>
      </c>
      <c r="E2123" s="678" t="s">
        <v>2431</v>
      </c>
      <c r="F2123" s="170"/>
    </row>
    <row r="2124" spans="2:6" ht="15" x14ac:dyDescent="0.25">
      <c r="B2124" s="169"/>
      <c r="C2124" s="679">
        <v>3159952</v>
      </c>
      <c r="D2124" s="677">
        <v>4</v>
      </c>
      <c r="E2124" s="678" t="s">
        <v>2432</v>
      </c>
      <c r="F2124" s="170"/>
    </row>
    <row r="2125" spans="2:6" ht="15" x14ac:dyDescent="0.25">
      <c r="B2125" s="169"/>
      <c r="C2125" s="679">
        <v>3155018</v>
      </c>
      <c r="D2125" s="677">
        <v>5</v>
      </c>
      <c r="E2125" s="678" t="s">
        <v>2433</v>
      </c>
      <c r="F2125" s="170"/>
    </row>
    <row r="2126" spans="2:6" ht="15" x14ac:dyDescent="0.25">
      <c r="B2126" s="169"/>
      <c r="C2126" s="679">
        <v>3163596</v>
      </c>
      <c r="D2126" s="677">
        <v>2</v>
      </c>
      <c r="E2126" s="678" t="s">
        <v>2434</v>
      </c>
      <c r="F2126" s="170"/>
    </row>
    <row r="2127" spans="2:6" ht="15" x14ac:dyDescent="0.25">
      <c r="B2127" s="169"/>
      <c r="C2127" s="679">
        <v>3153450</v>
      </c>
      <c r="D2127" s="677">
        <v>3</v>
      </c>
      <c r="E2127" s="678" t="s">
        <v>2435</v>
      </c>
      <c r="F2127" s="170"/>
    </row>
    <row r="2128" spans="2:6" ht="15" x14ac:dyDescent="0.25">
      <c r="B2128" s="169"/>
      <c r="C2128" s="679">
        <v>3103147</v>
      </c>
      <c r="D2128" s="677">
        <v>1</v>
      </c>
      <c r="E2128" s="678" t="s">
        <v>2436</v>
      </c>
      <c r="F2128" s="170"/>
    </row>
    <row r="2129" spans="2:6" ht="15" x14ac:dyDescent="0.25">
      <c r="B2129" s="169"/>
      <c r="C2129" s="679">
        <v>3080167</v>
      </c>
      <c r="D2129" s="677">
        <v>2</v>
      </c>
      <c r="E2129" s="678" t="s">
        <v>2437</v>
      </c>
      <c r="F2129" s="170"/>
    </row>
    <row r="2130" spans="2:6" ht="15" x14ac:dyDescent="0.25">
      <c r="B2130" s="169"/>
      <c r="C2130" s="679">
        <v>3072615</v>
      </c>
      <c r="D2130" s="677">
        <v>8</v>
      </c>
      <c r="E2130" s="678" t="s">
        <v>2438</v>
      </c>
      <c r="F2130" s="170"/>
    </row>
    <row r="2131" spans="2:6" ht="15" x14ac:dyDescent="0.25">
      <c r="B2131" s="169"/>
      <c r="C2131" s="679">
        <v>3155414</v>
      </c>
      <c r="D2131" s="677">
        <v>8</v>
      </c>
      <c r="E2131" s="678" t="s">
        <v>2439</v>
      </c>
      <c r="F2131" s="170"/>
    </row>
    <row r="2132" spans="2:6" ht="15" x14ac:dyDescent="0.25">
      <c r="B2132" s="169"/>
      <c r="C2132" s="679">
        <v>2961138</v>
      </c>
      <c r="D2132" s="677">
        <v>5</v>
      </c>
      <c r="E2132" s="678" t="s">
        <v>2440</v>
      </c>
      <c r="F2132" s="170"/>
    </row>
    <row r="2133" spans="2:6" ht="15" x14ac:dyDescent="0.25">
      <c r="B2133" s="169"/>
      <c r="C2133" s="679">
        <v>3084483</v>
      </c>
      <c r="D2133" s="677">
        <v>5</v>
      </c>
      <c r="E2133" s="678" t="s">
        <v>2441</v>
      </c>
      <c r="F2133" s="170"/>
    </row>
    <row r="2134" spans="2:6" ht="15" x14ac:dyDescent="0.25">
      <c r="B2134" s="169"/>
      <c r="C2134" s="679">
        <v>2961139</v>
      </c>
      <c r="D2134" s="677">
        <v>3</v>
      </c>
      <c r="E2134" s="678" t="s">
        <v>2442</v>
      </c>
      <c r="F2134" s="170"/>
    </row>
    <row r="2135" spans="2:6" ht="15" x14ac:dyDescent="0.25">
      <c r="B2135" s="169"/>
      <c r="C2135" s="679">
        <v>3340557</v>
      </c>
      <c r="D2135" s="677">
        <v>3</v>
      </c>
      <c r="E2135" s="678" t="s">
        <v>8303</v>
      </c>
      <c r="F2135" s="170"/>
    </row>
    <row r="2136" spans="2:6" ht="15" x14ac:dyDescent="0.25">
      <c r="B2136" s="169"/>
      <c r="C2136" s="679">
        <v>3157958</v>
      </c>
      <c r="D2136" s="677">
        <v>2</v>
      </c>
      <c r="E2136" s="678" t="s">
        <v>2443</v>
      </c>
      <c r="F2136" s="170"/>
    </row>
    <row r="2137" spans="2:6" ht="15" x14ac:dyDescent="0.25">
      <c r="B2137" s="169"/>
      <c r="C2137" s="679">
        <v>3339988</v>
      </c>
      <c r="D2137" s="677">
        <v>3</v>
      </c>
      <c r="E2137" s="678" t="s">
        <v>8304</v>
      </c>
      <c r="F2137" s="170"/>
    </row>
    <row r="2138" spans="2:6" ht="15" x14ac:dyDescent="0.25">
      <c r="B2138" s="169"/>
      <c r="C2138" s="679">
        <v>3310420</v>
      </c>
      <c r="D2138" s="677">
        <v>4</v>
      </c>
      <c r="E2138" s="678" t="s">
        <v>8305</v>
      </c>
      <c r="F2138" s="170"/>
    </row>
    <row r="2139" spans="2:6" ht="15" x14ac:dyDescent="0.25">
      <c r="B2139" s="169"/>
      <c r="C2139" s="679">
        <v>3285611</v>
      </c>
      <c r="D2139" s="677">
        <v>3</v>
      </c>
      <c r="E2139" s="678" t="s">
        <v>8306</v>
      </c>
      <c r="F2139" s="170"/>
    </row>
    <row r="2140" spans="2:6" ht="15" x14ac:dyDescent="0.25">
      <c r="B2140" s="169"/>
      <c r="C2140" s="679">
        <v>2961140</v>
      </c>
      <c r="D2140" s="677">
        <v>7</v>
      </c>
      <c r="E2140" s="678" t="s">
        <v>2444</v>
      </c>
      <c r="F2140" s="170"/>
    </row>
    <row r="2141" spans="2:6" ht="15" x14ac:dyDescent="0.25">
      <c r="B2141" s="169"/>
      <c r="C2141" s="679">
        <v>2961141</v>
      </c>
      <c r="D2141" s="677">
        <v>5</v>
      </c>
      <c r="E2141" s="678" t="s">
        <v>2445</v>
      </c>
      <c r="F2141" s="170"/>
    </row>
    <row r="2142" spans="2:6" ht="15" x14ac:dyDescent="0.25">
      <c r="B2142" s="169"/>
      <c r="C2142" s="679">
        <v>3339987</v>
      </c>
      <c r="D2142" s="677">
        <v>5</v>
      </c>
      <c r="E2142" s="678" t="s">
        <v>8307</v>
      </c>
      <c r="F2142" s="170"/>
    </row>
    <row r="2143" spans="2:6" ht="15" x14ac:dyDescent="0.25">
      <c r="B2143" s="169"/>
      <c r="C2143" s="679">
        <v>2961142</v>
      </c>
      <c r="D2143" s="677">
        <v>3</v>
      </c>
      <c r="E2143" s="678" t="s">
        <v>2446</v>
      </c>
      <c r="F2143" s="170"/>
    </row>
    <row r="2144" spans="2:6" ht="15" x14ac:dyDescent="0.25">
      <c r="B2144" s="169"/>
      <c r="C2144" s="679">
        <v>3276719</v>
      </c>
      <c r="D2144" s="677">
        <v>6</v>
      </c>
      <c r="E2144" s="678" t="s">
        <v>8308</v>
      </c>
      <c r="F2144" s="170"/>
    </row>
    <row r="2145" spans="2:6" ht="15" x14ac:dyDescent="0.25">
      <c r="B2145" s="169"/>
      <c r="C2145" s="679">
        <v>3157339</v>
      </c>
      <c r="D2145" s="677">
        <v>8</v>
      </c>
      <c r="E2145" s="678" t="s">
        <v>2447</v>
      </c>
      <c r="F2145" s="170"/>
    </row>
    <row r="2146" spans="2:6" ht="15" x14ac:dyDescent="0.25">
      <c r="B2146" s="169"/>
      <c r="C2146" s="679">
        <v>3310418</v>
      </c>
      <c r="D2146" s="677">
        <v>2</v>
      </c>
      <c r="E2146" s="678" t="s">
        <v>8309</v>
      </c>
      <c r="F2146" s="170"/>
    </row>
    <row r="2147" spans="2:6" ht="15" x14ac:dyDescent="0.25">
      <c r="B2147" s="169"/>
      <c r="C2147" s="679">
        <v>3195279</v>
      </c>
      <c r="D2147" s="677">
        <v>8</v>
      </c>
      <c r="E2147" s="678" t="s">
        <v>8310</v>
      </c>
      <c r="F2147" s="170"/>
    </row>
    <row r="2148" spans="2:6" ht="15" x14ac:dyDescent="0.25">
      <c r="B2148" s="169"/>
      <c r="C2148" s="679">
        <v>2961143</v>
      </c>
      <c r="D2148" s="677">
        <v>1</v>
      </c>
      <c r="E2148" s="678" t="s">
        <v>2448</v>
      </c>
      <c r="F2148" s="170"/>
    </row>
    <row r="2149" spans="2:6" ht="15" x14ac:dyDescent="0.25">
      <c r="B2149" s="169"/>
      <c r="C2149" s="679">
        <v>3075395</v>
      </c>
      <c r="D2149" s="677">
        <v>3</v>
      </c>
      <c r="E2149" s="678" t="s">
        <v>2449</v>
      </c>
      <c r="F2149" s="170"/>
    </row>
    <row r="2150" spans="2:6" ht="15" x14ac:dyDescent="0.25">
      <c r="B2150" s="169"/>
      <c r="C2150" s="679">
        <v>3092185</v>
      </c>
      <c r="D2150" s="677">
        <v>6</v>
      </c>
      <c r="E2150" s="678" t="s">
        <v>2450</v>
      </c>
      <c r="F2150" s="170"/>
    </row>
    <row r="2151" spans="2:6" ht="15" x14ac:dyDescent="0.25">
      <c r="B2151" s="169"/>
      <c r="C2151" s="679">
        <v>3353865</v>
      </c>
      <c r="D2151" s="677">
        <v>4</v>
      </c>
      <c r="E2151" s="678" t="s">
        <v>8311</v>
      </c>
      <c r="F2151" s="170"/>
    </row>
    <row r="2152" spans="2:6" ht="15" x14ac:dyDescent="0.25">
      <c r="B2152" s="169"/>
      <c r="C2152" s="679">
        <v>2961144</v>
      </c>
      <c r="D2152" s="677">
        <v>0</v>
      </c>
      <c r="E2152" s="678" t="s">
        <v>2451</v>
      </c>
      <c r="F2152" s="170"/>
    </row>
    <row r="2153" spans="2:6" ht="15" x14ac:dyDescent="0.25">
      <c r="B2153" s="169"/>
      <c r="C2153" s="679">
        <v>3339980</v>
      </c>
      <c r="D2153" s="677">
        <v>8</v>
      </c>
      <c r="E2153" s="678" t="s">
        <v>8312</v>
      </c>
      <c r="F2153" s="170"/>
    </row>
    <row r="2154" spans="2:6" ht="15" x14ac:dyDescent="0.25">
      <c r="B2154" s="169"/>
      <c r="C2154" s="679">
        <v>3264469</v>
      </c>
      <c r="D2154" s="677">
        <v>8</v>
      </c>
      <c r="E2154" s="678" t="s">
        <v>8313</v>
      </c>
      <c r="F2154" s="170"/>
    </row>
    <row r="2155" spans="2:6" ht="15" x14ac:dyDescent="0.25">
      <c r="B2155" s="169"/>
      <c r="C2155" s="679">
        <v>3289106</v>
      </c>
      <c r="D2155" s="677">
        <v>7</v>
      </c>
      <c r="E2155" s="678" t="s">
        <v>8314</v>
      </c>
      <c r="F2155" s="170"/>
    </row>
    <row r="2156" spans="2:6" ht="15" x14ac:dyDescent="0.25">
      <c r="B2156" s="169"/>
      <c r="C2156" s="679">
        <v>3263365</v>
      </c>
      <c r="D2156" s="677">
        <v>3</v>
      </c>
      <c r="E2156" s="678" t="s">
        <v>8315</v>
      </c>
      <c r="F2156" s="170"/>
    </row>
    <row r="2157" spans="2:6" ht="15" x14ac:dyDescent="0.25">
      <c r="B2157" s="169"/>
      <c r="C2157" s="679">
        <v>3075396</v>
      </c>
      <c r="D2157" s="677">
        <v>1</v>
      </c>
      <c r="E2157" s="678" t="s">
        <v>2452</v>
      </c>
      <c r="F2157" s="170"/>
    </row>
    <row r="2158" spans="2:6" ht="15" x14ac:dyDescent="0.25">
      <c r="B2158" s="169"/>
      <c r="C2158" s="679">
        <v>3126503</v>
      </c>
      <c r="D2158" s="677">
        <v>1</v>
      </c>
      <c r="E2158" s="678" t="s">
        <v>2453</v>
      </c>
      <c r="F2158" s="170"/>
    </row>
    <row r="2159" spans="2:6" ht="15" x14ac:dyDescent="0.25">
      <c r="B2159" s="169"/>
      <c r="C2159" s="679">
        <v>3088251</v>
      </c>
      <c r="D2159" s="677">
        <v>6</v>
      </c>
      <c r="E2159" s="678" t="s">
        <v>2454</v>
      </c>
      <c r="F2159" s="170"/>
    </row>
    <row r="2160" spans="2:6" ht="15" x14ac:dyDescent="0.25">
      <c r="B2160" s="169"/>
      <c r="C2160" s="679">
        <v>3103100</v>
      </c>
      <c r="D2160" s="677">
        <v>5</v>
      </c>
      <c r="E2160" s="678" t="s">
        <v>2455</v>
      </c>
      <c r="F2160" s="170"/>
    </row>
    <row r="2161" spans="2:6" ht="15" x14ac:dyDescent="0.25">
      <c r="B2161" s="169"/>
      <c r="C2161" s="679">
        <v>3243975</v>
      </c>
      <c r="D2161" s="677">
        <v>0</v>
      </c>
      <c r="E2161" s="678" t="s">
        <v>8316</v>
      </c>
      <c r="F2161" s="170"/>
    </row>
    <row r="2162" spans="2:6" ht="15" x14ac:dyDescent="0.25">
      <c r="B2162" s="169"/>
      <c r="C2162" s="679">
        <v>2961145</v>
      </c>
      <c r="D2162" s="677">
        <v>8</v>
      </c>
      <c r="E2162" s="678" t="s">
        <v>2456</v>
      </c>
      <c r="F2162" s="170"/>
    </row>
    <row r="2163" spans="2:6" ht="15" x14ac:dyDescent="0.25">
      <c r="B2163" s="169"/>
      <c r="C2163" s="679">
        <v>3157502</v>
      </c>
      <c r="D2163" s="677">
        <v>1</v>
      </c>
      <c r="E2163" s="678" t="s">
        <v>2457</v>
      </c>
      <c r="F2163" s="170"/>
    </row>
    <row r="2164" spans="2:6" ht="15" x14ac:dyDescent="0.25">
      <c r="B2164" s="169"/>
      <c r="C2164" s="679">
        <v>3176470</v>
      </c>
      <c r="D2164" s="677">
        <v>3</v>
      </c>
      <c r="E2164" s="678" t="s">
        <v>2458</v>
      </c>
      <c r="F2164" s="170"/>
    </row>
    <row r="2165" spans="2:6" ht="15" x14ac:dyDescent="0.25">
      <c r="B2165" s="169"/>
      <c r="C2165" s="679">
        <v>3229633</v>
      </c>
      <c r="D2165" s="677">
        <v>9</v>
      </c>
      <c r="E2165" s="678" t="s">
        <v>8317</v>
      </c>
      <c r="F2165" s="170"/>
    </row>
    <row r="2166" spans="2:6" ht="15" x14ac:dyDescent="0.25">
      <c r="B2166" s="169"/>
      <c r="C2166" s="679">
        <v>2961146</v>
      </c>
      <c r="D2166" s="677">
        <v>6</v>
      </c>
      <c r="E2166" s="678" t="s">
        <v>2459</v>
      </c>
      <c r="F2166" s="170"/>
    </row>
    <row r="2167" spans="2:6" ht="15" x14ac:dyDescent="0.25">
      <c r="B2167" s="169"/>
      <c r="C2167" s="679">
        <v>2961424</v>
      </c>
      <c r="D2167" s="677">
        <v>4</v>
      </c>
      <c r="E2167" s="678" t="s">
        <v>2460</v>
      </c>
      <c r="F2167" s="170"/>
    </row>
    <row r="2168" spans="2:6" ht="15" x14ac:dyDescent="0.25">
      <c r="B2168" s="169"/>
      <c r="C2168" s="679">
        <v>3100891</v>
      </c>
      <c r="D2168" s="677">
        <v>7</v>
      </c>
      <c r="E2168" s="678" t="s">
        <v>2461</v>
      </c>
      <c r="F2168" s="170"/>
    </row>
    <row r="2169" spans="2:6" ht="15" x14ac:dyDescent="0.25">
      <c r="B2169" s="169"/>
      <c r="C2169" s="679">
        <v>3155460</v>
      </c>
      <c r="D2169" s="677">
        <v>1</v>
      </c>
      <c r="E2169" s="678" t="s">
        <v>2462</v>
      </c>
      <c r="F2169" s="170"/>
    </row>
    <row r="2170" spans="2:6" ht="15" x14ac:dyDescent="0.25">
      <c r="B2170" s="169"/>
      <c r="C2170" s="679">
        <v>2961148</v>
      </c>
      <c r="D2170" s="677">
        <v>2</v>
      </c>
      <c r="E2170" s="678" t="s">
        <v>2463</v>
      </c>
      <c r="F2170" s="170"/>
    </row>
    <row r="2171" spans="2:6" ht="15" x14ac:dyDescent="0.25">
      <c r="B2171" s="169"/>
      <c r="C2171" s="679">
        <v>3156383</v>
      </c>
      <c r="D2171" s="677">
        <v>0</v>
      </c>
      <c r="E2171" s="678" t="s">
        <v>2464</v>
      </c>
      <c r="F2171" s="170"/>
    </row>
    <row r="2172" spans="2:6" ht="15" x14ac:dyDescent="0.25">
      <c r="B2172" s="169"/>
      <c r="C2172" s="679">
        <v>2961426</v>
      </c>
      <c r="D2172" s="677">
        <v>1</v>
      </c>
      <c r="E2172" s="678" t="s">
        <v>2465</v>
      </c>
      <c r="F2172" s="170"/>
    </row>
    <row r="2173" spans="2:6" ht="15" x14ac:dyDescent="0.25">
      <c r="B2173" s="169"/>
      <c r="C2173" s="679">
        <v>2961427</v>
      </c>
      <c r="D2173" s="677">
        <v>9</v>
      </c>
      <c r="E2173" s="678" t="s">
        <v>2466</v>
      </c>
      <c r="F2173" s="170"/>
    </row>
    <row r="2174" spans="2:6" ht="15" x14ac:dyDescent="0.25">
      <c r="B2174" s="169"/>
      <c r="C2174" s="679">
        <v>3100081</v>
      </c>
      <c r="D2174" s="677">
        <v>9</v>
      </c>
      <c r="E2174" s="678" t="s">
        <v>2467</v>
      </c>
      <c r="F2174" s="170"/>
    </row>
    <row r="2175" spans="2:6" ht="15" x14ac:dyDescent="0.25">
      <c r="B2175" s="169"/>
      <c r="C2175" s="679">
        <v>3338849</v>
      </c>
      <c r="D2175" s="677">
        <v>1</v>
      </c>
      <c r="E2175" s="678" t="s">
        <v>8318</v>
      </c>
      <c r="F2175" s="170"/>
    </row>
    <row r="2176" spans="2:6" ht="15" x14ac:dyDescent="0.25">
      <c r="B2176" s="169"/>
      <c r="C2176" s="679">
        <v>2961428</v>
      </c>
      <c r="D2176" s="677">
        <v>7</v>
      </c>
      <c r="E2176" s="678" t="s">
        <v>2468</v>
      </c>
      <c r="F2176" s="170"/>
    </row>
    <row r="2177" spans="2:6" ht="15" x14ac:dyDescent="0.25">
      <c r="B2177" s="169"/>
      <c r="C2177" s="679">
        <v>2961429</v>
      </c>
      <c r="D2177" s="677">
        <v>5</v>
      </c>
      <c r="E2177" s="678" t="s">
        <v>2469</v>
      </c>
      <c r="F2177" s="170"/>
    </row>
    <row r="2178" spans="2:6" ht="15" x14ac:dyDescent="0.25">
      <c r="B2178" s="169"/>
      <c r="C2178" s="679">
        <v>3098905</v>
      </c>
      <c r="D2178" s="677">
        <v>1</v>
      </c>
      <c r="E2178" s="678" t="s">
        <v>2470</v>
      </c>
      <c r="F2178" s="170"/>
    </row>
    <row r="2179" spans="2:6" ht="15" x14ac:dyDescent="0.25">
      <c r="B2179" s="169"/>
      <c r="C2179" s="679">
        <v>2961430</v>
      </c>
      <c r="D2179" s="677">
        <v>9</v>
      </c>
      <c r="E2179" s="678" t="s">
        <v>2471</v>
      </c>
      <c r="F2179" s="170"/>
    </row>
    <row r="2180" spans="2:6" ht="15" x14ac:dyDescent="0.25">
      <c r="B2180" s="169"/>
      <c r="C2180" s="679">
        <v>2961154</v>
      </c>
      <c r="D2180" s="677">
        <v>7</v>
      </c>
      <c r="E2180" s="678" t="s">
        <v>2472</v>
      </c>
      <c r="F2180" s="170"/>
    </row>
    <row r="2181" spans="2:6" ht="15" x14ac:dyDescent="0.25">
      <c r="B2181" s="169"/>
      <c r="C2181" s="679">
        <v>3103126</v>
      </c>
      <c r="D2181" s="677">
        <v>9</v>
      </c>
      <c r="E2181" s="678" t="s">
        <v>2473</v>
      </c>
      <c r="F2181" s="170"/>
    </row>
    <row r="2182" spans="2:6" ht="15" x14ac:dyDescent="0.25">
      <c r="B2182" s="169"/>
      <c r="C2182" s="679">
        <v>3048175</v>
      </c>
      <c r="D2182" s="677">
        <v>9</v>
      </c>
      <c r="E2182" s="678" t="s">
        <v>2474</v>
      </c>
      <c r="F2182" s="170"/>
    </row>
    <row r="2183" spans="2:6" ht="15" x14ac:dyDescent="0.25">
      <c r="B2183" s="169"/>
      <c r="C2183" s="679">
        <v>3071152</v>
      </c>
      <c r="D2183" s="677">
        <v>5</v>
      </c>
      <c r="E2183" s="678" t="s">
        <v>2475</v>
      </c>
      <c r="F2183" s="170"/>
    </row>
    <row r="2184" spans="2:6" ht="15" x14ac:dyDescent="0.25">
      <c r="B2184" s="169"/>
      <c r="C2184" s="679">
        <v>3223603</v>
      </c>
      <c r="D2184" s="677">
        <v>4</v>
      </c>
      <c r="E2184" s="678" t="s">
        <v>8319</v>
      </c>
      <c r="F2184" s="170"/>
    </row>
    <row r="2185" spans="2:6" ht="15" x14ac:dyDescent="0.25">
      <c r="B2185" s="169"/>
      <c r="C2185" s="679">
        <v>3075058</v>
      </c>
      <c r="D2185" s="677">
        <v>0</v>
      </c>
      <c r="E2185" s="678" t="s">
        <v>2476</v>
      </c>
      <c r="F2185" s="170"/>
    </row>
    <row r="2186" spans="2:6" ht="15" x14ac:dyDescent="0.25">
      <c r="B2186" s="169"/>
      <c r="C2186" s="679">
        <v>2961432</v>
      </c>
      <c r="D2186" s="677">
        <v>5</v>
      </c>
      <c r="E2186" s="678" t="s">
        <v>2477</v>
      </c>
      <c r="F2186" s="170"/>
    </row>
    <row r="2187" spans="2:6" ht="15" x14ac:dyDescent="0.25">
      <c r="B2187" s="169"/>
      <c r="C2187" s="679">
        <v>2961156</v>
      </c>
      <c r="D2187" s="677">
        <v>3</v>
      </c>
      <c r="E2187" s="678" t="s">
        <v>2478</v>
      </c>
      <c r="F2187" s="170"/>
    </row>
    <row r="2188" spans="2:6" ht="15" x14ac:dyDescent="0.25">
      <c r="B2188" s="169"/>
      <c r="C2188" s="679">
        <v>2961434</v>
      </c>
      <c r="D2188" s="677">
        <v>1</v>
      </c>
      <c r="E2188" s="678" t="s">
        <v>2479</v>
      </c>
      <c r="F2188" s="170"/>
    </row>
    <row r="2189" spans="2:6" ht="15" x14ac:dyDescent="0.25">
      <c r="B2189" s="169"/>
      <c r="C2189" s="679">
        <v>2961158</v>
      </c>
      <c r="D2189" s="677">
        <v>0</v>
      </c>
      <c r="E2189" s="678" t="s">
        <v>2480</v>
      </c>
      <c r="F2189" s="170"/>
    </row>
    <row r="2190" spans="2:6" ht="15" x14ac:dyDescent="0.25">
      <c r="B2190" s="169"/>
      <c r="C2190" s="679">
        <v>2961436</v>
      </c>
      <c r="D2190" s="677">
        <v>8</v>
      </c>
      <c r="E2190" s="678" t="s">
        <v>2481</v>
      </c>
      <c r="F2190" s="170"/>
    </row>
    <row r="2191" spans="2:6" ht="15" x14ac:dyDescent="0.25">
      <c r="B2191" s="169"/>
      <c r="C2191" s="679">
        <v>2961437</v>
      </c>
      <c r="D2191" s="677">
        <v>6</v>
      </c>
      <c r="E2191" s="678" t="s">
        <v>2482</v>
      </c>
      <c r="F2191" s="170"/>
    </row>
    <row r="2192" spans="2:6" ht="15" x14ac:dyDescent="0.25">
      <c r="B2192" s="169"/>
      <c r="C2192" s="679">
        <v>2961438</v>
      </c>
      <c r="D2192" s="677">
        <v>4</v>
      </c>
      <c r="E2192" s="678" t="s">
        <v>2483</v>
      </c>
      <c r="F2192" s="170"/>
    </row>
    <row r="2193" spans="2:6" ht="15" x14ac:dyDescent="0.25">
      <c r="B2193" s="169"/>
      <c r="C2193" s="679">
        <v>3150389</v>
      </c>
      <c r="D2193" s="677">
        <v>6</v>
      </c>
      <c r="E2193" s="678" t="s">
        <v>2484</v>
      </c>
      <c r="F2193" s="170"/>
    </row>
    <row r="2194" spans="2:6" ht="15" x14ac:dyDescent="0.25">
      <c r="B2194" s="169"/>
      <c r="C2194" s="679">
        <v>3095213</v>
      </c>
      <c r="D2194" s="677">
        <v>1</v>
      </c>
      <c r="E2194" s="678" t="s">
        <v>2485</v>
      </c>
      <c r="F2194" s="170"/>
    </row>
    <row r="2195" spans="2:6" ht="15" x14ac:dyDescent="0.25">
      <c r="B2195" s="169"/>
      <c r="C2195" s="679">
        <v>2961162</v>
      </c>
      <c r="D2195" s="677">
        <v>8</v>
      </c>
      <c r="E2195" s="678" t="s">
        <v>2486</v>
      </c>
      <c r="F2195" s="170"/>
    </row>
    <row r="2196" spans="2:6" ht="15" x14ac:dyDescent="0.25">
      <c r="B2196" s="169"/>
      <c r="C2196" s="679">
        <v>2961440</v>
      </c>
      <c r="D2196" s="677">
        <v>6</v>
      </c>
      <c r="E2196" s="678" t="s">
        <v>2487</v>
      </c>
      <c r="F2196" s="170"/>
    </row>
    <row r="2197" spans="2:6" ht="15" x14ac:dyDescent="0.25">
      <c r="B2197" s="169"/>
      <c r="C2197" s="679">
        <v>3058036</v>
      </c>
      <c r="D2197" s="677">
        <v>6</v>
      </c>
      <c r="E2197" s="678" t="s">
        <v>2488</v>
      </c>
      <c r="F2197" s="170"/>
    </row>
    <row r="2198" spans="2:6" ht="15" x14ac:dyDescent="0.25">
      <c r="B2198" s="169"/>
      <c r="C2198" s="679">
        <v>3275304</v>
      </c>
      <c r="D2198" s="677">
        <v>7</v>
      </c>
      <c r="E2198" s="678" t="s">
        <v>8320</v>
      </c>
      <c r="F2198" s="170"/>
    </row>
    <row r="2199" spans="2:6" ht="15" x14ac:dyDescent="0.25">
      <c r="B2199" s="169"/>
      <c r="C2199" s="679">
        <v>3072914</v>
      </c>
      <c r="D2199" s="677">
        <v>9</v>
      </c>
      <c r="E2199" s="678" t="s">
        <v>2489</v>
      </c>
      <c r="F2199" s="170"/>
    </row>
    <row r="2200" spans="2:6" ht="15" x14ac:dyDescent="0.25">
      <c r="B2200" s="169"/>
      <c r="C2200" s="679">
        <v>3098484</v>
      </c>
      <c r="D2200" s="677">
        <v>0</v>
      </c>
      <c r="E2200" s="678" t="s">
        <v>2490</v>
      </c>
      <c r="F2200" s="170"/>
    </row>
    <row r="2201" spans="2:6" ht="15" x14ac:dyDescent="0.25">
      <c r="B2201" s="169"/>
      <c r="C2201" s="679">
        <v>2961164</v>
      </c>
      <c r="D2201" s="677">
        <v>4</v>
      </c>
      <c r="E2201" s="678" t="s">
        <v>2491</v>
      </c>
      <c r="F2201" s="170"/>
    </row>
    <row r="2202" spans="2:6" ht="15" x14ac:dyDescent="0.25">
      <c r="B2202" s="169"/>
      <c r="C2202" s="679">
        <v>3072197</v>
      </c>
      <c r="D2202" s="677">
        <v>1</v>
      </c>
      <c r="E2202" s="678" t="s">
        <v>2492</v>
      </c>
      <c r="F2202" s="170"/>
    </row>
    <row r="2203" spans="2:6" ht="15" x14ac:dyDescent="0.25">
      <c r="B2203" s="169"/>
      <c r="C2203" s="679">
        <v>3087453</v>
      </c>
      <c r="D2203" s="677">
        <v>0</v>
      </c>
      <c r="E2203" s="678" t="s">
        <v>2493</v>
      </c>
      <c r="F2203" s="170"/>
    </row>
    <row r="2204" spans="2:6" ht="15" x14ac:dyDescent="0.25">
      <c r="B2204" s="169"/>
      <c r="C2204" s="679">
        <v>2961442</v>
      </c>
      <c r="D2204" s="677">
        <v>2</v>
      </c>
      <c r="E2204" s="678" t="s">
        <v>2494</v>
      </c>
      <c r="F2204" s="170"/>
    </row>
    <row r="2205" spans="2:6" ht="15" x14ac:dyDescent="0.25">
      <c r="B2205" s="169"/>
      <c r="C2205" s="679">
        <v>3088268</v>
      </c>
      <c r="D2205" s="677">
        <v>1</v>
      </c>
      <c r="E2205" s="678" t="s">
        <v>2495</v>
      </c>
      <c r="F2205" s="170"/>
    </row>
    <row r="2206" spans="2:6" ht="15" x14ac:dyDescent="0.25">
      <c r="B2206" s="169"/>
      <c r="C2206" s="679">
        <v>3095197</v>
      </c>
      <c r="D2206" s="677">
        <v>6</v>
      </c>
      <c r="E2206" s="678" t="s">
        <v>2496</v>
      </c>
      <c r="F2206" s="170"/>
    </row>
    <row r="2207" spans="2:6" ht="15" x14ac:dyDescent="0.25">
      <c r="B2207" s="169"/>
      <c r="C2207" s="679">
        <v>3075005</v>
      </c>
      <c r="D2207" s="677">
        <v>9</v>
      </c>
      <c r="E2207" s="678" t="s">
        <v>2497</v>
      </c>
      <c r="F2207" s="170"/>
    </row>
    <row r="2208" spans="2:6" ht="15" x14ac:dyDescent="0.25">
      <c r="B2208" s="169"/>
      <c r="C2208" s="679">
        <v>3223840</v>
      </c>
      <c r="D2208" s="677">
        <v>1</v>
      </c>
      <c r="E2208" s="678" t="s">
        <v>8321</v>
      </c>
      <c r="F2208" s="170"/>
    </row>
    <row r="2209" spans="2:6" ht="15" x14ac:dyDescent="0.25">
      <c r="B2209" s="169"/>
      <c r="C2209" s="679">
        <v>3176467</v>
      </c>
      <c r="D2209" s="677">
        <v>3</v>
      </c>
      <c r="E2209" s="678" t="s">
        <v>2498</v>
      </c>
      <c r="F2209" s="170"/>
    </row>
    <row r="2210" spans="2:6" ht="15" x14ac:dyDescent="0.25">
      <c r="B2210" s="169"/>
      <c r="C2210" s="679">
        <v>3070282</v>
      </c>
      <c r="D2210" s="677">
        <v>8</v>
      </c>
      <c r="E2210" s="678" t="s">
        <v>2499</v>
      </c>
      <c r="F2210" s="170"/>
    </row>
    <row r="2211" spans="2:6" ht="15" x14ac:dyDescent="0.25">
      <c r="B2211" s="169"/>
      <c r="C2211" s="679">
        <v>2961166</v>
      </c>
      <c r="D2211" s="677">
        <v>1</v>
      </c>
      <c r="E2211" s="678" t="s">
        <v>2500</v>
      </c>
      <c r="F2211" s="170"/>
    </row>
    <row r="2212" spans="2:6" ht="15" x14ac:dyDescent="0.25">
      <c r="B2212" s="169"/>
      <c r="C2212" s="679">
        <v>3087457</v>
      </c>
      <c r="D2212" s="677">
        <v>2</v>
      </c>
      <c r="E2212" s="678" t="s">
        <v>2501</v>
      </c>
      <c r="F2212" s="170"/>
    </row>
    <row r="2213" spans="2:6" ht="15" x14ac:dyDescent="0.25">
      <c r="B2213" s="169"/>
      <c r="C2213" s="679">
        <v>3352158</v>
      </c>
      <c r="D2213" s="677">
        <v>1</v>
      </c>
      <c r="E2213" s="678" t="s">
        <v>8322</v>
      </c>
      <c r="F2213" s="170"/>
    </row>
    <row r="2214" spans="2:6" ht="15" x14ac:dyDescent="0.25">
      <c r="B2214" s="169"/>
      <c r="C2214" s="679">
        <v>3082966</v>
      </c>
      <c r="D2214" s="677">
        <v>6</v>
      </c>
      <c r="E2214" s="678" t="s">
        <v>2502</v>
      </c>
      <c r="F2214" s="170"/>
    </row>
    <row r="2215" spans="2:6" ht="15" x14ac:dyDescent="0.25">
      <c r="B2215" s="169"/>
      <c r="C2215" s="679">
        <v>3080665</v>
      </c>
      <c r="D2215" s="677">
        <v>8</v>
      </c>
      <c r="E2215" s="678" t="s">
        <v>2503</v>
      </c>
      <c r="F2215" s="170"/>
    </row>
    <row r="2216" spans="2:6" ht="15" x14ac:dyDescent="0.25">
      <c r="B2216" s="169"/>
      <c r="C2216" s="679">
        <v>3103128</v>
      </c>
      <c r="D2216" s="677">
        <v>5</v>
      </c>
      <c r="E2216" s="678" t="s">
        <v>2504</v>
      </c>
      <c r="F2216" s="170"/>
    </row>
    <row r="2217" spans="2:6" ht="15" x14ac:dyDescent="0.25">
      <c r="B2217" s="169"/>
      <c r="C2217" s="679">
        <v>3103118</v>
      </c>
      <c r="D2217" s="677">
        <v>8</v>
      </c>
      <c r="E2217" s="678" t="s">
        <v>2505</v>
      </c>
      <c r="F2217" s="170"/>
    </row>
    <row r="2218" spans="2:6" ht="15" x14ac:dyDescent="0.25">
      <c r="B2218" s="169"/>
      <c r="C2218" s="679">
        <v>2961444</v>
      </c>
      <c r="D2218" s="677">
        <v>9</v>
      </c>
      <c r="E2218" s="678" t="s">
        <v>2506</v>
      </c>
      <c r="F2218" s="170"/>
    </row>
    <row r="2219" spans="2:6" ht="15" x14ac:dyDescent="0.25">
      <c r="B2219" s="169"/>
      <c r="C2219" s="679">
        <v>3090269</v>
      </c>
      <c r="D2219" s="677">
        <v>0</v>
      </c>
      <c r="E2219" s="678" t="s">
        <v>2507</v>
      </c>
      <c r="F2219" s="170"/>
    </row>
    <row r="2220" spans="2:6" ht="15" x14ac:dyDescent="0.25">
      <c r="B2220" s="169"/>
      <c r="C2220" s="679">
        <v>3090267</v>
      </c>
      <c r="D2220" s="677">
        <v>3</v>
      </c>
      <c r="E2220" s="678" t="s">
        <v>2508</v>
      </c>
      <c r="F2220" s="170"/>
    </row>
    <row r="2221" spans="2:6" ht="15" x14ac:dyDescent="0.25">
      <c r="B2221" s="169"/>
      <c r="C2221" s="679">
        <v>2961168</v>
      </c>
      <c r="D2221" s="677">
        <v>7</v>
      </c>
      <c r="E2221" s="678" t="s">
        <v>2509</v>
      </c>
      <c r="F2221" s="170"/>
    </row>
    <row r="2222" spans="2:6" ht="15" x14ac:dyDescent="0.25">
      <c r="B2222" s="169"/>
      <c r="C2222" s="679">
        <v>3068802</v>
      </c>
      <c r="D2222" s="677">
        <v>7</v>
      </c>
      <c r="E2222" s="678" t="s">
        <v>2510</v>
      </c>
      <c r="F2222" s="170"/>
    </row>
    <row r="2223" spans="2:6" ht="15" x14ac:dyDescent="0.25">
      <c r="B2223" s="169"/>
      <c r="C2223" s="679">
        <v>2961446</v>
      </c>
      <c r="D2223" s="677">
        <v>5</v>
      </c>
      <c r="E2223" s="678" t="s">
        <v>2511</v>
      </c>
      <c r="F2223" s="170"/>
    </row>
    <row r="2224" spans="2:6" ht="15" x14ac:dyDescent="0.25">
      <c r="B2224" s="169"/>
      <c r="C2224" s="679">
        <v>3070281</v>
      </c>
      <c r="D2224" s="677">
        <v>0</v>
      </c>
      <c r="E2224" s="678" t="s">
        <v>2512</v>
      </c>
      <c r="F2224" s="170"/>
    </row>
    <row r="2225" spans="2:6" ht="15" x14ac:dyDescent="0.25">
      <c r="B2225" s="169"/>
      <c r="C2225" s="679">
        <v>3075026</v>
      </c>
      <c r="D2225" s="677">
        <v>1</v>
      </c>
      <c r="E2225" s="678" t="s">
        <v>2513</v>
      </c>
      <c r="F2225" s="170"/>
    </row>
    <row r="2226" spans="2:6" ht="15" x14ac:dyDescent="0.25">
      <c r="B2226" s="169"/>
      <c r="C2226" s="679">
        <v>3070966</v>
      </c>
      <c r="D2226" s="677">
        <v>1</v>
      </c>
      <c r="E2226" s="678" t="s">
        <v>2514</v>
      </c>
      <c r="F2226" s="170"/>
    </row>
    <row r="2227" spans="2:6" ht="15" x14ac:dyDescent="0.25">
      <c r="B2227" s="169"/>
      <c r="C2227" s="679">
        <v>3070565</v>
      </c>
      <c r="D2227" s="677">
        <v>7</v>
      </c>
      <c r="E2227" s="678" t="s">
        <v>2515</v>
      </c>
      <c r="F2227" s="170"/>
    </row>
    <row r="2228" spans="2:6" ht="15" x14ac:dyDescent="0.25">
      <c r="B2228" s="169"/>
      <c r="C2228" s="679">
        <v>2961447</v>
      </c>
      <c r="D2228" s="677">
        <v>3</v>
      </c>
      <c r="E2228" s="678" t="s">
        <v>2516</v>
      </c>
      <c r="F2228" s="170"/>
    </row>
    <row r="2229" spans="2:6" ht="15" x14ac:dyDescent="0.25">
      <c r="B2229" s="169"/>
      <c r="C2229" s="679">
        <v>2961170</v>
      </c>
      <c r="D2229" s="677">
        <v>9</v>
      </c>
      <c r="E2229" s="678" t="s">
        <v>2516</v>
      </c>
      <c r="F2229" s="170"/>
    </row>
    <row r="2230" spans="2:6" ht="15" x14ac:dyDescent="0.25">
      <c r="B2230" s="169"/>
      <c r="C2230" s="679">
        <v>3086315</v>
      </c>
      <c r="D2230" s="677">
        <v>5</v>
      </c>
      <c r="E2230" s="678" t="s">
        <v>2517</v>
      </c>
      <c r="F2230" s="170"/>
    </row>
    <row r="2231" spans="2:6" ht="15" x14ac:dyDescent="0.25">
      <c r="B2231" s="169"/>
      <c r="C2231" s="679">
        <v>2961171</v>
      </c>
      <c r="D2231" s="677">
        <v>7</v>
      </c>
      <c r="E2231" s="678" t="s">
        <v>2518</v>
      </c>
      <c r="F2231" s="170"/>
    </row>
    <row r="2232" spans="2:6" ht="15" x14ac:dyDescent="0.25">
      <c r="B2232" s="169"/>
      <c r="C2232" s="679">
        <v>2961172</v>
      </c>
      <c r="D2232" s="677">
        <v>5</v>
      </c>
      <c r="E2232" s="678" t="s">
        <v>2519</v>
      </c>
      <c r="F2232" s="170"/>
    </row>
    <row r="2233" spans="2:6" ht="15" x14ac:dyDescent="0.25">
      <c r="B2233" s="169"/>
      <c r="C2233" s="679">
        <v>3237274</v>
      </c>
      <c r="D2233" s="677">
        <v>4</v>
      </c>
      <c r="E2233" s="678" t="s">
        <v>8323</v>
      </c>
      <c r="F2233" s="170"/>
    </row>
    <row r="2234" spans="2:6" ht="15" x14ac:dyDescent="0.25">
      <c r="B2234" s="169"/>
      <c r="C2234" s="679">
        <v>3072924</v>
      </c>
      <c r="D2234" s="677">
        <v>6</v>
      </c>
      <c r="E2234" s="678" t="s">
        <v>2520</v>
      </c>
      <c r="F2234" s="170"/>
    </row>
    <row r="2235" spans="2:6" ht="15" x14ac:dyDescent="0.25">
      <c r="B2235" s="169"/>
      <c r="C2235" s="679">
        <v>3087209</v>
      </c>
      <c r="D2235" s="677">
        <v>0</v>
      </c>
      <c r="E2235" s="678" t="s">
        <v>2521</v>
      </c>
      <c r="F2235" s="170"/>
    </row>
    <row r="2236" spans="2:6" ht="15" x14ac:dyDescent="0.25">
      <c r="B2236" s="169"/>
      <c r="C2236" s="679">
        <v>3103112</v>
      </c>
      <c r="D2236" s="677">
        <v>9</v>
      </c>
      <c r="E2236" s="678" t="s">
        <v>2522</v>
      </c>
      <c r="F2236" s="170"/>
    </row>
    <row r="2237" spans="2:6" ht="15" x14ac:dyDescent="0.25">
      <c r="B2237" s="169"/>
      <c r="C2237" s="679">
        <v>3076300</v>
      </c>
      <c r="D2237" s="677">
        <v>2</v>
      </c>
      <c r="E2237" s="678" t="s">
        <v>2523</v>
      </c>
      <c r="F2237" s="170"/>
    </row>
    <row r="2238" spans="2:6" ht="15" x14ac:dyDescent="0.25">
      <c r="B2238" s="169"/>
      <c r="C2238" s="679">
        <v>2961450</v>
      </c>
      <c r="D2238" s="677">
        <v>3</v>
      </c>
      <c r="E2238" s="678" t="s">
        <v>2524</v>
      </c>
      <c r="F2238" s="170"/>
    </row>
    <row r="2239" spans="2:6" ht="15" x14ac:dyDescent="0.25">
      <c r="B2239" s="169"/>
      <c r="C2239" s="679">
        <v>3092177</v>
      </c>
      <c r="D2239" s="677">
        <v>5</v>
      </c>
      <c r="E2239" s="678" t="s">
        <v>2525</v>
      </c>
      <c r="F2239" s="170"/>
    </row>
    <row r="2240" spans="2:6" ht="15" x14ac:dyDescent="0.25">
      <c r="B2240" s="169"/>
      <c r="C2240" s="679">
        <v>2961174</v>
      </c>
      <c r="D2240" s="677">
        <v>1</v>
      </c>
      <c r="E2240" s="678" t="s">
        <v>2526</v>
      </c>
      <c r="F2240" s="170"/>
    </row>
    <row r="2241" spans="2:6" ht="15" x14ac:dyDescent="0.25">
      <c r="B2241" s="169"/>
      <c r="C2241" s="679">
        <v>3058037</v>
      </c>
      <c r="D2241" s="677">
        <v>4</v>
      </c>
      <c r="E2241" s="678" t="s">
        <v>2527</v>
      </c>
      <c r="F2241" s="170"/>
    </row>
    <row r="2242" spans="2:6" ht="15" x14ac:dyDescent="0.25">
      <c r="B2242" s="169"/>
      <c r="C2242" s="679">
        <v>3103106</v>
      </c>
      <c r="D2242" s="677">
        <v>4</v>
      </c>
      <c r="E2242" s="678" t="s">
        <v>2528</v>
      </c>
      <c r="F2242" s="170"/>
    </row>
    <row r="2243" spans="2:6" ht="15" x14ac:dyDescent="0.25">
      <c r="B2243" s="169"/>
      <c r="C2243" s="679">
        <v>2961175</v>
      </c>
      <c r="D2243" s="677">
        <v>0</v>
      </c>
      <c r="E2243" s="678" t="s">
        <v>2529</v>
      </c>
      <c r="F2243" s="170"/>
    </row>
    <row r="2244" spans="2:6" ht="15" x14ac:dyDescent="0.25">
      <c r="B2244" s="169"/>
      <c r="C2244" s="679">
        <v>2961452</v>
      </c>
      <c r="D2244" s="677">
        <v>0</v>
      </c>
      <c r="E2244" s="678" t="s">
        <v>2529</v>
      </c>
      <c r="F2244" s="170"/>
    </row>
    <row r="2245" spans="2:6" ht="15" x14ac:dyDescent="0.25">
      <c r="B2245" s="169"/>
      <c r="C2245" s="679">
        <v>3103142</v>
      </c>
      <c r="D2245" s="677">
        <v>1</v>
      </c>
      <c r="E2245" s="678" t="s">
        <v>2530</v>
      </c>
      <c r="F2245" s="170"/>
    </row>
    <row r="2246" spans="2:6" ht="15" x14ac:dyDescent="0.25">
      <c r="B2246" s="169"/>
      <c r="C2246" s="679">
        <v>2961176</v>
      </c>
      <c r="D2246" s="677">
        <v>8</v>
      </c>
      <c r="E2246" s="678" t="s">
        <v>2531</v>
      </c>
      <c r="F2246" s="170"/>
    </row>
    <row r="2247" spans="2:6" ht="15" x14ac:dyDescent="0.25">
      <c r="B2247" s="169"/>
      <c r="C2247" s="679">
        <v>2961454</v>
      </c>
      <c r="D2247" s="677">
        <v>6</v>
      </c>
      <c r="E2247" s="678" t="s">
        <v>2532</v>
      </c>
      <c r="F2247" s="170"/>
    </row>
    <row r="2248" spans="2:6" ht="15" x14ac:dyDescent="0.25">
      <c r="B2248" s="169"/>
      <c r="C2248" s="679">
        <v>2961178</v>
      </c>
      <c r="D2248" s="677">
        <v>4</v>
      </c>
      <c r="E2248" s="678" t="s">
        <v>2533</v>
      </c>
      <c r="F2248" s="170"/>
    </row>
    <row r="2249" spans="2:6" ht="15" x14ac:dyDescent="0.25">
      <c r="B2249" s="169"/>
      <c r="C2249" s="679">
        <v>3076297</v>
      </c>
      <c r="D2249" s="677">
        <v>9</v>
      </c>
      <c r="E2249" s="678" t="s">
        <v>2534</v>
      </c>
      <c r="F2249" s="170"/>
    </row>
    <row r="2250" spans="2:6" ht="15" x14ac:dyDescent="0.25">
      <c r="B2250" s="169"/>
      <c r="C2250" s="679">
        <v>3263373</v>
      </c>
      <c r="D2250" s="677">
        <v>4</v>
      </c>
      <c r="E2250" s="678" t="s">
        <v>8324</v>
      </c>
      <c r="F2250" s="170"/>
    </row>
    <row r="2251" spans="2:6" ht="15" x14ac:dyDescent="0.25">
      <c r="B2251" s="169"/>
      <c r="C2251" s="679">
        <v>3078292</v>
      </c>
      <c r="D2251" s="677">
        <v>9</v>
      </c>
      <c r="E2251" s="678" t="s">
        <v>2535</v>
      </c>
      <c r="F2251" s="170"/>
    </row>
    <row r="2252" spans="2:6" ht="15" x14ac:dyDescent="0.25">
      <c r="B2252" s="169"/>
      <c r="C2252" s="679">
        <v>3103140</v>
      </c>
      <c r="D2252" s="677">
        <v>4</v>
      </c>
      <c r="E2252" s="678" t="s">
        <v>2536</v>
      </c>
      <c r="F2252" s="170"/>
    </row>
    <row r="2253" spans="2:6" ht="15" x14ac:dyDescent="0.25">
      <c r="B2253" s="169"/>
      <c r="C2253" s="679">
        <v>3070965</v>
      </c>
      <c r="D2253" s="677">
        <v>2</v>
      </c>
      <c r="E2253" s="678" t="s">
        <v>2537</v>
      </c>
      <c r="F2253" s="170"/>
    </row>
    <row r="2254" spans="2:6" ht="15" x14ac:dyDescent="0.25">
      <c r="B2254" s="169"/>
      <c r="C2254" s="679">
        <v>3082939</v>
      </c>
      <c r="D2254" s="677">
        <v>9</v>
      </c>
      <c r="E2254" s="678" t="s">
        <v>2538</v>
      </c>
      <c r="F2254" s="170"/>
    </row>
    <row r="2255" spans="2:6" ht="15" x14ac:dyDescent="0.25">
      <c r="B2255" s="169"/>
      <c r="C2255" s="679">
        <v>3103111</v>
      </c>
      <c r="D2255" s="677">
        <v>1</v>
      </c>
      <c r="E2255" s="678" t="s">
        <v>2539</v>
      </c>
      <c r="F2255" s="170"/>
    </row>
    <row r="2256" spans="2:6" ht="15" x14ac:dyDescent="0.25">
      <c r="B2256" s="169"/>
      <c r="C2256" s="679">
        <v>3103149</v>
      </c>
      <c r="D2256" s="677">
        <v>8</v>
      </c>
      <c r="E2256" s="678" t="s">
        <v>2540</v>
      </c>
      <c r="F2256" s="170"/>
    </row>
    <row r="2257" spans="2:6" ht="15" x14ac:dyDescent="0.25">
      <c r="B2257" s="169"/>
      <c r="C2257" s="679">
        <v>3072870</v>
      </c>
      <c r="D2257" s="677">
        <v>3</v>
      </c>
      <c r="E2257" s="678" t="s">
        <v>2541</v>
      </c>
      <c r="F2257" s="170"/>
    </row>
    <row r="2258" spans="2:6" ht="15" x14ac:dyDescent="0.25">
      <c r="B2258" s="169"/>
      <c r="C2258" s="679">
        <v>2961456</v>
      </c>
      <c r="D2258" s="677">
        <v>2</v>
      </c>
      <c r="E2258" s="678" t="s">
        <v>2542</v>
      </c>
      <c r="F2258" s="170"/>
    </row>
    <row r="2259" spans="2:6" ht="15" x14ac:dyDescent="0.25">
      <c r="B2259" s="169"/>
      <c r="C2259" s="679">
        <v>3092171</v>
      </c>
      <c r="D2259" s="677">
        <v>6</v>
      </c>
      <c r="E2259" s="678" t="s">
        <v>2543</v>
      </c>
      <c r="F2259" s="170"/>
    </row>
    <row r="2260" spans="2:6" ht="15" x14ac:dyDescent="0.25">
      <c r="B2260" s="169"/>
      <c r="C2260" s="679">
        <v>3086249</v>
      </c>
      <c r="D2260" s="677">
        <v>3</v>
      </c>
      <c r="E2260" s="678" t="s">
        <v>2544</v>
      </c>
      <c r="F2260" s="170"/>
    </row>
    <row r="2261" spans="2:6" ht="15" x14ac:dyDescent="0.25">
      <c r="B2261" s="169"/>
      <c r="C2261" s="679">
        <v>2961180</v>
      </c>
      <c r="D2261" s="677">
        <v>6</v>
      </c>
      <c r="E2261" s="678" t="s">
        <v>2545</v>
      </c>
      <c r="F2261" s="170"/>
    </row>
    <row r="2262" spans="2:6" ht="15" x14ac:dyDescent="0.25">
      <c r="B2262" s="169"/>
      <c r="C2262" s="679">
        <v>3074981</v>
      </c>
      <c r="D2262" s="677">
        <v>6</v>
      </c>
      <c r="E2262" s="678" t="s">
        <v>2546</v>
      </c>
      <c r="F2262" s="170"/>
    </row>
    <row r="2263" spans="2:6" ht="15" x14ac:dyDescent="0.25">
      <c r="B2263" s="169"/>
      <c r="C2263" s="679">
        <v>3072916</v>
      </c>
      <c r="D2263" s="677">
        <v>5</v>
      </c>
      <c r="E2263" s="678" t="s">
        <v>2547</v>
      </c>
      <c r="F2263" s="170"/>
    </row>
    <row r="2264" spans="2:6" ht="15" x14ac:dyDescent="0.25">
      <c r="B2264" s="169"/>
      <c r="C2264" s="679">
        <v>3081533</v>
      </c>
      <c r="D2264" s="677">
        <v>9</v>
      </c>
      <c r="E2264" s="678" t="s">
        <v>2548</v>
      </c>
      <c r="F2264" s="170"/>
    </row>
    <row r="2265" spans="2:6" ht="15" x14ac:dyDescent="0.25">
      <c r="B2265" s="169"/>
      <c r="C2265" s="679">
        <v>2961181</v>
      </c>
      <c r="D2265" s="677">
        <v>4</v>
      </c>
      <c r="E2265" s="678" t="s">
        <v>2549</v>
      </c>
      <c r="F2265" s="170"/>
    </row>
    <row r="2266" spans="2:6" ht="15" x14ac:dyDescent="0.25">
      <c r="B2266" s="169"/>
      <c r="C2266" s="679">
        <v>2961458</v>
      </c>
      <c r="D2266" s="677">
        <v>9</v>
      </c>
      <c r="E2266" s="678" t="s">
        <v>2549</v>
      </c>
      <c r="F2266" s="170"/>
    </row>
    <row r="2267" spans="2:6" ht="15" x14ac:dyDescent="0.25">
      <c r="B2267" s="169"/>
      <c r="C2267" s="679">
        <v>2961459</v>
      </c>
      <c r="D2267" s="677">
        <v>7</v>
      </c>
      <c r="E2267" s="678" t="s">
        <v>2550</v>
      </c>
      <c r="F2267" s="170"/>
    </row>
    <row r="2268" spans="2:6" ht="15" x14ac:dyDescent="0.25">
      <c r="B2268" s="169"/>
      <c r="C2268" s="679">
        <v>2961460</v>
      </c>
      <c r="D2268" s="677">
        <v>1</v>
      </c>
      <c r="E2268" s="678" t="s">
        <v>2551</v>
      </c>
      <c r="F2268" s="170"/>
    </row>
    <row r="2269" spans="2:6" ht="15" x14ac:dyDescent="0.25">
      <c r="B2269" s="169"/>
      <c r="C2269" s="679">
        <v>2961461</v>
      </c>
      <c r="D2269" s="677">
        <v>9</v>
      </c>
      <c r="E2269" s="678" t="s">
        <v>2551</v>
      </c>
      <c r="F2269" s="170"/>
    </row>
    <row r="2270" spans="2:6" ht="15" x14ac:dyDescent="0.25">
      <c r="B2270" s="169"/>
      <c r="C2270" s="679">
        <v>2961184</v>
      </c>
      <c r="D2270" s="677">
        <v>9</v>
      </c>
      <c r="E2270" s="678" t="s">
        <v>2551</v>
      </c>
      <c r="F2270" s="170"/>
    </row>
    <row r="2271" spans="2:6" ht="15" x14ac:dyDescent="0.25">
      <c r="B2271" s="169"/>
      <c r="C2271" s="679">
        <v>2961183</v>
      </c>
      <c r="D2271" s="677">
        <v>1</v>
      </c>
      <c r="E2271" s="678" t="s">
        <v>2551</v>
      </c>
      <c r="F2271" s="170"/>
    </row>
    <row r="2272" spans="2:6" ht="15" x14ac:dyDescent="0.25">
      <c r="B2272" s="169"/>
      <c r="C2272" s="679">
        <v>2961185</v>
      </c>
      <c r="D2272" s="677">
        <v>7</v>
      </c>
      <c r="E2272" s="678" t="s">
        <v>2552</v>
      </c>
      <c r="F2272" s="170"/>
    </row>
    <row r="2273" spans="2:6" ht="15" x14ac:dyDescent="0.25">
      <c r="B2273" s="169"/>
      <c r="C2273" s="679">
        <v>2961463</v>
      </c>
      <c r="D2273" s="677">
        <v>5</v>
      </c>
      <c r="E2273" s="678" t="s">
        <v>2553</v>
      </c>
      <c r="F2273" s="170"/>
    </row>
    <row r="2274" spans="2:6" ht="15" x14ac:dyDescent="0.25">
      <c r="B2274" s="169"/>
      <c r="C2274" s="679">
        <v>2961187</v>
      </c>
      <c r="D2274" s="677">
        <v>3</v>
      </c>
      <c r="E2274" s="678" t="s">
        <v>2554</v>
      </c>
      <c r="F2274" s="170"/>
    </row>
    <row r="2275" spans="2:6" ht="15" x14ac:dyDescent="0.25">
      <c r="B2275" s="169"/>
      <c r="C2275" s="679">
        <v>2961465</v>
      </c>
      <c r="D2275" s="677">
        <v>1</v>
      </c>
      <c r="E2275" s="678" t="s">
        <v>2555</v>
      </c>
      <c r="F2275" s="170"/>
    </row>
    <row r="2276" spans="2:6" ht="15" x14ac:dyDescent="0.25">
      <c r="B2276" s="169"/>
      <c r="C2276" s="679">
        <v>2961189</v>
      </c>
      <c r="D2276" s="677">
        <v>0</v>
      </c>
      <c r="E2276" s="678" t="s">
        <v>2556</v>
      </c>
      <c r="F2276" s="170"/>
    </row>
    <row r="2277" spans="2:6" ht="15" x14ac:dyDescent="0.25">
      <c r="B2277" s="169"/>
      <c r="C2277" s="679">
        <v>2961467</v>
      </c>
      <c r="D2277" s="677">
        <v>8</v>
      </c>
      <c r="E2277" s="678" t="s">
        <v>2557</v>
      </c>
      <c r="F2277" s="170"/>
    </row>
    <row r="2278" spans="2:6" ht="15" x14ac:dyDescent="0.25">
      <c r="B2278" s="169"/>
      <c r="C2278" s="679">
        <v>3079872</v>
      </c>
      <c r="D2278" s="677">
        <v>8</v>
      </c>
      <c r="E2278" s="678" t="s">
        <v>2558</v>
      </c>
      <c r="F2278" s="170"/>
    </row>
    <row r="2279" spans="2:6" ht="15" x14ac:dyDescent="0.25">
      <c r="B2279" s="169"/>
      <c r="C2279" s="679">
        <v>2961468</v>
      </c>
      <c r="D2279" s="677">
        <v>6</v>
      </c>
      <c r="E2279" s="678" t="s">
        <v>2559</v>
      </c>
      <c r="F2279" s="170"/>
    </row>
    <row r="2280" spans="2:6" ht="15" x14ac:dyDescent="0.25">
      <c r="B2280" s="169"/>
      <c r="C2280" s="679">
        <v>3275301</v>
      </c>
      <c r="D2280" s="677">
        <v>2</v>
      </c>
      <c r="E2280" s="678" t="s">
        <v>8325</v>
      </c>
      <c r="F2280" s="170"/>
    </row>
    <row r="2281" spans="2:6" ht="15" x14ac:dyDescent="0.25">
      <c r="B2281" s="169"/>
      <c r="C2281" s="679">
        <v>2961469</v>
      </c>
      <c r="D2281" s="677">
        <v>4</v>
      </c>
      <c r="E2281" s="678" t="s">
        <v>2560</v>
      </c>
      <c r="F2281" s="170"/>
    </row>
    <row r="2282" spans="2:6" ht="15" x14ac:dyDescent="0.25">
      <c r="B2282" s="169"/>
      <c r="C2282" s="679">
        <v>2961193</v>
      </c>
      <c r="D2282" s="677">
        <v>8</v>
      </c>
      <c r="E2282" s="678" t="s">
        <v>2561</v>
      </c>
      <c r="F2282" s="170"/>
    </row>
    <row r="2283" spans="2:6" ht="15" x14ac:dyDescent="0.25">
      <c r="B2283" s="169"/>
      <c r="C2283" s="679">
        <v>2961471</v>
      </c>
      <c r="D2283" s="677">
        <v>6</v>
      </c>
      <c r="E2283" s="678" t="s">
        <v>2562</v>
      </c>
      <c r="F2283" s="170"/>
    </row>
    <row r="2284" spans="2:6" ht="15" x14ac:dyDescent="0.25">
      <c r="B2284" s="169"/>
      <c r="C2284" s="679">
        <v>2961195</v>
      </c>
      <c r="D2284" s="677">
        <v>4</v>
      </c>
      <c r="E2284" s="678" t="s">
        <v>2563</v>
      </c>
      <c r="F2284" s="170"/>
    </row>
    <row r="2285" spans="2:6" ht="15" x14ac:dyDescent="0.25">
      <c r="B2285" s="169"/>
      <c r="C2285" s="679">
        <v>2961473</v>
      </c>
      <c r="D2285" s="677">
        <v>2</v>
      </c>
      <c r="E2285" s="678" t="s">
        <v>2564</v>
      </c>
      <c r="F2285" s="170"/>
    </row>
    <row r="2286" spans="2:6" ht="15" x14ac:dyDescent="0.25">
      <c r="B2286" s="169"/>
      <c r="C2286" s="679">
        <v>2961197</v>
      </c>
      <c r="D2286" s="677">
        <v>1</v>
      </c>
      <c r="E2286" s="678" t="s">
        <v>2565</v>
      </c>
      <c r="F2286" s="170"/>
    </row>
    <row r="2287" spans="2:6" ht="15" x14ac:dyDescent="0.25">
      <c r="B2287" s="169"/>
      <c r="C2287" s="679">
        <v>2961475</v>
      </c>
      <c r="D2287" s="677">
        <v>9</v>
      </c>
      <c r="E2287" s="678" t="s">
        <v>2566</v>
      </c>
      <c r="F2287" s="170"/>
    </row>
    <row r="2288" spans="2:6" ht="15" x14ac:dyDescent="0.25">
      <c r="B2288" s="169"/>
      <c r="C2288" s="679">
        <v>3234938</v>
      </c>
      <c r="D2288" s="677">
        <v>6</v>
      </c>
      <c r="E2288" s="678" t="s">
        <v>8326</v>
      </c>
      <c r="F2288" s="170"/>
    </row>
    <row r="2289" spans="2:6" ht="15" x14ac:dyDescent="0.25">
      <c r="B2289" s="169"/>
      <c r="C2289" s="679">
        <v>3087452</v>
      </c>
      <c r="D2289" s="677">
        <v>1</v>
      </c>
      <c r="E2289" s="678" t="s">
        <v>2567</v>
      </c>
      <c r="F2289" s="170"/>
    </row>
    <row r="2290" spans="2:6" ht="15" x14ac:dyDescent="0.25">
      <c r="B2290" s="169"/>
      <c r="C2290" s="679">
        <v>2961199</v>
      </c>
      <c r="D2290" s="677">
        <v>7</v>
      </c>
      <c r="E2290" s="678" t="s">
        <v>2568</v>
      </c>
      <c r="F2290" s="170"/>
    </row>
    <row r="2291" spans="2:6" ht="15" x14ac:dyDescent="0.25">
      <c r="B2291" s="169"/>
      <c r="C2291" s="679">
        <v>2961477</v>
      </c>
      <c r="D2291" s="677">
        <v>5</v>
      </c>
      <c r="E2291" s="678" t="s">
        <v>2569</v>
      </c>
      <c r="F2291" s="170"/>
    </row>
    <row r="2292" spans="2:6" ht="15" x14ac:dyDescent="0.25">
      <c r="B2292" s="169"/>
      <c r="C2292" s="679">
        <v>3070694</v>
      </c>
      <c r="D2292" s="677">
        <v>7</v>
      </c>
      <c r="E2292" s="678" t="s">
        <v>2570</v>
      </c>
      <c r="F2292" s="170"/>
    </row>
    <row r="2293" spans="2:6" ht="15" x14ac:dyDescent="0.25">
      <c r="B2293" s="169"/>
      <c r="C2293" s="679">
        <v>3276723</v>
      </c>
      <c r="D2293" s="677">
        <v>4</v>
      </c>
      <c r="E2293" s="678" t="s">
        <v>8327</v>
      </c>
      <c r="F2293" s="170"/>
    </row>
    <row r="2294" spans="2:6" ht="15" x14ac:dyDescent="0.25">
      <c r="B2294" s="169"/>
      <c r="C2294" s="679">
        <v>3075033</v>
      </c>
      <c r="D2294" s="677">
        <v>4</v>
      </c>
      <c r="E2294" s="678" t="s">
        <v>2571</v>
      </c>
      <c r="F2294" s="170"/>
    </row>
    <row r="2295" spans="2:6" ht="15" x14ac:dyDescent="0.25">
      <c r="B2295" s="169"/>
      <c r="C2295" s="679">
        <v>2961478</v>
      </c>
      <c r="D2295" s="677">
        <v>3</v>
      </c>
      <c r="E2295" s="678" t="s">
        <v>2572</v>
      </c>
      <c r="F2295" s="170"/>
    </row>
    <row r="2296" spans="2:6" ht="15" x14ac:dyDescent="0.25">
      <c r="B2296" s="169"/>
      <c r="C2296" s="679">
        <v>2961479</v>
      </c>
      <c r="D2296" s="677">
        <v>1</v>
      </c>
      <c r="E2296" s="678" t="s">
        <v>2573</v>
      </c>
      <c r="F2296" s="170"/>
    </row>
    <row r="2297" spans="2:6" ht="15" x14ac:dyDescent="0.25">
      <c r="B2297" s="169"/>
      <c r="C2297" s="679">
        <v>3075019</v>
      </c>
      <c r="D2297" s="677">
        <v>9</v>
      </c>
      <c r="E2297" s="678" t="s">
        <v>2574</v>
      </c>
      <c r="F2297" s="170"/>
    </row>
    <row r="2298" spans="2:6" ht="15" x14ac:dyDescent="0.25">
      <c r="B2298" s="169"/>
      <c r="C2298" s="679">
        <v>2961203</v>
      </c>
      <c r="D2298" s="677">
        <v>9</v>
      </c>
      <c r="E2298" s="678" t="s">
        <v>2575</v>
      </c>
      <c r="F2298" s="170"/>
    </row>
    <row r="2299" spans="2:6" ht="15" x14ac:dyDescent="0.25">
      <c r="B2299" s="169"/>
      <c r="C2299" s="679">
        <v>3092187</v>
      </c>
      <c r="D2299" s="677">
        <v>2</v>
      </c>
      <c r="E2299" s="678" t="s">
        <v>2576</v>
      </c>
      <c r="F2299" s="170"/>
    </row>
    <row r="2300" spans="2:6" ht="15" x14ac:dyDescent="0.25">
      <c r="B2300" s="169"/>
      <c r="C2300" s="679">
        <v>2961204</v>
      </c>
      <c r="D2300" s="677">
        <v>7</v>
      </c>
      <c r="E2300" s="678" t="s">
        <v>2577</v>
      </c>
      <c r="F2300" s="170"/>
    </row>
    <row r="2301" spans="2:6" ht="15" x14ac:dyDescent="0.25">
      <c r="B2301" s="169"/>
      <c r="C2301" s="679">
        <v>2961205</v>
      </c>
      <c r="D2301" s="677">
        <v>5</v>
      </c>
      <c r="E2301" s="678" t="s">
        <v>2578</v>
      </c>
      <c r="F2301" s="170"/>
    </row>
    <row r="2302" spans="2:6" ht="15" x14ac:dyDescent="0.25">
      <c r="B2302" s="169"/>
      <c r="C2302" s="679">
        <v>2961206</v>
      </c>
      <c r="D2302" s="677">
        <v>3</v>
      </c>
      <c r="E2302" s="678" t="s">
        <v>2579</v>
      </c>
      <c r="F2302" s="170"/>
    </row>
    <row r="2303" spans="2:6" ht="15" x14ac:dyDescent="0.25">
      <c r="B2303" s="169"/>
      <c r="C2303" s="679">
        <v>2961484</v>
      </c>
      <c r="D2303" s="677">
        <v>8</v>
      </c>
      <c r="E2303" s="678" t="s">
        <v>2580</v>
      </c>
      <c r="F2303" s="170"/>
    </row>
    <row r="2304" spans="2:6" ht="15" x14ac:dyDescent="0.25">
      <c r="B2304" s="169"/>
      <c r="C2304" s="679">
        <v>3074978</v>
      </c>
      <c r="D2304" s="677">
        <v>6</v>
      </c>
      <c r="E2304" s="678" t="s">
        <v>2581</v>
      </c>
      <c r="F2304" s="170"/>
    </row>
    <row r="2305" spans="2:6" ht="15" x14ac:dyDescent="0.25">
      <c r="B2305" s="169"/>
      <c r="C2305" s="679">
        <v>2961485</v>
      </c>
      <c r="D2305" s="677">
        <v>6</v>
      </c>
      <c r="E2305" s="678" t="s">
        <v>2582</v>
      </c>
      <c r="F2305" s="170"/>
    </row>
    <row r="2306" spans="2:6" ht="15" x14ac:dyDescent="0.25">
      <c r="B2306" s="169"/>
      <c r="C2306" s="679">
        <v>3070958</v>
      </c>
      <c r="D2306" s="677">
        <v>0</v>
      </c>
      <c r="E2306" s="678" t="s">
        <v>2583</v>
      </c>
      <c r="F2306" s="170"/>
    </row>
    <row r="2307" spans="2:6" ht="15" x14ac:dyDescent="0.25">
      <c r="B2307" s="169"/>
      <c r="C2307" s="679">
        <v>2961486</v>
      </c>
      <c r="D2307" s="677">
        <v>4</v>
      </c>
      <c r="E2307" s="678" t="s">
        <v>2584</v>
      </c>
      <c r="F2307" s="170"/>
    </row>
    <row r="2308" spans="2:6" ht="15" x14ac:dyDescent="0.25">
      <c r="B2308" s="169"/>
      <c r="C2308" s="679">
        <v>2961209</v>
      </c>
      <c r="D2308" s="677">
        <v>8</v>
      </c>
      <c r="E2308" s="678" t="s">
        <v>2584</v>
      </c>
      <c r="F2308" s="170"/>
    </row>
    <row r="2309" spans="2:6" ht="15" x14ac:dyDescent="0.25">
      <c r="B2309" s="169"/>
      <c r="C2309" s="679">
        <v>3072729</v>
      </c>
      <c r="D2309" s="677">
        <v>4</v>
      </c>
      <c r="E2309" s="678" t="s">
        <v>2585</v>
      </c>
      <c r="F2309" s="170"/>
    </row>
    <row r="2310" spans="2:6" ht="15" x14ac:dyDescent="0.25">
      <c r="B2310" s="169"/>
      <c r="C2310" s="679">
        <v>3078276</v>
      </c>
      <c r="D2310" s="677">
        <v>7</v>
      </c>
      <c r="E2310" s="678" t="s">
        <v>2586</v>
      </c>
      <c r="F2310" s="170"/>
    </row>
    <row r="2311" spans="2:6" ht="15" x14ac:dyDescent="0.25">
      <c r="B2311" s="169"/>
      <c r="C2311" s="679">
        <v>3074351</v>
      </c>
      <c r="D2311" s="677">
        <v>6</v>
      </c>
      <c r="E2311" s="678" t="s">
        <v>2587</v>
      </c>
      <c r="F2311" s="170"/>
    </row>
    <row r="2312" spans="2:6" ht="15" x14ac:dyDescent="0.25">
      <c r="B2312" s="169"/>
      <c r="C2312" s="679">
        <v>3072548</v>
      </c>
      <c r="D2312" s="677">
        <v>8</v>
      </c>
      <c r="E2312" s="678" t="s">
        <v>2588</v>
      </c>
      <c r="F2312" s="170"/>
    </row>
    <row r="2313" spans="2:6" ht="15" x14ac:dyDescent="0.25">
      <c r="B2313" s="169"/>
      <c r="C2313" s="679">
        <v>2961487</v>
      </c>
      <c r="D2313" s="677">
        <v>2</v>
      </c>
      <c r="E2313" s="678" t="s">
        <v>2589</v>
      </c>
      <c r="F2313" s="170"/>
    </row>
    <row r="2314" spans="2:6" ht="15" x14ac:dyDescent="0.25">
      <c r="B2314" s="169"/>
      <c r="C2314" s="679">
        <v>3088232</v>
      </c>
      <c r="D2314" s="677">
        <v>0</v>
      </c>
      <c r="E2314" s="678" t="s">
        <v>2590</v>
      </c>
      <c r="F2314" s="170"/>
    </row>
    <row r="2315" spans="2:6" ht="15" x14ac:dyDescent="0.25">
      <c r="B2315" s="169"/>
      <c r="C2315" s="679">
        <v>2961488</v>
      </c>
      <c r="D2315" s="677">
        <v>1</v>
      </c>
      <c r="E2315" s="678" t="s">
        <v>2591</v>
      </c>
      <c r="F2315" s="170"/>
    </row>
    <row r="2316" spans="2:6" ht="15" x14ac:dyDescent="0.25">
      <c r="B2316" s="169"/>
      <c r="C2316" s="679">
        <v>2961489</v>
      </c>
      <c r="D2316" s="677">
        <v>9</v>
      </c>
      <c r="E2316" s="678" t="s">
        <v>2592</v>
      </c>
      <c r="F2316" s="170"/>
    </row>
    <row r="2317" spans="2:6" ht="15" x14ac:dyDescent="0.25">
      <c r="B2317" s="169"/>
      <c r="C2317" s="679">
        <v>2961213</v>
      </c>
      <c r="D2317" s="677">
        <v>6</v>
      </c>
      <c r="E2317" s="678" t="s">
        <v>2593</v>
      </c>
      <c r="F2317" s="170"/>
    </row>
    <row r="2318" spans="2:6" ht="15" x14ac:dyDescent="0.25">
      <c r="B2318" s="169"/>
      <c r="C2318" s="679">
        <v>2961214</v>
      </c>
      <c r="D2318" s="677">
        <v>4</v>
      </c>
      <c r="E2318" s="678" t="s">
        <v>2594</v>
      </c>
      <c r="F2318" s="170"/>
    </row>
    <row r="2319" spans="2:6" ht="15" x14ac:dyDescent="0.25">
      <c r="B2319" s="169"/>
      <c r="C2319" s="679">
        <v>3143435</v>
      </c>
      <c r="D2319" s="677">
        <v>5</v>
      </c>
      <c r="E2319" s="678" t="s">
        <v>2595</v>
      </c>
      <c r="F2319" s="170"/>
    </row>
    <row r="2320" spans="2:6" ht="15" x14ac:dyDescent="0.25">
      <c r="B2320" s="169"/>
      <c r="C2320" s="679">
        <v>2961492</v>
      </c>
      <c r="D2320" s="677">
        <v>9</v>
      </c>
      <c r="E2320" s="678" t="s">
        <v>2596</v>
      </c>
      <c r="F2320" s="170"/>
    </row>
    <row r="2321" spans="2:6" ht="15" x14ac:dyDescent="0.25">
      <c r="B2321" s="169"/>
      <c r="C2321" s="679">
        <v>2961493</v>
      </c>
      <c r="D2321" s="677">
        <v>7</v>
      </c>
      <c r="E2321" s="678" t="s">
        <v>2597</v>
      </c>
      <c r="F2321" s="170"/>
    </row>
    <row r="2322" spans="2:6" ht="15" x14ac:dyDescent="0.25">
      <c r="B2322" s="169"/>
      <c r="C2322" s="679">
        <v>2961217</v>
      </c>
      <c r="D2322" s="677">
        <v>9</v>
      </c>
      <c r="E2322" s="678" t="s">
        <v>2598</v>
      </c>
      <c r="F2322" s="170"/>
    </row>
    <row r="2323" spans="2:6" ht="15" x14ac:dyDescent="0.25">
      <c r="B2323" s="169"/>
      <c r="C2323" s="679">
        <v>2961218</v>
      </c>
      <c r="D2323" s="677">
        <v>7</v>
      </c>
      <c r="E2323" s="678" t="s">
        <v>2599</v>
      </c>
      <c r="F2323" s="170"/>
    </row>
    <row r="2324" spans="2:6" ht="15" x14ac:dyDescent="0.25">
      <c r="B2324" s="169"/>
      <c r="C2324" s="679">
        <v>2961219</v>
      </c>
      <c r="D2324" s="677">
        <v>5</v>
      </c>
      <c r="E2324" s="678" t="s">
        <v>2600</v>
      </c>
      <c r="F2324" s="170"/>
    </row>
    <row r="2325" spans="2:6" ht="15" x14ac:dyDescent="0.25">
      <c r="B2325" s="169"/>
      <c r="C2325" s="679">
        <v>2961496</v>
      </c>
      <c r="D2325" s="677">
        <v>1</v>
      </c>
      <c r="E2325" s="678" t="s">
        <v>2600</v>
      </c>
      <c r="F2325" s="170"/>
    </row>
    <row r="2326" spans="2:6" ht="15" x14ac:dyDescent="0.25">
      <c r="B2326" s="169"/>
      <c r="C2326" s="679">
        <v>3070598</v>
      </c>
      <c r="D2326" s="677">
        <v>3</v>
      </c>
      <c r="E2326" s="678" t="s">
        <v>2601</v>
      </c>
      <c r="F2326" s="170"/>
    </row>
    <row r="2327" spans="2:6" ht="15" x14ac:dyDescent="0.25">
      <c r="B2327" s="169"/>
      <c r="C2327" s="679">
        <v>2961220</v>
      </c>
      <c r="D2327" s="677">
        <v>9</v>
      </c>
      <c r="E2327" s="678" t="s">
        <v>2602</v>
      </c>
      <c r="F2327" s="170"/>
    </row>
    <row r="2328" spans="2:6" ht="15" x14ac:dyDescent="0.25">
      <c r="B2328" s="169"/>
      <c r="C2328" s="679">
        <v>2961498</v>
      </c>
      <c r="D2328" s="677">
        <v>8</v>
      </c>
      <c r="E2328" s="678" t="s">
        <v>2603</v>
      </c>
      <c r="F2328" s="170"/>
    </row>
    <row r="2329" spans="2:6" ht="15" x14ac:dyDescent="0.25">
      <c r="B2329" s="169"/>
      <c r="C2329" s="679">
        <v>3295237</v>
      </c>
      <c r="D2329" s="677">
        <v>6</v>
      </c>
      <c r="E2329" s="678" t="s">
        <v>8328</v>
      </c>
      <c r="F2329" s="170"/>
    </row>
    <row r="2330" spans="2:6" ht="15" x14ac:dyDescent="0.25">
      <c r="B2330" s="169"/>
      <c r="C2330" s="679">
        <v>3157318</v>
      </c>
      <c r="D2330" s="677">
        <v>5</v>
      </c>
      <c r="E2330" s="678" t="s">
        <v>2604</v>
      </c>
      <c r="F2330" s="170"/>
    </row>
    <row r="2331" spans="2:6" ht="15" x14ac:dyDescent="0.25">
      <c r="B2331" s="169"/>
      <c r="C2331" s="679">
        <v>3150707</v>
      </c>
      <c r="D2331" s="677">
        <v>7</v>
      </c>
      <c r="E2331" s="678" t="s">
        <v>2605</v>
      </c>
      <c r="F2331" s="170"/>
    </row>
    <row r="2332" spans="2:6" ht="15" x14ac:dyDescent="0.25">
      <c r="B2332" s="169"/>
      <c r="C2332" s="679">
        <v>3080759</v>
      </c>
      <c r="D2332" s="677">
        <v>0</v>
      </c>
      <c r="E2332" s="678" t="s">
        <v>2606</v>
      </c>
      <c r="F2332" s="170"/>
    </row>
    <row r="2333" spans="2:6" ht="15" x14ac:dyDescent="0.25">
      <c r="B2333" s="169"/>
      <c r="C2333" s="679">
        <v>3310428</v>
      </c>
      <c r="D2333" s="677">
        <v>0</v>
      </c>
      <c r="E2333" s="678" t="s">
        <v>8329</v>
      </c>
      <c r="F2333" s="170"/>
    </row>
    <row r="2334" spans="2:6" ht="15" x14ac:dyDescent="0.25">
      <c r="B2334" s="169"/>
      <c r="C2334" s="679">
        <v>3143445</v>
      </c>
      <c r="D2334" s="677">
        <v>2</v>
      </c>
      <c r="E2334" s="678" t="s">
        <v>2607</v>
      </c>
      <c r="F2334" s="170"/>
    </row>
    <row r="2335" spans="2:6" ht="15" x14ac:dyDescent="0.25">
      <c r="B2335" s="169"/>
      <c r="C2335" s="679">
        <v>3310422</v>
      </c>
      <c r="D2335" s="677">
        <v>1</v>
      </c>
      <c r="E2335" s="678" t="s">
        <v>8330</v>
      </c>
      <c r="F2335" s="170"/>
    </row>
    <row r="2336" spans="2:6" ht="15" x14ac:dyDescent="0.25">
      <c r="B2336" s="169"/>
      <c r="C2336" s="679">
        <v>3113702</v>
      </c>
      <c r="D2336" s="677">
        <v>4</v>
      </c>
      <c r="E2336" s="678" t="s">
        <v>2608</v>
      </c>
      <c r="F2336" s="170"/>
    </row>
    <row r="2337" spans="2:6" ht="15" x14ac:dyDescent="0.25">
      <c r="B2337" s="169"/>
      <c r="C2337" s="679">
        <v>2961500</v>
      </c>
      <c r="D2337" s="677">
        <v>3</v>
      </c>
      <c r="E2337" s="678" t="s">
        <v>2609</v>
      </c>
      <c r="F2337" s="170"/>
    </row>
    <row r="2338" spans="2:6" ht="15" x14ac:dyDescent="0.25">
      <c r="B2338" s="169"/>
      <c r="C2338" s="679">
        <v>3098886</v>
      </c>
      <c r="D2338" s="677">
        <v>1</v>
      </c>
      <c r="E2338" s="678" t="s">
        <v>2610</v>
      </c>
      <c r="F2338" s="170"/>
    </row>
    <row r="2339" spans="2:6" ht="15" x14ac:dyDescent="0.25">
      <c r="B2339" s="169"/>
      <c r="C2339" s="679">
        <v>3079890</v>
      </c>
      <c r="D2339" s="677">
        <v>6</v>
      </c>
      <c r="E2339" s="678" t="s">
        <v>2611</v>
      </c>
      <c r="F2339" s="170"/>
    </row>
    <row r="2340" spans="2:6" ht="15" x14ac:dyDescent="0.25">
      <c r="B2340" s="169"/>
      <c r="C2340" s="679">
        <v>3068346</v>
      </c>
      <c r="D2340" s="677">
        <v>7</v>
      </c>
      <c r="E2340" s="678" t="s">
        <v>2612</v>
      </c>
      <c r="F2340" s="170"/>
    </row>
    <row r="2341" spans="2:6" ht="15" x14ac:dyDescent="0.25">
      <c r="B2341" s="169"/>
      <c r="C2341" s="679">
        <v>2961224</v>
      </c>
      <c r="D2341" s="677">
        <v>1</v>
      </c>
      <c r="E2341" s="678" t="s">
        <v>2613</v>
      </c>
      <c r="F2341" s="170"/>
    </row>
    <row r="2342" spans="2:6" ht="15" x14ac:dyDescent="0.25">
      <c r="B2342" s="169"/>
      <c r="C2342" s="679">
        <v>2961502</v>
      </c>
      <c r="D2342" s="677">
        <v>0</v>
      </c>
      <c r="E2342" s="678" t="s">
        <v>2614</v>
      </c>
      <c r="F2342" s="170"/>
    </row>
    <row r="2343" spans="2:6" ht="15" x14ac:dyDescent="0.25">
      <c r="B2343" s="169"/>
      <c r="C2343" s="679">
        <v>3150701</v>
      </c>
      <c r="D2343" s="677">
        <v>8</v>
      </c>
      <c r="E2343" s="678" t="s">
        <v>2615</v>
      </c>
      <c r="F2343" s="170"/>
    </row>
    <row r="2344" spans="2:6" ht="15" x14ac:dyDescent="0.25">
      <c r="B2344" s="169"/>
      <c r="C2344" s="679">
        <v>2961226</v>
      </c>
      <c r="D2344" s="677">
        <v>8</v>
      </c>
      <c r="E2344" s="678" t="s">
        <v>2616</v>
      </c>
      <c r="F2344" s="170"/>
    </row>
    <row r="2345" spans="2:6" ht="15" x14ac:dyDescent="0.25">
      <c r="B2345" s="169"/>
      <c r="C2345" s="679">
        <v>2961504</v>
      </c>
      <c r="D2345" s="677">
        <v>6</v>
      </c>
      <c r="E2345" s="678" t="s">
        <v>2617</v>
      </c>
      <c r="F2345" s="170"/>
    </row>
    <row r="2346" spans="2:6" ht="15" x14ac:dyDescent="0.25">
      <c r="B2346" s="169"/>
      <c r="C2346" s="679">
        <v>3084435</v>
      </c>
      <c r="D2346" s="677">
        <v>5</v>
      </c>
      <c r="E2346" s="678" t="s">
        <v>2618</v>
      </c>
      <c r="F2346" s="170"/>
    </row>
    <row r="2347" spans="2:6" ht="15" x14ac:dyDescent="0.25">
      <c r="B2347" s="169"/>
      <c r="C2347" s="679">
        <v>2961228</v>
      </c>
      <c r="D2347" s="677">
        <v>4</v>
      </c>
      <c r="E2347" s="678" t="s">
        <v>2619</v>
      </c>
      <c r="F2347" s="170"/>
    </row>
    <row r="2348" spans="2:6" ht="15" x14ac:dyDescent="0.25">
      <c r="B2348" s="169"/>
      <c r="C2348" s="679">
        <v>2961229</v>
      </c>
      <c r="D2348" s="677">
        <v>2</v>
      </c>
      <c r="E2348" s="678" t="s">
        <v>2620</v>
      </c>
      <c r="F2348" s="170"/>
    </row>
    <row r="2349" spans="2:6" ht="15" x14ac:dyDescent="0.25">
      <c r="B2349" s="169"/>
      <c r="C2349" s="679">
        <v>2961506</v>
      </c>
      <c r="D2349" s="677">
        <v>2</v>
      </c>
      <c r="E2349" s="678" t="s">
        <v>2620</v>
      </c>
      <c r="F2349" s="170"/>
    </row>
    <row r="2350" spans="2:6" ht="15" x14ac:dyDescent="0.25">
      <c r="B2350" s="169"/>
      <c r="C2350" s="679">
        <v>2961230</v>
      </c>
      <c r="D2350" s="677">
        <v>6</v>
      </c>
      <c r="E2350" s="678" t="s">
        <v>2621</v>
      </c>
      <c r="F2350" s="170"/>
    </row>
    <row r="2351" spans="2:6" ht="15" x14ac:dyDescent="0.25">
      <c r="B2351" s="169"/>
      <c r="C2351" s="679">
        <v>3310427</v>
      </c>
      <c r="D2351" s="677">
        <v>1</v>
      </c>
      <c r="E2351" s="678" t="s">
        <v>8331</v>
      </c>
      <c r="F2351" s="170"/>
    </row>
    <row r="2352" spans="2:6" ht="15" x14ac:dyDescent="0.25">
      <c r="B2352" s="169"/>
      <c r="C2352" s="679">
        <v>2961231</v>
      </c>
      <c r="D2352" s="677">
        <v>4</v>
      </c>
      <c r="E2352" s="678" t="s">
        <v>2622</v>
      </c>
      <c r="F2352" s="170"/>
    </row>
    <row r="2353" spans="2:6" ht="15" x14ac:dyDescent="0.25">
      <c r="B2353" s="169"/>
      <c r="C2353" s="679">
        <v>2961508</v>
      </c>
      <c r="D2353" s="677">
        <v>9</v>
      </c>
      <c r="E2353" s="678" t="s">
        <v>2622</v>
      </c>
      <c r="F2353" s="170"/>
    </row>
    <row r="2354" spans="2:6" ht="15" x14ac:dyDescent="0.25">
      <c r="B2354" s="169"/>
      <c r="C2354" s="679">
        <v>3068798</v>
      </c>
      <c r="D2354" s="677">
        <v>5</v>
      </c>
      <c r="E2354" s="678" t="s">
        <v>2623</v>
      </c>
      <c r="F2354" s="170"/>
    </row>
    <row r="2355" spans="2:6" ht="15" x14ac:dyDescent="0.25">
      <c r="B2355" s="169"/>
      <c r="C2355" s="679">
        <v>3058048</v>
      </c>
      <c r="D2355" s="677">
        <v>0</v>
      </c>
      <c r="E2355" s="678" t="s">
        <v>2624</v>
      </c>
      <c r="F2355" s="170"/>
    </row>
    <row r="2356" spans="2:6" ht="15" x14ac:dyDescent="0.25">
      <c r="B2356" s="169"/>
      <c r="C2356" s="679">
        <v>3072030</v>
      </c>
      <c r="D2356" s="677">
        <v>3</v>
      </c>
      <c r="E2356" s="678" t="s">
        <v>2625</v>
      </c>
      <c r="F2356" s="170"/>
    </row>
    <row r="2357" spans="2:6" ht="15" x14ac:dyDescent="0.25">
      <c r="B2357" s="169"/>
      <c r="C2357" s="679">
        <v>2961509</v>
      </c>
      <c r="D2357" s="677">
        <v>7</v>
      </c>
      <c r="E2357" s="678" t="s">
        <v>2626</v>
      </c>
      <c r="F2357" s="170"/>
    </row>
    <row r="2358" spans="2:6" ht="15" x14ac:dyDescent="0.25">
      <c r="B2358" s="169"/>
      <c r="C2358" s="679">
        <v>2961510</v>
      </c>
      <c r="D2358" s="677">
        <v>1</v>
      </c>
      <c r="E2358" s="678" t="s">
        <v>2627</v>
      </c>
      <c r="F2358" s="170"/>
    </row>
    <row r="2359" spans="2:6" ht="15" x14ac:dyDescent="0.25">
      <c r="B2359" s="169"/>
      <c r="C2359" s="679">
        <v>2961234</v>
      </c>
      <c r="D2359" s="677">
        <v>9</v>
      </c>
      <c r="E2359" s="678" t="s">
        <v>2628</v>
      </c>
      <c r="F2359" s="170"/>
    </row>
    <row r="2360" spans="2:6" ht="15" x14ac:dyDescent="0.25">
      <c r="B2360" s="169"/>
      <c r="C2360" s="679">
        <v>2961235</v>
      </c>
      <c r="D2360" s="677">
        <v>7</v>
      </c>
      <c r="E2360" s="678" t="s">
        <v>2629</v>
      </c>
      <c r="F2360" s="170"/>
    </row>
    <row r="2361" spans="2:6" ht="15" x14ac:dyDescent="0.25">
      <c r="B2361" s="169"/>
      <c r="C2361" s="679">
        <v>2961512</v>
      </c>
      <c r="D2361" s="677">
        <v>7</v>
      </c>
      <c r="E2361" s="678" t="s">
        <v>2629</v>
      </c>
      <c r="F2361" s="170"/>
    </row>
    <row r="2362" spans="2:6" ht="15" x14ac:dyDescent="0.25">
      <c r="B2362" s="169"/>
      <c r="C2362" s="679">
        <v>2961236</v>
      </c>
      <c r="D2362" s="677">
        <v>5</v>
      </c>
      <c r="E2362" s="678" t="s">
        <v>2630</v>
      </c>
      <c r="F2362" s="170"/>
    </row>
    <row r="2363" spans="2:6" ht="15" x14ac:dyDescent="0.25">
      <c r="B2363" s="169"/>
      <c r="C2363" s="679">
        <v>2961513</v>
      </c>
      <c r="D2363" s="677">
        <v>5</v>
      </c>
      <c r="E2363" s="678" t="s">
        <v>2631</v>
      </c>
      <c r="F2363" s="170"/>
    </row>
    <row r="2364" spans="2:6" ht="15" x14ac:dyDescent="0.25">
      <c r="B2364" s="169"/>
      <c r="C2364" s="679">
        <v>2961237</v>
      </c>
      <c r="D2364" s="677">
        <v>3</v>
      </c>
      <c r="E2364" s="678" t="s">
        <v>2632</v>
      </c>
      <c r="F2364" s="170"/>
    </row>
    <row r="2365" spans="2:6" ht="15" x14ac:dyDescent="0.25">
      <c r="B2365" s="169"/>
      <c r="C2365" s="679">
        <v>2961499</v>
      </c>
      <c r="D2365" s="677">
        <v>6</v>
      </c>
      <c r="E2365" s="678" t="s">
        <v>2633</v>
      </c>
      <c r="F2365" s="170"/>
    </row>
    <row r="2366" spans="2:6" ht="15" x14ac:dyDescent="0.25">
      <c r="B2366" s="169"/>
      <c r="C2366" s="679">
        <v>2961238</v>
      </c>
      <c r="D2366" s="677">
        <v>1</v>
      </c>
      <c r="E2366" s="678" t="s">
        <v>2634</v>
      </c>
      <c r="F2366" s="170"/>
    </row>
    <row r="2367" spans="2:6" ht="15" x14ac:dyDescent="0.25">
      <c r="B2367" s="169"/>
      <c r="C2367" s="679">
        <v>3276670</v>
      </c>
      <c r="D2367" s="677">
        <v>0</v>
      </c>
      <c r="E2367" s="678" t="s">
        <v>8332</v>
      </c>
      <c r="F2367" s="170"/>
    </row>
    <row r="2368" spans="2:6" ht="15" x14ac:dyDescent="0.25">
      <c r="B2368" s="169"/>
      <c r="C2368" s="679">
        <v>3113716</v>
      </c>
      <c r="D2368" s="677">
        <v>4</v>
      </c>
      <c r="E2368" s="678" t="s">
        <v>2635</v>
      </c>
      <c r="F2368" s="170"/>
    </row>
    <row r="2369" spans="2:6" ht="15" x14ac:dyDescent="0.25">
      <c r="B2369" s="169"/>
      <c r="C2369" s="679">
        <v>3048176</v>
      </c>
      <c r="D2369" s="677">
        <v>7</v>
      </c>
      <c r="E2369" s="678" t="s">
        <v>2636</v>
      </c>
      <c r="F2369" s="170"/>
    </row>
    <row r="2370" spans="2:6" ht="15" x14ac:dyDescent="0.25">
      <c r="B2370" s="169"/>
      <c r="C2370" s="679">
        <v>3080173</v>
      </c>
      <c r="D2370" s="677">
        <v>7</v>
      </c>
      <c r="E2370" s="678" t="s">
        <v>2637</v>
      </c>
      <c r="F2370" s="170"/>
    </row>
    <row r="2371" spans="2:6" ht="15" x14ac:dyDescent="0.25">
      <c r="B2371" s="169"/>
      <c r="C2371" s="679">
        <v>3103143</v>
      </c>
      <c r="D2371" s="677">
        <v>9</v>
      </c>
      <c r="E2371" s="678" t="s">
        <v>2638</v>
      </c>
      <c r="F2371" s="170"/>
    </row>
    <row r="2372" spans="2:6" ht="15" x14ac:dyDescent="0.25">
      <c r="B2372" s="169"/>
      <c r="C2372" s="679">
        <v>3090270</v>
      </c>
      <c r="D2372" s="677">
        <v>3</v>
      </c>
      <c r="E2372" s="678" t="s">
        <v>2639</v>
      </c>
      <c r="F2372" s="170"/>
    </row>
    <row r="2373" spans="2:6" ht="15" x14ac:dyDescent="0.25">
      <c r="B2373" s="169"/>
      <c r="C2373" s="679">
        <v>3106791</v>
      </c>
      <c r="D2373" s="677">
        <v>3</v>
      </c>
      <c r="E2373" s="678" t="s">
        <v>2640</v>
      </c>
      <c r="F2373" s="170"/>
    </row>
    <row r="2374" spans="2:6" ht="15" x14ac:dyDescent="0.25">
      <c r="B2374" s="169"/>
      <c r="C2374" s="679">
        <v>3075403</v>
      </c>
      <c r="D2374" s="677">
        <v>8</v>
      </c>
      <c r="E2374" s="678" t="s">
        <v>2641</v>
      </c>
      <c r="F2374" s="170"/>
    </row>
    <row r="2375" spans="2:6" ht="15" x14ac:dyDescent="0.25">
      <c r="B2375" s="169"/>
      <c r="C2375" s="679">
        <v>2961516</v>
      </c>
      <c r="D2375" s="677">
        <v>0</v>
      </c>
      <c r="E2375" s="678" t="s">
        <v>2642</v>
      </c>
      <c r="F2375" s="170"/>
    </row>
    <row r="2376" spans="2:6" ht="15" x14ac:dyDescent="0.25">
      <c r="B2376" s="169"/>
      <c r="C2376" s="679">
        <v>3295999</v>
      </c>
      <c r="D2376" s="677">
        <v>1</v>
      </c>
      <c r="E2376" s="678" t="s">
        <v>8333</v>
      </c>
      <c r="F2376" s="170"/>
    </row>
    <row r="2377" spans="2:6" ht="15" x14ac:dyDescent="0.25">
      <c r="B2377" s="169"/>
      <c r="C2377" s="679">
        <v>3087471</v>
      </c>
      <c r="D2377" s="677">
        <v>8</v>
      </c>
      <c r="E2377" s="678" t="s">
        <v>2643</v>
      </c>
      <c r="F2377" s="170"/>
    </row>
    <row r="2378" spans="2:6" ht="15" x14ac:dyDescent="0.25">
      <c r="B2378" s="169"/>
      <c r="C2378" s="679">
        <v>3092176</v>
      </c>
      <c r="D2378" s="677">
        <v>7</v>
      </c>
      <c r="E2378" s="678" t="s">
        <v>2644</v>
      </c>
      <c r="F2378" s="170"/>
    </row>
    <row r="2379" spans="2:6" ht="15" x14ac:dyDescent="0.25">
      <c r="B2379" s="169"/>
      <c r="C2379" s="679">
        <v>3103144</v>
      </c>
      <c r="D2379" s="677">
        <v>7</v>
      </c>
      <c r="E2379" s="678" t="s">
        <v>2645</v>
      </c>
      <c r="F2379" s="170"/>
    </row>
    <row r="2380" spans="2:6" ht="15" x14ac:dyDescent="0.25">
      <c r="B2380" s="169"/>
      <c r="C2380" s="679">
        <v>3307527</v>
      </c>
      <c r="D2380" s="677">
        <v>1</v>
      </c>
      <c r="E2380" s="678" t="s">
        <v>8334</v>
      </c>
      <c r="F2380" s="170"/>
    </row>
    <row r="2381" spans="2:6" ht="15" x14ac:dyDescent="0.25">
      <c r="B2381" s="169"/>
      <c r="C2381" s="679">
        <v>3086250</v>
      </c>
      <c r="D2381" s="677">
        <v>7</v>
      </c>
      <c r="E2381" s="678" t="s">
        <v>2646</v>
      </c>
      <c r="F2381" s="170"/>
    </row>
    <row r="2382" spans="2:6" ht="15" x14ac:dyDescent="0.25">
      <c r="B2382" s="169"/>
      <c r="C2382" s="679">
        <v>3100900</v>
      </c>
      <c r="D2382" s="677">
        <v>0</v>
      </c>
      <c r="E2382" s="678" t="s">
        <v>2647</v>
      </c>
      <c r="F2382" s="170"/>
    </row>
    <row r="2383" spans="2:6" ht="15" x14ac:dyDescent="0.25">
      <c r="B2383" s="169"/>
      <c r="C2383" s="679">
        <v>3285728</v>
      </c>
      <c r="D2383" s="677">
        <v>4</v>
      </c>
      <c r="E2383" s="678" t="s">
        <v>8335</v>
      </c>
      <c r="F2383" s="170"/>
    </row>
    <row r="2384" spans="2:6" ht="15" x14ac:dyDescent="0.25">
      <c r="B2384" s="169"/>
      <c r="C2384" s="679">
        <v>3307531</v>
      </c>
      <c r="D2384" s="677">
        <v>0</v>
      </c>
      <c r="E2384" s="678" t="s">
        <v>8336</v>
      </c>
      <c r="F2384" s="170"/>
    </row>
    <row r="2385" spans="2:6" ht="15" x14ac:dyDescent="0.25">
      <c r="B2385" s="169"/>
      <c r="C2385" s="679">
        <v>3080166</v>
      </c>
      <c r="D2385" s="677">
        <v>4</v>
      </c>
      <c r="E2385" s="678" t="s">
        <v>2648</v>
      </c>
      <c r="F2385" s="170"/>
    </row>
    <row r="2386" spans="2:6" ht="15" x14ac:dyDescent="0.25">
      <c r="B2386" s="169"/>
      <c r="C2386" s="679">
        <v>3098892</v>
      </c>
      <c r="D2386" s="677">
        <v>6</v>
      </c>
      <c r="E2386" s="678" t="s">
        <v>2649</v>
      </c>
      <c r="F2386" s="170"/>
    </row>
    <row r="2387" spans="2:6" ht="15" x14ac:dyDescent="0.25">
      <c r="B2387" s="169"/>
      <c r="C2387" s="679">
        <v>3087490</v>
      </c>
      <c r="D2387" s="677">
        <v>4</v>
      </c>
      <c r="E2387" s="678" t="s">
        <v>2650</v>
      </c>
      <c r="F2387" s="170"/>
    </row>
    <row r="2388" spans="2:6" ht="15" x14ac:dyDescent="0.25">
      <c r="B2388" s="169"/>
      <c r="C2388" s="679">
        <v>3113703</v>
      </c>
      <c r="D2388" s="677">
        <v>2</v>
      </c>
      <c r="E2388" s="678" t="s">
        <v>2651</v>
      </c>
      <c r="F2388" s="170"/>
    </row>
    <row r="2389" spans="2:6" ht="15" x14ac:dyDescent="0.25">
      <c r="B2389" s="169"/>
      <c r="C2389" s="679">
        <v>3086244</v>
      </c>
      <c r="D2389" s="677">
        <v>2</v>
      </c>
      <c r="E2389" s="678" t="s">
        <v>2652</v>
      </c>
      <c r="F2389" s="170"/>
    </row>
    <row r="2390" spans="2:6" ht="15" x14ac:dyDescent="0.25">
      <c r="B2390" s="169"/>
      <c r="C2390" s="679">
        <v>3092181</v>
      </c>
      <c r="D2390" s="677">
        <v>3</v>
      </c>
      <c r="E2390" s="678" t="s">
        <v>2653</v>
      </c>
      <c r="F2390" s="170"/>
    </row>
    <row r="2391" spans="2:6" ht="15" x14ac:dyDescent="0.25">
      <c r="B2391" s="169"/>
      <c r="C2391" s="679">
        <v>3098896</v>
      </c>
      <c r="D2391" s="677">
        <v>9</v>
      </c>
      <c r="E2391" s="678" t="s">
        <v>2654</v>
      </c>
      <c r="F2391" s="170"/>
    </row>
    <row r="2392" spans="2:6" ht="15" x14ac:dyDescent="0.25">
      <c r="B2392" s="169"/>
      <c r="C2392" s="679">
        <v>3110497</v>
      </c>
      <c r="D2392" s="677">
        <v>5</v>
      </c>
      <c r="E2392" s="678" t="s">
        <v>2655</v>
      </c>
      <c r="F2392" s="170"/>
    </row>
    <row r="2393" spans="2:6" ht="15" x14ac:dyDescent="0.25">
      <c r="B2393" s="169"/>
      <c r="C2393" s="679">
        <v>3086245</v>
      </c>
      <c r="D2393" s="677">
        <v>1</v>
      </c>
      <c r="E2393" s="678" t="s">
        <v>2656</v>
      </c>
      <c r="F2393" s="170"/>
    </row>
    <row r="2394" spans="2:6" ht="15" x14ac:dyDescent="0.25">
      <c r="B2394" s="169"/>
      <c r="C2394" s="679">
        <v>3088103</v>
      </c>
      <c r="D2394" s="677">
        <v>0</v>
      </c>
      <c r="E2394" s="678" t="s">
        <v>2657</v>
      </c>
      <c r="F2394" s="170"/>
    </row>
    <row r="2395" spans="2:6" ht="15" x14ac:dyDescent="0.25">
      <c r="B2395" s="169"/>
      <c r="C2395" s="679">
        <v>3070397</v>
      </c>
      <c r="D2395" s="677">
        <v>2</v>
      </c>
      <c r="E2395" s="678" t="s">
        <v>2658</v>
      </c>
      <c r="F2395" s="170"/>
    </row>
    <row r="2396" spans="2:6" ht="15" x14ac:dyDescent="0.25">
      <c r="B2396" s="169"/>
      <c r="C2396" s="679">
        <v>3352154</v>
      </c>
      <c r="D2396" s="677">
        <v>9</v>
      </c>
      <c r="E2396" s="678" t="s">
        <v>8337</v>
      </c>
      <c r="F2396" s="170"/>
    </row>
    <row r="2397" spans="2:6" ht="15" x14ac:dyDescent="0.25">
      <c r="B2397" s="169"/>
      <c r="C2397" s="679">
        <v>2961517</v>
      </c>
      <c r="D2397" s="677">
        <v>8</v>
      </c>
      <c r="E2397" s="678" t="s">
        <v>2659</v>
      </c>
      <c r="F2397" s="170"/>
    </row>
    <row r="2398" spans="2:6" ht="15" x14ac:dyDescent="0.25">
      <c r="B2398" s="169"/>
      <c r="C2398" s="679">
        <v>3084932</v>
      </c>
      <c r="D2398" s="677">
        <v>2</v>
      </c>
      <c r="E2398" s="678" t="s">
        <v>2660</v>
      </c>
      <c r="F2398" s="170"/>
    </row>
    <row r="2399" spans="2:6" ht="15" x14ac:dyDescent="0.25">
      <c r="B2399" s="169"/>
      <c r="C2399" s="679">
        <v>3078214</v>
      </c>
      <c r="D2399" s="677">
        <v>7</v>
      </c>
      <c r="E2399" s="678" t="s">
        <v>2661</v>
      </c>
      <c r="F2399" s="170"/>
    </row>
    <row r="2400" spans="2:6" ht="15" x14ac:dyDescent="0.25">
      <c r="B2400" s="169"/>
      <c r="C2400" s="679">
        <v>3058040</v>
      </c>
      <c r="D2400" s="677">
        <v>4</v>
      </c>
      <c r="E2400" s="678" t="s">
        <v>2662</v>
      </c>
      <c r="F2400" s="170"/>
    </row>
    <row r="2401" spans="2:6" ht="15" x14ac:dyDescent="0.25">
      <c r="B2401" s="169"/>
      <c r="C2401" s="679">
        <v>2961518</v>
      </c>
      <c r="D2401" s="677">
        <v>6</v>
      </c>
      <c r="E2401" s="678" t="s">
        <v>2663</v>
      </c>
      <c r="F2401" s="170"/>
    </row>
    <row r="2402" spans="2:6" ht="15" x14ac:dyDescent="0.25">
      <c r="B2402" s="169"/>
      <c r="C2402" s="679">
        <v>3103120</v>
      </c>
      <c r="D2402" s="677">
        <v>0</v>
      </c>
      <c r="E2402" s="678" t="s">
        <v>2664</v>
      </c>
      <c r="F2402" s="170"/>
    </row>
    <row r="2403" spans="2:6" ht="15" x14ac:dyDescent="0.25">
      <c r="B2403" s="169"/>
      <c r="C2403" s="679">
        <v>3087523</v>
      </c>
      <c r="D2403" s="677">
        <v>4</v>
      </c>
      <c r="E2403" s="678" t="s">
        <v>2665</v>
      </c>
      <c r="F2403" s="170"/>
    </row>
    <row r="2404" spans="2:6" ht="15" x14ac:dyDescent="0.25">
      <c r="B2404" s="169"/>
      <c r="C2404" s="679">
        <v>3113707</v>
      </c>
      <c r="D2404" s="677">
        <v>5</v>
      </c>
      <c r="E2404" s="678" t="s">
        <v>2666</v>
      </c>
      <c r="F2404" s="170"/>
    </row>
    <row r="2405" spans="2:6" ht="15" x14ac:dyDescent="0.25">
      <c r="B2405" s="169"/>
      <c r="C2405" s="679">
        <v>2961519</v>
      </c>
      <c r="D2405" s="677">
        <v>4</v>
      </c>
      <c r="E2405" s="678" t="s">
        <v>2667</v>
      </c>
      <c r="F2405" s="170"/>
    </row>
    <row r="2406" spans="2:6" ht="15" x14ac:dyDescent="0.25">
      <c r="B2406" s="169"/>
      <c r="C2406" s="679">
        <v>2961520</v>
      </c>
      <c r="D2406" s="677">
        <v>8</v>
      </c>
      <c r="E2406" s="678" t="s">
        <v>2668</v>
      </c>
      <c r="F2406" s="170"/>
    </row>
    <row r="2407" spans="2:6" ht="15" x14ac:dyDescent="0.25">
      <c r="B2407" s="169"/>
      <c r="C2407" s="679">
        <v>3093128</v>
      </c>
      <c r="D2407" s="677">
        <v>2</v>
      </c>
      <c r="E2407" s="678" t="s">
        <v>2669</v>
      </c>
      <c r="F2407" s="170"/>
    </row>
    <row r="2408" spans="2:6" ht="15" x14ac:dyDescent="0.25">
      <c r="B2408" s="169"/>
      <c r="C2408" s="679">
        <v>3100099</v>
      </c>
      <c r="D2408" s="677">
        <v>1</v>
      </c>
      <c r="E2408" s="678" t="s">
        <v>2670</v>
      </c>
      <c r="F2408" s="170"/>
    </row>
    <row r="2409" spans="2:6" ht="15" x14ac:dyDescent="0.25">
      <c r="B2409" s="169"/>
      <c r="C2409" s="679">
        <v>3291102</v>
      </c>
      <c r="D2409" s="677">
        <v>5</v>
      </c>
      <c r="E2409" s="678" t="s">
        <v>8338</v>
      </c>
      <c r="F2409" s="170"/>
    </row>
    <row r="2410" spans="2:6" ht="15" x14ac:dyDescent="0.25">
      <c r="B2410" s="169"/>
      <c r="C2410" s="679">
        <v>3223932</v>
      </c>
      <c r="D2410" s="677">
        <v>7</v>
      </c>
      <c r="E2410" s="678" t="s">
        <v>8339</v>
      </c>
      <c r="F2410" s="170"/>
    </row>
    <row r="2411" spans="2:6" ht="15" x14ac:dyDescent="0.25">
      <c r="B2411" s="169"/>
      <c r="C2411" s="679">
        <v>2961244</v>
      </c>
      <c r="D2411" s="677">
        <v>6</v>
      </c>
      <c r="E2411" s="678" t="s">
        <v>2671</v>
      </c>
      <c r="F2411" s="170"/>
    </row>
    <row r="2412" spans="2:6" ht="15" x14ac:dyDescent="0.25">
      <c r="B2412" s="169"/>
      <c r="C2412" s="679">
        <v>2961522</v>
      </c>
      <c r="D2412" s="677">
        <v>4</v>
      </c>
      <c r="E2412" s="678" t="s">
        <v>2672</v>
      </c>
      <c r="F2412" s="170"/>
    </row>
    <row r="2413" spans="2:6" ht="15" x14ac:dyDescent="0.25">
      <c r="B2413" s="169"/>
      <c r="C2413" s="679">
        <v>2961246</v>
      </c>
      <c r="D2413" s="677">
        <v>2</v>
      </c>
      <c r="E2413" s="678" t="s">
        <v>2673</v>
      </c>
      <c r="F2413" s="170"/>
    </row>
    <row r="2414" spans="2:6" ht="15" x14ac:dyDescent="0.25">
      <c r="B2414" s="169"/>
      <c r="C2414" s="679">
        <v>3077727</v>
      </c>
      <c r="D2414" s="677">
        <v>5</v>
      </c>
      <c r="E2414" s="678" t="s">
        <v>2674</v>
      </c>
      <c r="F2414" s="170"/>
    </row>
    <row r="2415" spans="2:6" ht="15" x14ac:dyDescent="0.25">
      <c r="B2415" s="169"/>
      <c r="C2415" s="679">
        <v>3095063</v>
      </c>
      <c r="D2415" s="677">
        <v>5</v>
      </c>
      <c r="E2415" s="678" t="s">
        <v>2675</v>
      </c>
      <c r="F2415" s="170"/>
    </row>
    <row r="2416" spans="2:6" ht="15" x14ac:dyDescent="0.25">
      <c r="B2416" s="169"/>
      <c r="C2416" s="679">
        <v>3069597</v>
      </c>
      <c r="D2416" s="677">
        <v>0</v>
      </c>
      <c r="E2416" s="678" t="s">
        <v>2676</v>
      </c>
      <c r="F2416" s="170"/>
    </row>
    <row r="2417" spans="2:6" ht="15" x14ac:dyDescent="0.25">
      <c r="B2417" s="169"/>
      <c r="C2417" s="679">
        <v>3285608</v>
      </c>
      <c r="D2417" s="677">
        <v>3</v>
      </c>
      <c r="E2417" s="678" t="s">
        <v>8340</v>
      </c>
      <c r="F2417" s="170"/>
    </row>
    <row r="2418" spans="2:6" ht="15" x14ac:dyDescent="0.25">
      <c r="B2418" s="169"/>
      <c r="C2418" s="679">
        <v>3074350</v>
      </c>
      <c r="D2418" s="677">
        <v>8</v>
      </c>
      <c r="E2418" s="678" t="s">
        <v>2677</v>
      </c>
      <c r="F2418" s="170"/>
    </row>
    <row r="2419" spans="2:6" ht="15" x14ac:dyDescent="0.25">
      <c r="B2419" s="169"/>
      <c r="C2419" s="679">
        <v>3072879</v>
      </c>
      <c r="D2419" s="677">
        <v>7</v>
      </c>
      <c r="E2419" s="678" t="s">
        <v>2678</v>
      </c>
      <c r="F2419" s="170"/>
    </row>
    <row r="2420" spans="2:6" ht="15" x14ac:dyDescent="0.25">
      <c r="B2420" s="169"/>
      <c r="C2420" s="679">
        <v>3100899</v>
      </c>
      <c r="D2420" s="677">
        <v>2</v>
      </c>
      <c r="E2420" s="678" t="s">
        <v>2679</v>
      </c>
      <c r="F2420" s="170"/>
    </row>
    <row r="2421" spans="2:6" ht="15" x14ac:dyDescent="0.25">
      <c r="B2421" s="169"/>
      <c r="C2421" s="679">
        <v>3074352</v>
      </c>
      <c r="D2421" s="677">
        <v>4</v>
      </c>
      <c r="E2421" s="678" t="s">
        <v>2680</v>
      </c>
      <c r="F2421" s="170"/>
    </row>
    <row r="2422" spans="2:6" ht="15" x14ac:dyDescent="0.25">
      <c r="B2422" s="169"/>
      <c r="C2422" s="679">
        <v>3098881</v>
      </c>
      <c r="D2422" s="677">
        <v>1</v>
      </c>
      <c r="E2422" s="678" t="s">
        <v>2681</v>
      </c>
      <c r="F2422" s="170"/>
    </row>
    <row r="2423" spans="2:6" ht="15" x14ac:dyDescent="0.25">
      <c r="B2423" s="169"/>
      <c r="C2423" s="679">
        <v>3289179</v>
      </c>
      <c r="D2423" s="677">
        <v>2</v>
      </c>
      <c r="E2423" s="678" t="s">
        <v>8341</v>
      </c>
      <c r="F2423" s="170"/>
    </row>
    <row r="2424" spans="2:6" ht="15" x14ac:dyDescent="0.25">
      <c r="B2424" s="169"/>
      <c r="C2424" s="679">
        <v>3110510</v>
      </c>
      <c r="D2424" s="677">
        <v>6</v>
      </c>
      <c r="E2424" s="678" t="s">
        <v>2682</v>
      </c>
      <c r="F2424" s="170"/>
    </row>
    <row r="2425" spans="2:6" ht="15" x14ac:dyDescent="0.25">
      <c r="B2425" s="169"/>
      <c r="C2425" s="679">
        <v>3070967</v>
      </c>
      <c r="D2425" s="677">
        <v>9</v>
      </c>
      <c r="E2425" s="678" t="s">
        <v>2683</v>
      </c>
      <c r="F2425" s="170"/>
    </row>
    <row r="2426" spans="2:6" ht="15" x14ac:dyDescent="0.25">
      <c r="B2426" s="169"/>
      <c r="C2426" s="679">
        <v>3070398</v>
      </c>
      <c r="D2426" s="677">
        <v>1</v>
      </c>
      <c r="E2426" s="678" t="s">
        <v>2684</v>
      </c>
      <c r="F2426" s="170"/>
    </row>
    <row r="2427" spans="2:6" ht="15" x14ac:dyDescent="0.25">
      <c r="B2427" s="169"/>
      <c r="C2427" s="679">
        <v>3100076</v>
      </c>
      <c r="D2427" s="677">
        <v>2</v>
      </c>
      <c r="E2427" s="678" t="s">
        <v>2685</v>
      </c>
      <c r="F2427" s="170"/>
    </row>
    <row r="2428" spans="2:6" ht="15" x14ac:dyDescent="0.25">
      <c r="B2428" s="169"/>
      <c r="C2428" s="679">
        <v>3095222</v>
      </c>
      <c r="D2428" s="677">
        <v>1</v>
      </c>
      <c r="E2428" s="678" t="s">
        <v>2686</v>
      </c>
      <c r="F2428" s="170"/>
    </row>
    <row r="2429" spans="2:6" ht="15" x14ac:dyDescent="0.25">
      <c r="B2429" s="169"/>
      <c r="C2429" s="679">
        <v>3095216</v>
      </c>
      <c r="D2429" s="677">
        <v>6</v>
      </c>
      <c r="E2429" s="678" t="s">
        <v>2687</v>
      </c>
      <c r="F2429" s="170"/>
    </row>
    <row r="2430" spans="2:6" ht="15" x14ac:dyDescent="0.25">
      <c r="B2430" s="169"/>
      <c r="C2430" s="679">
        <v>3098885</v>
      </c>
      <c r="D2430" s="677">
        <v>3</v>
      </c>
      <c r="E2430" s="678" t="s">
        <v>2688</v>
      </c>
      <c r="F2430" s="170"/>
    </row>
    <row r="2431" spans="2:6" ht="15" x14ac:dyDescent="0.25">
      <c r="B2431" s="169"/>
      <c r="C2431" s="679">
        <v>3098864</v>
      </c>
      <c r="D2431" s="677">
        <v>1</v>
      </c>
      <c r="E2431" s="678" t="s">
        <v>2689</v>
      </c>
      <c r="F2431" s="170"/>
    </row>
    <row r="2432" spans="2:6" ht="15" x14ac:dyDescent="0.25">
      <c r="B2432" s="169"/>
      <c r="C2432" s="679">
        <v>3071214</v>
      </c>
      <c r="D2432" s="677">
        <v>9</v>
      </c>
      <c r="E2432" s="678" t="s">
        <v>2690</v>
      </c>
      <c r="F2432" s="170"/>
    </row>
    <row r="2433" spans="2:6" ht="15" x14ac:dyDescent="0.25">
      <c r="B2433" s="169"/>
      <c r="C2433" s="679">
        <v>3054596</v>
      </c>
      <c r="D2433" s="677">
        <v>0</v>
      </c>
      <c r="E2433" s="678" t="s">
        <v>2691</v>
      </c>
      <c r="F2433" s="170"/>
    </row>
    <row r="2434" spans="2:6" ht="15" x14ac:dyDescent="0.25">
      <c r="B2434" s="169"/>
      <c r="C2434" s="679">
        <v>3054579</v>
      </c>
      <c r="D2434" s="677">
        <v>0</v>
      </c>
      <c r="E2434" s="678" t="s">
        <v>2692</v>
      </c>
      <c r="F2434" s="170"/>
    </row>
    <row r="2435" spans="2:6" ht="15" x14ac:dyDescent="0.25">
      <c r="B2435" s="169"/>
      <c r="C2435" s="679">
        <v>3090272</v>
      </c>
      <c r="D2435" s="677">
        <v>0</v>
      </c>
      <c r="E2435" s="678" t="s">
        <v>2693</v>
      </c>
      <c r="F2435" s="170"/>
    </row>
    <row r="2436" spans="2:6" ht="15" x14ac:dyDescent="0.25">
      <c r="B2436" s="169"/>
      <c r="C2436" s="679">
        <v>2961251</v>
      </c>
      <c r="D2436" s="677">
        <v>9</v>
      </c>
      <c r="E2436" s="678" t="s">
        <v>2694</v>
      </c>
      <c r="F2436" s="170"/>
    </row>
    <row r="2437" spans="2:6" ht="15" x14ac:dyDescent="0.25">
      <c r="B2437" s="169"/>
      <c r="C2437" s="679">
        <v>3095202</v>
      </c>
      <c r="D2437" s="677">
        <v>6</v>
      </c>
      <c r="E2437" s="678" t="s">
        <v>2695</v>
      </c>
      <c r="F2437" s="170"/>
    </row>
    <row r="2438" spans="2:6" ht="15" x14ac:dyDescent="0.25">
      <c r="B2438" s="169"/>
      <c r="C2438" s="679">
        <v>3069330</v>
      </c>
      <c r="D2438" s="677">
        <v>6</v>
      </c>
      <c r="E2438" s="678" t="s">
        <v>2696</v>
      </c>
      <c r="F2438" s="170"/>
    </row>
    <row r="2439" spans="2:6" ht="15" x14ac:dyDescent="0.25">
      <c r="B2439" s="169"/>
      <c r="C2439" s="679">
        <v>2961253</v>
      </c>
      <c r="D2439" s="677">
        <v>5</v>
      </c>
      <c r="E2439" s="678" t="s">
        <v>2697</v>
      </c>
      <c r="F2439" s="170"/>
    </row>
    <row r="2440" spans="2:6" ht="15" x14ac:dyDescent="0.25">
      <c r="B2440" s="169"/>
      <c r="C2440" s="679">
        <v>3317973</v>
      </c>
      <c r="D2440" s="677">
        <v>5</v>
      </c>
      <c r="E2440" s="678" t="s">
        <v>8342</v>
      </c>
      <c r="F2440" s="170"/>
    </row>
    <row r="2441" spans="2:6" ht="15" x14ac:dyDescent="0.25">
      <c r="B2441" s="169"/>
      <c r="C2441" s="679">
        <v>3087463</v>
      </c>
      <c r="D2441" s="677">
        <v>7</v>
      </c>
      <c r="E2441" s="678" t="s">
        <v>2698</v>
      </c>
      <c r="F2441" s="170"/>
    </row>
    <row r="2442" spans="2:6" ht="15" x14ac:dyDescent="0.25">
      <c r="B2442" s="169"/>
      <c r="C2442" s="679">
        <v>2961532</v>
      </c>
      <c r="D2442" s="677">
        <v>1</v>
      </c>
      <c r="E2442" s="678" t="s">
        <v>2699</v>
      </c>
      <c r="F2442" s="170"/>
    </row>
    <row r="2443" spans="2:6" ht="15" x14ac:dyDescent="0.25">
      <c r="B2443" s="169"/>
      <c r="C2443" s="679">
        <v>3075219</v>
      </c>
      <c r="D2443" s="677">
        <v>1</v>
      </c>
      <c r="E2443" s="678" t="s">
        <v>2700</v>
      </c>
      <c r="F2443" s="170"/>
    </row>
    <row r="2444" spans="2:6" ht="15" x14ac:dyDescent="0.25">
      <c r="B2444" s="169"/>
      <c r="C2444" s="679">
        <v>3080165</v>
      </c>
      <c r="D2444" s="677">
        <v>6</v>
      </c>
      <c r="E2444" s="678" t="s">
        <v>2701</v>
      </c>
      <c r="F2444" s="170"/>
    </row>
    <row r="2445" spans="2:6" ht="15" x14ac:dyDescent="0.25">
      <c r="B2445" s="169"/>
      <c r="C2445" s="679">
        <v>3194796</v>
      </c>
      <c r="D2445" s="677">
        <v>4</v>
      </c>
      <c r="E2445" s="678" t="s">
        <v>8343</v>
      </c>
      <c r="F2445" s="170"/>
    </row>
    <row r="2446" spans="2:6" ht="15" x14ac:dyDescent="0.25">
      <c r="B2446" s="169"/>
      <c r="C2446" s="679">
        <v>3082956</v>
      </c>
      <c r="D2446" s="677">
        <v>9</v>
      </c>
      <c r="E2446" s="678" t="s">
        <v>2702</v>
      </c>
      <c r="F2446" s="170"/>
    </row>
    <row r="2447" spans="2:6" ht="15" x14ac:dyDescent="0.25">
      <c r="B2447" s="169"/>
      <c r="C2447" s="679">
        <v>3080658</v>
      </c>
      <c r="D2447" s="677">
        <v>5</v>
      </c>
      <c r="E2447" s="678" t="s">
        <v>2703</v>
      </c>
      <c r="F2447" s="170"/>
    </row>
    <row r="2448" spans="2:6" ht="15" x14ac:dyDescent="0.25">
      <c r="B2448" s="169"/>
      <c r="C2448" s="679">
        <v>2961256</v>
      </c>
      <c r="D2448" s="677">
        <v>0</v>
      </c>
      <c r="E2448" s="678" t="s">
        <v>2704</v>
      </c>
      <c r="F2448" s="170"/>
    </row>
    <row r="2449" spans="2:6" ht="15" x14ac:dyDescent="0.25">
      <c r="B2449" s="169"/>
      <c r="C2449" s="679">
        <v>3098888</v>
      </c>
      <c r="D2449" s="677">
        <v>8</v>
      </c>
      <c r="E2449" s="678" t="s">
        <v>2705</v>
      </c>
      <c r="F2449" s="170"/>
    </row>
    <row r="2450" spans="2:6" ht="15" x14ac:dyDescent="0.25">
      <c r="B2450" s="169"/>
      <c r="C2450" s="679">
        <v>3100121</v>
      </c>
      <c r="D2450" s="677">
        <v>1</v>
      </c>
      <c r="E2450" s="678" t="s">
        <v>2706</v>
      </c>
      <c r="F2450" s="170"/>
    </row>
    <row r="2451" spans="2:6" ht="15" x14ac:dyDescent="0.25">
      <c r="B2451" s="169"/>
      <c r="C2451" s="679">
        <v>3103137</v>
      </c>
      <c r="D2451" s="677">
        <v>4</v>
      </c>
      <c r="E2451" s="678" t="s">
        <v>2707</v>
      </c>
      <c r="F2451" s="170"/>
    </row>
    <row r="2452" spans="2:6" ht="15" x14ac:dyDescent="0.25">
      <c r="B2452" s="169"/>
      <c r="C2452" s="679">
        <v>2961534</v>
      </c>
      <c r="D2452" s="677">
        <v>8</v>
      </c>
      <c r="E2452" s="678" t="s">
        <v>2708</v>
      </c>
      <c r="F2452" s="170"/>
    </row>
    <row r="2453" spans="2:6" ht="15" x14ac:dyDescent="0.25">
      <c r="B2453" s="169"/>
      <c r="C2453" s="679">
        <v>3086198</v>
      </c>
      <c r="D2453" s="677">
        <v>5</v>
      </c>
      <c r="E2453" s="678" t="s">
        <v>2709</v>
      </c>
      <c r="F2453" s="170"/>
    </row>
    <row r="2454" spans="2:6" ht="15" x14ac:dyDescent="0.25">
      <c r="B2454" s="169"/>
      <c r="C2454" s="679">
        <v>3088272</v>
      </c>
      <c r="D2454" s="677">
        <v>9</v>
      </c>
      <c r="E2454" s="678" t="s">
        <v>2710</v>
      </c>
      <c r="F2454" s="170"/>
    </row>
    <row r="2455" spans="2:6" ht="15" x14ac:dyDescent="0.25">
      <c r="B2455" s="169"/>
      <c r="C2455" s="679">
        <v>2961261</v>
      </c>
      <c r="D2455" s="677">
        <v>6</v>
      </c>
      <c r="E2455" s="678" t="s">
        <v>2711</v>
      </c>
      <c r="F2455" s="170"/>
    </row>
    <row r="2456" spans="2:6" ht="15" x14ac:dyDescent="0.25">
      <c r="B2456" s="169"/>
      <c r="C2456" s="679">
        <v>3153295</v>
      </c>
      <c r="D2456" s="677">
        <v>1</v>
      </c>
      <c r="E2456" s="678" t="s">
        <v>2712</v>
      </c>
      <c r="F2456" s="170"/>
    </row>
    <row r="2457" spans="2:6" ht="15" x14ac:dyDescent="0.25">
      <c r="B2457" s="169"/>
      <c r="C2457" s="679">
        <v>2961539</v>
      </c>
      <c r="D2457" s="677">
        <v>9</v>
      </c>
      <c r="E2457" s="678" t="s">
        <v>2713</v>
      </c>
      <c r="F2457" s="170"/>
    </row>
    <row r="2458" spans="2:6" ht="15" x14ac:dyDescent="0.25">
      <c r="B2458" s="169"/>
      <c r="C2458" s="679">
        <v>2961540</v>
      </c>
      <c r="D2458" s="677">
        <v>2</v>
      </c>
      <c r="E2458" s="678" t="s">
        <v>2714</v>
      </c>
      <c r="F2458" s="170"/>
    </row>
    <row r="2459" spans="2:6" ht="15" x14ac:dyDescent="0.25">
      <c r="B2459" s="169"/>
      <c r="C2459" s="679">
        <v>2961945</v>
      </c>
      <c r="D2459" s="677">
        <v>9</v>
      </c>
      <c r="E2459" s="678" t="s">
        <v>2715</v>
      </c>
      <c r="F2459" s="170"/>
    </row>
    <row r="2460" spans="2:6" ht="15" x14ac:dyDescent="0.25">
      <c r="B2460" s="169"/>
      <c r="C2460" s="679">
        <v>2961264</v>
      </c>
      <c r="D2460" s="677">
        <v>1</v>
      </c>
      <c r="E2460" s="678" t="s">
        <v>2716</v>
      </c>
      <c r="F2460" s="170"/>
    </row>
    <row r="2461" spans="2:6" ht="15" x14ac:dyDescent="0.25">
      <c r="B2461" s="169"/>
      <c r="C2461" s="679">
        <v>2963566</v>
      </c>
      <c r="D2461" s="677">
        <v>7</v>
      </c>
      <c r="E2461" s="678" t="s">
        <v>2717</v>
      </c>
      <c r="F2461" s="170"/>
    </row>
    <row r="2462" spans="2:6" ht="15" x14ac:dyDescent="0.25">
      <c r="B2462" s="169"/>
      <c r="C2462" s="679">
        <v>3175295</v>
      </c>
      <c r="D2462" s="677">
        <v>1</v>
      </c>
      <c r="E2462" s="678" t="s">
        <v>2718</v>
      </c>
      <c r="F2462" s="170"/>
    </row>
    <row r="2463" spans="2:6" ht="15" x14ac:dyDescent="0.25">
      <c r="B2463" s="169"/>
      <c r="C2463" s="679">
        <v>2961265</v>
      </c>
      <c r="D2463" s="677">
        <v>9</v>
      </c>
      <c r="E2463" s="678" t="s">
        <v>2719</v>
      </c>
      <c r="F2463" s="170"/>
    </row>
    <row r="2464" spans="2:6" ht="15" x14ac:dyDescent="0.25">
      <c r="B2464" s="169"/>
      <c r="C2464" s="679">
        <v>2961542</v>
      </c>
      <c r="D2464" s="677">
        <v>9</v>
      </c>
      <c r="E2464" s="678" t="s">
        <v>2719</v>
      </c>
      <c r="F2464" s="170"/>
    </row>
    <row r="2465" spans="2:6" ht="15" x14ac:dyDescent="0.25">
      <c r="B2465" s="169"/>
      <c r="C2465" s="679">
        <v>3277058</v>
      </c>
      <c r="D2465" s="677">
        <v>8</v>
      </c>
      <c r="E2465" s="678" t="s">
        <v>8344</v>
      </c>
      <c r="F2465" s="170"/>
    </row>
    <row r="2466" spans="2:6" ht="15" x14ac:dyDescent="0.25">
      <c r="B2466" s="169"/>
      <c r="C2466" s="679">
        <v>3070962</v>
      </c>
      <c r="D2466" s="677">
        <v>8</v>
      </c>
      <c r="E2466" s="678" t="s">
        <v>2720</v>
      </c>
      <c r="F2466" s="170"/>
    </row>
    <row r="2467" spans="2:6" ht="15" x14ac:dyDescent="0.25">
      <c r="B2467" s="169"/>
      <c r="C2467" s="679">
        <v>3076299</v>
      </c>
      <c r="D2467" s="677">
        <v>5</v>
      </c>
      <c r="E2467" s="678" t="s">
        <v>2721</v>
      </c>
      <c r="F2467" s="170"/>
    </row>
    <row r="2468" spans="2:6" ht="15" x14ac:dyDescent="0.25">
      <c r="B2468" s="169"/>
      <c r="C2468" s="679">
        <v>2963372</v>
      </c>
      <c r="D2468" s="677">
        <v>9</v>
      </c>
      <c r="E2468" s="678" t="s">
        <v>2722</v>
      </c>
      <c r="F2468" s="170"/>
    </row>
    <row r="2469" spans="2:6" ht="15" x14ac:dyDescent="0.25">
      <c r="B2469" s="169"/>
      <c r="C2469" s="679">
        <v>3077742</v>
      </c>
      <c r="D2469" s="677">
        <v>9</v>
      </c>
      <c r="E2469" s="678" t="s">
        <v>2723</v>
      </c>
      <c r="F2469" s="170"/>
    </row>
    <row r="2470" spans="2:6" ht="15" x14ac:dyDescent="0.25">
      <c r="B2470" s="169"/>
      <c r="C2470" s="679">
        <v>3058035</v>
      </c>
      <c r="D2470" s="677">
        <v>8</v>
      </c>
      <c r="E2470" s="678" t="s">
        <v>2724</v>
      </c>
      <c r="F2470" s="170"/>
    </row>
    <row r="2471" spans="2:6" ht="15" x14ac:dyDescent="0.25">
      <c r="B2471" s="169"/>
      <c r="C2471" s="679">
        <v>3069178</v>
      </c>
      <c r="D2471" s="677">
        <v>8</v>
      </c>
      <c r="E2471" s="678" t="s">
        <v>2725</v>
      </c>
      <c r="F2471" s="170"/>
    </row>
    <row r="2472" spans="2:6" ht="15" x14ac:dyDescent="0.25">
      <c r="B2472" s="169"/>
      <c r="C2472" s="679">
        <v>2963568</v>
      </c>
      <c r="D2472" s="677">
        <v>3</v>
      </c>
      <c r="E2472" s="678" t="s">
        <v>2726</v>
      </c>
      <c r="F2472" s="170"/>
    </row>
    <row r="2473" spans="2:6" ht="15" x14ac:dyDescent="0.25">
      <c r="B2473" s="169"/>
      <c r="C2473" s="679">
        <v>2963119</v>
      </c>
      <c r="D2473" s="677">
        <v>0</v>
      </c>
      <c r="E2473" s="678" t="s">
        <v>2727</v>
      </c>
      <c r="F2473" s="170"/>
    </row>
    <row r="2474" spans="2:6" ht="15" x14ac:dyDescent="0.25">
      <c r="B2474" s="169"/>
      <c r="C2474" s="679">
        <v>2961266</v>
      </c>
      <c r="D2474" s="677">
        <v>7</v>
      </c>
      <c r="E2474" s="678" t="s">
        <v>2728</v>
      </c>
      <c r="F2474" s="170"/>
    </row>
    <row r="2475" spans="2:6" ht="15" x14ac:dyDescent="0.25">
      <c r="B2475" s="169"/>
      <c r="C2475" s="679">
        <v>2961544</v>
      </c>
      <c r="D2475" s="677">
        <v>5</v>
      </c>
      <c r="E2475" s="678" t="s">
        <v>2729</v>
      </c>
      <c r="F2475" s="170"/>
    </row>
    <row r="2476" spans="2:6" ht="15" x14ac:dyDescent="0.25">
      <c r="B2476" s="169"/>
      <c r="C2476" s="679">
        <v>2961268</v>
      </c>
      <c r="D2476" s="677">
        <v>3</v>
      </c>
      <c r="E2476" s="678" t="s">
        <v>2730</v>
      </c>
      <c r="F2476" s="170"/>
    </row>
    <row r="2477" spans="2:6" ht="15" x14ac:dyDescent="0.25">
      <c r="B2477" s="169"/>
      <c r="C2477" s="679">
        <v>2961546</v>
      </c>
      <c r="D2477" s="677">
        <v>1</v>
      </c>
      <c r="E2477" s="678" t="s">
        <v>2731</v>
      </c>
      <c r="F2477" s="170"/>
    </row>
    <row r="2478" spans="2:6" ht="15" x14ac:dyDescent="0.25">
      <c r="B2478" s="169"/>
      <c r="C2478" s="679">
        <v>2961270</v>
      </c>
      <c r="D2478" s="677">
        <v>5</v>
      </c>
      <c r="E2478" s="678" t="s">
        <v>2732</v>
      </c>
      <c r="F2478" s="170"/>
    </row>
    <row r="2479" spans="2:6" ht="15" x14ac:dyDescent="0.25">
      <c r="B2479" s="169"/>
      <c r="C2479" s="679">
        <v>3215488</v>
      </c>
      <c r="D2479" s="677">
        <v>7</v>
      </c>
      <c r="E2479" s="678" t="s">
        <v>8345</v>
      </c>
      <c r="F2479" s="170"/>
    </row>
    <row r="2480" spans="2:6" ht="15" x14ac:dyDescent="0.25">
      <c r="B2480" s="169"/>
      <c r="C2480" s="679">
        <v>2961548</v>
      </c>
      <c r="D2480" s="677">
        <v>8</v>
      </c>
      <c r="E2480" s="678" t="s">
        <v>2733</v>
      </c>
      <c r="F2480" s="170"/>
    </row>
    <row r="2481" spans="2:6" ht="15" x14ac:dyDescent="0.25">
      <c r="B2481" s="169"/>
      <c r="C2481" s="679">
        <v>2961549</v>
      </c>
      <c r="D2481" s="677">
        <v>6</v>
      </c>
      <c r="E2481" s="678" t="s">
        <v>2734</v>
      </c>
      <c r="F2481" s="170"/>
    </row>
    <row r="2482" spans="2:6" ht="15" x14ac:dyDescent="0.25">
      <c r="B2482" s="169"/>
      <c r="C2482" s="679">
        <v>3084512</v>
      </c>
      <c r="D2482" s="677">
        <v>2</v>
      </c>
      <c r="E2482" s="678" t="s">
        <v>2735</v>
      </c>
      <c r="F2482" s="170"/>
    </row>
    <row r="2483" spans="2:6" ht="15" x14ac:dyDescent="0.25">
      <c r="B2483" s="169"/>
      <c r="C2483" s="679">
        <v>3082662</v>
      </c>
      <c r="D2483" s="677">
        <v>4</v>
      </c>
      <c r="E2483" s="678" t="s">
        <v>2736</v>
      </c>
      <c r="F2483" s="170"/>
    </row>
    <row r="2484" spans="2:6" ht="15" x14ac:dyDescent="0.25">
      <c r="B2484" s="169"/>
      <c r="C2484" s="679">
        <v>3072553</v>
      </c>
      <c r="D2484" s="677">
        <v>4</v>
      </c>
      <c r="E2484" s="678" t="s">
        <v>2737</v>
      </c>
      <c r="F2484" s="170"/>
    </row>
    <row r="2485" spans="2:6" ht="15" x14ac:dyDescent="0.25">
      <c r="B2485" s="169"/>
      <c r="C2485" s="679">
        <v>3076287</v>
      </c>
      <c r="D2485" s="677">
        <v>1</v>
      </c>
      <c r="E2485" s="678" t="s">
        <v>2738</v>
      </c>
      <c r="F2485" s="170"/>
    </row>
    <row r="2486" spans="2:6" ht="15" x14ac:dyDescent="0.25">
      <c r="B2486" s="169"/>
      <c r="C2486" s="679">
        <v>2961550</v>
      </c>
      <c r="D2486" s="677">
        <v>0</v>
      </c>
      <c r="E2486" s="678" t="s">
        <v>2739</v>
      </c>
      <c r="F2486" s="170"/>
    </row>
    <row r="2487" spans="2:6" ht="15" x14ac:dyDescent="0.25">
      <c r="B2487" s="169"/>
      <c r="C2487" s="679">
        <v>3263367</v>
      </c>
      <c r="D2487" s="677">
        <v>0</v>
      </c>
      <c r="E2487" s="678" t="s">
        <v>8346</v>
      </c>
      <c r="F2487" s="170"/>
    </row>
    <row r="2488" spans="2:6" ht="15" x14ac:dyDescent="0.25">
      <c r="B2488" s="169"/>
      <c r="C2488" s="679">
        <v>2961274</v>
      </c>
      <c r="D2488" s="677">
        <v>8</v>
      </c>
      <c r="E2488" s="678" t="s">
        <v>2740</v>
      </c>
      <c r="F2488" s="170"/>
    </row>
    <row r="2489" spans="2:6" ht="15" x14ac:dyDescent="0.25">
      <c r="B2489" s="169"/>
      <c r="C2489" s="679">
        <v>3084892</v>
      </c>
      <c r="D2489" s="677">
        <v>0</v>
      </c>
      <c r="E2489" s="678" t="s">
        <v>2741</v>
      </c>
      <c r="F2489" s="170"/>
    </row>
    <row r="2490" spans="2:6" ht="15" x14ac:dyDescent="0.25">
      <c r="B2490" s="169"/>
      <c r="C2490" s="679">
        <v>3295239</v>
      </c>
      <c r="D2490" s="677">
        <v>2</v>
      </c>
      <c r="E2490" s="678" t="s">
        <v>8347</v>
      </c>
      <c r="F2490" s="170"/>
    </row>
    <row r="2491" spans="2:6" ht="15" x14ac:dyDescent="0.25">
      <c r="B2491" s="169"/>
      <c r="C2491" s="679">
        <v>2961275</v>
      </c>
      <c r="D2491" s="677">
        <v>6</v>
      </c>
      <c r="E2491" s="678" t="s">
        <v>2742</v>
      </c>
      <c r="F2491" s="170"/>
    </row>
    <row r="2492" spans="2:6" ht="15" x14ac:dyDescent="0.25">
      <c r="B2492" s="169"/>
      <c r="C2492" s="679">
        <v>2961552</v>
      </c>
      <c r="D2492" s="677">
        <v>6</v>
      </c>
      <c r="E2492" s="678" t="s">
        <v>2742</v>
      </c>
      <c r="F2492" s="170"/>
    </row>
    <row r="2493" spans="2:6" ht="15" x14ac:dyDescent="0.25">
      <c r="B2493" s="169"/>
      <c r="C2493" s="679">
        <v>3140482</v>
      </c>
      <c r="D2493" s="677">
        <v>1</v>
      </c>
      <c r="E2493" s="678" t="s">
        <v>2743</v>
      </c>
      <c r="F2493" s="170"/>
    </row>
    <row r="2494" spans="2:6" ht="15" x14ac:dyDescent="0.25">
      <c r="B2494" s="169"/>
      <c r="C2494" s="679">
        <v>2961276</v>
      </c>
      <c r="D2494" s="677">
        <v>4</v>
      </c>
      <c r="E2494" s="678" t="s">
        <v>2744</v>
      </c>
      <c r="F2494" s="170"/>
    </row>
    <row r="2495" spans="2:6" ht="15" x14ac:dyDescent="0.25">
      <c r="B2495" s="169"/>
      <c r="C2495" s="679">
        <v>2961554</v>
      </c>
      <c r="D2495" s="677">
        <v>2</v>
      </c>
      <c r="E2495" s="678" t="s">
        <v>2745</v>
      </c>
      <c r="F2495" s="170"/>
    </row>
    <row r="2496" spans="2:6" ht="15" x14ac:dyDescent="0.25">
      <c r="B2496" s="169"/>
      <c r="C2496" s="679">
        <v>3095218</v>
      </c>
      <c r="D2496" s="677">
        <v>2</v>
      </c>
      <c r="E2496" s="678" t="s">
        <v>2746</v>
      </c>
      <c r="F2496" s="170"/>
    </row>
    <row r="2497" spans="2:6" ht="15" x14ac:dyDescent="0.25">
      <c r="B2497" s="169"/>
      <c r="C2497" s="679">
        <v>3077708</v>
      </c>
      <c r="D2497" s="677">
        <v>9</v>
      </c>
      <c r="E2497" s="678" t="s">
        <v>2747</v>
      </c>
      <c r="F2497" s="170"/>
    </row>
    <row r="2498" spans="2:6" ht="15" x14ac:dyDescent="0.25">
      <c r="B2498" s="169"/>
      <c r="C2498" s="679">
        <v>3339984</v>
      </c>
      <c r="D2498" s="677">
        <v>1</v>
      </c>
      <c r="E2498" s="678" t="s">
        <v>8348</v>
      </c>
      <c r="F2498" s="170"/>
    </row>
    <row r="2499" spans="2:6" ht="15" x14ac:dyDescent="0.25">
      <c r="B2499" s="169"/>
      <c r="C2499" s="679">
        <v>2961278</v>
      </c>
      <c r="D2499" s="677">
        <v>1</v>
      </c>
      <c r="E2499" s="678" t="s">
        <v>2748</v>
      </c>
      <c r="F2499" s="170"/>
    </row>
    <row r="2500" spans="2:6" ht="15" x14ac:dyDescent="0.25">
      <c r="B2500" s="169"/>
      <c r="C2500" s="679">
        <v>3070959</v>
      </c>
      <c r="D2500" s="677">
        <v>8</v>
      </c>
      <c r="E2500" s="678" t="s">
        <v>2749</v>
      </c>
      <c r="F2500" s="170"/>
    </row>
    <row r="2501" spans="2:6" ht="15" x14ac:dyDescent="0.25">
      <c r="B2501" s="169"/>
      <c r="C2501" s="679">
        <v>2961556</v>
      </c>
      <c r="D2501" s="677">
        <v>9</v>
      </c>
      <c r="E2501" s="678" t="s">
        <v>2750</v>
      </c>
      <c r="F2501" s="170"/>
    </row>
    <row r="2502" spans="2:6" ht="15" x14ac:dyDescent="0.25">
      <c r="B2502" s="169"/>
      <c r="C2502" s="679">
        <v>2961557</v>
      </c>
      <c r="D2502" s="677">
        <v>7</v>
      </c>
      <c r="E2502" s="678" t="s">
        <v>2751</v>
      </c>
      <c r="F2502" s="170"/>
    </row>
    <row r="2503" spans="2:6" ht="15" x14ac:dyDescent="0.25">
      <c r="B2503" s="169"/>
      <c r="C2503" s="679">
        <v>2961558</v>
      </c>
      <c r="D2503" s="677">
        <v>5</v>
      </c>
      <c r="E2503" s="678" t="s">
        <v>2752</v>
      </c>
      <c r="F2503" s="170"/>
    </row>
    <row r="2504" spans="2:6" ht="15" x14ac:dyDescent="0.25">
      <c r="B2504" s="169"/>
      <c r="C2504" s="679">
        <v>3310410</v>
      </c>
      <c r="D2504" s="677">
        <v>7</v>
      </c>
      <c r="E2504" s="678" t="s">
        <v>8349</v>
      </c>
      <c r="F2504" s="170"/>
    </row>
    <row r="2505" spans="2:6" ht="15" x14ac:dyDescent="0.25">
      <c r="B2505" s="169"/>
      <c r="C2505" s="679">
        <v>3285618</v>
      </c>
      <c r="D2505" s="677">
        <v>1</v>
      </c>
      <c r="E2505" s="678" t="s">
        <v>8350</v>
      </c>
      <c r="F2505" s="170"/>
    </row>
    <row r="2506" spans="2:6" ht="15" x14ac:dyDescent="0.25">
      <c r="B2506" s="169"/>
      <c r="C2506" s="679">
        <v>2961282</v>
      </c>
      <c r="D2506" s="677">
        <v>9</v>
      </c>
      <c r="E2506" s="678" t="s">
        <v>2753</v>
      </c>
      <c r="F2506" s="170"/>
    </row>
    <row r="2507" spans="2:6" ht="15" x14ac:dyDescent="0.25">
      <c r="B2507" s="169"/>
      <c r="C2507" s="679">
        <v>2961560</v>
      </c>
      <c r="D2507" s="677">
        <v>7</v>
      </c>
      <c r="E2507" s="678" t="s">
        <v>2754</v>
      </c>
      <c r="F2507" s="170"/>
    </row>
    <row r="2508" spans="2:6" ht="15" x14ac:dyDescent="0.25">
      <c r="B2508" s="169"/>
      <c r="C2508" s="679">
        <v>2961284</v>
      </c>
      <c r="D2508" s="677">
        <v>5</v>
      </c>
      <c r="E2508" s="678" t="s">
        <v>2755</v>
      </c>
      <c r="F2508" s="170"/>
    </row>
    <row r="2509" spans="2:6" ht="15" x14ac:dyDescent="0.25">
      <c r="B2509" s="169"/>
      <c r="C2509" s="679">
        <v>3275288</v>
      </c>
      <c r="D2509" s="677">
        <v>1</v>
      </c>
      <c r="E2509" s="678" t="s">
        <v>8351</v>
      </c>
      <c r="F2509" s="170"/>
    </row>
    <row r="2510" spans="2:6" ht="15" x14ac:dyDescent="0.25">
      <c r="B2510" s="169"/>
      <c r="C2510" s="679">
        <v>3199596</v>
      </c>
      <c r="D2510" s="677">
        <v>9</v>
      </c>
      <c r="E2510" s="678" t="s">
        <v>8352</v>
      </c>
      <c r="F2510" s="170"/>
    </row>
    <row r="2511" spans="2:6" ht="15" x14ac:dyDescent="0.25">
      <c r="B2511" s="169"/>
      <c r="C2511" s="679">
        <v>3325561</v>
      </c>
      <c r="D2511" s="677">
        <v>0</v>
      </c>
      <c r="E2511" s="678" t="s">
        <v>8353</v>
      </c>
      <c r="F2511" s="170"/>
    </row>
    <row r="2512" spans="2:6" ht="15" x14ac:dyDescent="0.25">
      <c r="B2512" s="169"/>
      <c r="C2512" s="679">
        <v>2961562</v>
      </c>
      <c r="D2512" s="677">
        <v>3</v>
      </c>
      <c r="E2512" s="678" t="s">
        <v>2756</v>
      </c>
      <c r="F2512" s="170"/>
    </row>
    <row r="2513" spans="2:6" ht="15" x14ac:dyDescent="0.25">
      <c r="B2513" s="169"/>
      <c r="C2513" s="679">
        <v>3144897</v>
      </c>
      <c r="D2513" s="677">
        <v>6</v>
      </c>
      <c r="E2513" s="678" t="s">
        <v>2757</v>
      </c>
      <c r="F2513" s="170"/>
    </row>
    <row r="2514" spans="2:6" ht="15" x14ac:dyDescent="0.25">
      <c r="B2514" s="169"/>
      <c r="C2514" s="679">
        <v>3086236</v>
      </c>
      <c r="D2514" s="677">
        <v>1</v>
      </c>
      <c r="E2514" s="678" t="s">
        <v>2758</v>
      </c>
      <c r="F2514" s="170"/>
    </row>
    <row r="2515" spans="2:6" ht="15" x14ac:dyDescent="0.25">
      <c r="B2515" s="169"/>
      <c r="C2515" s="679">
        <v>3353862</v>
      </c>
      <c r="D2515" s="677">
        <v>0</v>
      </c>
      <c r="E2515" s="678" t="s">
        <v>8354</v>
      </c>
      <c r="F2515" s="170"/>
    </row>
    <row r="2516" spans="2:6" ht="15" x14ac:dyDescent="0.25">
      <c r="B2516" s="169"/>
      <c r="C2516" s="679">
        <v>3263175</v>
      </c>
      <c r="D2516" s="677">
        <v>8</v>
      </c>
      <c r="E2516" s="678" t="s">
        <v>8355</v>
      </c>
      <c r="F2516" s="170"/>
    </row>
    <row r="2517" spans="2:6" ht="15" x14ac:dyDescent="0.25">
      <c r="B2517" s="169"/>
      <c r="C2517" s="679">
        <v>2961286</v>
      </c>
      <c r="D2517" s="677">
        <v>1</v>
      </c>
      <c r="E2517" s="678" t="s">
        <v>2759</v>
      </c>
      <c r="F2517" s="170"/>
    </row>
    <row r="2518" spans="2:6" ht="15" x14ac:dyDescent="0.25">
      <c r="B2518" s="169"/>
      <c r="C2518" s="679">
        <v>2961564</v>
      </c>
      <c r="D2518" s="677">
        <v>0</v>
      </c>
      <c r="E2518" s="678" t="s">
        <v>2760</v>
      </c>
      <c r="F2518" s="170"/>
    </row>
    <row r="2519" spans="2:6" ht="15" x14ac:dyDescent="0.25">
      <c r="B2519" s="169"/>
      <c r="C2519" s="679">
        <v>2961288</v>
      </c>
      <c r="D2519" s="677">
        <v>8</v>
      </c>
      <c r="E2519" s="678" t="s">
        <v>2761</v>
      </c>
      <c r="F2519" s="170"/>
    </row>
    <row r="2520" spans="2:6" ht="15" x14ac:dyDescent="0.25">
      <c r="B2520" s="169"/>
      <c r="C2520" s="679">
        <v>3075061</v>
      </c>
      <c r="D2520" s="677">
        <v>0</v>
      </c>
      <c r="E2520" s="678" t="s">
        <v>2762</v>
      </c>
      <c r="F2520" s="170"/>
    </row>
    <row r="2521" spans="2:6" ht="15" x14ac:dyDescent="0.25">
      <c r="B2521" s="169"/>
      <c r="C2521" s="679">
        <v>3215487</v>
      </c>
      <c r="D2521" s="677">
        <v>9</v>
      </c>
      <c r="E2521" s="678" t="s">
        <v>8356</v>
      </c>
      <c r="F2521" s="170"/>
    </row>
    <row r="2522" spans="2:6" ht="15" x14ac:dyDescent="0.25">
      <c r="B2522" s="169"/>
      <c r="C2522" s="679">
        <v>3070373</v>
      </c>
      <c r="D2522" s="677">
        <v>5</v>
      </c>
      <c r="E2522" s="678" t="s">
        <v>2763</v>
      </c>
      <c r="F2522" s="170"/>
    </row>
    <row r="2523" spans="2:6" ht="15" x14ac:dyDescent="0.25">
      <c r="B2523" s="169"/>
      <c r="C2523" s="679">
        <v>3068751</v>
      </c>
      <c r="D2523" s="677">
        <v>9</v>
      </c>
      <c r="E2523" s="678" t="s">
        <v>2764</v>
      </c>
      <c r="F2523" s="170"/>
    </row>
    <row r="2524" spans="2:6" ht="15" x14ac:dyDescent="0.25">
      <c r="B2524" s="169"/>
      <c r="C2524" s="679">
        <v>3068746</v>
      </c>
      <c r="D2524" s="677">
        <v>2</v>
      </c>
      <c r="E2524" s="678" t="s">
        <v>2764</v>
      </c>
      <c r="F2524" s="170"/>
    </row>
    <row r="2525" spans="2:6" ht="15" x14ac:dyDescent="0.25">
      <c r="B2525" s="169"/>
      <c r="C2525" s="679">
        <v>2961566</v>
      </c>
      <c r="D2525" s="677">
        <v>6</v>
      </c>
      <c r="E2525" s="678" t="s">
        <v>2765</v>
      </c>
      <c r="F2525" s="170"/>
    </row>
    <row r="2526" spans="2:6" ht="15" x14ac:dyDescent="0.25">
      <c r="B2526" s="169"/>
      <c r="C2526" s="679">
        <v>2961567</v>
      </c>
      <c r="D2526" s="677">
        <v>4</v>
      </c>
      <c r="E2526" s="678" t="s">
        <v>2766</v>
      </c>
      <c r="F2526" s="170"/>
    </row>
    <row r="2527" spans="2:6" ht="15" x14ac:dyDescent="0.25">
      <c r="B2527" s="169"/>
      <c r="C2527" s="679">
        <v>2961291</v>
      </c>
      <c r="D2527" s="677">
        <v>8</v>
      </c>
      <c r="E2527" s="678" t="s">
        <v>2767</v>
      </c>
      <c r="F2527" s="170"/>
    </row>
    <row r="2528" spans="2:6" ht="15" x14ac:dyDescent="0.25">
      <c r="B2528" s="169"/>
      <c r="C2528" s="679">
        <v>2961292</v>
      </c>
      <c r="D2528" s="677">
        <v>6</v>
      </c>
      <c r="E2528" s="678" t="s">
        <v>2768</v>
      </c>
      <c r="F2528" s="170"/>
    </row>
    <row r="2529" spans="2:6" ht="15" x14ac:dyDescent="0.25">
      <c r="B2529" s="169"/>
      <c r="C2529" s="679">
        <v>2961570</v>
      </c>
      <c r="D2529" s="677">
        <v>4</v>
      </c>
      <c r="E2529" s="678" t="s">
        <v>2769</v>
      </c>
      <c r="F2529" s="170"/>
    </row>
    <row r="2530" spans="2:6" ht="15" x14ac:dyDescent="0.25">
      <c r="B2530" s="169"/>
      <c r="C2530" s="679">
        <v>3072872</v>
      </c>
      <c r="D2530" s="677">
        <v>0</v>
      </c>
      <c r="E2530" s="678" t="s">
        <v>2770</v>
      </c>
      <c r="F2530" s="170"/>
    </row>
    <row r="2531" spans="2:6" ht="15" x14ac:dyDescent="0.25">
      <c r="B2531" s="169"/>
      <c r="C2531" s="679">
        <v>3103130</v>
      </c>
      <c r="D2531" s="677">
        <v>7</v>
      </c>
      <c r="E2531" s="678" t="s">
        <v>2771</v>
      </c>
      <c r="F2531" s="170"/>
    </row>
    <row r="2532" spans="2:6" ht="15" x14ac:dyDescent="0.25">
      <c r="B2532" s="169"/>
      <c r="C2532" s="679">
        <v>3103131</v>
      </c>
      <c r="D2532" s="677">
        <v>5</v>
      </c>
      <c r="E2532" s="678" t="s">
        <v>2772</v>
      </c>
      <c r="F2532" s="170"/>
    </row>
    <row r="2533" spans="2:6" ht="15" x14ac:dyDescent="0.25">
      <c r="B2533" s="169"/>
      <c r="C2533" s="679">
        <v>3078265</v>
      </c>
      <c r="D2533" s="677">
        <v>1</v>
      </c>
      <c r="E2533" s="678" t="s">
        <v>2773</v>
      </c>
      <c r="F2533" s="170"/>
    </row>
    <row r="2534" spans="2:6" ht="15" x14ac:dyDescent="0.25">
      <c r="B2534" s="169"/>
      <c r="C2534" s="679">
        <v>3072920</v>
      </c>
      <c r="D2534" s="677">
        <v>3</v>
      </c>
      <c r="E2534" s="678" t="s">
        <v>2774</v>
      </c>
      <c r="F2534" s="170"/>
    </row>
    <row r="2535" spans="2:6" ht="15" x14ac:dyDescent="0.25">
      <c r="B2535" s="169"/>
      <c r="C2535" s="679">
        <v>2961294</v>
      </c>
      <c r="D2535" s="677">
        <v>2</v>
      </c>
      <c r="E2535" s="678" t="s">
        <v>2775</v>
      </c>
      <c r="F2535" s="170"/>
    </row>
    <row r="2536" spans="2:6" ht="15" x14ac:dyDescent="0.25">
      <c r="B2536" s="169"/>
      <c r="C2536" s="679">
        <v>3069766</v>
      </c>
      <c r="D2536" s="677">
        <v>2</v>
      </c>
      <c r="E2536" s="678" t="s">
        <v>2776</v>
      </c>
      <c r="F2536" s="170"/>
    </row>
    <row r="2537" spans="2:6" ht="15" x14ac:dyDescent="0.25">
      <c r="B2537" s="169"/>
      <c r="C2537" s="679">
        <v>2961572</v>
      </c>
      <c r="D2537" s="677">
        <v>1</v>
      </c>
      <c r="E2537" s="678" t="s">
        <v>2777</v>
      </c>
      <c r="F2537" s="170"/>
    </row>
    <row r="2538" spans="2:6" ht="15" x14ac:dyDescent="0.25">
      <c r="B2538" s="169"/>
      <c r="C2538" s="679">
        <v>2961296</v>
      </c>
      <c r="D2538" s="677">
        <v>9</v>
      </c>
      <c r="E2538" s="678" t="s">
        <v>2778</v>
      </c>
      <c r="F2538" s="170"/>
    </row>
    <row r="2539" spans="2:6" ht="15" x14ac:dyDescent="0.25">
      <c r="B2539" s="169"/>
      <c r="C2539" s="679">
        <v>3103103</v>
      </c>
      <c r="D2539" s="677">
        <v>0</v>
      </c>
      <c r="E2539" s="678" t="s">
        <v>2779</v>
      </c>
      <c r="F2539" s="170"/>
    </row>
    <row r="2540" spans="2:6" ht="15" x14ac:dyDescent="0.25">
      <c r="B2540" s="169"/>
      <c r="C2540" s="679">
        <v>2961574</v>
      </c>
      <c r="D2540" s="677">
        <v>7</v>
      </c>
      <c r="E2540" s="678" t="s">
        <v>2780</v>
      </c>
      <c r="F2540" s="170"/>
    </row>
    <row r="2541" spans="2:6" ht="15" x14ac:dyDescent="0.25">
      <c r="B2541" s="169"/>
      <c r="C2541" s="679">
        <v>2961575</v>
      </c>
      <c r="D2541" s="677">
        <v>5</v>
      </c>
      <c r="E2541" s="678" t="s">
        <v>2781</v>
      </c>
      <c r="F2541" s="170"/>
    </row>
    <row r="2542" spans="2:6" ht="15" x14ac:dyDescent="0.25">
      <c r="B2542" s="169"/>
      <c r="C2542" s="679">
        <v>2961298</v>
      </c>
      <c r="D2542" s="677">
        <v>5</v>
      </c>
      <c r="E2542" s="678" t="s">
        <v>2781</v>
      </c>
      <c r="F2542" s="170"/>
    </row>
    <row r="2543" spans="2:6" ht="15" x14ac:dyDescent="0.25">
      <c r="B2543" s="169"/>
      <c r="C2543" s="679">
        <v>3070370</v>
      </c>
      <c r="D2543" s="677">
        <v>1</v>
      </c>
      <c r="E2543" s="678" t="s">
        <v>2782</v>
      </c>
      <c r="F2543" s="170"/>
    </row>
    <row r="2544" spans="2:6" ht="15" x14ac:dyDescent="0.25">
      <c r="B2544" s="169"/>
      <c r="C2544" s="679">
        <v>3103138</v>
      </c>
      <c r="D2544" s="677">
        <v>2</v>
      </c>
      <c r="E2544" s="678" t="s">
        <v>2783</v>
      </c>
      <c r="F2544" s="170"/>
    </row>
    <row r="2545" spans="2:6" ht="15" x14ac:dyDescent="0.25">
      <c r="B2545" s="169"/>
      <c r="C2545" s="679">
        <v>2961576</v>
      </c>
      <c r="D2545" s="677">
        <v>3</v>
      </c>
      <c r="E2545" s="678" t="s">
        <v>2784</v>
      </c>
      <c r="F2545" s="170"/>
    </row>
    <row r="2546" spans="2:6" ht="15" x14ac:dyDescent="0.25">
      <c r="B2546" s="169"/>
      <c r="C2546" s="679">
        <v>3072918</v>
      </c>
      <c r="D2546" s="677">
        <v>1</v>
      </c>
      <c r="E2546" s="678" t="s">
        <v>2785</v>
      </c>
      <c r="F2546" s="170"/>
    </row>
    <row r="2547" spans="2:6" ht="15" x14ac:dyDescent="0.25">
      <c r="B2547" s="169"/>
      <c r="C2547" s="679">
        <v>3095225</v>
      </c>
      <c r="D2547" s="677">
        <v>5</v>
      </c>
      <c r="E2547" s="678" t="s">
        <v>2786</v>
      </c>
      <c r="F2547" s="170"/>
    </row>
    <row r="2548" spans="2:6" ht="15" x14ac:dyDescent="0.25">
      <c r="B2548" s="169"/>
      <c r="C2548" s="679">
        <v>3227611</v>
      </c>
      <c r="D2548" s="677">
        <v>7</v>
      </c>
      <c r="E2548" s="678" t="s">
        <v>8357</v>
      </c>
      <c r="F2548" s="170"/>
    </row>
    <row r="2549" spans="2:6" ht="15" x14ac:dyDescent="0.25">
      <c r="B2549" s="169"/>
      <c r="C2549" s="679">
        <v>3314742</v>
      </c>
      <c r="D2549" s="677">
        <v>6</v>
      </c>
      <c r="E2549" s="678" t="s">
        <v>8358</v>
      </c>
      <c r="F2549" s="170"/>
    </row>
    <row r="2550" spans="2:6" ht="15" x14ac:dyDescent="0.25">
      <c r="B2550" s="169"/>
      <c r="C2550" s="679">
        <v>3155495</v>
      </c>
      <c r="D2550" s="677">
        <v>4</v>
      </c>
      <c r="E2550" s="678" t="s">
        <v>2787</v>
      </c>
      <c r="F2550" s="170"/>
    </row>
    <row r="2551" spans="2:6" ht="15" x14ac:dyDescent="0.25">
      <c r="B2551" s="169"/>
      <c r="C2551" s="679">
        <v>3088301</v>
      </c>
      <c r="D2551" s="677">
        <v>6</v>
      </c>
      <c r="E2551" s="678" t="s">
        <v>2788</v>
      </c>
      <c r="F2551" s="170"/>
    </row>
    <row r="2552" spans="2:6" ht="15" x14ac:dyDescent="0.25">
      <c r="B2552" s="169"/>
      <c r="C2552" s="679">
        <v>3264517</v>
      </c>
      <c r="D2552" s="677">
        <v>1</v>
      </c>
      <c r="E2552" s="678" t="s">
        <v>8359</v>
      </c>
      <c r="F2552" s="170"/>
    </row>
    <row r="2553" spans="2:6" ht="15" x14ac:dyDescent="0.25">
      <c r="B2553" s="169"/>
      <c r="C2553" s="679">
        <v>2961300</v>
      </c>
      <c r="D2553" s="677">
        <v>1</v>
      </c>
      <c r="E2553" s="678" t="s">
        <v>2789</v>
      </c>
      <c r="F2553" s="170"/>
    </row>
    <row r="2554" spans="2:6" ht="15" x14ac:dyDescent="0.25">
      <c r="B2554" s="169"/>
      <c r="C2554" s="679">
        <v>3150388</v>
      </c>
      <c r="D2554" s="677">
        <v>8</v>
      </c>
      <c r="E2554" s="678" t="s">
        <v>2790</v>
      </c>
      <c r="F2554" s="170"/>
    </row>
    <row r="2555" spans="2:6" ht="15" x14ac:dyDescent="0.25">
      <c r="B2555" s="169"/>
      <c r="C2555" s="679">
        <v>3351255</v>
      </c>
      <c r="D2555" s="677">
        <v>8</v>
      </c>
      <c r="E2555" s="678" t="s">
        <v>8360</v>
      </c>
      <c r="F2555" s="170"/>
    </row>
    <row r="2556" spans="2:6" ht="15" x14ac:dyDescent="0.25">
      <c r="B2556" s="169"/>
      <c r="C2556" s="679">
        <v>3048181</v>
      </c>
      <c r="D2556" s="677">
        <v>3</v>
      </c>
      <c r="E2556" s="678" t="s">
        <v>2791</v>
      </c>
      <c r="F2556" s="170"/>
    </row>
    <row r="2557" spans="2:6" ht="15" x14ac:dyDescent="0.25">
      <c r="B2557" s="169"/>
      <c r="C2557" s="679">
        <v>3263326</v>
      </c>
      <c r="D2557" s="677">
        <v>2</v>
      </c>
      <c r="E2557" s="678" t="s">
        <v>8361</v>
      </c>
      <c r="F2557" s="170"/>
    </row>
    <row r="2558" spans="2:6" ht="15" x14ac:dyDescent="0.25">
      <c r="B2558" s="169"/>
      <c r="C2558" s="679">
        <v>3048182</v>
      </c>
      <c r="D2558" s="677">
        <v>1</v>
      </c>
      <c r="E2558" s="678" t="s">
        <v>2792</v>
      </c>
      <c r="F2558" s="170"/>
    </row>
    <row r="2559" spans="2:6" ht="15" x14ac:dyDescent="0.25">
      <c r="B2559" s="169"/>
      <c r="C2559" s="679">
        <v>3275237</v>
      </c>
      <c r="D2559" s="677">
        <v>7</v>
      </c>
      <c r="E2559" s="678" t="s">
        <v>8362</v>
      </c>
      <c r="F2559" s="170"/>
    </row>
    <row r="2560" spans="2:6" ht="15" x14ac:dyDescent="0.25">
      <c r="B2560" s="169"/>
      <c r="C2560" s="679">
        <v>3075059</v>
      </c>
      <c r="D2560" s="677">
        <v>8</v>
      </c>
      <c r="E2560" s="678" t="s">
        <v>2793</v>
      </c>
      <c r="F2560" s="170"/>
    </row>
    <row r="2561" spans="2:6" ht="15" x14ac:dyDescent="0.25">
      <c r="B2561" s="169"/>
      <c r="C2561" s="679">
        <v>2961301</v>
      </c>
      <c r="D2561" s="677">
        <v>9</v>
      </c>
      <c r="E2561" s="678" t="s">
        <v>2794</v>
      </c>
      <c r="F2561" s="170"/>
    </row>
    <row r="2562" spans="2:6" ht="15" x14ac:dyDescent="0.25">
      <c r="B2562" s="169"/>
      <c r="C2562" s="679">
        <v>2961579</v>
      </c>
      <c r="D2562" s="677">
        <v>8</v>
      </c>
      <c r="E2562" s="678" t="s">
        <v>2795</v>
      </c>
      <c r="F2562" s="170"/>
    </row>
    <row r="2563" spans="2:6" ht="15" x14ac:dyDescent="0.25">
      <c r="B2563" s="169"/>
      <c r="C2563" s="679">
        <v>3103132</v>
      </c>
      <c r="D2563" s="677">
        <v>3</v>
      </c>
      <c r="E2563" s="678" t="s">
        <v>2796</v>
      </c>
      <c r="F2563" s="170"/>
    </row>
    <row r="2564" spans="2:6" ht="15" x14ac:dyDescent="0.25">
      <c r="B2564" s="169"/>
      <c r="C2564" s="679">
        <v>3086241</v>
      </c>
      <c r="D2564" s="677">
        <v>8</v>
      </c>
      <c r="E2564" s="678" t="s">
        <v>2797</v>
      </c>
      <c r="F2564" s="170"/>
    </row>
    <row r="2565" spans="2:6" ht="15" x14ac:dyDescent="0.25">
      <c r="B2565" s="169"/>
      <c r="C2565" s="679">
        <v>3296013</v>
      </c>
      <c r="D2565" s="677">
        <v>1</v>
      </c>
      <c r="E2565" s="678" t="s">
        <v>8363</v>
      </c>
      <c r="F2565" s="170"/>
    </row>
    <row r="2566" spans="2:6" ht="15" x14ac:dyDescent="0.25">
      <c r="B2566" s="169"/>
      <c r="C2566" s="679">
        <v>3076275</v>
      </c>
      <c r="D2566" s="677">
        <v>8</v>
      </c>
      <c r="E2566" s="678" t="s">
        <v>2798</v>
      </c>
      <c r="F2566" s="170"/>
    </row>
    <row r="2567" spans="2:6" ht="15" x14ac:dyDescent="0.25">
      <c r="B2567" s="169"/>
      <c r="C2567" s="679">
        <v>3325559</v>
      </c>
      <c r="D2567" s="677">
        <v>8</v>
      </c>
      <c r="E2567" s="678" t="s">
        <v>8364</v>
      </c>
      <c r="F2567" s="170"/>
    </row>
    <row r="2568" spans="2:6" ht="15" x14ac:dyDescent="0.25">
      <c r="B2568" s="169"/>
      <c r="C2568" s="679">
        <v>2961303</v>
      </c>
      <c r="D2568" s="677">
        <v>5</v>
      </c>
      <c r="E2568" s="678" t="s">
        <v>2799</v>
      </c>
      <c r="F2568" s="170"/>
    </row>
    <row r="2569" spans="2:6" ht="15" x14ac:dyDescent="0.25">
      <c r="B2569" s="169"/>
      <c r="C2569" s="679">
        <v>3072873</v>
      </c>
      <c r="D2569" s="677">
        <v>8</v>
      </c>
      <c r="E2569" s="678" t="s">
        <v>2800</v>
      </c>
      <c r="F2569" s="170"/>
    </row>
    <row r="2570" spans="2:6" ht="15" x14ac:dyDescent="0.25">
      <c r="B2570" s="169"/>
      <c r="C2570" s="679">
        <v>3070961</v>
      </c>
      <c r="D2570" s="677">
        <v>0</v>
      </c>
      <c r="E2570" s="678" t="s">
        <v>2801</v>
      </c>
      <c r="F2570" s="170"/>
    </row>
    <row r="2571" spans="2:6" ht="15" x14ac:dyDescent="0.25">
      <c r="B2571" s="169"/>
      <c r="C2571" s="679">
        <v>2963122</v>
      </c>
      <c r="D2571" s="677">
        <v>0</v>
      </c>
      <c r="E2571" s="678" t="s">
        <v>2802</v>
      </c>
      <c r="F2571" s="170"/>
    </row>
    <row r="2572" spans="2:6" ht="15" x14ac:dyDescent="0.25">
      <c r="B2572" s="169"/>
      <c r="C2572" s="679">
        <v>3078267</v>
      </c>
      <c r="D2572" s="677">
        <v>8</v>
      </c>
      <c r="E2572" s="678" t="s">
        <v>2803</v>
      </c>
      <c r="F2572" s="170"/>
    </row>
    <row r="2573" spans="2:6" ht="15" x14ac:dyDescent="0.25">
      <c r="B2573" s="169"/>
      <c r="C2573" s="679">
        <v>3078266</v>
      </c>
      <c r="D2573" s="677">
        <v>0</v>
      </c>
      <c r="E2573" s="678" t="s">
        <v>2804</v>
      </c>
      <c r="F2573" s="170"/>
    </row>
    <row r="2574" spans="2:6" ht="15" x14ac:dyDescent="0.25">
      <c r="B2574" s="169"/>
      <c r="C2574" s="679">
        <v>2961304</v>
      </c>
      <c r="D2574" s="677">
        <v>3</v>
      </c>
      <c r="E2574" s="678" t="s">
        <v>2805</v>
      </c>
      <c r="F2574" s="170"/>
    </row>
    <row r="2575" spans="2:6" ht="15" x14ac:dyDescent="0.25">
      <c r="B2575" s="169"/>
      <c r="C2575" s="679">
        <v>3285625</v>
      </c>
      <c r="D2575" s="677">
        <v>3</v>
      </c>
      <c r="E2575" s="678" t="s">
        <v>8365</v>
      </c>
      <c r="F2575" s="170"/>
    </row>
    <row r="2576" spans="2:6" ht="15" x14ac:dyDescent="0.25">
      <c r="B2576" s="169"/>
      <c r="C2576" s="679">
        <v>3075036</v>
      </c>
      <c r="D2576" s="677">
        <v>9</v>
      </c>
      <c r="E2576" s="678" t="s">
        <v>2806</v>
      </c>
      <c r="F2576" s="170"/>
    </row>
    <row r="2577" spans="2:6" ht="15" x14ac:dyDescent="0.25">
      <c r="B2577" s="169"/>
      <c r="C2577" s="679">
        <v>3098873</v>
      </c>
      <c r="D2577" s="677">
        <v>0</v>
      </c>
      <c r="E2577" s="678" t="s">
        <v>2807</v>
      </c>
      <c r="F2577" s="170"/>
    </row>
    <row r="2578" spans="2:6" ht="15" x14ac:dyDescent="0.25">
      <c r="B2578" s="169"/>
      <c r="C2578" s="679">
        <v>2961582</v>
      </c>
      <c r="D2578" s="677">
        <v>8</v>
      </c>
      <c r="E2578" s="678" t="s">
        <v>2808</v>
      </c>
      <c r="F2578" s="170"/>
    </row>
    <row r="2579" spans="2:6" ht="15" x14ac:dyDescent="0.25">
      <c r="B2579" s="169"/>
      <c r="C2579" s="679">
        <v>2961583</v>
      </c>
      <c r="D2579" s="677">
        <v>6</v>
      </c>
      <c r="E2579" s="678" t="s">
        <v>2809</v>
      </c>
      <c r="F2579" s="170"/>
    </row>
    <row r="2580" spans="2:6" ht="15" x14ac:dyDescent="0.25">
      <c r="B2580" s="169"/>
      <c r="C2580" s="679">
        <v>3158629</v>
      </c>
      <c r="D2580" s="677">
        <v>5</v>
      </c>
      <c r="E2580" s="678" t="s">
        <v>2810</v>
      </c>
      <c r="F2580" s="170"/>
    </row>
    <row r="2581" spans="2:6" ht="15" x14ac:dyDescent="0.25">
      <c r="B2581" s="169"/>
      <c r="C2581" s="679">
        <v>3353858</v>
      </c>
      <c r="D2581" s="677">
        <v>1</v>
      </c>
      <c r="E2581" s="678" t="s">
        <v>8366</v>
      </c>
      <c r="F2581" s="170"/>
    </row>
    <row r="2582" spans="2:6" ht="15" x14ac:dyDescent="0.25">
      <c r="B2582" s="169"/>
      <c r="C2582" s="679">
        <v>3285623</v>
      </c>
      <c r="D2582" s="677">
        <v>7</v>
      </c>
      <c r="E2582" s="678" t="s">
        <v>8367</v>
      </c>
      <c r="F2582" s="170"/>
    </row>
    <row r="2583" spans="2:6" ht="15" x14ac:dyDescent="0.25">
      <c r="B2583" s="169"/>
      <c r="C2583" s="679">
        <v>3069630</v>
      </c>
      <c r="D2583" s="677">
        <v>5</v>
      </c>
      <c r="E2583" s="678" t="s">
        <v>2811</v>
      </c>
      <c r="F2583" s="170"/>
    </row>
    <row r="2584" spans="2:6" ht="15" x14ac:dyDescent="0.25">
      <c r="B2584" s="169"/>
      <c r="C2584" s="679">
        <v>3296003</v>
      </c>
      <c r="D2584" s="677">
        <v>4</v>
      </c>
      <c r="E2584" s="678" t="s">
        <v>8368</v>
      </c>
      <c r="F2584" s="170"/>
    </row>
    <row r="2585" spans="2:6" ht="15" x14ac:dyDescent="0.25">
      <c r="B2585" s="169"/>
      <c r="C2585" s="679">
        <v>3311092</v>
      </c>
      <c r="D2585" s="677">
        <v>1</v>
      </c>
      <c r="E2585" s="678" t="s">
        <v>8369</v>
      </c>
      <c r="F2585" s="170"/>
    </row>
    <row r="2586" spans="2:6" ht="15" x14ac:dyDescent="0.25">
      <c r="B2586" s="169"/>
      <c r="C2586" s="679">
        <v>3223839</v>
      </c>
      <c r="D2586" s="677">
        <v>8</v>
      </c>
      <c r="E2586" s="678" t="s">
        <v>8370</v>
      </c>
      <c r="F2586" s="170"/>
    </row>
    <row r="2587" spans="2:6" ht="15" x14ac:dyDescent="0.25">
      <c r="B2587" s="169"/>
      <c r="C2587" s="679">
        <v>2961307</v>
      </c>
      <c r="D2587" s="677">
        <v>8</v>
      </c>
      <c r="E2587" s="678" t="s">
        <v>2812</v>
      </c>
      <c r="F2587" s="170"/>
    </row>
    <row r="2588" spans="2:6" ht="15" x14ac:dyDescent="0.25">
      <c r="B2588" s="169"/>
      <c r="C2588" s="679">
        <v>3072874</v>
      </c>
      <c r="D2588" s="677">
        <v>6</v>
      </c>
      <c r="E2588" s="678" t="s">
        <v>2813</v>
      </c>
      <c r="F2588" s="170"/>
    </row>
    <row r="2589" spans="2:6" ht="15" x14ac:dyDescent="0.25">
      <c r="B2589" s="169"/>
      <c r="C2589" s="679">
        <v>3223930</v>
      </c>
      <c r="D2589" s="677">
        <v>1</v>
      </c>
      <c r="E2589" s="678" t="s">
        <v>8371</v>
      </c>
      <c r="F2589" s="170"/>
    </row>
    <row r="2590" spans="2:6" ht="15" x14ac:dyDescent="0.25">
      <c r="B2590" s="169"/>
      <c r="C2590" s="679">
        <v>3293239</v>
      </c>
      <c r="D2590" s="677">
        <v>1</v>
      </c>
      <c r="E2590" s="678" t="s">
        <v>8372</v>
      </c>
      <c r="F2590" s="170"/>
    </row>
    <row r="2591" spans="2:6" ht="15" x14ac:dyDescent="0.25">
      <c r="B2591" s="169"/>
      <c r="C2591" s="679">
        <v>3302000</v>
      </c>
      <c r="D2591" s="677">
        <v>1</v>
      </c>
      <c r="E2591" s="678" t="s">
        <v>8373</v>
      </c>
      <c r="F2591" s="170"/>
    </row>
    <row r="2592" spans="2:6" ht="15" x14ac:dyDescent="0.25">
      <c r="B2592" s="169"/>
      <c r="C2592" s="679">
        <v>2961308</v>
      </c>
      <c r="D2592" s="677">
        <v>6</v>
      </c>
      <c r="E2592" s="678" t="s">
        <v>2814</v>
      </c>
      <c r="F2592" s="170"/>
    </row>
    <row r="2593" spans="2:6" ht="15" x14ac:dyDescent="0.25">
      <c r="B2593" s="169"/>
      <c r="C2593" s="679">
        <v>2961309</v>
      </c>
      <c r="D2593" s="677">
        <v>4</v>
      </c>
      <c r="E2593" s="678" t="s">
        <v>2815</v>
      </c>
      <c r="F2593" s="170"/>
    </row>
    <row r="2594" spans="2:6" ht="15" x14ac:dyDescent="0.25">
      <c r="B2594" s="169"/>
      <c r="C2594" s="679">
        <v>3325558</v>
      </c>
      <c r="D2594" s="677">
        <v>0</v>
      </c>
      <c r="E2594" s="678" t="s">
        <v>8374</v>
      </c>
      <c r="F2594" s="170"/>
    </row>
    <row r="2595" spans="2:6" ht="15" x14ac:dyDescent="0.25">
      <c r="B2595" s="169"/>
      <c r="C2595" s="679">
        <v>3222967</v>
      </c>
      <c r="D2595" s="677">
        <v>4</v>
      </c>
      <c r="E2595" s="678" t="s">
        <v>8375</v>
      </c>
      <c r="F2595" s="170"/>
    </row>
    <row r="2596" spans="2:6" ht="15" x14ac:dyDescent="0.25">
      <c r="B2596" s="169"/>
      <c r="C2596" s="679">
        <v>3229635</v>
      </c>
      <c r="D2596" s="677">
        <v>5</v>
      </c>
      <c r="E2596" s="678" t="s">
        <v>8376</v>
      </c>
      <c r="F2596" s="170"/>
    </row>
    <row r="2597" spans="2:6" ht="15" x14ac:dyDescent="0.25">
      <c r="B2597" s="169"/>
      <c r="C2597" s="679">
        <v>3079570</v>
      </c>
      <c r="D2597" s="677">
        <v>2</v>
      </c>
      <c r="E2597" s="678" t="s">
        <v>2816</v>
      </c>
      <c r="F2597" s="170"/>
    </row>
    <row r="2598" spans="2:6" ht="15" x14ac:dyDescent="0.25">
      <c r="B2598" s="169"/>
      <c r="C2598" s="679">
        <v>3075055</v>
      </c>
      <c r="D2598" s="677">
        <v>5</v>
      </c>
      <c r="E2598" s="678" t="s">
        <v>2817</v>
      </c>
      <c r="F2598" s="170"/>
    </row>
    <row r="2599" spans="2:6" ht="15" x14ac:dyDescent="0.25">
      <c r="B2599" s="169"/>
      <c r="C2599" s="679">
        <v>2961587</v>
      </c>
      <c r="D2599" s="677">
        <v>9</v>
      </c>
      <c r="E2599" s="678" t="s">
        <v>2818</v>
      </c>
      <c r="F2599" s="170"/>
    </row>
    <row r="2600" spans="2:6" ht="15" x14ac:dyDescent="0.25">
      <c r="B2600" s="169"/>
      <c r="C2600" s="679">
        <v>3189467</v>
      </c>
      <c r="D2600" s="677">
        <v>4</v>
      </c>
      <c r="E2600" s="678" t="s">
        <v>2819</v>
      </c>
      <c r="F2600" s="170"/>
    </row>
    <row r="2601" spans="2:6" ht="15" x14ac:dyDescent="0.25">
      <c r="B2601" s="169"/>
      <c r="C2601" s="679">
        <v>3142225</v>
      </c>
      <c r="D2601" s="677">
        <v>0</v>
      </c>
      <c r="E2601" s="678" t="s">
        <v>2820</v>
      </c>
      <c r="F2601" s="170"/>
    </row>
    <row r="2602" spans="2:6" ht="15" x14ac:dyDescent="0.25">
      <c r="B2602" s="169"/>
      <c r="C2602" s="679">
        <v>3157712</v>
      </c>
      <c r="D2602" s="677">
        <v>1</v>
      </c>
      <c r="E2602" s="678" t="s">
        <v>2821</v>
      </c>
      <c r="F2602" s="170"/>
    </row>
    <row r="2603" spans="2:6" ht="15" x14ac:dyDescent="0.25">
      <c r="B2603" s="169"/>
      <c r="C2603" s="679">
        <v>3278363</v>
      </c>
      <c r="D2603" s="677">
        <v>9</v>
      </c>
      <c r="E2603" s="678" t="s">
        <v>8377</v>
      </c>
      <c r="F2603" s="170"/>
    </row>
    <row r="2604" spans="2:6" ht="15" x14ac:dyDescent="0.25">
      <c r="B2604" s="169"/>
      <c r="C2604" s="679">
        <v>2961588</v>
      </c>
      <c r="D2604" s="677">
        <v>7</v>
      </c>
      <c r="E2604" s="678" t="s">
        <v>2822</v>
      </c>
      <c r="F2604" s="170"/>
    </row>
    <row r="2605" spans="2:6" ht="15" x14ac:dyDescent="0.25">
      <c r="B2605" s="169"/>
      <c r="C2605" s="679">
        <v>3310417</v>
      </c>
      <c r="D2605" s="677">
        <v>4</v>
      </c>
      <c r="E2605" s="678" t="s">
        <v>8378</v>
      </c>
      <c r="F2605" s="170"/>
    </row>
    <row r="2606" spans="2:6" ht="15" x14ac:dyDescent="0.25">
      <c r="B2606" s="169"/>
      <c r="C2606" s="679">
        <v>2961589</v>
      </c>
      <c r="D2606" s="677">
        <v>5</v>
      </c>
      <c r="E2606" s="678" t="s">
        <v>2823</v>
      </c>
      <c r="F2606" s="170"/>
    </row>
    <row r="2607" spans="2:6" ht="15" x14ac:dyDescent="0.25">
      <c r="B2607" s="169"/>
      <c r="C2607" s="679">
        <v>3339925</v>
      </c>
      <c r="D2607" s="677">
        <v>5</v>
      </c>
      <c r="E2607" s="678" t="s">
        <v>8379</v>
      </c>
      <c r="F2607" s="170"/>
    </row>
    <row r="2608" spans="2:6" ht="15" x14ac:dyDescent="0.25">
      <c r="B2608" s="169"/>
      <c r="C2608" s="679">
        <v>2961590</v>
      </c>
      <c r="D2608" s="677">
        <v>9</v>
      </c>
      <c r="E2608" s="678" t="s">
        <v>2824</v>
      </c>
      <c r="F2608" s="170"/>
    </row>
    <row r="2609" spans="2:6" ht="15" x14ac:dyDescent="0.25">
      <c r="B2609" s="169"/>
      <c r="C2609" s="679">
        <v>3171252</v>
      </c>
      <c r="D2609" s="677">
        <v>5</v>
      </c>
      <c r="E2609" s="678" t="s">
        <v>2825</v>
      </c>
      <c r="F2609" s="170"/>
    </row>
    <row r="2610" spans="2:6" ht="15" x14ac:dyDescent="0.25">
      <c r="B2610" s="169"/>
      <c r="C2610" s="679">
        <v>2961591</v>
      </c>
      <c r="D2610" s="677">
        <v>7</v>
      </c>
      <c r="E2610" s="678" t="s">
        <v>2826</v>
      </c>
      <c r="F2610" s="170"/>
    </row>
    <row r="2611" spans="2:6" ht="15" x14ac:dyDescent="0.25">
      <c r="B2611" s="169"/>
      <c r="C2611" s="679">
        <v>3076465</v>
      </c>
      <c r="D2611" s="677">
        <v>3</v>
      </c>
      <c r="E2611" s="678" t="s">
        <v>2827</v>
      </c>
      <c r="F2611" s="170"/>
    </row>
    <row r="2612" spans="2:6" ht="15" x14ac:dyDescent="0.25">
      <c r="B2612" s="169"/>
      <c r="C2612" s="679">
        <v>3087519</v>
      </c>
      <c r="D2612" s="677">
        <v>6</v>
      </c>
      <c r="E2612" s="678" t="s">
        <v>2828</v>
      </c>
      <c r="F2612" s="170"/>
    </row>
    <row r="2613" spans="2:6" ht="15" x14ac:dyDescent="0.25">
      <c r="B2613" s="169"/>
      <c r="C2613" s="679">
        <v>3098887</v>
      </c>
      <c r="D2613" s="677">
        <v>0</v>
      </c>
      <c r="E2613" s="678" t="s">
        <v>2829</v>
      </c>
      <c r="F2613" s="170"/>
    </row>
    <row r="2614" spans="2:6" ht="15" x14ac:dyDescent="0.25">
      <c r="B2614" s="169"/>
      <c r="C2614" s="679">
        <v>3161229</v>
      </c>
      <c r="D2614" s="677">
        <v>6</v>
      </c>
      <c r="E2614" s="678" t="s">
        <v>2830</v>
      </c>
      <c r="F2614" s="170"/>
    </row>
    <row r="2615" spans="2:6" ht="15" x14ac:dyDescent="0.25">
      <c r="B2615" s="169"/>
      <c r="C2615" s="679">
        <v>3295238</v>
      </c>
      <c r="D2615" s="677">
        <v>4</v>
      </c>
      <c r="E2615" s="678" t="s">
        <v>8380</v>
      </c>
      <c r="F2615" s="170"/>
    </row>
    <row r="2616" spans="2:6" ht="15" x14ac:dyDescent="0.25">
      <c r="B2616" s="169"/>
      <c r="C2616" s="679">
        <v>3140997</v>
      </c>
      <c r="D2616" s="677">
        <v>1</v>
      </c>
      <c r="E2616" s="678" t="s">
        <v>2831</v>
      </c>
      <c r="F2616" s="170"/>
    </row>
    <row r="2617" spans="2:6" ht="15" x14ac:dyDescent="0.25">
      <c r="B2617" s="169"/>
      <c r="C2617" s="679">
        <v>3113709</v>
      </c>
      <c r="D2617" s="677">
        <v>1</v>
      </c>
      <c r="E2617" s="678" t="s">
        <v>2832</v>
      </c>
      <c r="F2617" s="170"/>
    </row>
    <row r="2618" spans="2:6" ht="15" x14ac:dyDescent="0.25">
      <c r="B2618" s="169"/>
      <c r="C2618" s="679">
        <v>2961315</v>
      </c>
      <c r="D2618" s="677">
        <v>9</v>
      </c>
      <c r="E2618" s="678" t="s">
        <v>8381</v>
      </c>
      <c r="F2618" s="170"/>
    </row>
    <row r="2619" spans="2:6" ht="15" x14ac:dyDescent="0.25">
      <c r="B2619" s="169"/>
      <c r="C2619" s="679">
        <v>3310424</v>
      </c>
      <c r="D2619" s="677">
        <v>7</v>
      </c>
      <c r="E2619" s="678" t="s">
        <v>8382</v>
      </c>
      <c r="F2619" s="170"/>
    </row>
    <row r="2620" spans="2:6" ht="15" x14ac:dyDescent="0.25">
      <c r="B2620" s="169"/>
      <c r="C2620" s="679">
        <v>3100109</v>
      </c>
      <c r="D2620" s="677">
        <v>2</v>
      </c>
      <c r="E2620" s="678" t="s">
        <v>2833</v>
      </c>
      <c r="F2620" s="170"/>
    </row>
    <row r="2621" spans="2:6" ht="15" x14ac:dyDescent="0.25">
      <c r="B2621" s="169"/>
      <c r="C2621" s="679">
        <v>3332831</v>
      </c>
      <c r="D2621" s="677">
        <v>5</v>
      </c>
      <c r="E2621" s="678" t="s">
        <v>8383</v>
      </c>
      <c r="F2621" s="170"/>
    </row>
    <row r="2622" spans="2:6" ht="15" x14ac:dyDescent="0.25">
      <c r="B2622" s="169"/>
      <c r="C2622" s="679">
        <v>3058044</v>
      </c>
      <c r="D2622" s="677">
        <v>7</v>
      </c>
      <c r="E2622" s="678" t="s">
        <v>2834</v>
      </c>
      <c r="F2622" s="170"/>
    </row>
    <row r="2623" spans="2:6" ht="15" x14ac:dyDescent="0.25">
      <c r="B2623" s="169"/>
      <c r="C2623" s="679">
        <v>3058043</v>
      </c>
      <c r="D2623" s="677">
        <v>9</v>
      </c>
      <c r="E2623" s="678" t="s">
        <v>2835</v>
      </c>
      <c r="F2623" s="170"/>
    </row>
    <row r="2624" spans="2:6" ht="15" x14ac:dyDescent="0.25">
      <c r="B2624" s="169"/>
      <c r="C2624" s="679">
        <v>3275303</v>
      </c>
      <c r="D2624" s="677">
        <v>9</v>
      </c>
      <c r="E2624" s="678" t="s">
        <v>8384</v>
      </c>
      <c r="F2624" s="170"/>
    </row>
    <row r="2625" spans="2:6" ht="15" x14ac:dyDescent="0.25">
      <c r="B2625" s="169"/>
      <c r="C2625" s="679">
        <v>2961316</v>
      </c>
      <c r="D2625" s="677">
        <v>7</v>
      </c>
      <c r="E2625" s="678" t="s">
        <v>2836</v>
      </c>
      <c r="F2625" s="170"/>
    </row>
    <row r="2626" spans="2:6" ht="15" x14ac:dyDescent="0.25">
      <c r="B2626" s="169"/>
      <c r="C2626" s="679">
        <v>3263171</v>
      </c>
      <c r="D2626" s="677">
        <v>5</v>
      </c>
      <c r="E2626" s="678" t="s">
        <v>8385</v>
      </c>
      <c r="F2626" s="170"/>
    </row>
    <row r="2627" spans="2:6" ht="15" x14ac:dyDescent="0.25">
      <c r="B2627" s="169"/>
      <c r="C2627" s="679">
        <v>3088244</v>
      </c>
      <c r="D2627" s="677">
        <v>3</v>
      </c>
      <c r="E2627" s="678" t="s">
        <v>2837</v>
      </c>
      <c r="F2627" s="170"/>
    </row>
    <row r="2628" spans="2:6" ht="15" x14ac:dyDescent="0.25">
      <c r="B2628" s="169"/>
      <c r="C2628" s="679">
        <v>2961317</v>
      </c>
      <c r="D2628" s="677">
        <v>5</v>
      </c>
      <c r="E2628" s="678" t="s">
        <v>2838</v>
      </c>
      <c r="F2628" s="170"/>
    </row>
    <row r="2629" spans="2:6" ht="15" x14ac:dyDescent="0.25">
      <c r="B2629" s="169"/>
      <c r="C2629" s="679">
        <v>2961318</v>
      </c>
      <c r="D2629" s="677">
        <v>3</v>
      </c>
      <c r="E2629" s="678" t="s">
        <v>2839</v>
      </c>
      <c r="F2629" s="170"/>
    </row>
    <row r="2630" spans="2:6" ht="15" x14ac:dyDescent="0.25">
      <c r="B2630" s="169"/>
      <c r="C2630" s="679">
        <v>2961596</v>
      </c>
      <c r="D2630" s="677">
        <v>8</v>
      </c>
      <c r="E2630" s="678" t="s">
        <v>2840</v>
      </c>
      <c r="F2630" s="170"/>
    </row>
    <row r="2631" spans="2:6" ht="15" x14ac:dyDescent="0.25">
      <c r="B2631" s="169"/>
      <c r="C2631" s="679">
        <v>3353871</v>
      </c>
      <c r="D2631" s="677">
        <v>9</v>
      </c>
      <c r="E2631" s="678" t="s">
        <v>8386</v>
      </c>
      <c r="F2631" s="170"/>
    </row>
    <row r="2632" spans="2:6" ht="15" x14ac:dyDescent="0.25">
      <c r="B2632" s="169"/>
      <c r="C2632" s="679">
        <v>3347091</v>
      </c>
      <c r="D2632" s="677">
        <v>0</v>
      </c>
      <c r="E2632" s="678" t="s">
        <v>8387</v>
      </c>
      <c r="F2632" s="170"/>
    </row>
    <row r="2633" spans="2:6" ht="15" x14ac:dyDescent="0.25">
      <c r="B2633" s="169"/>
      <c r="C2633" s="679">
        <v>2961597</v>
      </c>
      <c r="D2633" s="677">
        <v>6</v>
      </c>
      <c r="E2633" s="678" t="s">
        <v>2841</v>
      </c>
      <c r="F2633" s="170"/>
    </row>
    <row r="2634" spans="2:6" ht="15" x14ac:dyDescent="0.25">
      <c r="B2634" s="169"/>
      <c r="C2634" s="679">
        <v>3221183</v>
      </c>
      <c r="D2634" s="677">
        <v>0</v>
      </c>
      <c r="E2634" s="678" t="s">
        <v>8388</v>
      </c>
      <c r="F2634" s="170"/>
    </row>
    <row r="2635" spans="2:6" ht="15" x14ac:dyDescent="0.25">
      <c r="B2635" s="169"/>
      <c r="C2635" s="679">
        <v>3289112</v>
      </c>
      <c r="D2635" s="677">
        <v>1</v>
      </c>
      <c r="E2635" s="678" t="s">
        <v>8389</v>
      </c>
      <c r="F2635" s="170"/>
    </row>
    <row r="2636" spans="2:6" ht="15" x14ac:dyDescent="0.25">
      <c r="B2636" s="169"/>
      <c r="C2636" s="679">
        <v>3227074</v>
      </c>
      <c r="D2636" s="677">
        <v>7</v>
      </c>
      <c r="E2636" s="678" t="s">
        <v>8390</v>
      </c>
      <c r="F2636" s="170"/>
    </row>
    <row r="2637" spans="2:6" ht="15" x14ac:dyDescent="0.25">
      <c r="B2637" s="169"/>
      <c r="C2637" s="679">
        <v>3276713</v>
      </c>
      <c r="D2637" s="677">
        <v>7</v>
      </c>
      <c r="E2637" s="678" t="s">
        <v>8391</v>
      </c>
      <c r="F2637" s="170"/>
    </row>
    <row r="2638" spans="2:6" ht="15" x14ac:dyDescent="0.25">
      <c r="B2638" s="169"/>
      <c r="C2638" s="679">
        <v>3227079</v>
      </c>
      <c r="D2638" s="677">
        <v>8</v>
      </c>
      <c r="E2638" s="678" t="s">
        <v>8392</v>
      </c>
      <c r="F2638" s="170"/>
    </row>
    <row r="2639" spans="2:6" ht="15" x14ac:dyDescent="0.25">
      <c r="B2639" s="169"/>
      <c r="C2639" s="679">
        <v>3281803</v>
      </c>
      <c r="D2639" s="677">
        <v>3</v>
      </c>
      <c r="E2639" s="678" t="s">
        <v>8393</v>
      </c>
      <c r="F2639" s="170"/>
    </row>
    <row r="2640" spans="2:6" ht="15" x14ac:dyDescent="0.25">
      <c r="B2640" s="169"/>
      <c r="C2640" s="679">
        <v>3159530</v>
      </c>
      <c r="D2640" s="677">
        <v>8</v>
      </c>
      <c r="E2640" s="678" t="s">
        <v>2842</v>
      </c>
      <c r="F2640" s="170"/>
    </row>
    <row r="2641" spans="2:6" ht="15" x14ac:dyDescent="0.25">
      <c r="B2641" s="169"/>
      <c r="C2641" s="679">
        <v>3229640</v>
      </c>
      <c r="D2641" s="677">
        <v>1</v>
      </c>
      <c r="E2641" s="678" t="s">
        <v>8394</v>
      </c>
      <c r="F2641" s="170"/>
    </row>
    <row r="2642" spans="2:6" ht="15" x14ac:dyDescent="0.25">
      <c r="B2642" s="169"/>
      <c r="C2642" s="679">
        <v>2961598</v>
      </c>
      <c r="D2642" s="677">
        <v>4</v>
      </c>
      <c r="E2642" s="678" t="s">
        <v>2843</v>
      </c>
      <c r="F2642" s="170"/>
    </row>
    <row r="2643" spans="2:6" ht="15" x14ac:dyDescent="0.25">
      <c r="B2643" s="169"/>
      <c r="C2643" s="679">
        <v>3072195</v>
      </c>
      <c r="D2643" s="677">
        <v>4</v>
      </c>
      <c r="E2643" s="678" t="s">
        <v>2844</v>
      </c>
      <c r="F2643" s="170"/>
    </row>
    <row r="2644" spans="2:6" ht="15" x14ac:dyDescent="0.25">
      <c r="B2644" s="169"/>
      <c r="C2644" s="679">
        <v>3103124</v>
      </c>
      <c r="D2644" s="677">
        <v>2</v>
      </c>
      <c r="E2644" s="678" t="s">
        <v>2845</v>
      </c>
      <c r="F2644" s="170"/>
    </row>
    <row r="2645" spans="2:6" ht="15" x14ac:dyDescent="0.25">
      <c r="B2645" s="169"/>
      <c r="C2645" s="679">
        <v>3352157</v>
      </c>
      <c r="D2645" s="677">
        <v>3</v>
      </c>
      <c r="E2645" s="678" t="s">
        <v>8395</v>
      </c>
      <c r="F2645" s="170"/>
    </row>
    <row r="2646" spans="2:6" ht="15" x14ac:dyDescent="0.25">
      <c r="B2646" s="169"/>
      <c r="C2646" s="679">
        <v>3103114</v>
      </c>
      <c r="D2646" s="677">
        <v>5</v>
      </c>
      <c r="E2646" s="678" t="s">
        <v>2846</v>
      </c>
      <c r="F2646" s="170"/>
    </row>
    <row r="2647" spans="2:6" ht="15" x14ac:dyDescent="0.25">
      <c r="B2647" s="169"/>
      <c r="C2647" s="679">
        <v>3229642</v>
      </c>
      <c r="D2647" s="677">
        <v>8</v>
      </c>
      <c r="E2647" s="678" t="s">
        <v>8396</v>
      </c>
      <c r="F2647" s="170"/>
    </row>
    <row r="2648" spans="2:6" ht="15" x14ac:dyDescent="0.25">
      <c r="B2648" s="169"/>
      <c r="C2648" s="679">
        <v>3081527</v>
      </c>
      <c r="D2648" s="677">
        <v>4</v>
      </c>
      <c r="E2648" s="678" t="s">
        <v>2847</v>
      </c>
      <c r="F2648" s="170"/>
    </row>
    <row r="2649" spans="2:6" ht="15" x14ac:dyDescent="0.25">
      <c r="B2649" s="169"/>
      <c r="C2649" s="679">
        <v>3058042</v>
      </c>
      <c r="D2649" s="677">
        <v>1</v>
      </c>
      <c r="E2649" s="678" t="s">
        <v>2848</v>
      </c>
      <c r="F2649" s="170"/>
    </row>
    <row r="2650" spans="2:6" ht="15" x14ac:dyDescent="0.25">
      <c r="B2650" s="169"/>
      <c r="C2650" s="679">
        <v>3208075</v>
      </c>
      <c r="D2650" s="677">
        <v>1</v>
      </c>
      <c r="E2650" s="678" t="s">
        <v>8397</v>
      </c>
      <c r="F2650" s="170"/>
    </row>
    <row r="2651" spans="2:6" ht="15" x14ac:dyDescent="0.25">
      <c r="B2651" s="169"/>
      <c r="C2651" s="679">
        <v>2961599</v>
      </c>
      <c r="D2651" s="677">
        <v>2</v>
      </c>
      <c r="E2651" s="678" t="s">
        <v>2849</v>
      </c>
      <c r="F2651" s="170"/>
    </row>
    <row r="2652" spans="2:6" ht="15" x14ac:dyDescent="0.25">
      <c r="B2652" s="169"/>
      <c r="C2652" s="679">
        <v>2961600</v>
      </c>
      <c r="D2652" s="677">
        <v>0</v>
      </c>
      <c r="E2652" s="678" t="s">
        <v>2850</v>
      </c>
      <c r="F2652" s="170"/>
    </row>
    <row r="2653" spans="2:6" ht="15" x14ac:dyDescent="0.25">
      <c r="B2653" s="169"/>
      <c r="C2653" s="679">
        <v>3189468</v>
      </c>
      <c r="D2653" s="677">
        <v>2</v>
      </c>
      <c r="E2653" s="678" t="s">
        <v>2851</v>
      </c>
      <c r="F2653" s="170"/>
    </row>
    <row r="2654" spans="2:6" ht="15" x14ac:dyDescent="0.25">
      <c r="B2654" s="169"/>
      <c r="C2654" s="679">
        <v>2961324</v>
      </c>
      <c r="D2654" s="677">
        <v>8</v>
      </c>
      <c r="E2654" s="678" t="s">
        <v>2852</v>
      </c>
      <c r="F2654" s="170"/>
    </row>
    <row r="2655" spans="2:6" ht="15" x14ac:dyDescent="0.25">
      <c r="B2655" s="169"/>
      <c r="C2655" s="679">
        <v>3352151</v>
      </c>
      <c r="D2655" s="677">
        <v>4</v>
      </c>
      <c r="E2655" s="678" t="s">
        <v>8398</v>
      </c>
      <c r="F2655" s="170"/>
    </row>
    <row r="2656" spans="2:6" ht="15" x14ac:dyDescent="0.25">
      <c r="B2656" s="169"/>
      <c r="C2656" s="679">
        <v>2961325</v>
      </c>
      <c r="D2656" s="677">
        <v>6</v>
      </c>
      <c r="E2656" s="678" t="s">
        <v>2853</v>
      </c>
      <c r="F2656" s="170"/>
    </row>
    <row r="2657" spans="2:6" ht="15" x14ac:dyDescent="0.25">
      <c r="B2657" s="169"/>
      <c r="C2657" s="679">
        <v>2961602</v>
      </c>
      <c r="D2657" s="677">
        <v>6</v>
      </c>
      <c r="E2657" s="678" t="s">
        <v>2853</v>
      </c>
      <c r="F2657" s="170"/>
    </row>
    <row r="2658" spans="2:6" ht="15" x14ac:dyDescent="0.25">
      <c r="B2658" s="169"/>
      <c r="C2658" s="679">
        <v>3353864</v>
      </c>
      <c r="D2658" s="677">
        <v>6</v>
      </c>
      <c r="E2658" s="678" t="s">
        <v>8399</v>
      </c>
      <c r="F2658" s="170"/>
    </row>
    <row r="2659" spans="2:6" ht="15" x14ac:dyDescent="0.25">
      <c r="B2659" s="169"/>
      <c r="C2659" s="679">
        <v>3110509</v>
      </c>
      <c r="D2659" s="677">
        <v>2</v>
      </c>
      <c r="E2659" s="678" t="s">
        <v>2854</v>
      </c>
      <c r="F2659" s="170"/>
    </row>
    <row r="2660" spans="2:6" ht="15" x14ac:dyDescent="0.25">
      <c r="B2660" s="169"/>
      <c r="C2660" s="679">
        <v>3243924</v>
      </c>
      <c r="D2660" s="677">
        <v>5</v>
      </c>
      <c r="E2660" s="678" t="s">
        <v>8400</v>
      </c>
      <c r="F2660" s="170"/>
    </row>
    <row r="2661" spans="2:6" ht="15" x14ac:dyDescent="0.25">
      <c r="B2661" s="169"/>
      <c r="C2661" s="679">
        <v>3296015</v>
      </c>
      <c r="D2661" s="677">
        <v>8</v>
      </c>
      <c r="E2661" s="678" t="s">
        <v>8401</v>
      </c>
      <c r="F2661" s="170"/>
    </row>
    <row r="2662" spans="2:6" ht="15" x14ac:dyDescent="0.25">
      <c r="B2662" s="169"/>
      <c r="C2662" s="679">
        <v>3285752</v>
      </c>
      <c r="D2662" s="677">
        <v>7</v>
      </c>
      <c r="E2662" s="678" t="s">
        <v>8402</v>
      </c>
      <c r="F2662" s="170"/>
    </row>
    <row r="2663" spans="2:6" ht="15" x14ac:dyDescent="0.25">
      <c r="B2663" s="169"/>
      <c r="C2663" s="679">
        <v>3218364</v>
      </c>
      <c r="D2663" s="677">
        <v>0</v>
      </c>
      <c r="E2663" s="678" t="s">
        <v>8403</v>
      </c>
      <c r="F2663" s="170"/>
    </row>
    <row r="2664" spans="2:6" ht="15" x14ac:dyDescent="0.25">
      <c r="B2664" s="169"/>
      <c r="C2664" s="679">
        <v>2961326</v>
      </c>
      <c r="D2664" s="677">
        <v>4</v>
      </c>
      <c r="E2664" s="678" t="s">
        <v>2855</v>
      </c>
      <c r="F2664" s="170"/>
    </row>
    <row r="2665" spans="2:6" ht="15" x14ac:dyDescent="0.25">
      <c r="B2665" s="169"/>
      <c r="C2665" s="679">
        <v>3291208</v>
      </c>
      <c r="D2665" s="677">
        <v>1</v>
      </c>
      <c r="E2665" s="678" t="s">
        <v>8404</v>
      </c>
      <c r="F2665" s="170"/>
    </row>
    <row r="2666" spans="2:6" ht="15" x14ac:dyDescent="0.25">
      <c r="B2666" s="169"/>
      <c r="C2666" s="679">
        <v>2961604</v>
      </c>
      <c r="D2666" s="677">
        <v>2</v>
      </c>
      <c r="E2666" s="678" t="s">
        <v>2856</v>
      </c>
      <c r="F2666" s="170"/>
    </row>
    <row r="2667" spans="2:6" ht="15" x14ac:dyDescent="0.25">
      <c r="B2667" s="169"/>
      <c r="C2667" s="679">
        <v>2961328</v>
      </c>
      <c r="D2667" s="677">
        <v>1</v>
      </c>
      <c r="E2667" s="678" t="s">
        <v>2857</v>
      </c>
      <c r="F2667" s="170"/>
    </row>
    <row r="2668" spans="2:6" ht="15" x14ac:dyDescent="0.25">
      <c r="B2668" s="169"/>
      <c r="C2668" s="679">
        <v>2961606</v>
      </c>
      <c r="D2668" s="677">
        <v>9</v>
      </c>
      <c r="E2668" s="678" t="s">
        <v>2858</v>
      </c>
      <c r="F2668" s="170"/>
    </row>
    <row r="2669" spans="2:6" ht="15" x14ac:dyDescent="0.25">
      <c r="B2669" s="169"/>
      <c r="C2669" s="679">
        <v>3310425</v>
      </c>
      <c r="D2669" s="677">
        <v>5</v>
      </c>
      <c r="E2669" s="678" t="s">
        <v>8405</v>
      </c>
      <c r="F2669" s="170"/>
    </row>
    <row r="2670" spans="2:6" ht="15" x14ac:dyDescent="0.25">
      <c r="B2670" s="169"/>
      <c r="C2670" s="679">
        <v>3264510</v>
      </c>
      <c r="D2670" s="677">
        <v>4</v>
      </c>
      <c r="E2670" s="678" t="s">
        <v>8406</v>
      </c>
      <c r="F2670" s="170"/>
    </row>
    <row r="2671" spans="2:6" ht="15" x14ac:dyDescent="0.25">
      <c r="B2671" s="169"/>
      <c r="C2671" s="679">
        <v>2961607</v>
      </c>
      <c r="D2671" s="677">
        <v>7</v>
      </c>
      <c r="E2671" s="678" t="s">
        <v>2859</v>
      </c>
      <c r="F2671" s="170"/>
    </row>
    <row r="2672" spans="2:6" ht="15" x14ac:dyDescent="0.25">
      <c r="B2672" s="169"/>
      <c r="C2672" s="679">
        <v>2961608</v>
      </c>
      <c r="D2672" s="677">
        <v>5</v>
      </c>
      <c r="E2672" s="678" t="s">
        <v>2860</v>
      </c>
      <c r="F2672" s="170"/>
    </row>
    <row r="2673" spans="2:6" ht="15" x14ac:dyDescent="0.25">
      <c r="B2673" s="169"/>
      <c r="C2673" s="679">
        <v>3205819</v>
      </c>
      <c r="D2673" s="677">
        <v>5</v>
      </c>
      <c r="E2673" s="678" t="s">
        <v>8407</v>
      </c>
      <c r="F2673" s="170"/>
    </row>
    <row r="2674" spans="2:6" ht="15" x14ac:dyDescent="0.25">
      <c r="B2674" s="169"/>
      <c r="C2674" s="679">
        <v>3162787</v>
      </c>
      <c r="D2674" s="677">
        <v>1</v>
      </c>
      <c r="E2674" s="678" t="s">
        <v>2861</v>
      </c>
      <c r="F2674" s="170"/>
    </row>
    <row r="2675" spans="2:6" ht="15" x14ac:dyDescent="0.25">
      <c r="B2675" s="169"/>
      <c r="C2675" s="679">
        <v>2961609</v>
      </c>
      <c r="D2675" s="677">
        <v>3</v>
      </c>
      <c r="E2675" s="678" t="s">
        <v>2862</v>
      </c>
      <c r="F2675" s="170"/>
    </row>
    <row r="2676" spans="2:6" ht="15" x14ac:dyDescent="0.25">
      <c r="B2676" s="169"/>
      <c r="C2676" s="679">
        <v>2961332</v>
      </c>
      <c r="D2676" s="677">
        <v>9</v>
      </c>
      <c r="E2676" s="678" t="s">
        <v>2862</v>
      </c>
      <c r="F2676" s="170"/>
    </row>
    <row r="2677" spans="2:6" ht="15" x14ac:dyDescent="0.25">
      <c r="B2677" s="169"/>
      <c r="C2677" s="679">
        <v>2961610</v>
      </c>
      <c r="D2677" s="677">
        <v>7</v>
      </c>
      <c r="E2677" s="678" t="s">
        <v>2863</v>
      </c>
      <c r="F2677" s="170"/>
    </row>
    <row r="2678" spans="2:6" ht="15" x14ac:dyDescent="0.25">
      <c r="B2678" s="169"/>
      <c r="C2678" s="679">
        <v>3347221</v>
      </c>
      <c r="D2678" s="677">
        <v>1</v>
      </c>
      <c r="E2678" s="678" t="s">
        <v>8408</v>
      </c>
      <c r="F2678" s="170"/>
    </row>
    <row r="2679" spans="2:6" ht="15" x14ac:dyDescent="0.25">
      <c r="B2679" s="169"/>
      <c r="C2679" s="679">
        <v>3319799</v>
      </c>
      <c r="D2679" s="677">
        <v>7</v>
      </c>
      <c r="E2679" s="678" t="s">
        <v>8409</v>
      </c>
      <c r="F2679" s="170"/>
    </row>
    <row r="2680" spans="2:6" ht="15" x14ac:dyDescent="0.25">
      <c r="B2680" s="169"/>
      <c r="C2680" s="679">
        <v>3160805</v>
      </c>
      <c r="D2680" s="677">
        <v>1</v>
      </c>
      <c r="E2680" s="678" t="s">
        <v>2864</v>
      </c>
      <c r="F2680" s="170"/>
    </row>
    <row r="2681" spans="2:6" ht="15" x14ac:dyDescent="0.25">
      <c r="B2681" s="169"/>
      <c r="C2681" s="679">
        <v>3307538</v>
      </c>
      <c r="D2681" s="677">
        <v>7</v>
      </c>
      <c r="E2681" s="678" t="s">
        <v>8410</v>
      </c>
      <c r="F2681" s="170"/>
    </row>
    <row r="2682" spans="2:6" ht="15" x14ac:dyDescent="0.25">
      <c r="B2682" s="169"/>
      <c r="C2682" s="679">
        <v>3223903</v>
      </c>
      <c r="D2682" s="677">
        <v>3</v>
      </c>
      <c r="E2682" s="678" t="s">
        <v>8411</v>
      </c>
      <c r="F2682" s="170"/>
    </row>
    <row r="2683" spans="2:6" ht="15" x14ac:dyDescent="0.25">
      <c r="B2683" s="169"/>
      <c r="C2683" s="679">
        <v>3205940</v>
      </c>
      <c r="D2683" s="677">
        <v>0</v>
      </c>
      <c r="E2683" s="678" t="s">
        <v>8412</v>
      </c>
      <c r="F2683" s="170"/>
    </row>
    <row r="2684" spans="2:6" ht="15" x14ac:dyDescent="0.25">
      <c r="B2684" s="169"/>
      <c r="C2684" s="679">
        <v>3278372</v>
      </c>
      <c r="D2684" s="677">
        <v>8</v>
      </c>
      <c r="E2684" s="678" t="s">
        <v>8413</v>
      </c>
      <c r="F2684" s="170"/>
    </row>
    <row r="2685" spans="2:6" ht="15" x14ac:dyDescent="0.25">
      <c r="B2685" s="169"/>
      <c r="C2685" s="679">
        <v>3140445</v>
      </c>
      <c r="D2685" s="677">
        <v>6</v>
      </c>
      <c r="E2685" s="678" t="s">
        <v>2865</v>
      </c>
      <c r="F2685" s="170"/>
    </row>
    <row r="2686" spans="2:6" ht="15" x14ac:dyDescent="0.25">
      <c r="B2686" s="169"/>
      <c r="C2686" s="679">
        <v>2961334</v>
      </c>
      <c r="D2686" s="677">
        <v>5</v>
      </c>
      <c r="E2686" s="678" t="s">
        <v>2866</v>
      </c>
      <c r="F2686" s="170"/>
    </row>
    <row r="2687" spans="2:6" ht="15" x14ac:dyDescent="0.25">
      <c r="B2687" s="169"/>
      <c r="C2687" s="679">
        <v>2961612</v>
      </c>
      <c r="D2687" s="677">
        <v>3</v>
      </c>
      <c r="E2687" s="678" t="s">
        <v>2867</v>
      </c>
      <c r="F2687" s="170"/>
    </row>
    <row r="2688" spans="2:6" ht="15" x14ac:dyDescent="0.25">
      <c r="B2688" s="169"/>
      <c r="C2688" s="679">
        <v>3307518</v>
      </c>
      <c r="D2688" s="677">
        <v>2</v>
      </c>
      <c r="E2688" s="678" t="s">
        <v>8414</v>
      </c>
      <c r="F2688" s="170"/>
    </row>
    <row r="2689" spans="2:6" ht="15" x14ac:dyDescent="0.25">
      <c r="B2689" s="169"/>
      <c r="C2689" s="679">
        <v>3276726</v>
      </c>
      <c r="D2689" s="677">
        <v>9</v>
      </c>
      <c r="E2689" s="678" t="s">
        <v>8415</v>
      </c>
      <c r="F2689" s="170"/>
    </row>
    <row r="2690" spans="2:6" ht="15" x14ac:dyDescent="0.25">
      <c r="B2690" s="169"/>
      <c r="C2690" s="679">
        <v>3205942</v>
      </c>
      <c r="D2690" s="677">
        <v>6</v>
      </c>
      <c r="E2690" s="678" t="s">
        <v>8416</v>
      </c>
      <c r="F2690" s="170"/>
    </row>
    <row r="2691" spans="2:6" ht="15" x14ac:dyDescent="0.25">
      <c r="B2691" s="169"/>
      <c r="C2691" s="679">
        <v>3161503</v>
      </c>
      <c r="D2691" s="677">
        <v>1</v>
      </c>
      <c r="E2691" s="678" t="s">
        <v>2868</v>
      </c>
      <c r="F2691" s="170"/>
    </row>
    <row r="2692" spans="2:6" ht="15" x14ac:dyDescent="0.25">
      <c r="B2692" s="169"/>
      <c r="C2692" s="679">
        <v>3339986</v>
      </c>
      <c r="D2692" s="677">
        <v>7</v>
      </c>
      <c r="E2692" s="678" t="s">
        <v>8417</v>
      </c>
      <c r="F2692" s="170"/>
    </row>
    <row r="2693" spans="2:6" ht="15" x14ac:dyDescent="0.25">
      <c r="B2693" s="169"/>
      <c r="C2693" s="679">
        <v>2961336</v>
      </c>
      <c r="D2693" s="677">
        <v>1</v>
      </c>
      <c r="E2693" s="678" t="s">
        <v>2869</v>
      </c>
      <c r="F2693" s="170"/>
    </row>
    <row r="2694" spans="2:6" ht="15" x14ac:dyDescent="0.25">
      <c r="B2694" s="169"/>
      <c r="C2694" s="679">
        <v>3289210</v>
      </c>
      <c r="D2694" s="677">
        <v>1</v>
      </c>
      <c r="E2694" s="678" t="s">
        <v>8418</v>
      </c>
      <c r="F2694" s="170"/>
    </row>
    <row r="2695" spans="2:6" ht="15" x14ac:dyDescent="0.25">
      <c r="B2695" s="169"/>
      <c r="C2695" s="679">
        <v>3100897</v>
      </c>
      <c r="D2695" s="677">
        <v>6</v>
      </c>
      <c r="E2695" s="678" t="s">
        <v>2870</v>
      </c>
      <c r="F2695" s="170"/>
    </row>
    <row r="2696" spans="2:6" ht="15" x14ac:dyDescent="0.25">
      <c r="B2696" s="169"/>
      <c r="C2696" s="679">
        <v>3048183</v>
      </c>
      <c r="D2696" s="677">
        <v>0</v>
      </c>
      <c r="E2696" s="678" t="s">
        <v>2871</v>
      </c>
      <c r="F2696" s="170"/>
    </row>
    <row r="2697" spans="2:6" ht="15" x14ac:dyDescent="0.25">
      <c r="B2697" s="169"/>
      <c r="C2697" s="679">
        <v>3075038</v>
      </c>
      <c r="D2697" s="677">
        <v>5</v>
      </c>
      <c r="E2697" s="678" t="s">
        <v>2872</v>
      </c>
      <c r="F2697" s="170"/>
    </row>
    <row r="2698" spans="2:6" ht="15" x14ac:dyDescent="0.25">
      <c r="B2698" s="169"/>
      <c r="C2698" s="679">
        <v>3090534</v>
      </c>
      <c r="D2698" s="677">
        <v>6</v>
      </c>
      <c r="E2698" s="678" t="s">
        <v>2873</v>
      </c>
      <c r="F2698" s="170"/>
    </row>
    <row r="2699" spans="2:6" ht="15" x14ac:dyDescent="0.25">
      <c r="B2699" s="169"/>
      <c r="C2699" s="679">
        <v>3264456</v>
      </c>
      <c r="D2699" s="677">
        <v>6</v>
      </c>
      <c r="E2699" s="678" t="s">
        <v>8419</v>
      </c>
      <c r="F2699" s="170"/>
    </row>
    <row r="2700" spans="2:6" ht="15" x14ac:dyDescent="0.25">
      <c r="B2700" s="169"/>
      <c r="C2700" s="679">
        <v>3098876</v>
      </c>
      <c r="D2700" s="677">
        <v>4</v>
      </c>
      <c r="E2700" s="678" t="s">
        <v>2874</v>
      </c>
      <c r="F2700" s="170"/>
    </row>
    <row r="2701" spans="2:6" ht="15" x14ac:dyDescent="0.25">
      <c r="B2701" s="169"/>
      <c r="C2701" s="679">
        <v>3075487</v>
      </c>
      <c r="D2701" s="677">
        <v>9</v>
      </c>
      <c r="E2701" s="678" t="s">
        <v>2875</v>
      </c>
      <c r="F2701" s="170"/>
    </row>
    <row r="2702" spans="2:6" ht="15" x14ac:dyDescent="0.25">
      <c r="B2702" s="169"/>
      <c r="C2702" s="679">
        <v>2961614</v>
      </c>
      <c r="D2702" s="677">
        <v>0</v>
      </c>
      <c r="E2702" s="678" t="s">
        <v>2876</v>
      </c>
      <c r="F2702" s="170"/>
    </row>
    <row r="2703" spans="2:6" ht="15" x14ac:dyDescent="0.25">
      <c r="B2703" s="169"/>
      <c r="C2703" s="679">
        <v>3100118</v>
      </c>
      <c r="D2703" s="677">
        <v>1</v>
      </c>
      <c r="E2703" s="678" t="s">
        <v>2877</v>
      </c>
      <c r="F2703" s="170"/>
    </row>
    <row r="2704" spans="2:6" ht="15" x14ac:dyDescent="0.25">
      <c r="B2704" s="169"/>
      <c r="C2704" s="679">
        <v>3295997</v>
      </c>
      <c r="D2704" s="677">
        <v>4</v>
      </c>
      <c r="E2704" s="678" t="s">
        <v>8420</v>
      </c>
      <c r="F2704" s="170"/>
    </row>
    <row r="2705" spans="2:6" ht="15" x14ac:dyDescent="0.25">
      <c r="B2705" s="169"/>
      <c r="C2705" s="679">
        <v>2961338</v>
      </c>
      <c r="D2705" s="677">
        <v>8</v>
      </c>
      <c r="E2705" s="678" t="s">
        <v>2878</v>
      </c>
      <c r="F2705" s="170"/>
    </row>
    <row r="2706" spans="2:6" ht="15" x14ac:dyDescent="0.25">
      <c r="B2706" s="169"/>
      <c r="C2706" s="679">
        <v>3146405</v>
      </c>
      <c r="D2706" s="677">
        <v>0</v>
      </c>
      <c r="E2706" s="678" t="s">
        <v>2879</v>
      </c>
      <c r="F2706" s="170"/>
    </row>
    <row r="2707" spans="2:6" ht="15" x14ac:dyDescent="0.25">
      <c r="B2707" s="169"/>
      <c r="C2707" s="679">
        <v>3086314</v>
      </c>
      <c r="D2707" s="677">
        <v>7</v>
      </c>
      <c r="E2707" s="678" t="s">
        <v>2880</v>
      </c>
      <c r="F2707" s="170"/>
    </row>
    <row r="2708" spans="2:6" ht="15" x14ac:dyDescent="0.25">
      <c r="B2708" s="169"/>
      <c r="C2708" s="679">
        <v>3110513</v>
      </c>
      <c r="D2708" s="677">
        <v>1</v>
      </c>
      <c r="E2708" s="678" t="s">
        <v>2881</v>
      </c>
      <c r="F2708" s="170"/>
    </row>
    <row r="2709" spans="2:6" ht="15" x14ac:dyDescent="0.25">
      <c r="B2709" s="169"/>
      <c r="C2709" s="679">
        <v>3113708</v>
      </c>
      <c r="D2709" s="677">
        <v>3</v>
      </c>
      <c r="E2709" s="678" t="s">
        <v>2882</v>
      </c>
      <c r="F2709" s="170"/>
    </row>
    <row r="2710" spans="2:6" ht="15" x14ac:dyDescent="0.25">
      <c r="B2710" s="169"/>
      <c r="C2710" s="679">
        <v>3237319</v>
      </c>
      <c r="D2710" s="677">
        <v>8</v>
      </c>
      <c r="E2710" s="678" t="s">
        <v>8421</v>
      </c>
      <c r="F2710" s="170"/>
    </row>
    <row r="2711" spans="2:6" ht="15" x14ac:dyDescent="0.25">
      <c r="B2711" s="169"/>
      <c r="C2711" s="679">
        <v>3086240</v>
      </c>
      <c r="D2711" s="677">
        <v>0</v>
      </c>
      <c r="E2711" s="678" t="s">
        <v>2883</v>
      </c>
      <c r="F2711" s="170"/>
    </row>
    <row r="2712" spans="2:6" ht="15" x14ac:dyDescent="0.25">
      <c r="B2712" s="169"/>
      <c r="C2712" s="679">
        <v>3088270</v>
      </c>
      <c r="D2712" s="677">
        <v>2</v>
      </c>
      <c r="E2712" s="678" t="s">
        <v>2884</v>
      </c>
      <c r="F2712" s="170"/>
    </row>
    <row r="2713" spans="2:6" ht="15" x14ac:dyDescent="0.25">
      <c r="B2713" s="169"/>
      <c r="C2713" s="679">
        <v>3070577</v>
      </c>
      <c r="D2713" s="677">
        <v>1</v>
      </c>
      <c r="E2713" s="678" t="s">
        <v>2885</v>
      </c>
      <c r="F2713" s="170"/>
    </row>
    <row r="2714" spans="2:6" ht="15" x14ac:dyDescent="0.25">
      <c r="B2714" s="169"/>
      <c r="C2714" s="679">
        <v>3339981</v>
      </c>
      <c r="D2714" s="677">
        <v>6</v>
      </c>
      <c r="E2714" s="678" t="s">
        <v>8422</v>
      </c>
      <c r="F2714" s="170"/>
    </row>
    <row r="2715" spans="2:6" ht="15" x14ac:dyDescent="0.25">
      <c r="B2715" s="169"/>
      <c r="C2715" s="679">
        <v>3088276</v>
      </c>
      <c r="D2715" s="677">
        <v>1</v>
      </c>
      <c r="E2715" s="678" t="s">
        <v>2886</v>
      </c>
      <c r="F2715" s="170"/>
    </row>
    <row r="2716" spans="2:6" ht="15" x14ac:dyDescent="0.25">
      <c r="B2716" s="169"/>
      <c r="C2716" s="679">
        <v>3084472</v>
      </c>
      <c r="D2716" s="677">
        <v>0</v>
      </c>
      <c r="E2716" s="678" t="s">
        <v>2887</v>
      </c>
      <c r="F2716" s="170"/>
    </row>
    <row r="2717" spans="2:6" ht="15" x14ac:dyDescent="0.25">
      <c r="B2717" s="169"/>
      <c r="C2717" s="679">
        <v>3150384</v>
      </c>
      <c r="D2717" s="677">
        <v>5</v>
      </c>
      <c r="E2717" s="678" t="s">
        <v>2888</v>
      </c>
      <c r="F2717" s="170"/>
    </row>
    <row r="2718" spans="2:6" ht="15" x14ac:dyDescent="0.25">
      <c r="B2718" s="169"/>
      <c r="C2718" s="679">
        <v>2961616</v>
      </c>
      <c r="D2718" s="677">
        <v>6</v>
      </c>
      <c r="E2718" s="678" t="s">
        <v>2889</v>
      </c>
      <c r="F2718" s="170"/>
    </row>
    <row r="2719" spans="2:6" ht="15" x14ac:dyDescent="0.25">
      <c r="B2719" s="169"/>
      <c r="C2719" s="679">
        <v>3087506</v>
      </c>
      <c r="D2719" s="677">
        <v>4</v>
      </c>
      <c r="E2719" s="678" t="s">
        <v>2890</v>
      </c>
      <c r="F2719" s="170"/>
    </row>
    <row r="2720" spans="2:6" ht="15" x14ac:dyDescent="0.25">
      <c r="B2720" s="169"/>
      <c r="C2720" s="679">
        <v>2961617</v>
      </c>
      <c r="D2720" s="677">
        <v>4</v>
      </c>
      <c r="E2720" s="678" t="s">
        <v>2891</v>
      </c>
      <c r="F2720" s="170"/>
    </row>
    <row r="2721" spans="2:6" ht="15" x14ac:dyDescent="0.25">
      <c r="B2721" s="169"/>
      <c r="C2721" s="679">
        <v>3082984</v>
      </c>
      <c r="D2721" s="677">
        <v>4</v>
      </c>
      <c r="E2721" s="678" t="s">
        <v>2892</v>
      </c>
      <c r="F2721" s="170"/>
    </row>
    <row r="2722" spans="2:6" ht="15" x14ac:dyDescent="0.25">
      <c r="B2722" s="169"/>
      <c r="C2722" s="679">
        <v>3088275</v>
      </c>
      <c r="D2722" s="677">
        <v>3</v>
      </c>
      <c r="E2722" s="678" t="s">
        <v>2893</v>
      </c>
      <c r="F2722" s="170"/>
    </row>
    <row r="2723" spans="2:6" ht="15" x14ac:dyDescent="0.25">
      <c r="B2723" s="169"/>
      <c r="C2723" s="679">
        <v>3143446</v>
      </c>
      <c r="D2723" s="677">
        <v>1</v>
      </c>
      <c r="E2723" s="678" t="s">
        <v>2894</v>
      </c>
      <c r="F2723" s="170"/>
    </row>
    <row r="2724" spans="2:6" ht="15" x14ac:dyDescent="0.25">
      <c r="B2724" s="169"/>
      <c r="C2724" s="679">
        <v>3084355</v>
      </c>
      <c r="D2724" s="677">
        <v>3</v>
      </c>
      <c r="E2724" s="678" t="s">
        <v>2895</v>
      </c>
      <c r="F2724" s="170"/>
    </row>
    <row r="2725" spans="2:6" ht="15" x14ac:dyDescent="0.25">
      <c r="B2725" s="169"/>
      <c r="C2725" s="679">
        <v>3278379</v>
      </c>
      <c r="D2725" s="677">
        <v>5</v>
      </c>
      <c r="E2725" s="678" t="s">
        <v>8423</v>
      </c>
      <c r="F2725" s="170"/>
    </row>
    <row r="2726" spans="2:6" ht="15" x14ac:dyDescent="0.25">
      <c r="B2726" s="169"/>
      <c r="C2726" s="679">
        <v>3100896</v>
      </c>
      <c r="D2726" s="677">
        <v>8</v>
      </c>
      <c r="E2726" s="678" t="s">
        <v>2896</v>
      </c>
      <c r="F2726" s="170"/>
    </row>
    <row r="2727" spans="2:6" ht="15" x14ac:dyDescent="0.25">
      <c r="B2727" s="169"/>
      <c r="C2727" s="679">
        <v>3079573</v>
      </c>
      <c r="D2727" s="677">
        <v>7</v>
      </c>
      <c r="E2727" s="678" t="s">
        <v>2897</v>
      </c>
      <c r="F2727" s="170"/>
    </row>
    <row r="2728" spans="2:6" ht="15" x14ac:dyDescent="0.25">
      <c r="B2728" s="169"/>
      <c r="C2728" s="679">
        <v>3156089</v>
      </c>
      <c r="D2728" s="677">
        <v>0</v>
      </c>
      <c r="E2728" s="678" t="s">
        <v>2898</v>
      </c>
      <c r="F2728" s="170"/>
    </row>
    <row r="2729" spans="2:6" ht="15" x14ac:dyDescent="0.25">
      <c r="B2729" s="169"/>
      <c r="C2729" s="679">
        <v>3158996</v>
      </c>
      <c r="D2729" s="677">
        <v>1</v>
      </c>
      <c r="E2729" s="678" t="s">
        <v>2899</v>
      </c>
      <c r="F2729" s="170"/>
    </row>
    <row r="2730" spans="2:6" ht="15" x14ac:dyDescent="0.25">
      <c r="B2730" s="169"/>
      <c r="C2730" s="679">
        <v>2961341</v>
      </c>
      <c r="D2730" s="677">
        <v>8</v>
      </c>
      <c r="E2730" s="678" t="s">
        <v>2900</v>
      </c>
      <c r="F2730" s="170"/>
    </row>
    <row r="2731" spans="2:6" ht="15" x14ac:dyDescent="0.25">
      <c r="B2731" s="169"/>
      <c r="C2731" s="679">
        <v>3095224</v>
      </c>
      <c r="D2731" s="677">
        <v>7</v>
      </c>
      <c r="E2731" s="678" t="s">
        <v>2901</v>
      </c>
      <c r="F2731" s="170"/>
    </row>
    <row r="2732" spans="2:6" ht="15" x14ac:dyDescent="0.25">
      <c r="B2732" s="169"/>
      <c r="C2732" s="679">
        <v>3087510</v>
      </c>
      <c r="D2732" s="677">
        <v>2</v>
      </c>
      <c r="E2732" s="678" t="s">
        <v>2902</v>
      </c>
      <c r="F2732" s="170"/>
    </row>
    <row r="2733" spans="2:6" ht="15" x14ac:dyDescent="0.25">
      <c r="B2733" s="169"/>
      <c r="C2733" s="679">
        <v>3081532</v>
      </c>
      <c r="D2733" s="677">
        <v>1</v>
      </c>
      <c r="E2733" s="678" t="s">
        <v>2903</v>
      </c>
      <c r="F2733" s="170"/>
    </row>
    <row r="2734" spans="2:6" ht="15" x14ac:dyDescent="0.25">
      <c r="B2734" s="169"/>
      <c r="C2734" s="679">
        <v>3274126</v>
      </c>
      <c r="D2734" s="677">
        <v>0</v>
      </c>
      <c r="E2734" s="678" t="s">
        <v>8424</v>
      </c>
      <c r="F2734" s="170"/>
    </row>
    <row r="2735" spans="2:6" ht="15" x14ac:dyDescent="0.25">
      <c r="B2735" s="169"/>
      <c r="C2735" s="679">
        <v>3070599</v>
      </c>
      <c r="D2735" s="677">
        <v>1</v>
      </c>
      <c r="E2735" s="678" t="s">
        <v>2904</v>
      </c>
      <c r="F2735" s="170"/>
    </row>
    <row r="2736" spans="2:6" ht="15" x14ac:dyDescent="0.25">
      <c r="B2736" s="169"/>
      <c r="C2736" s="679">
        <v>3140449</v>
      </c>
      <c r="D2736" s="677">
        <v>9</v>
      </c>
      <c r="E2736" s="678" t="s">
        <v>2905</v>
      </c>
      <c r="F2736" s="170"/>
    </row>
    <row r="2737" spans="2:6" ht="15" x14ac:dyDescent="0.25">
      <c r="B2737" s="169"/>
      <c r="C2737" s="679">
        <v>3089186</v>
      </c>
      <c r="D2737" s="677">
        <v>8</v>
      </c>
      <c r="E2737" s="678" t="s">
        <v>2906</v>
      </c>
      <c r="F2737" s="170"/>
    </row>
    <row r="2738" spans="2:6" ht="15" x14ac:dyDescent="0.25">
      <c r="B2738" s="169"/>
      <c r="C2738" s="679">
        <v>2961342</v>
      </c>
      <c r="D2738" s="677">
        <v>6</v>
      </c>
      <c r="E2738" s="678" t="s">
        <v>2907</v>
      </c>
      <c r="F2738" s="170"/>
    </row>
    <row r="2739" spans="2:6" ht="15" x14ac:dyDescent="0.25">
      <c r="B2739" s="169"/>
      <c r="C2739" s="679">
        <v>3307475</v>
      </c>
      <c r="D2739" s="677">
        <v>5</v>
      </c>
      <c r="E2739" s="678" t="s">
        <v>8425</v>
      </c>
      <c r="F2739" s="170"/>
    </row>
    <row r="2740" spans="2:6" ht="15" x14ac:dyDescent="0.25">
      <c r="B2740" s="169"/>
      <c r="C2740" s="679">
        <v>3106698</v>
      </c>
      <c r="D2740" s="677">
        <v>4</v>
      </c>
      <c r="E2740" s="678" t="s">
        <v>2908</v>
      </c>
      <c r="F2740" s="170"/>
    </row>
    <row r="2741" spans="2:6" ht="15" x14ac:dyDescent="0.25">
      <c r="B2741" s="169"/>
      <c r="C2741" s="679">
        <v>3074353</v>
      </c>
      <c r="D2741" s="677">
        <v>2</v>
      </c>
      <c r="E2741" s="678" t="s">
        <v>2909</v>
      </c>
      <c r="F2741" s="170"/>
    </row>
    <row r="2742" spans="2:6" ht="15" x14ac:dyDescent="0.25">
      <c r="B2742" s="169"/>
      <c r="C2742" s="679">
        <v>3098883</v>
      </c>
      <c r="D2742" s="677">
        <v>7</v>
      </c>
      <c r="E2742" s="678" t="s">
        <v>2910</v>
      </c>
      <c r="F2742" s="170"/>
    </row>
    <row r="2743" spans="2:6" ht="15" x14ac:dyDescent="0.25">
      <c r="B2743" s="169"/>
      <c r="C2743" s="679">
        <v>3078290</v>
      </c>
      <c r="D2743" s="677">
        <v>2</v>
      </c>
      <c r="E2743" s="678" t="s">
        <v>2911</v>
      </c>
      <c r="F2743" s="170"/>
    </row>
    <row r="2744" spans="2:6" ht="15" x14ac:dyDescent="0.25">
      <c r="B2744" s="169"/>
      <c r="C2744" s="679">
        <v>3110500</v>
      </c>
      <c r="D2744" s="677">
        <v>9</v>
      </c>
      <c r="E2744" s="678" t="s">
        <v>2912</v>
      </c>
      <c r="F2744" s="170"/>
    </row>
    <row r="2745" spans="2:6" ht="15" x14ac:dyDescent="0.25">
      <c r="B2745" s="169"/>
      <c r="C2745" s="679">
        <v>3076658</v>
      </c>
      <c r="D2745" s="677">
        <v>3</v>
      </c>
      <c r="E2745" s="678" t="s">
        <v>2913</v>
      </c>
      <c r="F2745" s="170"/>
    </row>
    <row r="2746" spans="2:6" ht="15" x14ac:dyDescent="0.25">
      <c r="B2746" s="169"/>
      <c r="C2746" s="679">
        <v>3267662</v>
      </c>
      <c r="D2746" s="677">
        <v>0</v>
      </c>
      <c r="E2746" s="678" t="s">
        <v>8426</v>
      </c>
      <c r="F2746" s="170"/>
    </row>
    <row r="2747" spans="2:6" ht="15" x14ac:dyDescent="0.25">
      <c r="B2747" s="169"/>
      <c r="C2747" s="679">
        <v>3098871</v>
      </c>
      <c r="D2747" s="677">
        <v>3</v>
      </c>
      <c r="E2747" s="678" t="s">
        <v>2914</v>
      </c>
      <c r="F2747" s="170"/>
    </row>
    <row r="2748" spans="2:6" ht="15" x14ac:dyDescent="0.25">
      <c r="B2748" s="169"/>
      <c r="C2748" s="679">
        <v>2961620</v>
      </c>
      <c r="D2748" s="677">
        <v>4</v>
      </c>
      <c r="E2748" s="678" t="s">
        <v>2915</v>
      </c>
      <c r="F2748" s="170"/>
    </row>
    <row r="2749" spans="2:6" ht="15" x14ac:dyDescent="0.25">
      <c r="B2749" s="169"/>
      <c r="C2749" s="679">
        <v>3205821</v>
      </c>
      <c r="D2749" s="677">
        <v>7</v>
      </c>
      <c r="E2749" s="678" t="s">
        <v>8427</v>
      </c>
      <c r="F2749" s="170"/>
    </row>
    <row r="2750" spans="2:6" ht="15" x14ac:dyDescent="0.25">
      <c r="B2750" s="169"/>
      <c r="C2750" s="679">
        <v>3087488</v>
      </c>
      <c r="D2750" s="677">
        <v>2</v>
      </c>
      <c r="E2750" s="678" t="s">
        <v>2916</v>
      </c>
      <c r="F2750" s="170"/>
    </row>
    <row r="2751" spans="2:6" ht="15" x14ac:dyDescent="0.25">
      <c r="B2751" s="169"/>
      <c r="C2751" s="679">
        <v>3306715</v>
      </c>
      <c r="D2751" s="677">
        <v>5</v>
      </c>
      <c r="E2751" s="678" t="s">
        <v>8428</v>
      </c>
      <c r="F2751" s="170"/>
    </row>
    <row r="2752" spans="2:6" ht="15" x14ac:dyDescent="0.25">
      <c r="B2752" s="169"/>
      <c r="C2752" s="679">
        <v>3048184</v>
      </c>
      <c r="D2752" s="677">
        <v>8</v>
      </c>
      <c r="E2752" s="678" t="s">
        <v>2917</v>
      </c>
      <c r="F2752" s="170"/>
    </row>
    <row r="2753" spans="2:6" ht="15" x14ac:dyDescent="0.25">
      <c r="B2753" s="169"/>
      <c r="C2753" s="679">
        <v>3048185</v>
      </c>
      <c r="D2753" s="677">
        <v>6</v>
      </c>
      <c r="E2753" s="678" t="s">
        <v>2918</v>
      </c>
      <c r="F2753" s="170"/>
    </row>
    <row r="2754" spans="2:6" ht="15" x14ac:dyDescent="0.25">
      <c r="B2754" s="169"/>
      <c r="C2754" s="679">
        <v>3069607</v>
      </c>
      <c r="D2754" s="677">
        <v>1</v>
      </c>
      <c r="E2754" s="678" t="s">
        <v>2919</v>
      </c>
      <c r="F2754" s="170"/>
    </row>
    <row r="2755" spans="2:6" ht="15" x14ac:dyDescent="0.25">
      <c r="B2755" s="169"/>
      <c r="C2755" s="679">
        <v>3139817</v>
      </c>
      <c r="D2755" s="677">
        <v>1</v>
      </c>
      <c r="E2755" s="678" t="s">
        <v>2920</v>
      </c>
      <c r="F2755" s="170"/>
    </row>
    <row r="2756" spans="2:6" ht="15" x14ac:dyDescent="0.25">
      <c r="B2756" s="169"/>
      <c r="C2756" s="679">
        <v>3296006</v>
      </c>
      <c r="D2756" s="677">
        <v>9</v>
      </c>
      <c r="E2756" s="678" t="s">
        <v>8429</v>
      </c>
      <c r="F2756" s="170"/>
    </row>
    <row r="2757" spans="2:6" ht="15" x14ac:dyDescent="0.25">
      <c r="B2757" s="169"/>
      <c r="C2757" s="679">
        <v>3082935</v>
      </c>
      <c r="D2757" s="677">
        <v>6</v>
      </c>
      <c r="E2757" s="678" t="s">
        <v>2921</v>
      </c>
      <c r="F2757" s="170"/>
    </row>
    <row r="2758" spans="2:6" ht="15" x14ac:dyDescent="0.25">
      <c r="B2758" s="169"/>
      <c r="C2758" s="679">
        <v>3070692</v>
      </c>
      <c r="D2758" s="677">
        <v>1</v>
      </c>
      <c r="E2758" s="678" t="s">
        <v>2922</v>
      </c>
      <c r="F2758" s="170"/>
    </row>
    <row r="2759" spans="2:6" ht="15" x14ac:dyDescent="0.25">
      <c r="B2759" s="169"/>
      <c r="C2759" s="679">
        <v>3070340</v>
      </c>
      <c r="D2759" s="677">
        <v>9</v>
      </c>
      <c r="E2759" s="678" t="s">
        <v>2923</v>
      </c>
      <c r="F2759" s="170"/>
    </row>
    <row r="2760" spans="2:6" ht="15" x14ac:dyDescent="0.25">
      <c r="B2760" s="169"/>
      <c r="C2760" s="679">
        <v>3082981</v>
      </c>
      <c r="D2760" s="677">
        <v>0</v>
      </c>
      <c r="E2760" s="678" t="s">
        <v>2924</v>
      </c>
      <c r="F2760" s="170"/>
    </row>
    <row r="2761" spans="2:6" ht="15" x14ac:dyDescent="0.25">
      <c r="B2761" s="169"/>
      <c r="C2761" s="679">
        <v>3113715</v>
      </c>
      <c r="D2761" s="677">
        <v>6</v>
      </c>
      <c r="E2761" s="678" t="s">
        <v>2925</v>
      </c>
      <c r="F2761" s="170"/>
    </row>
    <row r="2762" spans="2:6" ht="15" x14ac:dyDescent="0.25">
      <c r="B2762" s="169"/>
      <c r="C2762" s="679">
        <v>3054536</v>
      </c>
      <c r="D2762" s="677">
        <v>6</v>
      </c>
      <c r="E2762" s="678" t="s">
        <v>2926</v>
      </c>
      <c r="F2762" s="170"/>
    </row>
    <row r="2763" spans="2:6" ht="15" x14ac:dyDescent="0.25">
      <c r="B2763" s="169"/>
      <c r="C2763" s="679">
        <v>3070387</v>
      </c>
      <c r="D2763" s="677">
        <v>5</v>
      </c>
      <c r="E2763" s="678" t="s">
        <v>2927</v>
      </c>
      <c r="F2763" s="170"/>
    </row>
    <row r="2764" spans="2:6" ht="15" x14ac:dyDescent="0.25">
      <c r="B2764" s="169"/>
      <c r="C2764" s="679">
        <v>3123370</v>
      </c>
      <c r="D2764" s="677">
        <v>8</v>
      </c>
      <c r="E2764" s="678" t="s">
        <v>2928</v>
      </c>
      <c r="F2764" s="170"/>
    </row>
    <row r="2765" spans="2:6" ht="15" x14ac:dyDescent="0.25">
      <c r="B2765" s="169"/>
      <c r="C2765" s="679">
        <v>3158542</v>
      </c>
      <c r="D2765" s="677">
        <v>6</v>
      </c>
      <c r="E2765" s="678" t="s">
        <v>2929</v>
      </c>
      <c r="F2765" s="170"/>
    </row>
    <row r="2766" spans="2:6" ht="15" x14ac:dyDescent="0.25">
      <c r="B2766" s="169"/>
      <c r="C2766" s="679">
        <v>3080654</v>
      </c>
      <c r="D2766" s="677">
        <v>2</v>
      </c>
      <c r="E2766" s="678" t="s">
        <v>2930</v>
      </c>
      <c r="F2766" s="170"/>
    </row>
    <row r="2767" spans="2:6" ht="15" x14ac:dyDescent="0.25">
      <c r="B2767" s="169"/>
      <c r="C2767" s="679">
        <v>3103115</v>
      </c>
      <c r="D2767" s="677">
        <v>3</v>
      </c>
      <c r="E2767" s="678" t="s">
        <v>2931</v>
      </c>
      <c r="F2767" s="170"/>
    </row>
    <row r="2768" spans="2:6" ht="15" x14ac:dyDescent="0.25">
      <c r="B2768" s="169"/>
      <c r="C2768" s="679">
        <v>3163927</v>
      </c>
      <c r="D2768" s="677">
        <v>5</v>
      </c>
      <c r="E2768" s="678" t="s">
        <v>2932</v>
      </c>
      <c r="F2768" s="170"/>
    </row>
    <row r="2769" spans="2:6" ht="15" x14ac:dyDescent="0.25">
      <c r="B2769" s="169"/>
      <c r="C2769" s="679">
        <v>3084482</v>
      </c>
      <c r="D2769" s="677">
        <v>7</v>
      </c>
      <c r="E2769" s="678" t="s">
        <v>2933</v>
      </c>
      <c r="F2769" s="170"/>
    </row>
    <row r="2770" spans="2:6" ht="15" x14ac:dyDescent="0.25">
      <c r="B2770" s="169"/>
      <c r="C2770" s="679">
        <v>3077702</v>
      </c>
      <c r="D2770" s="677">
        <v>0</v>
      </c>
      <c r="E2770" s="678" t="s">
        <v>2934</v>
      </c>
      <c r="F2770" s="170"/>
    </row>
    <row r="2771" spans="2:6" ht="15" x14ac:dyDescent="0.25">
      <c r="B2771" s="169"/>
      <c r="C2771" s="679">
        <v>3058038</v>
      </c>
      <c r="D2771" s="677">
        <v>2</v>
      </c>
      <c r="E2771" s="678" t="s">
        <v>2935</v>
      </c>
      <c r="F2771" s="170"/>
    </row>
    <row r="2772" spans="2:6" ht="15" x14ac:dyDescent="0.25">
      <c r="B2772" s="169"/>
      <c r="C2772" s="679">
        <v>3070368</v>
      </c>
      <c r="D2772" s="677">
        <v>9</v>
      </c>
      <c r="E2772" s="678" t="s">
        <v>2936</v>
      </c>
      <c r="F2772" s="170"/>
    </row>
    <row r="2773" spans="2:6" ht="15" x14ac:dyDescent="0.25">
      <c r="B2773" s="169"/>
      <c r="C2773" s="679">
        <v>3310426</v>
      </c>
      <c r="D2773" s="677">
        <v>3</v>
      </c>
      <c r="E2773" s="678" t="s">
        <v>8430</v>
      </c>
      <c r="F2773" s="170"/>
    </row>
    <row r="2774" spans="2:6" ht="15" x14ac:dyDescent="0.25">
      <c r="B2774" s="169"/>
      <c r="C2774" s="679">
        <v>3314140</v>
      </c>
      <c r="D2774" s="677">
        <v>1</v>
      </c>
      <c r="E2774" s="678" t="s">
        <v>8431</v>
      </c>
      <c r="F2774" s="170"/>
    </row>
    <row r="2775" spans="2:6" ht="15" x14ac:dyDescent="0.25">
      <c r="B2775" s="169"/>
      <c r="C2775" s="679">
        <v>3307539</v>
      </c>
      <c r="D2775" s="677">
        <v>5</v>
      </c>
      <c r="E2775" s="678" t="s">
        <v>8432</v>
      </c>
      <c r="F2775" s="170"/>
    </row>
    <row r="2776" spans="2:6" ht="15" x14ac:dyDescent="0.25">
      <c r="B2776" s="169"/>
      <c r="C2776" s="679">
        <v>3048186</v>
      </c>
      <c r="D2776" s="677">
        <v>4</v>
      </c>
      <c r="E2776" s="678" t="s">
        <v>2937</v>
      </c>
      <c r="F2776" s="170"/>
    </row>
    <row r="2777" spans="2:6" ht="15" x14ac:dyDescent="0.25">
      <c r="B2777" s="169"/>
      <c r="C2777" s="679">
        <v>3048187</v>
      </c>
      <c r="D2777" s="677">
        <v>2</v>
      </c>
      <c r="E2777" s="678" t="s">
        <v>2938</v>
      </c>
      <c r="F2777" s="170"/>
    </row>
    <row r="2778" spans="2:6" ht="15" x14ac:dyDescent="0.25">
      <c r="B2778" s="169"/>
      <c r="C2778" s="679">
        <v>3048188</v>
      </c>
      <c r="D2778" s="677">
        <v>1</v>
      </c>
      <c r="E2778" s="678" t="s">
        <v>2939</v>
      </c>
      <c r="F2778" s="170"/>
    </row>
    <row r="2779" spans="2:6" ht="15" x14ac:dyDescent="0.25">
      <c r="B2779" s="169"/>
      <c r="C2779" s="679">
        <v>3339989</v>
      </c>
      <c r="D2779" s="677">
        <v>1</v>
      </c>
      <c r="E2779" s="678" t="s">
        <v>8433</v>
      </c>
      <c r="F2779" s="170"/>
    </row>
    <row r="2780" spans="2:6" ht="15" x14ac:dyDescent="0.25">
      <c r="B2780" s="169"/>
      <c r="C2780" s="679">
        <v>3307537</v>
      </c>
      <c r="D2780" s="677">
        <v>9</v>
      </c>
      <c r="E2780" s="678" t="s">
        <v>8434</v>
      </c>
      <c r="F2780" s="170"/>
    </row>
    <row r="2781" spans="2:6" ht="15" x14ac:dyDescent="0.25">
      <c r="B2781" s="169"/>
      <c r="C2781" s="679">
        <v>3207250</v>
      </c>
      <c r="D2781" s="677">
        <v>3</v>
      </c>
      <c r="E2781" s="678" t="s">
        <v>8435</v>
      </c>
      <c r="F2781" s="170"/>
    </row>
    <row r="2782" spans="2:6" ht="15" x14ac:dyDescent="0.25">
      <c r="B2782" s="169"/>
      <c r="C2782" s="679">
        <v>3078211</v>
      </c>
      <c r="D2782" s="677">
        <v>2</v>
      </c>
      <c r="E2782" s="678" t="s">
        <v>2940</v>
      </c>
      <c r="F2782" s="170"/>
    </row>
    <row r="2783" spans="2:6" ht="15" x14ac:dyDescent="0.25">
      <c r="B2783" s="169"/>
      <c r="C2783" s="679">
        <v>3103151</v>
      </c>
      <c r="D2783" s="677">
        <v>0</v>
      </c>
      <c r="E2783" s="678" t="s">
        <v>2941</v>
      </c>
      <c r="F2783" s="170"/>
    </row>
    <row r="2784" spans="2:6" ht="15" x14ac:dyDescent="0.25">
      <c r="B2784" s="169"/>
      <c r="C2784" s="679">
        <v>3048189</v>
      </c>
      <c r="D2784" s="677">
        <v>9</v>
      </c>
      <c r="E2784" s="678" t="s">
        <v>2942</v>
      </c>
      <c r="F2784" s="170"/>
    </row>
    <row r="2785" spans="2:6" ht="15" x14ac:dyDescent="0.25">
      <c r="B2785" s="169"/>
      <c r="C2785" s="679">
        <v>3048190</v>
      </c>
      <c r="D2785" s="677">
        <v>2</v>
      </c>
      <c r="E2785" s="678" t="s">
        <v>2943</v>
      </c>
      <c r="F2785" s="170"/>
    </row>
    <row r="2786" spans="2:6" ht="15" x14ac:dyDescent="0.25">
      <c r="B2786" s="169"/>
      <c r="C2786" s="679">
        <v>3307522</v>
      </c>
      <c r="D2786" s="677">
        <v>1</v>
      </c>
      <c r="E2786" s="678" t="s">
        <v>8436</v>
      </c>
      <c r="F2786" s="170"/>
    </row>
    <row r="2787" spans="2:6" ht="15" x14ac:dyDescent="0.25">
      <c r="B2787" s="169"/>
      <c r="C2787" s="679">
        <v>3048191</v>
      </c>
      <c r="D2787" s="677">
        <v>1</v>
      </c>
      <c r="E2787" s="678" t="s">
        <v>2944</v>
      </c>
      <c r="F2787" s="170"/>
    </row>
    <row r="2788" spans="2:6" ht="15" x14ac:dyDescent="0.25">
      <c r="B2788" s="169"/>
      <c r="C2788" s="679">
        <v>3048192</v>
      </c>
      <c r="D2788" s="677">
        <v>9</v>
      </c>
      <c r="E2788" s="678" t="s">
        <v>2945</v>
      </c>
      <c r="F2788" s="170"/>
    </row>
    <row r="2789" spans="2:6" ht="15" x14ac:dyDescent="0.25">
      <c r="B2789" s="169"/>
      <c r="C2789" s="679">
        <v>3158426</v>
      </c>
      <c r="D2789" s="677">
        <v>8</v>
      </c>
      <c r="E2789" s="678" t="s">
        <v>2946</v>
      </c>
      <c r="F2789" s="170"/>
    </row>
    <row r="2790" spans="2:6" ht="15" x14ac:dyDescent="0.25">
      <c r="B2790" s="169"/>
      <c r="C2790" s="679">
        <v>3083875</v>
      </c>
      <c r="D2790" s="677">
        <v>4</v>
      </c>
      <c r="E2790" s="678" t="s">
        <v>2947</v>
      </c>
      <c r="F2790" s="170"/>
    </row>
    <row r="2791" spans="2:6" ht="15" x14ac:dyDescent="0.25">
      <c r="B2791" s="169"/>
      <c r="C2791" s="679">
        <v>3314139</v>
      </c>
      <c r="D2791" s="677">
        <v>8</v>
      </c>
      <c r="E2791" s="678" t="s">
        <v>8437</v>
      </c>
      <c r="F2791" s="170"/>
    </row>
    <row r="2792" spans="2:6" ht="15" x14ac:dyDescent="0.25">
      <c r="B2792" s="169"/>
      <c r="C2792" s="679">
        <v>3349306</v>
      </c>
      <c r="D2792" s="677">
        <v>5</v>
      </c>
      <c r="E2792" s="678" t="s">
        <v>8438</v>
      </c>
      <c r="F2792" s="170"/>
    </row>
    <row r="2793" spans="2:6" ht="15" x14ac:dyDescent="0.25">
      <c r="B2793" s="169"/>
      <c r="C2793" s="679">
        <v>3155477</v>
      </c>
      <c r="D2793" s="677">
        <v>6</v>
      </c>
      <c r="E2793" s="678" t="s">
        <v>2948</v>
      </c>
      <c r="F2793" s="170"/>
    </row>
    <row r="2794" spans="2:6" ht="15" x14ac:dyDescent="0.25">
      <c r="B2794" s="169"/>
      <c r="C2794" s="679">
        <v>3189614</v>
      </c>
      <c r="D2794" s="677">
        <v>6</v>
      </c>
      <c r="E2794" s="678" t="s">
        <v>2949</v>
      </c>
      <c r="F2794" s="170"/>
    </row>
    <row r="2795" spans="2:6" ht="15" x14ac:dyDescent="0.25">
      <c r="B2795" s="169"/>
      <c r="C2795" s="679">
        <v>2974427</v>
      </c>
      <c r="D2795" s="677">
        <v>0</v>
      </c>
      <c r="E2795" s="678" t="s">
        <v>2950</v>
      </c>
      <c r="F2795" s="170"/>
    </row>
    <row r="2796" spans="2:6" ht="15" x14ac:dyDescent="0.25">
      <c r="B2796" s="169"/>
      <c r="C2796" s="679">
        <v>3339924</v>
      </c>
      <c r="D2796" s="677">
        <v>7</v>
      </c>
      <c r="E2796" s="678" t="s">
        <v>8439</v>
      </c>
      <c r="F2796" s="170"/>
    </row>
    <row r="2797" spans="2:6" ht="15" x14ac:dyDescent="0.25">
      <c r="B2797" s="169"/>
      <c r="C2797" s="679">
        <v>3048193</v>
      </c>
      <c r="D2797" s="677">
        <v>7</v>
      </c>
      <c r="E2797" s="678" t="s">
        <v>2951</v>
      </c>
      <c r="F2797" s="170"/>
    </row>
    <row r="2798" spans="2:6" ht="15" x14ac:dyDescent="0.25">
      <c r="B2798" s="169"/>
      <c r="C2798" s="679">
        <v>2961805</v>
      </c>
      <c r="D2798" s="677">
        <v>3</v>
      </c>
      <c r="E2798" s="678" t="s">
        <v>2952</v>
      </c>
      <c r="F2798" s="170"/>
    </row>
    <row r="2799" spans="2:6" ht="15" x14ac:dyDescent="0.25">
      <c r="B2799" s="169"/>
      <c r="C2799" s="679">
        <v>3048194</v>
      </c>
      <c r="D2799" s="677">
        <v>5</v>
      </c>
      <c r="E2799" s="678" t="s">
        <v>2953</v>
      </c>
      <c r="F2799" s="170"/>
    </row>
    <row r="2800" spans="2:6" ht="15" x14ac:dyDescent="0.25">
      <c r="B2800" s="169"/>
      <c r="C2800" s="679">
        <v>3048195</v>
      </c>
      <c r="D2800" s="677">
        <v>3</v>
      </c>
      <c r="E2800" s="678" t="s">
        <v>2954</v>
      </c>
      <c r="F2800" s="170"/>
    </row>
    <row r="2801" spans="2:6" ht="15" x14ac:dyDescent="0.25">
      <c r="B2801" s="169"/>
      <c r="C2801" s="679">
        <v>3086252</v>
      </c>
      <c r="D2801" s="677">
        <v>3</v>
      </c>
      <c r="E2801" s="678" t="s">
        <v>2955</v>
      </c>
      <c r="F2801" s="170"/>
    </row>
    <row r="2802" spans="2:6" ht="15" x14ac:dyDescent="0.25">
      <c r="B2802" s="169"/>
      <c r="C2802" s="679">
        <v>3075235</v>
      </c>
      <c r="D2802" s="677">
        <v>3</v>
      </c>
      <c r="E2802" s="678" t="s">
        <v>2956</v>
      </c>
      <c r="F2802" s="170"/>
    </row>
    <row r="2803" spans="2:6" ht="15" x14ac:dyDescent="0.25">
      <c r="B2803" s="169"/>
      <c r="C2803" s="679">
        <v>3069179</v>
      </c>
      <c r="D2803" s="677">
        <v>6</v>
      </c>
      <c r="E2803" s="678" t="s">
        <v>2957</v>
      </c>
      <c r="F2803" s="170"/>
    </row>
    <row r="2804" spans="2:6" ht="15" x14ac:dyDescent="0.25">
      <c r="B2804" s="169"/>
      <c r="C2804" s="679">
        <v>3318064</v>
      </c>
      <c r="D2804" s="677">
        <v>4</v>
      </c>
      <c r="E2804" s="678" t="s">
        <v>8440</v>
      </c>
      <c r="F2804" s="170"/>
    </row>
    <row r="2805" spans="2:6" ht="15" x14ac:dyDescent="0.25">
      <c r="B2805" s="169"/>
      <c r="C2805" s="679">
        <v>3097174</v>
      </c>
      <c r="D2805" s="677">
        <v>8</v>
      </c>
      <c r="E2805" s="678" t="s">
        <v>2958</v>
      </c>
      <c r="F2805" s="170"/>
    </row>
    <row r="2806" spans="2:6" ht="15" x14ac:dyDescent="0.25">
      <c r="B2806" s="169"/>
      <c r="C2806" s="679">
        <v>3289462</v>
      </c>
      <c r="D2806" s="677">
        <v>7</v>
      </c>
      <c r="E2806" s="678" t="s">
        <v>8441</v>
      </c>
      <c r="F2806" s="170"/>
    </row>
    <row r="2807" spans="2:6" ht="15" x14ac:dyDescent="0.25">
      <c r="B2807" s="169"/>
      <c r="C2807" s="679">
        <v>3088116</v>
      </c>
      <c r="D2807" s="677">
        <v>1</v>
      </c>
      <c r="E2807" s="678" t="s">
        <v>2959</v>
      </c>
      <c r="F2807" s="170"/>
    </row>
    <row r="2808" spans="2:6" ht="15" x14ac:dyDescent="0.25">
      <c r="B2808" s="169"/>
      <c r="C2808" s="679">
        <v>3048196</v>
      </c>
      <c r="D2808" s="677">
        <v>1</v>
      </c>
      <c r="E2808" s="678" t="s">
        <v>2960</v>
      </c>
      <c r="F2808" s="170"/>
    </row>
    <row r="2809" spans="2:6" ht="15" x14ac:dyDescent="0.25">
      <c r="B2809" s="169"/>
      <c r="C2809" s="679">
        <v>3048197</v>
      </c>
      <c r="D2809" s="677">
        <v>0</v>
      </c>
      <c r="E2809" s="678" t="s">
        <v>2961</v>
      </c>
      <c r="F2809" s="170"/>
    </row>
    <row r="2810" spans="2:6" ht="15" x14ac:dyDescent="0.25">
      <c r="B2810" s="169"/>
      <c r="C2810" s="679">
        <v>3069180</v>
      </c>
      <c r="D2810" s="677">
        <v>0</v>
      </c>
      <c r="E2810" s="678" t="s">
        <v>2962</v>
      </c>
      <c r="F2810" s="170"/>
    </row>
    <row r="2811" spans="2:6" ht="15" x14ac:dyDescent="0.25">
      <c r="B2811" s="169"/>
      <c r="C2811" s="679">
        <v>3075022</v>
      </c>
      <c r="D2811" s="677">
        <v>9</v>
      </c>
      <c r="E2811" s="678" t="s">
        <v>2963</v>
      </c>
      <c r="F2811" s="170"/>
    </row>
    <row r="2812" spans="2:6" ht="15" x14ac:dyDescent="0.25">
      <c r="B2812" s="169"/>
      <c r="C2812" s="679">
        <v>2963874</v>
      </c>
      <c r="D2812" s="677">
        <v>7</v>
      </c>
      <c r="E2812" s="678" t="s">
        <v>2964</v>
      </c>
      <c r="F2812" s="170"/>
    </row>
    <row r="2813" spans="2:6" ht="15" x14ac:dyDescent="0.25">
      <c r="B2813" s="169"/>
      <c r="C2813" s="679">
        <v>3339928</v>
      </c>
      <c r="D2813" s="677">
        <v>0</v>
      </c>
      <c r="E2813" s="678" t="s">
        <v>8442</v>
      </c>
      <c r="F2813" s="170"/>
    </row>
    <row r="2814" spans="2:6" ht="15" x14ac:dyDescent="0.25">
      <c r="B2814" s="169"/>
      <c r="C2814" s="679">
        <v>3072921</v>
      </c>
      <c r="D2814" s="677">
        <v>1</v>
      </c>
      <c r="E2814" s="678" t="s">
        <v>2965</v>
      </c>
      <c r="F2814" s="170"/>
    </row>
    <row r="2815" spans="2:6" ht="15" x14ac:dyDescent="0.25">
      <c r="B2815" s="169"/>
      <c r="C2815" s="679">
        <v>3048198</v>
      </c>
      <c r="D2815" s="677">
        <v>8</v>
      </c>
      <c r="E2815" s="678" t="s">
        <v>2966</v>
      </c>
      <c r="F2815" s="170"/>
    </row>
    <row r="2816" spans="2:6" ht="15" x14ac:dyDescent="0.25">
      <c r="B2816" s="169"/>
      <c r="C2816" s="679">
        <v>3048199</v>
      </c>
      <c r="D2816" s="677">
        <v>6</v>
      </c>
      <c r="E2816" s="678" t="s">
        <v>2967</v>
      </c>
      <c r="F2816" s="170"/>
    </row>
    <row r="2817" spans="2:6" ht="15" x14ac:dyDescent="0.25">
      <c r="B2817" s="169"/>
      <c r="C2817" s="679">
        <v>3289081</v>
      </c>
      <c r="D2817" s="677">
        <v>8</v>
      </c>
      <c r="E2817" s="678" t="s">
        <v>8443</v>
      </c>
      <c r="F2817" s="170"/>
    </row>
    <row r="2818" spans="2:6" ht="15" x14ac:dyDescent="0.25">
      <c r="B2818" s="169"/>
      <c r="C2818" s="679">
        <v>3048200</v>
      </c>
      <c r="D2818" s="677">
        <v>3</v>
      </c>
      <c r="E2818" s="678" t="s">
        <v>2968</v>
      </c>
      <c r="F2818" s="170"/>
    </row>
    <row r="2819" spans="2:6" ht="15" x14ac:dyDescent="0.25">
      <c r="B2819" s="169"/>
      <c r="C2819" s="679">
        <v>2961959</v>
      </c>
      <c r="D2819" s="677">
        <v>9</v>
      </c>
      <c r="E2819" s="678" t="s">
        <v>2969</v>
      </c>
      <c r="F2819" s="170"/>
    </row>
    <row r="2820" spans="2:6" ht="15" x14ac:dyDescent="0.25">
      <c r="B2820" s="169"/>
      <c r="C2820" s="679">
        <v>3052517</v>
      </c>
      <c r="D2820" s="677">
        <v>9</v>
      </c>
      <c r="E2820" s="678" t="s">
        <v>8444</v>
      </c>
      <c r="F2820" s="170"/>
    </row>
    <row r="2821" spans="2:6" ht="15" x14ac:dyDescent="0.25">
      <c r="B2821" s="169"/>
      <c r="C2821" s="679">
        <v>3048201</v>
      </c>
      <c r="D2821" s="677">
        <v>1</v>
      </c>
      <c r="E2821" s="678" t="s">
        <v>2970</v>
      </c>
      <c r="F2821" s="170"/>
    </row>
    <row r="2822" spans="2:6" ht="15" x14ac:dyDescent="0.25">
      <c r="B2822" s="169"/>
      <c r="C2822" s="679">
        <v>2972691</v>
      </c>
      <c r="D2822" s="677">
        <v>3</v>
      </c>
      <c r="E2822" s="678" t="s">
        <v>2971</v>
      </c>
      <c r="F2822" s="170"/>
    </row>
    <row r="2823" spans="2:6" ht="15" x14ac:dyDescent="0.25">
      <c r="B2823" s="169"/>
      <c r="C2823" s="679">
        <v>3048202</v>
      </c>
      <c r="D2823" s="677">
        <v>0</v>
      </c>
      <c r="E2823" s="678" t="s">
        <v>2972</v>
      </c>
      <c r="F2823" s="170"/>
    </row>
    <row r="2824" spans="2:6" ht="15" x14ac:dyDescent="0.25">
      <c r="B2824" s="169"/>
      <c r="C2824" s="679">
        <v>3167977</v>
      </c>
      <c r="D2824" s="677">
        <v>3</v>
      </c>
      <c r="E2824" s="678" t="s">
        <v>2973</v>
      </c>
      <c r="F2824" s="170"/>
    </row>
    <row r="2825" spans="2:6" ht="15" x14ac:dyDescent="0.25">
      <c r="B2825" s="169"/>
      <c r="C2825" s="679">
        <v>3048204</v>
      </c>
      <c r="D2825" s="677">
        <v>6</v>
      </c>
      <c r="E2825" s="678" t="s">
        <v>2974</v>
      </c>
      <c r="F2825" s="170"/>
    </row>
    <row r="2826" spans="2:6" ht="15" x14ac:dyDescent="0.25">
      <c r="B2826" s="169"/>
      <c r="C2826" s="679">
        <v>3048205</v>
      </c>
      <c r="D2826" s="677">
        <v>4</v>
      </c>
      <c r="E2826" s="678" t="s">
        <v>2975</v>
      </c>
      <c r="F2826" s="170"/>
    </row>
    <row r="2827" spans="2:6" ht="15" x14ac:dyDescent="0.25">
      <c r="B2827" s="169"/>
      <c r="C2827" s="679">
        <v>2963365</v>
      </c>
      <c r="D2827" s="677">
        <v>6</v>
      </c>
      <c r="E2827" s="678" t="s">
        <v>2976</v>
      </c>
      <c r="F2827" s="170"/>
    </row>
    <row r="2828" spans="2:6" ht="15" x14ac:dyDescent="0.25">
      <c r="B2828" s="169"/>
      <c r="C2828" s="679">
        <v>3067957</v>
      </c>
      <c r="D2828" s="677">
        <v>5</v>
      </c>
      <c r="E2828" s="678" t="s">
        <v>2977</v>
      </c>
      <c r="F2828" s="170"/>
    </row>
    <row r="2829" spans="2:6" ht="15" x14ac:dyDescent="0.25">
      <c r="B2829" s="169"/>
      <c r="C2829" s="679">
        <v>2963588</v>
      </c>
      <c r="D2829" s="677">
        <v>8</v>
      </c>
      <c r="E2829" s="678" t="s">
        <v>2978</v>
      </c>
      <c r="F2829" s="170"/>
    </row>
    <row r="2830" spans="2:6" ht="15" x14ac:dyDescent="0.25">
      <c r="B2830" s="169"/>
      <c r="C2830" s="679">
        <v>2962437</v>
      </c>
      <c r="D2830" s="677">
        <v>1</v>
      </c>
      <c r="E2830" s="678" t="s">
        <v>2979</v>
      </c>
      <c r="F2830" s="170"/>
    </row>
    <row r="2831" spans="2:6" ht="15" x14ac:dyDescent="0.25">
      <c r="B2831" s="169"/>
      <c r="C2831" s="679">
        <v>2961799</v>
      </c>
      <c r="D2831" s="677">
        <v>5</v>
      </c>
      <c r="E2831" s="678" t="s">
        <v>2980</v>
      </c>
      <c r="F2831" s="170"/>
    </row>
    <row r="2832" spans="2:6" ht="15" x14ac:dyDescent="0.25">
      <c r="B2832" s="169"/>
      <c r="C2832" s="679">
        <v>3158420</v>
      </c>
      <c r="D2832" s="677">
        <v>9</v>
      </c>
      <c r="E2832" s="678" t="s">
        <v>2981</v>
      </c>
      <c r="F2832" s="170"/>
    </row>
    <row r="2833" spans="2:6" ht="15" x14ac:dyDescent="0.25">
      <c r="B2833" s="169"/>
      <c r="C2833" s="679">
        <v>2963014</v>
      </c>
      <c r="D2833" s="677">
        <v>2</v>
      </c>
      <c r="E2833" s="678" t="s">
        <v>2982</v>
      </c>
      <c r="F2833" s="170"/>
    </row>
    <row r="2834" spans="2:6" ht="15" x14ac:dyDescent="0.25">
      <c r="B2834" s="169"/>
      <c r="C2834" s="679">
        <v>3075489</v>
      </c>
      <c r="D2834" s="677">
        <v>5</v>
      </c>
      <c r="E2834" s="678" t="s">
        <v>2983</v>
      </c>
      <c r="F2834" s="170"/>
    </row>
    <row r="2835" spans="2:6" ht="15" x14ac:dyDescent="0.25">
      <c r="B2835" s="169"/>
      <c r="C2835" s="679">
        <v>3278366</v>
      </c>
      <c r="D2835" s="677">
        <v>3</v>
      </c>
      <c r="E2835" s="678" t="s">
        <v>8445</v>
      </c>
      <c r="F2835" s="170"/>
    </row>
    <row r="2836" spans="2:6" ht="15" x14ac:dyDescent="0.25">
      <c r="B2836" s="169"/>
      <c r="C2836" s="679">
        <v>3069156</v>
      </c>
      <c r="D2836" s="677">
        <v>7</v>
      </c>
      <c r="E2836" s="678" t="s">
        <v>2984</v>
      </c>
      <c r="F2836" s="170"/>
    </row>
    <row r="2837" spans="2:6" ht="15" x14ac:dyDescent="0.25">
      <c r="B2837" s="169"/>
      <c r="C2837" s="679">
        <v>3352160</v>
      </c>
      <c r="D2837" s="677">
        <v>3</v>
      </c>
      <c r="E2837" s="678" t="s">
        <v>8446</v>
      </c>
      <c r="F2837" s="170"/>
    </row>
    <row r="2838" spans="2:6" ht="15" x14ac:dyDescent="0.25">
      <c r="B2838" s="169"/>
      <c r="C2838" s="679">
        <v>3314132</v>
      </c>
      <c r="D2838" s="677">
        <v>1</v>
      </c>
      <c r="E2838" s="678" t="s">
        <v>8447</v>
      </c>
      <c r="F2838" s="170"/>
    </row>
    <row r="2839" spans="2:6" ht="15" x14ac:dyDescent="0.25">
      <c r="B2839" s="169"/>
      <c r="C2839" s="679">
        <v>3072551</v>
      </c>
      <c r="D2839" s="677">
        <v>8</v>
      </c>
      <c r="E2839" s="678" t="s">
        <v>2985</v>
      </c>
      <c r="F2839" s="170"/>
    </row>
    <row r="2840" spans="2:6" ht="15" x14ac:dyDescent="0.25">
      <c r="B2840" s="169"/>
      <c r="C2840" s="679">
        <v>3069182</v>
      </c>
      <c r="D2840" s="677">
        <v>6</v>
      </c>
      <c r="E2840" s="678" t="s">
        <v>2986</v>
      </c>
      <c r="F2840" s="170"/>
    </row>
    <row r="2841" spans="2:6" ht="15" x14ac:dyDescent="0.25">
      <c r="B2841" s="169"/>
      <c r="C2841" s="679">
        <v>3051347</v>
      </c>
      <c r="D2841" s="677">
        <v>2</v>
      </c>
      <c r="E2841" s="678" t="s">
        <v>2987</v>
      </c>
      <c r="F2841" s="170"/>
    </row>
    <row r="2842" spans="2:6" ht="15" x14ac:dyDescent="0.25">
      <c r="B2842" s="169"/>
      <c r="C2842" s="679">
        <v>3276689</v>
      </c>
      <c r="D2842" s="677">
        <v>1</v>
      </c>
      <c r="E2842" s="678" t="s">
        <v>8448</v>
      </c>
      <c r="F2842" s="170"/>
    </row>
    <row r="2843" spans="2:6" ht="15" x14ac:dyDescent="0.25">
      <c r="B2843" s="169"/>
      <c r="C2843" s="679">
        <v>3100098</v>
      </c>
      <c r="D2843" s="677">
        <v>3</v>
      </c>
      <c r="E2843" s="678" t="s">
        <v>2988</v>
      </c>
      <c r="F2843" s="170"/>
    </row>
    <row r="2844" spans="2:6" ht="15" x14ac:dyDescent="0.25">
      <c r="B2844" s="169"/>
      <c r="C2844" s="679">
        <v>2974443</v>
      </c>
      <c r="D2844" s="677">
        <v>1</v>
      </c>
      <c r="E2844" s="678" t="s">
        <v>2989</v>
      </c>
      <c r="F2844" s="170"/>
    </row>
    <row r="2845" spans="2:6" ht="15" x14ac:dyDescent="0.25">
      <c r="B2845" s="169"/>
      <c r="C2845" s="679">
        <v>3215484</v>
      </c>
      <c r="D2845" s="677">
        <v>4</v>
      </c>
      <c r="E2845" s="678" t="s">
        <v>8449</v>
      </c>
      <c r="F2845" s="170"/>
    </row>
    <row r="2846" spans="2:6" ht="15" x14ac:dyDescent="0.25">
      <c r="B2846" s="169"/>
      <c r="C2846" s="679">
        <v>3156372</v>
      </c>
      <c r="D2846" s="677">
        <v>4</v>
      </c>
      <c r="E2846" s="678" t="s">
        <v>2990</v>
      </c>
      <c r="F2846" s="170"/>
    </row>
    <row r="2847" spans="2:6" ht="15" x14ac:dyDescent="0.25">
      <c r="B2847" s="169"/>
      <c r="C2847" s="679">
        <v>2982046</v>
      </c>
      <c r="D2847" s="677">
        <v>4</v>
      </c>
      <c r="E2847" s="678" t="s">
        <v>2991</v>
      </c>
      <c r="F2847" s="170"/>
    </row>
    <row r="2848" spans="2:6" ht="15" x14ac:dyDescent="0.25">
      <c r="B2848" s="169"/>
      <c r="C2848" s="679">
        <v>3263370</v>
      </c>
      <c r="D2848" s="677">
        <v>0</v>
      </c>
      <c r="E2848" s="678" t="s">
        <v>8450</v>
      </c>
      <c r="F2848" s="170"/>
    </row>
    <row r="2849" spans="2:6" ht="15" x14ac:dyDescent="0.25">
      <c r="B2849" s="169"/>
      <c r="C2849" s="679">
        <v>2962438</v>
      </c>
      <c r="D2849" s="677">
        <v>0</v>
      </c>
      <c r="E2849" s="678" t="s">
        <v>2992</v>
      </c>
      <c r="F2849" s="170"/>
    </row>
    <row r="2850" spans="2:6" ht="15" x14ac:dyDescent="0.25">
      <c r="B2850" s="169"/>
      <c r="C2850" s="679">
        <v>2961344</v>
      </c>
      <c r="D2850" s="677">
        <v>2</v>
      </c>
      <c r="E2850" s="678" t="s">
        <v>2993</v>
      </c>
      <c r="F2850" s="170"/>
    </row>
    <row r="2851" spans="2:6" ht="15" x14ac:dyDescent="0.25">
      <c r="B2851" s="169"/>
      <c r="C2851" s="679">
        <v>2962439</v>
      </c>
      <c r="D2851" s="677">
        <v>8</v>
      </c>
      <c r="E2851" s="678" t="s">
        <v>2994</v>
      </c>
      <c r="F2851" s="170"/>
    </row>
    <row r="2852" spans="2:6" ht="15" x14ac:dyDescent="0.25">
      <c r="B2852" s="169"/>
      <c r="C2852" s="679">
        <v>2962440</v>
      </c>
      <c r="D2852" s="677">
        <v>1</v>
      </c>
      <c r="E2852" s="678" t="s">
        <v>2995</v>
      </c>
      <c r="F2852" s="170"/>
    </row>
    <row r="2853" spans="2:6" ht="15" x14ac:dyDescent="0.25">
      <c r="B2853" s="169"/>
      <c r="C2853" s="679">
        <v>2962441</v>
      </c>
      <c r="D2853" s="677">
        <v>0</v>
      </c>
      <c r="E2853" s="678" t="s">
        <v>2996</v>
      </c>
      <c r="F2853" s="170"/>
    </row>
    <row r="2854" spans="2:6" ht="15" x14ac:dyDescent="0.25">
      <c r="B2854" s="169"/>
      <c r="C2854" s="679">
        <v>3112410</v>
      </c>
      <c r="D2854" s="677">
        <v>1</v>
      </c>
      <c r="E2854" s="678" t="s">
        <v>2997</v>
      </c>
      <c r="F2854" s="170"/>
    </row>
    <row r="2855" spans="2:6" ht="15" x14ac:dyDescent="0.25">
      <c r="B2855" s="169"/>
      <c r="C2855" s="679">
        <v>3285621</v>
      </c>
      <c r="D2855" s="677">
        <v>1</v>
      </c>
      <c r="E2855" s="678" t="s">
        <v>8451</v>
      </c>
      <c r="F2855" s="170"/>
    </row>
    <row r="2856" spans="2:6" ht="15" x14ac:dyDescent="0.25">
      <c r="B2856" s="169"/>
      <c r="C2856" s="679">
        <v>3048206</v>
      </c>
      <c r="D2856" s="677">
        <v>2</v>
      </c>
      <c r="E2856" s="678" t="s">
        <v>2998</v>
      </c>
      <c r="F2856" s="170"/>
    </row>
    <row r="2857" spans="2:6" ht="15" x14ac:dyDescent="0.25">
      <c r="B2857" s="169"/>
      <c r="C2857" s="679">
        <v>3289182</v>
      </c>
      <c r="D2857" s="677">
        <v>2</v>
      </c>
      <c r="E2857" s="678" t="s">
        <v>8452</v>
      </c>
      <c r="F2857" s="170"/>
    </row>
    <row r="2858" spans="2:6" ht="15" x14ac:dyDescent="0.25">
      <c r="B2858" s="169"/>
      <c r="C2858" s="679">
        <v>3160804</v>
      </c>
      <c r="D2858" s="677">
        <v>3</v>
      </c>
      <c r="E2858" s="678" t="s">
        <v>2999</v>
      </c>
      <c r="F2858" s="170"/>
    </row>
    <row r="2859" spans="2:6" ht="15" x14ac:dyDescent="0.25">
      <c r="B2859" s="169"/>
      <c r="C2859" s="679">
        <v>3048207</v>
      </c>
      <c r="D2859" s="677">
        <v>1</v>
      </c>
      <c r="E2859" s="678" t="s">
        <v>3000</v>
      </c>
      <c r="F2859" s="170"/>
    </row>
    <row r="2860" spans="2:6" ht="15" x14ac:dyDescent="0.25">
      <c r="B2860" s="169"/>
      <c r="C2860" s="679">
        <v>3048208</v>
      </c>
      <c r="D2860" s="677">
        <v>9</v>
      </c>
      <c r="E2860" s="678" t="s">
        <v>3001</v>
      </c>
      <c r="F2860" s="170"/>
    </row>
    <row r="2861" spans="2:6" ht="15" x14ac:dyDescent="0.25">
      <c r="B2861" s="169"/>
      <c r="C2861" s="679">
        <v>3048209</v>
      </c>
      <c r="D2861" s="677">
        <v>7</v>
      </c>
      <c r="E2861" s="678" t="s">
        <v>3002</v>
      </c>
      <c r="F2861" s="170"/>
    </row>
    <row r="2862" spans="2:6" ht="15" x14ac:dyDescent="0.25">
      <c r="B2862" s="169"/>
      <c r="C2862" s="679">
        <v>3048210</v>
      </c>
      <c r="D2862" s="677">
        <v>1</v>
      </c>
      <c r="E2862" s="678" t="s">
        <v>3003</v>
      </c>
      <c r="F2862" s="170"/>
    </row>
    <row r="2863" spans="2:6" ht="15" x14ac:dyDescent="0.25">
      <c r="B2863" s="169"/>
      <c r="C2863" s="679">
        <v>3084590</v>
      </c>
      <c r="D2863" s="677">
        <v>4</v>
      </c>
      <c r="E2863" s="678" t="s">
        <v>3004</v>
      </c>
      <c r="F2863" s="170"/>
    </row>
    <row r="2864" spans="2:6" ht="15" x14ac:dyDescent="0.25">
      <c r="B2864" s="169"/>
      <c r="C2864" s="679">
        <v>3069173</v>
      </c>
      <c r="D2864" s="677">
        <v>7</v>
      </c>
      <c r="E2864" s="678" t="s">
        <v>3005</v>
      </c>
      <c r="F2864" s="170"/>
    </row>
    <row r="2865" spans="2:6" ht="15" x14ac:dyDescent="0.25">
      <c r="B2865" s="169"/>
      <c r="C2865" s="679">
        <v>3069339</v>
      </c>
      <c r="D2865" s="677">
        <v>0</v>
      </c>
      <c r="E2865" s="678" t="s">
        <v>3006</v>
      </c>
      <c r="F2865" s="170"/>
    </row>
    <row r="2866" spans="2:6" ht="15" x14ac:dyDescent="0.25">
      <c r="B2866" s="169"/>
      <c r="C2866" s="679">
        <v>3048211</v>
      </c>
      <c r="D2866" s="677">
        <v>9</v>
      </c>
      <c r="E2866" s="678" t="s">
        <v>3007</v>
      </c>
      <c r="F2866" s="170"/>
    </row>
    <row r="2867" spans="2:6" ht="15" x14ac:dyDescent="0.25">
      <c r="B2867" s="169"/>
      <c r="C2867" s="679">
        <v>3162128</v>
      </c>
      <c r="D2867" s="677">
        <v>7</v>
      </c>
      <c r="E2867" s="678" t="s">
        <v>3008</v>
      </c>
      <c r="F2867" s="170"/>
    </row>
    <row r="2868" spans="2:6" ht="15" x14ac:dyDescent="0.25">
      <c r="B2868" s="169"/>
      <c r="C2868" s="679">
        <v>3155475</v>
      </c>
      <c r="D2868" s="677">
        <v>0</v>
      </c>
      <c r="E2868" s="678" t="s">
        <v>3009</v>
      </c>
      <c r="F2868" s="170"/>
    </row>
    <row r="2869" spans="2:6" ht="15" x14ac:dyDescent="0.25">
      <c r="B2869" s="169"/>
      <c r="C2869" s="679">
        <v>3155473</v>
      </c>
      <c r="D2869" s="677">
        <v>3</v>
      </c>
      <c r="E2869" s="678" t="s">
        <v>3010</v>
      </c>
      <c r="F2869" s="170"/>
    </row>
    <row r="2870" spans="2:6" ht="15" x14ac:dyDescent="0.25">
      <c r="B2870" s="169"/>
      <c r="C2870" s="679">
        <v>3153288</v>
      </c>
      <c r="D2870" s="677">
        <v>8</v>
      </c>
      <c r="E2870" s="678" t="s">
        <v>3011</v>
      </c>
      <c r="F2870" s="170"/>
    </row>
    <row r="2871" spans="2:6" ht="15" x14ac:dyDescent="0.25">
      <c r="B2871" s="169"/>
      <c r="C2871" s="679">
        <v>3155421</v>
      </c>
      <c r="D2871" s="677">
        <v>1</v>
      </c>
      <c r="E2871" s="678" t="s">
        <v>3012</v>
      </c>
      <c r="F2871" s="170"/>
    </row>
    <row r="2872" spans="2:6" ht="15" x14ac:dyDescent="0.25">
      <c r="B2872" s="169"/>
      <c r="C2872" s="679">
        <v>3153291</v>
      </c>
      <c r="D2872" s="677">
        <v>8</v>
      </c>
      <c r="E2872" s="678" t="s">
        <v>3013</v>
      </c>
      <c r="F2872" s="170"/>
    </row>
    <row r="2873" spans="2:6" ht="15" x14ac:dyDescent="0.25">
      <c r="B2873" s="169"/>
      <c r="C2873" s="679">
        <v>3214526</v>
      </c>
      <c r="D2873" s="677">
        <v>8</v>
      </c>
      <c r="E2873" s="678" t="s">
        <v>8453</v>
      </c>
      <c r="F2873" s="170"/>
    </row>
    <row r="2874" spans="2:6" ht="15" x14ac:dyDescent="0.25">
      <c r="B2874" s="169"/>
      <c r="C2874" s="679">
        <v>3076282</v>
      </c>
      <c r="D2874" s="677">
        <v>1</v>
      </c>
      <c r="E2874" s="678" t="s">
        <v>3014</v>
      </c>
      <c r="F2874" s="170"/>
    </row>
    <row r="2875" spans="2:6" ht="15" x14ac:dyDescent="0.25">
      <c r="B2875" s="169"/>
      <c r="C2875" s="679">
        <v>3126144</v>
      </c>
      <c r="D2875" s="677">
        <v>2</v>
      </c>
      <c r="E2875" s="678" t="s">
        <v>3015</v>
      </c>
      <c r="F2875" s="170"/>
    </row>
    <row r="2876" spans="2:6" ht="15" x14ac:dyDescent="0.25">
      <c r="B2876" s="169"/>
      <c r="C2876" s="679">
        <v>2961793</v>
      </c>
      <c r="D2876" s="677">
        <v>6</v>
      </c>
      <c r="E2876" s="678" t="s">
        <v>3016</v>
      </c>
      <c r="F2876" s="170"/>
    </row>
    <row r="2877" spans="2:6" ht="15" x14ac:dyDescent="0.25">
      <c r="B2877" s="169"/>
      <c r="C2877" s="679">
        <v>2961791</v>
      </c>
      <c r="D2877" s="677">
        <v>0</v>
      </c>
      <c r="E2877" s="678" t="s">
        <v>3017</v>
      </c>
      <c r="F2877" s="170"/>
    </row>
    <row r="2878" spans="2:6" ht="15" x14ac:dyDescent="0.25">
      <c r="B2878" s="169"/>
      <c r="C2878" s="679">
        <v>3351328</v>
      </c>
      <c r="D2878" s="677">
        <v>7</v>
      </c>
      <c r="E2878" s="678" t="s">
        <v>8454</v>
      </c>
      <c r="F2878" s="170"/>
    </row>
    <row r="2879" spans="2:6" ht="15" x14ac:dyDescent="0.25">
      <c r="B2879" s="169"/>
      <c r="C2879" s="679">
        <v>3077748</v>
      </c>
      <c r="D2879" s="677">
        <v>8</v>
      </c>
      <c r="E2879" s="678" t="s">
        <v>3018</v>
      </c>
      <c r="F2879" s="170"/>
    </row>
    <row r="2880" spans="2:6" ht="15" x14ac:dyDescent="0.25">
      <c r="B2880" s="169"/>
      <c r="C2880" s="679">
        <v>2961946</v>
      </c>
      <c r="D2880" s="677">
        <v>7</v>
      </c>
      <c r="E2880" s="678" t="s">
        <v>3019</v>
      </c>
      <c r="F2880" s="170"/>
    </row>
    <row r="2881" spans="2:6" ht="15" x14ac:dyDescent="0.25">
      <c r="B2881" s="169"/>
      <c r="C2881" s="679">
        <v>3155033</v>
      </c>
      <c r="D2881" s="677">
        <v>9</v>
      </c>
      <c r="E2881" s="678" t="s">
        <v>3020</v>
      </c>
      <c r="F2881" s="170"/>
    </row>
    <row r="2882" spans="2:6" ht="15" x14ac:dyDescent="0.25">
      <c r="B2882" s="169"/>
      <c r="C2882" s="679">
        <v>2961810</v>
      </c>
      <c r="D2882" s="677">
        <v>0</v>
      </c>
      <c r="E2882" s="678" t="s">
        <v>3021</v>
      </c>
      <c r="F2882" s="170"/>
    </row>
    <row r="2883" spans="2:6" ht="15" x14ac:dyDescent="0.25">
      <c r="B2883" s="169"/>
      <c r="C2883" s="679">
        <v>2962988</v>
      </c>
      <c r="D2883" s="677">
        <v>8</v>
      </c>
      <c r="E2883" s="678" t="s">
        <v>3022</v>
      </c>
      <c r="F2883" s="170"/>
    </row>
    <row r="2884" spans="2:6" ht="15" x14ac:dyDescent="0.25">
      <c r="B2884" s="169"/>
      <c r="C2884" s="679">
        <v>3081095</v>
      </c>
      <c r="D2884" s="677">
        <v>7</v>
      </c>
      <c r="E2884" s="678" t="s">
        <v>3023</v>
      </c>
      <c r="F2884" s="170"/>
    </row>
    <row r="2885" spans="2:6" ht="15" x14ac:dyDescent="0.25">
      <c r="B2885" s="169"/>
      <c r="C2885" s="679">
        <v>3074356</v>
      </c>
      <c r="D2885" s="677">
        <v>7</v>
      </c>
      <c r="E2885" s="678" t="s">
        <v>3024</v>
      </c>
      <c r="F2885" s="170"/>
    </row>
    <row r="2886" spans="2:6" ht="15" x14ac:dyDescent="0.25">
      <c r="B2886" s="169"/>
      <c r="C2886" s="679">
        <v>3075030</v>
      </c>
      <c r="D2886" s="677">
        <v>0</v>
      </c>
      <c r="E2886" s="678" t="s">
        <v>3025</v>
      </c>
      <c r="F2886" s="170"/>
    </row>
    <row r="2887" spans="2:6" ht="15" x14ac:dyDescent="0.25">
      <c r="B2887" s="169"/>
      <c r="C2887" s="679">
        <v>3075491</v>
      </c>
      <c r="D2887" s="677">
        <v>7</v>
      </c>
      <c r="E2887" s="678" t="s">
        <v>3026</v>
      </c>
      <c r="F2887" s="170"/>
    </row>
    <row r="2888" spans="2:6" ht="15" x14ac:dyDescent="0.25">
      <c r="B2888" s="169"/>
      <c r="C2888" s="679">
        <v>2963004</v>
      </c>
      <c r="D2888" s="677">
        <v>5</v>
      </c>
      <c r="E2888" s="678" t="s">
        <v>3027</v>
      </c>
      <c r="F2888" s="170"/>
    </row>
    <row r="2889" spans="2:6" ht="15" x14ac:dyDescent="0.25">
      <c r="B2889" s="169"/>
      <c r="C2889" s="679">
        <v>2961979</v>
      </c>
      <c r="D2889" s="677">
        <v>3</v>
      </c>
      <c r="E2889" s="678" t="s">
        <v>3028</v>
      </c>
      <c r="F2889" s="170"/>
    </row>
    <row r="2890" spans="2:6" ht="15" x14ac:dyDescent="0.25">
      <c r="B2890" s="169"/>
      <c r="C2890" s="679">
        <v>3085910</v>
      </c>
      <c r="D2890" s="677">
        <v>7</v>
      </c>
      <c r="E2890" s="678" t="s">
        <v>3029</v>
      </c>
      <c r="F2890" s="170"/>
    </row>
    <row r="2891" spans="2:6" ht="15" x14ac:dyDescent="0.25">
      <c r="B2891" s="169"/>
      <c r="C2891" s="679">
        <v>2963007</v>
      </c>
      <c r="D2891" s="677">
        <v>0</v>
      </c>
      <c r="E2891" s="678" t="s">
        <v>3030</v>
      </c>
      <c r="F2891" s="170"/>
    </row>
    <row r="2892" spans="2:6" ht="15" x14ac:dyDescent="0.25">
      <c r="B2892" s="169"/>
      <c r="C2892" s="679">
        <v>3153286</v>
      </c>
      <c r="D2892" s="677">
        <v>1</v>
      </c>
      <c r="E2892" s="678" t="s">
        <v>3031</v>
      </c>
      <c r="F2892" s="170"/>
    </row>
    <row r="2893" spans="2:6" ht="15" x14ac:dyDescent="0.25">
      <c r="B2893" s="169"/>
      <c r="C2893" s="679">
        <v>2962996</v>
      </c>
      <c r="D2893" s="677">
        <v>9</v>
      </c>
      <c r="E2893" s="678" t="s">
        <v>3032</v>
      </c>
      <c r="F2893" s="170"/>
    </row>
    <row r="2894" spans="2:6" ht="15" x14ac:dyDescent="0.25">
      <c r="B2894" s="169"/>
      <c r="C2894" s="679">
        <v>3076270</v>
      </c>
      <c r="D2894" s="677">
        <v>7</v>
      </c>
      <c r="E2894" s="678" t="s">
        <v>3033</v>
      </c>
      <c r="F2894" s="170"/>
    </row>
    <row r="2895" spans="2:6" ht="15" x14ac:dyDescent="0.25">
      <c r="B2895" s="169"/>
      <c r="C2895" s="679">
        <v>2961977</v>
      </c>
      <c r="D2895" s="677">
        <v>7</v>
      </c>
      <c r="E2895" s="678" t="s">
        <v>3034</v>
      </c>
      <c r="F2895" s="170"/>
    </row>
    <row r="2896" spans="2:6" ht="15" x14ac:dyDescent="0.25">
      <c r="B2896" s="169"/>
      <c r="C2896" s="679">
        <v>2962968</v>
      </c>
      <c r="D2896" s="677">
        <v>3</v>
      </c>
      <c r="E2896" s="678" t="s">
        <v>3035</v>
      </c>
      <c r="F2896" s="170"/>
    </row>
    <row r="2897" spans="2:6" ht="15" x14ac:dyDescent="0.25">
      <c r="B2897" s="169"/>
      <c r="C2897" s="679">
        <v>3086197</v>
      </c>
      <c r="D2897" s="677">
        <v>7</v>
      </c>
      <c r="E2897" s="678" t="s">
        <v>3036</v>
      </c>
      <c r="F2897" s="170"/>
    </row>
    <row r="2898" spans="2:6" ht="15" x14ac:dyDescent="0.25">
      <c r="B2898" s="169"/>
      <c r="C2898" s="679">
        <v>2963873</v>
      </c>
      <c r="D2898" s="677">
        <v>9</v>
      </c>
      <c r="E2898" s="678" t="s">
        <v>3037</v>
      </c>
      <c r="F2898" s="170"/>
    </row>
    <row r="2899" spans="2:6" ht="15" x14ac:dyDescent="0.25">
      <c r="B2899" s="169"/>
      <c r="C2899" s="679">
        <v>2961963</v>
      </c>
      <c r="D2899" s="677">
        <v>7</v>
      </c>
      <c r="E2899" s="678" t="s">
        <v>3038</v>
      </c>
      <c r="F2899" s="170"/>
    </row>
    <row r="2900" spans="2:6" ht="15" x14ac:dyDescent="0.25">
      <c r="B2900" s="169"/>
      <c r="C2900" s="679">
        <v>3078872</v>
      </c>
      <c r="D2900" s="677">
        <v>2</v>
      </c>
      <c r="E2900" s="678" t="s">
        <v>3039</v>
      </c>
      <c r="F2900" s="170"/>
    </row>
    <row r="2901" spans="2:6" ht="15" x14ac:dyDescent="0.25">
      <c r="B2901" s="169"/>
      <c r="C2901" s="679">
        <v>2961964</v>
      </c>
      <c r="D2901" s="677">
        <v>5</v>
      </c>
      <c r="E2901" s="678" t="s">
        <v>3040</v>
      </c>
      <c r="F2901" s="170"/>
    </row>
    <row r="2902" spans="2:6" ht="15" x14ac:dyDescent="0.25">
      <c r="B2902" s="169"/>
      <c r="C2902" s="679">
        <v>3140398</v>
      </c>
      <c r="D2902" s="677">
        <v>1</v>
      </c>
      <c r="E2902" s="678" t="s">
        <v>3041</v>
      </c>
      <c r="F2902" s="170"/>
    </row>
    <row r="2903" spans="2:6" ht="15" x14ac:dyDescent="0.25">
      <c r="B2903" s="169"/>
      <c r="C2903" s="679">
        <v>2961975</v>
      </c>
      <c r="D2903" s="677">
        <v>1</v>
      </c>
      <c r="E2903" s="678" t="s">
        <v>3042</v>
      </c>
      <c r="F2903" s="170"/>
    </row>
    <row r="2904" spans="2:6" ht="15" x14ac:dyDescent="0.25">
      <c r="B2904" s="169"/>
      <c r="C2904" s="679">
        <v>2961811</v>
      </c>
      <c r="D2904" s="677">
        <v>8</v>
      </c>
      <c r="E2904" s="678" t="s">
        <v>3043</v>
      </c>
      <c r="F2904" s="170"/>
    </row>
    <row r="2905" spans="2:6" ht="15" x14ac:dyDescent="0.25">
      <c r="B2905" s="169"/>
      <c r="C2905" s="679">
        <v>3189612</v>
      </c>
      <c r="D2905" s="677">
        <v>0</v>
      </c>
      <c r="E2905" s="678" t="s">
        <v>3044</v>
      </c>
      <c r="F2905" s="170"/>
    </row>
    <row r="2906" spans="2:6" ht="15" x14ac:dyDescent="0.25">
      <c r="B2906" s="169"/>
      <c r="C2906" s="679">
        <v>2961949</v>
      </c>
      <c r="D2906" s="677">
        <v>1</v>
      </c>
      <c r="E2906" s="678" t="s">
        <v>3045</v>
      </c>
      <c r="F2906" s="170"/>
    </row>
    <row r="2907" spans="2:6" ht="15" x14ac:dyDescent="0.25">
      <c r="B2907" s="169"/>
      <c r="C2907" s="679">
        <v>3153287</v>
      </c>
      <c r="D2907" s="677">
        <v>0</v>
      </c>
      <c r="E2907" s="678" t="s">
        <v>3046</v>
      </c>
      <c r="F2907" s="170"/>
    </row>
    <row r="2908" spans="2:6" ht="15" x14ac:dyDescent="0.25">
      <c r="B2908" s="169"/>
      <c r="C2908" s="679">
        <v>3339932</v>
      </c>
      <c r="D2908" s="677">
        <v>8</v>
      </c>
      <c r="E2908" s="678" t="s">
        <v>8455</v>
      </c>
      <c r="F2908" s="170"/>
    </row>
    <row r="2909" spans="2:6" ht="15" x14ac:dyDescent="0.25">
      <c r="B2909" s="169"/>
      <c r="C2909" s="679">
        <v>3165569</v>
      </c>
      <c r="D2909" s="677">
        <v>6</v>
      </c>
      <c r="E2909" s="678" t="s">
        <v>3047</v>
      </c>
      <c r="F2909" s="170"/>
    </row>
    <row r="2910" spans="2:6" ht="15" x14ac:dyDescent="0.25">
      <c r="B2910" s="169"/>
      <c r="C2910" s="679">
        <v>3302002</v>
      </c>
      <c r="D2910" s="677">
        <v>7</v>
      </c>
      <c r="E2910" s="678" t="s">
        <v>8456</v>
      </c>
      <c r="F2910" s="170"/>
    </row>
    <row r="2911" spans="2:6" ht="15" x14ac:dyDescent="0.25">
      <c r="B2911" s="169"/>
      <c r="C2911" s="679">
        <v>3084587</v>
      </c>
      <c r="D2911" s="677">
        <v>4</v>
      </c>
      <c r="E2911" s="678" t="s">
        <v>3048</v>
      </c>
      <c r="F2911" s="170"/>
    </row>
    <row r="2912" spans="2:6" ht="15" x14ac:dyDescent="0.25">
      <c r="B2912" s="169"/>
      <c r="C2912" s="679">
        <v>2974450</v>
      </c>
      <c r="D2912" s="677">
        <v>4</v>
      </c>
      <c r="E2912" s="678" t="s">
        <v>3049</v>
      </c>
      <c r="F2912" s="170"/>
    </row>
    <row r="2913" spans="2:6" ht="15" x14ac:dyDescent="0.25">
      <c r="B2913" s="169"/>
      <c r="C2913" s="679">
        <v>3339926</v>
      </c>
      <c r="D2913" s="677">
        <v>3</v>
      </c>
      <c r="E2913" s="678" t="s">
        <v>8457</v>
      </c>
      <c r="F2913" s="170"/>
    </row>
    <row r="2914" spans="2:6" ht="15" x14ac:dyDescent="0.25">
      <c r="B2914" s="169"/>
      <c r="C2914" s="679">
        <v>2961972</v>
      </c>
      <c r="D2914" s="677">
        <v>6</v>
      </c>
      <c r="E2914" s="678" t="s">
        <v>3050</v>
      </c>
      <c r="F2914" s="170"/>
    </row>
    <row r="2915" spans="2:6" ht="15" x14ac:dyDescent="0.25">
      <c r="B2915" s="169"/>
      <c r="C2915" s="679">
        <v>2962993</v>
      </c>
      <c r="D2915" s="677">
        <v>4</v>
      </c>
      <c r="E2915" s="678" t="s">
        <v>3051</v>
      </c>
      <c r="F2915" s="170"/>
    </row>
    <row r="2916" spans="2:6" ht="15" x14ac:dyDescent="0.25">
      <c r="B2916" s="169"/>
      <c r="C2916" s="679">
        <v>2961981</v>
      </c>
      <c r="D2916" s="677">
        <v>5</v>
      </c>
      <c r="E2916" s="678" t="s">
        <v>3052</v>
      </c>
      <c r="F2916" s="170"/>
    </row>
    <row r="2917" spans="2:6" ht="15" x14ac:dyDescent="0.25">
      <c r="B2917" s="169"/>
      <c r="C2917" s="679">
        <v>3077711</v>
      </c>
      <c r="D2917" s="677">
        <v>9</v>
      </c>
      <c r="E2917" s="678" t="s">
        <v>3053</v>
      </c>
      <c r="F2917" s="170"/>
    </row>
    <row r="2918" spans="2:6" ht="15" x14ac:dyDescent="0.25">
      <c r="B2918" s="169"/>
      <c r="C2918" s="679">
        <v>3323158</v>
      </c>
      <c r="D2918" s="677">
        <v>3</v>
      </c>
      <c r="E2918" s="678" t="s">
        <v>8458</v>
      </c>
      <c r="F2918" s="170"/>
    </row>
    <row r="2919" spans="2:6" ht="15" x14ac:dyDescent="0.25">
      <c r="B2919" s="169"/>
      <c r="C2919" s="679">
        <v>2974433</v>
      </c>
      <c r="D2919" s="677">
        <v>4</v>
      </c>
      <c r="E2919" s="678" t="s">
        <v>3054</v>
      </c>
      <c r="F2919" s="170"/>
    </row>
    <row r="2920" spans="2:6" ht="15" x14ac:dyDescent="0.25">
      <c r="B2920" s="169"/>
      <c r="C2920" s="679">
        <v>3078254</v>
      </c>
      <c r="D2920" s="677">
        <v>6</v>
      </c>
      <c r="E2920" s="678" t="s">
        <v>3055</v>
      </c>
      <c r="F2920" s="170"/>
    </row>
    <row r="2921" spans="2:6" ht="15" x14ac:dyDescent="0.25">
      <c r="B2921" s="169"/>
      <c r="C2921" s="679">
        <v>3071155</v>
      </c>
      <c r="D2921" s="677">
        <v>0</v>
      </c>
      <c r="E2921" s="678" t="s">
        <v>3056</v>
      </c>
      <c r="F2921" s="170"/>
    </row>
    <row r="2922" spans="2:6" ht="15" x14ac:dyDescent="0.25">
      <c r="B2922" s="169"/>
      <c r="C2922" s="679">
        <v>2962990</v>
      </c>
      <c r="D2922" s="677">
        <v>0</v>
      </c>
      <c r="E2922" s="678" t="s">
        <v>3057</v>
      </c>
      <c r="F2922" s="170"/>
    </row>
    <row r="2923" spans="2:6" ht="15" x14ac:dyDescent="0.25">
      <c r="B2923" s="169"/>
      <c r="C2923" s="679">
        <v>2974454</v>
      </c>
      <c r="D2923" s="677">
        <v>7</v>
      </c>
      <c r="E2923" s="678" t="s">
        <v>3058</v>
      </c>
      <c r="F2923" s="170"/>
    </row>
    <row r="2924" spans="2:6" ht="15" x14ac:dyDescent="0.25">
      <c r="B2924" s="169"/>
      <c r="C2924" s="679">
        <v>2974431</v>
      </c>
      <c r="D2924" s="677">
        <v>8</v>
      </c>
      <c r="E2924" s="678" t="s">
        <v>3059</v>
      </c>
      <c r="F2924" s="170"/>
    </row>
    <row r="2925" spans="2:6" ht="15" x14ac:dyDescent="0.25">
      <c r="B2925" s="169"/>
      <c r="C2925" s="679">
        <v>2961957</v>
      </c>
      <c r="D2925" s="677">
        <v>2</v>
      </c>
      <c r="E2925" s="678" t="s">
        <v>3060</v>
      </c>
      <c r="F2925" s="170"/>
    </row>
    <row r="2926" spans="2:6" ht="15" x14ac:dyDescent="0.25">
      <c r="B2926" s="169"/>
      <c r="C2926" s="679">
        <v>2961967</v>
      </c>
      <c r="D2926" s="677">
        <v>0</v>
      </c>
      <c r="E2926" s="678" t="s">
        <v>3061</v>
      </c>
      <c r="F2926" s="170"/>
    </row>
    <row r="2927" spans="2:6" ht="15" x14ac:dyDescent="0.25">
      <c r="B2927" s="169"/>
      <c r="C2927" s="679">
        <v>2961958</v>
      </c>
      <c r="D2927" s="677">
        <v>1</v>
      </c>
      <c r="E2927" s="678" t="s">
        <v>3062</v>
      </c>
      <c r="F2927" s="170"/>
    </row>
    <row r="2928" spans="2:6" ht="15" x14ac:dyDescent="0.25">
      <c r="B2928" s="169"/>
      <c r="C2928" s="679">
        <v>2974428</v>
      </c>
      <c r="D2928" s="677">
        <v>8</v>
      </c>
      <c r="E2928" s="678" t="s">
        <v>3063</v>
      </c>
      <c r="F2928" s="170"/>
    </row>
    <row r="2929" spans="2:6" ht="15" x14ac:dyDescent="0.25">
      <c r="B2929" s="169"/>
      <c r="C2929" s="679">
        <v>3295275</v>
      </c>
      <c r="D2929" s="677">
        <v>9</v>
      </c>
      <c r="E2929" s="678" t="s">
        <v>8459</v>
      </c>
      <c r="F2929" s="170"/>
    </row>
    <row r="2930" spans="2:6" ht="15" x14ac:dyDescent="0.25">
      <c r="B2930" s="169"/>
      <c r="C2930" s="679">
        <v>2961965</v>
      </c>
      <c r="D2930" s="677">
        <v>3</v>
      </c>
      <c r="E2930" s="678" t="s">
        <v>3064</v>
      </c>
      <c r="F2930" s="170"/>
    </row>
    <row r="2931" spans="2:6" ht="15" x14ac:dyDescent="0.25">
      <c r="B2931" s="169"/>
      <c r="C2931" s="679">
        <v>2961782</v>
      </c>
      <c r="D2931" s="677">
        <v>1</v>
      </c>
      <c r="E2931" s="678" t="s">
        <v>3065</v>
      </c>
      <c r="F2931" s="170"/>
    </row>
    <row r="2932" spans="2:6" ht="15" x14ac:dyDescent="0.25">
      <c r="B2932" s="169"/>
      <c r="C2932" s="679">
        <v>2974432</v>
      </c>
      <c r="D2932" s="677">
        <v>6</v>
      </c>
      <c r="E2932" s="678" t="s">
        <v>3066</v>
      </c>
      <c r="F2932" s="170"/>
    </row>
    <row r="2933" spans="2:6" ht="15" x14ac:dyDescent="0.25">
      <c r="B2933" s="169"/>
      <c r="C2933" s="679">
        <v>2961943</v>
      </c>
      <c r="D2933" s="677">
        <v>2</v>
      </c>
      <c r="E2933" s="678" t="s">
        <v>3067</v>
      </c>
      <c r="F2933" s="170"/>
    </row>
    <row r="2934" spans="2:6" ht="15" x14ac:dyDescent="0.25">
      <c r="B2934" s="169"/>
      <c r="C2934" s="679">
        <v>3078216</v>
      </c>
      <c r="D2934" s="677">
        <v>3</v>
      </c>
      <c r="E2934" s="678" t="s">
        <v>3068</v>
      </c>
      <c r="F2934" s="170"/>
    </row>
    <row r="2935" spans="2:6" ht="15" x14ac:dyDescent="0.25">
      <c r="B2935" s="169"/>
      <c r="C2935" s="679">
        <v>3077737</v>
      </c>
      <c r="D2935" s="677">
        <v>2</v>
      </c>
      <c r="E2935" s="678" t="s">
        <v>3069</v>
      </c>
      <c r="F2935" s="170"/>
    </row>
    <row r="2936" spans="2:6" ht="15" x14ac:dyDescent="0.25">
      <c r="B2936" s="169"/>
      <c r="C2936" s="679">
        <v>2961973</v>
      </c>
      <c r="D2936" s="677">
        <v>4</v>
      </c>
      <c r="E2936" s="678" t="s">
        <v>3070</v>
      </c>
      <c r="F2936" s="170"/>
    </row>
    <row r="2937" spans="2:6" ht="15" x14ac:dyDescent="0.25">
      <c r="B2937" s="169"/>
      <c r="C2937" s="679">
        <v>3054639</v>
      </c>
      <c r="D2937" s="677">
        <v>7</v>
      </c>
      <c r="E2937" s="678" t="s">
        <v>3071</v>
      </c>
      <c r="F2937" s="170"/>
    </row>
    <row r="2938" spans="2:6" ht="15" x14ac:dyDescent="0.25">
      <c r="B2938" s="169"/>
      <c r="C2938" s="679">
        <v>3054594</v>
      </c>
      <c r="D2938" s="677">
        <v>3</v>
      </c>
      <c r="E2938" s="678" t="s">
        <v>3072</v>
      </c>
      <c r="F2938" s="170"/>
    </row>
    <row r="2939" spans="2:6" ht="15" x14ac:dyDescent="0.25">
      <c r="B2939" s="169"/>
      <c r="C2939" s="679">
        <v>3054496</v>
      </c>
      <c r="D2939" s="677">
        <v>3</v>
      </c>
      <c r="E2939" s="678" t="s">
        <v>3073</v>
      </c>
      <c r="F2939" s="170"/>
    </row>
    <row r="2940" spans="2:6" ht="15" x14ac:dyDescent="0.25">
      <c r="B2940" s="169"/>
      <c r="C2940" s="679">
        <v>3054593</v>
      </c>
      <c r="D2940" s="677">
        <v>5</v>
      </c>
      <c r="E2940" s="678" t="s">
        <v>3074</v>
      </c>
      <c r="F2940" s="170"/>
    </row>
    <row r="2941" spans="2:6" ht="15" x14ac:dyDescent="0.25">
      <c r="B2941" s="169"/>
      <c r="C2941" s="679">
        <v>3054539</v>
      </c>
      <c r="D2941" s="677">
        <v>1</v>
      </c>
      <c r="E2941" s="678" t="s">
        <v>3075</v>
      </c>
      <c r="F2941" s="170"/>
    </row>
    <row r="2942" spans="2:6" ht="15" x14ac:dyDescent="0.25">
      <c r="B2942" s="169"/>
      <c r="C2942" s="679">
        <v>3054638</v>
      </c>
      <c r="D2942" s="677">
        <v>9</v>
      </c>
      <c r="E2942" s="678" t="s">
        <v>3076</v>
      </c>
      <c r="F2942" s="170"/>
    </row>
    <row r="2943" spans="2:6" ht="15" x14ac:dyDescent="0.25">
      <c r="B2943" s="169"/>
      <c r="C2943" s="679">
        <v>3054519</v>
      </c>
      <c r="D2943" s="677">
        <v>6</v>
      </c>
      <c r="E2943" s="678" t="s">
        <v>3077</v>
      </c>
      <c r="F2943" s="170"/>
    </row>
    <row r="2944" spans="2:6" ht="15" x14ac:dyDescent="0.25">
      <c r="B2944" s="169"/>
      <c r="C2944" s="679">
        <v>3054523</v>
      </c>
      <c r="D2944" s="677">
        <v>4</v>
      </c>
      <c r="E2944" s="678" t="s">
        <v>3078</v>
      </c>
      <c r="F2944" s="170"/>
    </row>
    <row r="2945" spans="2:6" ht="15" x14ac:dyDescent="0.25">
      <c r="B2945" s="169"/>
      <c r="C2945" s="679">
        <v>3054669</v>
      </c>
      <c r="D2945" s="677">
        <v>9</v>
      </c>
      <c r="E2945" s="678" t="s">
        <v>3079</v>
      </c>
      <c r="F2945" s="170"/>
    </row>
    <row r="2946" spans="2:6" ht="15" x14ac:dyDescent="0.25">
      <c r="B2946" s="169"/>
      <c r="C2946" s="679">
        <v>3054703</v>
      </c>
      <c r="D2946" s="677">
        <v>2</v>
      </c>
      <c r="E2946" s="678" t="s">
        <v>3080</v>
      </c>
      <c r="F2946" s="170"/>
    </row>
    <row r="2947" spans="2:6" ht="15" x14ac:dyDescent="0.25">
      <c r="B2947" s="169"/>
      <c r="C2947" s="679">
        <v>3054672</v>
      </c>
      <c r="D2947" s="677">
        <v>9</v>
      </c>
      <c r="E2947" s="678" t="s">
        <v>3081</v>
      </c>
      <c r="F2947" s="170"/>
    </row>
    <row r="2948" spans="2:6" ht="15" x14ac:dyDescent="0.25">
      <c r="B2948" s="169"/>
      <c r="C2948" s="679">
        <v>3054497</v>
      </c>
      <c r="D2948" s="677">
        <v>1</v>
      </c>
      <c r="E2948" s="678" t="s">
        <v>3082</v>
      </c>
      <c r="F2948" s="170"/>
    </row>
    <row r="2949" spans="2:6" ht="15" x14ac:dyDescent="0.25">
      <c r="B2949" s="169"/>
      <c r="C2949" s="679">
        <v>3054561</v>
      </c>
      <c r="D2949" s="677">
        <v>7</v>
      </c>
      <c r="E2949" s="678" t="s">
        <v>3083</v>
      </c>
      <c r="F2949" s="170"/>
    </row>
    <row r="2950" spans="2:6" ht="15" x14ac:dyDescent="0.25">
      <c r="B2950" s="169"/>
      <c r="C2950" s="679">
        <v>3054640</v>
      </c>
      <c r="D2950" s="677">
        <v>1</v>
      </c>
      <c r="E2950" s="678" t="s">
        <v>3084</v>
      </c>
      <c r="F2950" s="170"/>
    </row>
    <row r="2951" spans="2:6" ht="15" x14ac:dyDescent="0.25">
      <c r="B2951" s="169"/>
      <c r="C2951" s="679">
        <v>3054641</v>
      </c>
      <c r="D2951" s="677">
        <v>9</v>
      </c>
      <c r="E2951" s="678" t="s">
        <v>3085</v>
      </c>
      <c r="F2951" s="170"/>
    </row>
    <row r="2952" spans="2:6" ht="15" x14ac:dyDescent="0.25">
      <c r="B2952" s="169"/>
      <c r="C2952" s="679">
        <v>3054498</v>
      </c>
      <c r="D2952" s="677">
        <v>0</v>
      </c>
      <c r="E2952" s="678" t="s">
        <v>3086</v>
      </c>
      <c r="F2952" s="170"/>
    </row>
    <row r="2953" spans="2:6" ht="15" x14ac:dyDescent="0.25">
      <c r="B2953" s="169"/>
      <c r="C2953" s="679">
        <v>3054499</v>
      </c>
      <c r="D2953" s="677">
        <v>8</v>
      </c>
      <c r="E2953" s="678" t="s">
        <v>3087</v>
      </c>
      <c r="F2953" s="170"/>
    </row>
    <row r="2954" spans="2:6" ht="15" x14ac:dyDescent="0.25">
      <c r="B2954" s="169"/>
      <c r="C2954" s="679">
        <v>3054601</v>
      </c>
      <c r="D2954" s="677">
        <v>0</v>
      </c>
      <c r="E2954" s="678" t="s">
        <v>3088</v>
      </c>
      <c r="F2954" s="170"/>
    </row>
    <row r="2955" spans="2:6" ht="15" x14ac:dyDescent="0.25">
      <c r="B2955" s="169"/>
      <c r="C2955" s="679">
        <v>3054642</v>
      </c>
      <c r="D2955" s="677">
        <v>7</v>
      </c>
      <c r="E2955" s="678" t="s">
        <v>3089</v>
      </c>
      <c r="F2955" s="170"/>
    </row>
    <row r="2956" spans="2:6" ht="15" x14ac:dyDescent="0.25">
      <c r="B2956" s="169"/>
      <c r="C2956" s="679">
        <v>3054659</v>
      </c>
      <c r="D2956" s="677">
        <v>1</v>
      </c>
      <c r="E2956" s="678" t="s">
        <v>3090</v>
      </c>
      <c r="F2956" s="170"/>
    </row>
    <row r="2957" spans="2:6" ht="15" x14ac:dyDescent="0.25">
      <c r="B2957" s="169"/>
      <c r="C2957" s="679">
        <v>3054581</v>
      </c>
      <c r="D2957" s="677">
        <v>1</v>
      </c>
      <c r="E2957" s="678" t="s">
        <v>3091</v>
      </c>
      <c r="F2957" s="170"/>
    </row>
    <row r="2958" spans="2:6" ht="15" x14ac:dyDescent="0.25">
      <c r="B2958" s="169"/>
      <c r="C2958" s="679">
        <v>3054602</v>
      </c>
      <c r="D2958" s="677">
        <v>8</v>
      </c>
      <c r="E2958" s="678" t="s">
        <v>3092</v>
      </c>
      <c r="F2958" s="170"/>
    </row>
    <row r="2959" spans="2:6" ht="15" x14ac:dyDescent="0.25">
      <c r="B2959" s="169"/>
      <c r="C2959" s="679">
        <v>3054500</v>
      </c>
      <c r="D2959" s="677">
        <v>5</v>
      </c>
      <c r="E2959" s="678" t="s">
        <v>3093</v>
      </c>
      <c r="F2959" s="170"/>
    </row>
    <row r="2960" spans="2:6" ht="15" x14ac:dyDescent="0.25">
      <c r="B2960" s="169"/>
      <c r="C2960" s="679">
        <v>3048212</v>
      </c>
      <c r="D2960" s="677">
        <v>7</v>
      </c>
      <c r="E2960" s="678" t="s">
        <v>3094</v>
      </c>
      <c r="F2960" s="170"/>
    </row>
    <row r="2961" spans="2:6" ht="15" x14ac:dyDescent="0.25">
      <c r="B2961" s="169"/>
      <c r="C2961" s="679">
        <v>3048213</v>
      </c>
      <c r="D2961" s="677">
        <v>5</v>
      </c>
      <c r="E2961" s="678" t="s">
        <v>3095</v>
      </c>
      <c r="F2961" s="170"/>
    </row>
    <row r="2962" spans="2:6" ht="15" x14ac:dyDescent="0.25">
      <c r="B2962" s="169"/>
      <c r="C2962" s="679">
        <v>3048214</v>
      </c>
      <c r="D2962" s="677">
        <v>3</v>
      </c>
      <c r="E2962" s="678" t="s">
        <v>3096</v>
      </c>
      <c r="F2962" s="170"/>
    </row>
    <row r="2963" spans="2:6" ht="15" x14ac:dyDescent="0.25">
      <c r="B2963" s="169"/>
      <c r="C2963" s="679">
        <v>3048215</v>
      </c>
      <c r="D2963" s="677">
        <v>1</v>
      </c>
      <c r="E2963" s="678" t="s">
        <v>3097</v>
      </c>
      <c r="F2963" s="170"/>
    </row>
    <row r="2964" spans="2:6" ht="15" x14ac:dyDescent="0.25">
      <c r="B2964" s="169"/>
      <c r="C2964" s="679">
        <v>3048216</v>
      </c>
      <c r="D2964" s="677">
        <v>0</v>
      </c>
      <c r="E2964" s="678" t="s">
        <v>3098</v>
      </c>
      <c r="F2964" s="170"/>
    </row>
    <row r="2965" spans="2:6" ht="15" x14ac:dyDescent="0.25">
      <c r="B2965" s="169"/>
      <c r="C2965" s="679">
        <v>3076757</v>
      </c>
      <c r="D2965" s="677">
        <v>1</v>
      </c>
      <c r="E2965" s="678" t="s">
        <v>3099</v>
      </c>
      <c r="F2965" s="170"/>
    </row>
    <row r="2966" spans="2:6" ht="15" x14ac:dyDescent="0.25">
      <c r="B2966" s="169"/>
      <c r="C2966" s="679">
        <v>3155472</v>
      </c>
      <c r="D2966" s="677">
        <v>5</v>
      </c>
      <c r="E2966" s="678" t="s">
        <v>3100</v>
      </c>
      <c r="F2966" s="170"/>
    </row>
    <row r="2967" spans="2:6" ht="15" x14ac:dyDescent="0.25">
      <c r="B2967" s="169"/>
      <c r="C2967" s="679">
        <v>3048217</v>
      </c>
      <c r="D2967" s="677">
        <v>8</v>
      </c>
      <c r="E2967" s="678" t="s">
        <v>3101</v>
      </c>
      <c r="F2967" s="170"/>
    </row>
    <row r="2968" spans="2:6" ht="15" x14ac:dyDescent="0.25">
      <c r="B2968" s="169"/>
      <c r="C2968" s="679">
        <v>3048218</v>
      </c>
      <c r="D2968" s="677">
        <v>6</v>
      </c>
      <c r="E2968" s="678" t="s">
        <v>3102</v>
      </c>
      <c r="F2968" s="170"/>
    </row>
    <row r="2969" spans="2:6" ht="15" x14ac:dyDescent="0.25">
      <c r="B2969" s="169"/>
      <c r="C2969" s="679">
        <v>3048219</v>
      </c>
      <c r="D2969" s="677">
        <v>4</v>
      </c>
      <c r="E2969" s="678" t="s">
        <v>3103</v>
      </c>
      <c r="F2969" s="170"/>
    </row>
    <row r="2970" spans="2:6" ht="15" x14ac:dyDescent="0.25">
      <c r="B2970" s="169"/>
      <c r="C2970" s="679">
        <v>3048220</v>
      </c>
      <c r="D2970" s="677">
        <v>8</v>
      </c>
      <c r="E2970" s="678" t="s">
        <v>3104</v>
      </c>
      <c r="F2970" s="170"/>
    </row>
    <row r="2971" spans="2:6" ht="15" x14ac:dyDescent="0.25">
      <c r="B2971" s="169"/>
      <c r="C2971" s="679">
        <v>3048221</v>
      </c>
      <c r="D2971" s="677">
        <v>6</v>
      </c>
      <c r="E2971" s="678" t="s">
        <v>3105</v>
      </c>
      <c r="F2971" s="170"/>
    </row>
    <row r="2972" spans="2:6" ht="15" x14ac:dyDescent="0.25">
      <c r="B2972" s="169"/>
      <c r="C2972" s="679">
        <v>3048222</v>
      </c>
      <c r="D2972" s="677">
        <v>4</v>
      </c>
      <c r="E2972" s="678" t="s">
        <v>3106</v>
      </c>
      <c r="F2972" s="170"/>
    </row>
    <row r="2973" spans="2:6" ht="15" x14ac:dyDescent="0.25">
      <c r="B2973" s="169"/>
      <c r="C2973" s="679">
        <v>3048223</v>
      </c>
      <c r="D2973" s="677">
        <v>2</v>
      </c>
      <c r="E2973" s="678" t="s">
        <v>3107</v>
      </c>
      <c r="F2973" s="170"/>
    </row>
    <row r="2974" spans="2:6" ht="15" x14ac:dyDescent="0.25">
      <c r="B2974" s="169"/>
      <c r="C2974" s="679">
        <v>3048224</v>
      </c>
      <c r="D2974" s="677">
        <v>1</v>
      </c>
      <c r="E2974" s="678" t="s">
        <v>3108</v>
      </c>
      <c r="F2974" s="170"/>
    </row>
    <row r="2975" spans="2:6" ht="15" x14ac:dyDescent="0.25">
      <c r="B2975" s="169"/>
      <c r="C2975" s="679">
        <v>3048225</v>
      </c>
      <c r="D2975" s="677">
        <v>9</v>
      </c>
      <c r="E2975" s="678" t="s">
        <v>3109</v>
      </c>
      <c r="F2975" s="170"/>
    </row>
    <row r="2976" spans="2:6" ht="15" x14ac:dyDescent="0.25">
      <c r="B2976" s="169"/>
      <c r="C2976" s="679">
        <v>3078217</v>
      </c>
      <c r="D2976" s="677">
        <v>1</v>
      </c>
      <c r="E2976" s="678" t="s">
        <v>3110</v>
      </c>
      <c r="F2976" s="170"/>
    </row>
    <row r="2977" spans="2:6" ht="15" x14ac:dyDescent="0.25">
      <c r="B2977" s="169"/>
      <c r="C2977" s="679">
        <v>2962974</v>
      </c>
      <c r="D2977" s="677">
        <v>8</v>
      </c>
      <c r="E2977" s="678" t="s">
        <v>3111</v>
      </c>
      <c r="F2977" s="170"/>
    </row>
    <row r="2978" spans="2:6" ht="15" x14ac:dyDescent="0.25">
      <c r="B2978" s="169"/>
      <c r="C2978" s="679">
        <v>3048226</v>
      </c>
      <c r="D2978" s="677">
        <v>7</v>
      </c>
      <c r="E2978" s="678" t="s">
        <v>3112</v>
      </c>
      <c r="F2978" s="170"/>
    </row>
    <row r="2979" spans="2:6" ht="15" x14ac:dyDescent="0.25">
      <c r="B2979" s="169"/>
      <c r="C2979" s="679">
        <v>3048227</v>
      </c>
      <c r="D2979" s="677">
        <v>5</v>
      </c>
      <c r="E2979" s="678" t="s">
        <v>3113</v>
      </c>
      <c r="F2979" s="170"/>
    </row>
    <row r="2980" spans="2:6" ht="15" x14ac:dyDescent="0.25">
      <c r="B2980" s="169"/>
      <c r="C2980" s="679">
        <v>3048228</v>
      </c>
      <c r="D2980" s="677">
        <v>3</v>
      </c>
      <c r="E2980" s="678" t="s">
        <v>3114</v>
      </c>
      <c r="F2980" s="170"/>
    </row>
    <row r="2981" spans="2:6" ht="15" x14ac:dyDescent="0.25">
      <c r="B2981" s="169"/>
      <c r="C2981" s="679">
        <v>3048229</v>
      </c>
      <c r="D2981" s="677">
        <v>1</v>
      </c>
      <c r="E2981" s="678" t="s">
        <v>3115</v>
      </c>
      <c r="F2981" s="170"/>
    </row>
    <row r="2982" spans="2:6" ht="15" x14ac:dyDescent="0.25">
      <c r="B2982" s="169"/>
      <c r="C2982" s="679">
        <v>3048230</v>
      </c>
      <c r="D2982" s="677">
        <v>5</v>
      </c>
      <c r="E2982" s="678" t="s">
        <v>3116</v>
      </c>
      <c r="F2982" s="170"/>
    </row>
    <row r="2983" spans="2:6" ht="15" x14ac:dyDescent="0.25">
      <c r="B2983" s="169"/>
      <c r="C2983" s="679">
        <v>3310416</v>
      </c>
      <c r="D2983" s="677">
        <v>6</v>
      </c>
      <c r="E2983" s="678" t="s">
        <v>8460</v>
      </c>
      <c r="F2983" s="170"/>
    </row>
    <row r="2984" spans="2:6" ht="15" x14ac:dyDescent="0.25">
      <c r="B2984" s="169"/>
      <c r="C2984" s="679">
        <v>3075514</v>
      </c>
      <c r="D2984" s="677">
        <v>0</v>
      </c>
      <c r="E2984" s="678" t="s">
        <v>3117</v>
      </c>
      <c r="F2984" s="170"/>
    </row>
    <row r="2985" spans="2:6" ht="15" x14ac:dyDescent="0.25">
      <c r="B2985" s="169"/>
      <c r="C2985" s="679">
        <v>3200106</v>
      </c>
      <c r="D2985" s="677">
        <v>1</v>
      </c>
      <c r="E2985" s="678" t="s">
        <v>8461</v>
      </c>
      <c r="F2985" s="170"/>
    </row>
    <row r="2986" spans="2:6" ht="15" x14ac:dyDescent="0.25">
      <c r="B2986" s="169"/>
      <c r="C2986" s="679">
        <v>3158391</v>
      </c>
      <c r="D2986" s="677">
        <v>1</v>
      </c>
      <c r="E2986" s="678" t="s">
        <v>3118</v>
      </c>
      <c r="F2986" s="170"/>
    </row>
    <row r="2987" spans="2:6" ht="15" x14ac:dyDescent="0.25">
      <c r="B2987" s="169"/>
      <c r="C2987" s="679">
        <v>3152153</v>
      </c>
      <c r="D2987" s="677">
        <v>3</v>
      </c>
      <c r="E2987" s="678" t="s">
        <v>3119</v>
      </c>
      <c r="F2987" s="170"/>
    </row>
    <row r="2988" spans="2:6" ht="15" x14ac:dyDescent="0.25">
      <c r="B2988" s="169"/>
      <c r="C2988" s="679">
        <v>3158628</v>
      </c>
      <c r="D2988" s="677">
        <v>7</v>
      </c>
      <c r="E2988" s="678" t="s">
        <v>3120</v>
      </c>
      <c r="F2988" s="170"/>
    </row>
    <row r="2989" spans="2:6" ht="15" x14ac:dyDescent="0.25">
      <c r="B2989" s="169"/>
      <c r="C2989" s="679">
        <v>3158547</v>
      </c>
      <c r="D2989" s="677">
        <v>7</v>
      </c>
      <c r="E2989" s="678" t="s">
        <v>3121</v>
      </c>
      <c r="F2989" s="170"/>
    </row>
    <row r="2990" spans="2:6" ht="15" x14ac:dyDescent="0.25">
      <c r="B2990" s="169"/>
      <c r="C2990" s="679">
        <v>3140441</v>
      </c>
      <c r="D2990" s="677">
        <v>3</v>
      </c>
      <c r="E2990" s="678" t="s">
        <v>3122</v>
      </c>
      <c r="F2990" s="170"/>
    </row>
    <row r="2991" spans="2:6" ht="15" x14ac:dyDescent="0.25">
      <c r="B2991" s="169"/>
      <c r="C2991" s="679">
        <v>3157504</v>
      </c>
      <c r="D2991" s="677">
        <v>8</v>
      </c>
      <c r="E2991" s="678" t="s">
        <v>3123</v>
      </c>
      <c r="F2991" s="170"/>
    </row>
    <row r="2992" spans="2:6" ht="15" x14ac:dyDescent="0.25">
      <c r="B2992" s="169"/>
      <c r="C2992" s="679">
        <v>3157344</v>
      </c>
      <c r="D2992" s="677">
        <v>4</v>
      </c>
      <c r="E2992" s="678" t="s">
        <v>3124</v>
      </c>
      <c r="F2992" s="170"/>
    </row>
    <row r="2993" spans="2:6" ht="15" x14ac:dyDescent="0.25">
      <c r="B2993" s="169"/>
      <c r="C2993" s="679">
        <v>3151168</v>
      </c>
      <c r="D2993" s="677">
        <v>6</v>
      </c>
      <c r="E2993" s="678" t="s">
        <v>3125</v>
      </c>
      <c r="F2993" s="170"/>
    </row>
    <row r="2994" spans="2:6" ht="15" x14ac:dyDescent="0.25">
      <c r="B2994" s="169"/>
      <c r="C2994" s="679">
        <v>3088134</v>
      </c>
      <c r="D2994" s="677">
        <v>0</v>
      </c>
      <c r="E2994" s="678" t="s">
        <v>3126</v>
      </c>
      <c r="F2994" s="170"/>
    </row>
    <row r="2995" spans="2:6" ht="15" x14ac:dyDescent="0.25">
      <c r="B2995" s="169"/>
      <c r="C2995" s="679">
        <v>3088231</v>
      </c>
      <c r="D2995" s="677">
        <v>1</v>
      </c>
      <c r="E2995" s="678" t="s">
        <v>3126</v>
      </c>
      <c r="F2995" s="170"/>
    </row>
    <row r="2996" spans="2:6" ht="15" x14ac:dyDescent="0.25">
      <c r="B2996" s="169"/>
      <c r="C2996" s="679">
        <v>3088227</v>
      </c>
      <c r="D2996" s="677">
        <v>3</v>
      </c>
      <c r="E2996" s="678" t="s">
        <v>3126</v>
      </c>
      <c r="F2996" s="170"/>
    </row>
    <row r="2997" spans="2:6" ht="15" x14ac:dyDescent="0.25">
      <c r="B2997" s="169"/>
      <c r="C2997" s="679">
        <v>3088101</v>
      </c>
      <c r="D2997" s="677">
        <v>3</v>
      </c>
      <c r="E2997" s="678" t="s">
        <v>3126</v>
      </c>
      <c r="F2997" s="170"/>
    </row>
    <row r="2998" spans="2:6" ht="15" x14ac:dyDescent="0.25">
      <c r="B2998" s="169"/>
      <c r="C2998" s="679">
        <v>3088380</v>
      </c>
      <c r="D2998" s="677">
        <v>6</v>
      </c>
      <c r="E2998" s="678" t="s">
        <v>3126</v>
      </c>
      <c r="F2998" s="170"/>
    </row>
    <row r="2999" spans="2:6" ht="15" x14ac:dyDescent="0.25">
      <c r="B2999" s="169"/>
      <c r="C2999" s="679">
        <v>3088119</v>
      </c>
      <c r="D2999" s="677">
        <v>6</v>
      </c>
      <c r="E2999" s="678" t="s">
        <v>3127</v>
      </c>
      <c r="F2999" s="170"/>
    </row>
    <row r="3000" spans="2:6" ht="15" x14ac:dyDescent="0.25">
      <c r="B3000" s="169"/>
      <c r="C3000" s="679">
        <v>3156366</v>
      </c>
      <c r="D3000" s="677">
        <v>0</v>
      </c>
      <c r="E3000" s="678" t="s">
        <v>3128</v>
      </c>
      <c r="F3000" s="170"/>
    </row>
    <row r="3001" spans="2:6" ht="15" x14ac:dyDescent="0.25">
      <c r="B3001" s="169"/>
      <c r="C3001" s="679">
        <v>3183613</v>
      </c>
      <c r="D3001" s="677">
        <v>5</v>
      </c>
      <c r="E3001" s="678" t="s">
        <v>3129</v>
      </c>
      <c r="F3001" s="170"/>
    </row>
    <row r="3002" spans="2:6" ht="15" x14ac:dyDescent="0.25">
      <c r="B3002" s="169"/>
      <c r="C3002" s="679">
        <v>3217214</v>
      </c>
      <c r="D3002" s="677">
        <v>1</v>
      </c>
      <c r="E3002" s="678" t="s">
        <v>8462</v>
      </c>
      <c r="F3002" s="170"/>
    </row>
    <row r="3003" spans="2:6" ht="15" x14ac:dyDescent="0.25">
      <c r="B3003" s="169"/>
      <c r="C3003" s="679">
        <v>3165571</v>
      </c>
      <c r="D3003" s="677">
        <v>8</v>
      </c>
      <c r="E3003" s="678" t="s">
        <v>3130</v>
      </c>
      <c r="F3003" s="170"/>
    </row>
    <row r="3004" spans="2:6" ht="15" x14ac:dyDescent="0.25">
      <c r="B3004" s="169"/>
      <c r="C3004" s="679">
        <v>3157892</v>
      </c>
      <c r="D3004" s="677">
        <v>6</v>
      </c>
      <c r="E3004" s="678" t="s">
        <v>3131</v>
      </c>
      <c r="F3004" s="170"/>
    </row>
    <row r="3005" spans="2:6" ht="15" x14ac:dyDescent="0.25">
      <c r="B3005" s="169"/>
      <c r="C3005" s="679">
        <v>3159954</v>
      </c>
      <c r="D3005" s="677">
        <v>1</v>
      </c>
      <c r="E3005" s="678" t="s">
        <v>3132</v>
      </c>
      <c r="F3005" s="170"/>
    </row>
    <row r="3006" spans="2:6" ht="15" x14ac:dyDescent="0.25">
      <c r="B3006" s="169"/>
      <c r="C3006" s="679">
        <v>3157714</v>
      </c>
      <c r="D3006" s="677">
        <v>8</v>
      </c>
      <c r="E3006" s="678" t="s">
        <v>3133</v>
      </c>
      <c r="F3006" s="170"/>
    </row>
    <row r="3007" spans="2:6" ht="15" x14ac:dyDescent="0.25">
      <c r="B3007" s="169"/>
      <c r="C3007" s="679">
        <v>3098477</v>
      </c>
      <c r="D3007" s="677">
        <v>7</v>
      </c>
      <c r="E3007" s="678" t="s">
        <v>3134</v>
      </c>
      <c r="F3007" s="170"/>
    </row>
    <row r="3008" spans="2:6" ht="15" x14ac:dyDescent="0.25">
      <c r="B3008" s="169"/>
      <c r="C3008" s="679">
        <v>3161207</v>
      </c>
      <c r="D3008" s="677">
        <v>5</v>
      </c>
      <c r="E3008" s="678" t="s">
        <v>3135</v>
      </c>
      <c r="F3008" s="170"/>
    </row>
    <row r="3009" spans="2:6" ht="15" x14ac:dyDescent="0.25">
      <c r="B3009" s="169"/>
      <c r="C3009" s="679">
        <v>3163588</v>
      </c>
      <c r="D3009" s="677">
        <v>1</v>
      </c>
      <c r="E3009" s="678" t="s">
        <v>3136</v>
      </c>
      <c r="F3009" s="170"/>
    </row>
    <row r="3010" spans="2:6" ht="15" x14ac:dyDescent="0.25">
      <c r="B3010" s="169"/>
      <c r="C3010" s="679">
        <v>3087482</v>
      </c>
      <c r="D3010" s="677">
        <v>3</v>
      </c>
      <c r="E3010" s="678" t="s">
        <v>3137</v>
      </c>
      <c r="F3010" s="170"/>
    </row>
    <row r="3011" spans="2:6" ht="15" x14ac:dyDescent="0.25">
      <c r="B3011" s="169"/>
      <c r="C3011" s="679">
        <v>3081519</v>
      </c>
      <c r="D3011" s="677">
        <v>3</v>
      </c>
      <c r="E3011" s="678" t="s">
        <v>3138</v>
      </c>
      <c r="F3011" s="170"/>
    </row>
    <row r="3012" spans="2:6" ht="15" x14ac:dyDescent="0.25">
      <c r="B3012" s="169"/>
      <c r="C3012" s="679">
        <v>3157876</v>
      </c>
      <c r="D3012" s="677">
        <v>4</v>
      </c>
      <c r="E3012" s="678" t="s">
        <v>3139</v>
      </c>
      <c r="F3012" s="170"/>
    </row>
    <row r="3013" spans="2:6" ht="15" x14ac:dyDescent="0.25">
      <c r="B3013" s="169"/>
      <c r="C3013" s="679">
        <v>3161956</v>
      </c>
      <c r="D3013" s="677">
        <v>8</v>
      </c>
      <c r="E3013" s="678" t="s">
        <v>3140</v>
      </c>
      <c r="F3013" s="170"/>
    </row>
    <row r="3014" spans="2:6" ht="15" x14ac:dyDescent="0.25">
      <c r="B3014" s="169"/>
      <c r="C3014" s="679">
        <v>3158497</v>
      </c>
      <c r="D3014" s="677">
        <v>7</v>
      </c>
      <c r="E3014" s="678" t="s">
        <v>3141</v>
      </c>
      <c r="F3014" s="170"/>
    </row>
    <row r="3015" spans="2:6" ht="15" x14ac:dyDescent="0.25">
      <c r="B3015" s="169"/>
      <c r="C3015" s="679">
        <v>3155492</v>
      </c>
      <c r="D3015" s="677">
        <v>0</v>
      </c>
      <c r="E3015" s="678" t="s">
        <v>3142</v>
      </c>
      <c r="F3015" s="170"/>
    </row>
    <row r="3016" spans="2:6" ht="15" x14ac:dyDescent="0.25">
      <c r="B3016" s="169"/>
      <c r="C3016" s="679">
        <v>3150394</v>
      </c>
      <c r="D3016" s="677">
        <v>2</v>
      </c>
      <c r="E3016" s="678" t="s">
        <v>3143</v>
      </c>
      <c r="F3016" s="170"/>
    </row>
    <row r="3017" spans="2:6" ht="15" x14ac:dyDescent="0.25">
      <c r="B3017" s="169"/>
      <c r="C3017" s="679">
        <v>3180625</v>
      </c>
      <c r="D3017" s="677">
        <v>2</v>
      </c>
      <c r="E3017" s="678" t="s">
        <v>3144</v>
      </c>
      <c r="F3017" s="170"/>
    </row>
    <row r="3018" spans="2:6" ht="15" x14ac:dyDescent="0.25">
      <c r="B3018" s="169"/>
      <c r="C3018" s="679">
        <v>3157889</v>
      </c>
      <c r="D3018" s="677">
        <v>6</v>
      </c>
      <c r="E3018" s="678" t="s">
        <v>3145</v>
      </c>
      <c r="F3018" s="170"/>
    </row>
    <row r="3019" spans="2:6" ht="15" x14ac:dyDescent="0.25">
      <c r="B3019" s="169"/>
      <c r="C3019" s="679">
        <v>3155432</v>
      </c>
      <c r="D3019" s="677">
        <v>6</v>
      </c>
      <c r="E3019" s="678" t="s">
        <v>3146</v>
      </c>
      <c r="F3019" s="170"/>
    </row>
    <row r="3020" spans="2:6" ht="15" x14ac:dyDescent="0.25">
      <c r="B3020" s="169"/>
      <c r="C3020" s="679">
        <v>3190222</v>
      </c>
      <c r="D3020" s="677">
        <v>7</v>
      </c>
      <c r="E3020" s="678" t="s">
        <v>3147</v>
      </c>
      <c r="F3020" s="170"/>
    </row>
    <row r="3021" spans="2:6" ht="15" x14ac:dyDescent="0.25">
      <c r="B3021" s="169"/>
      <c r="C3021" s="679">
        <v>3126129</v>
      </c>
      <c r="D3021" s="677">
        <v>9</v>
      </c>
      <c r="E3021" s="678" t="s">
        <v>3148</v>
      </c>
      <c r="F3021" s="170"/>
    </row>
    <row r="3022" spans="2:6" ht="15" x14ac:dyDescent="0.25">
      <c r="B3022" s="169"/>
      <c r="C3022" s="679">
        <v>3183616</v>
      </c>
      <c r="D3022" s="677">
        <v>0</v>
      </c>
      <c r="E3022" s="678" t="s">
        <v>3149</v>
      </c>
      <c r="F3022" s="170"/>
    </row>
    <row r="3023" spans="2:6" ht="15" x14ac:dyDescent="0.25">
      <c r="B3023" s="169"/>
      <c r="C3023" s="679">
        <v>3161230</v>
      </c>
      <c r="D3023" s="677">
        <v>0</v>
      </c>
      <c r="E3023" s="678" t="s">
        <v>3150</v>
      </c>
      <c r="F3023" s="170"/>
    </row>
    <row r="3024" spans="2:6" ht="15" x14ac:dyDescent="0.25">
      <c r="B3024" s="169"/>
      <c r="C3024" s="679">
        <v>2963369</v>
      </c>
      <c r="D3024" s="677">
        <v>9</v>
      </c>
      <c r="E3024" s="678" t="s">
        <v>3151</v>
      </c>
      <c r="F3024" s="170"/>
    </row>
    <row r="3025" spans="2:6" ht="15" x14ac:dyDescent="0.25">
      <c r="B3025" s="169"/>
      <c r="C3025" s="679">
        <v>3336409</v>
      </c>
      <c r="D3025" s="677">
        <v>5</v>
      </c>
      <c r="E3025" s="678" t="s">
        <v>8463</v>
      </c>
      <c r="F3025" s="170"/>
    </row>
    <row r="3026" spans="2:6" ht="15" x14ac:dyDescent="0.25">
      <c r="B3026" s="169"/>
      <c r="C3026" s="679">
        <v>3289654</v>
      </c>
      <c r="D3026" s="677">
        <v>9</v>
      </c>
      <c r="E3026" s="678" t="s">
        <v>8464</v>
      </c>
      <c r="F3026" s="170"/>
    </row>
    <row r="3027" spans="2:6" ht="15" x14ac:dyDescent="0.25">
      <c r="B3027" s="169"/>
      <c r="C3027" s="679">
        <v>3084470</v>
      </c>
      <c r="D3027" s="677">
        <v>3</v>
      </c>
      <c r="E3027" s="678" t="s">
        <v>3152</v>
      </c>
      <c r="F3027" s="170"/>
    </row>
    <row r="3028" spans="2:6" ht="15" x14ac:dyDescent="0.25">
      <c r="B3028" s="169"/>
      <c r="C3028" s="679">
        <v>3172780</v>
      </c>
      <c r="D3028" s="677">
        <v>8</v>
      </c>
      <c r="E3028" s="678" t="s">
        <v>3153</v>
      </c>
      <c r="F3028" s="170"/>
    </row>
    <row r="3029" spans="2:6" ht="15" x14ac:dyDescent="0.25">
      <c r="B3029" s="169"/>
      <c r="C3029" s="679">
        <v>3085904</v>
      </c>
      <c r="D3029" s="677">
        <v>2</v>
      </c>
      <c r="E3029" s="678" t="s">
        <v>3154</v>
      </c>
      <c r="F3029" s="170"/>
    </row>
    <row r="3030" spans="2:6" ht="15" x14ac:dyDescent="0.25">
      <c r="B3030" s="169"/>
      <c r="C3030" s="679">
        <v>3048231</v>
      </c>
      <c r="D3030" s="677">
        <v>3</v>
      </c>
      <c r="E3030" s="678" t="s">
        <v>3155</v>
      </c>
      <c r="F3030" s="170"/>
    </row>
    <row r="3031" spans="2:6" ht="15" x14ac:dyDescent="0.25">
      <c r="B3031" s="169"/>
      <c r="C3031" s="679">
        <v>3048232</v>
      </c>
      <c r="D3031" s="677">
        <v>1</v>
      </c>
      <c r="E3031" s="678" t="s">
        <v>3156</v>
      </c>
      <c r="F3031" s="170"/>
    </row>
    <row r="3032" spans="2:6" ht="15" x14ac:dyDescent="0.25">
      <c r="B3032" s="169"/>
      <c r="C3032" s="679">
        <v>3048233</v>
      </c>
      <c r="D3032" s="677">
        <v>0</v>
      </c>
      <c r="E3032" s="678" t="s">
        <v>3157</v>
      </c>
      <c r="F3032" s="170"/>
    </row>
    <row r="3033" spans="2:6" ht="15" x14ac:dyDescent="0.25">
      <c r="B3033" s="169"/>
      <c r="C3033" s="679">
        <v>3048234</v>
      </c>
      <c r="D3033" s="677">
        <v>8</v>
      </c>
      <c r="E3033" s="678" t="s">
        <v>3158</v>
      </c>
      <c r="F3033" s="170"/>
    </row>
    <row r="3034" spans="2:6" ht="15" x14ac:dyDescent="0.25">
      <c r="B3034" s="169"/>
      <c r="C3034" s="679">
        <v>3048235</v>
      </c>
      <c r="D3034" s="677">
        <v>6</v>
      </c>
      <c r="E3034" s="678" t="s">
        <v>3159</v>
      </c>
      <c r="F3034" s="170"/>
    </row>
    <row r="3035" spans="2:6" ht="15" x14ac:dyDescent="0.25">
      <c r="B3035" s="169"/>
      <c r="C3035" s="679">
        <v>2961622</v>
      </c>
      <c r="D3035" s="677">
        <v>1</v>
      </c>
      <c r="E3035" s="678" t="s">
        <v>3160</v>
      </c>
      <c r="F3035" s="170"/>
    </row>
    <row r="3036" spans="2:6" ht="15" x14ac:dyDescent="0.25">
      <c r="B3036" s="169"/>
      <c r="C3036" s="679">
        <v>3048236</v>
      </c>
      <c r="D3036" s="677">
        <v>4</v>
      </c>
      <c r="E3036" s="678" t="s">
        <v>3161</v>
      </c>
      <c r="F3036" s="170"/>
    </row>
    <row r="3037" spans="2:6" ht="15" x14ac:dyDescent="0.25">
      <c r="B3037" s="169"/>
      <c r="C3037" s="679">
        <v>3076849</v>
      </c>
      <c r="D3037" s="677">
        <v>7</v>
      </c>
      <c r="E3037" s="678" t="s">
        <v>3162</v>
      </c>
      <c r="F3037" s="170"/>
    </row>
    <row r="3038" spans="2:6" ht="15" x14ac:dyDescent="0.25">
      <c r="B3038" s="169"/>
      <c r="C3038" s="679">
        <v>3351256</v>
      </c>
      <c r="D3038" s="677">
        <v>6</v>
      </c>
      <c r="E3038" s="678" t="s">
        <v>8465</v>
      </c>
      <c r="F3038" s="170"/>
    </row>
    <row r="3039" spans="2:6" ht="15" x14ac:dyDescent="0.25">
      <c r="B3039" s="169"/>
      <c r="C3039" s="679">
        <v>3084356</v>
      </c>
      <c r="D3039" s="677">
        <v>1</v>
      </c>
      <c r="E3039" s="678" t="s">
        <v>3163</v>
      </c>
      <c r="F3039" s="170"/>
    </row>
    <row r="3040" spans="2:6" ht="15" x14ac:dyDescent="0.25">
      <c r="B3040" s="169"/>
      <c r="C3040" s="679">
        <v>3088302</v>
      </c>
      <c r="D3040" s="677">
        <v>4</v>
      </c>
      <c r="E3040" s="678" t="s">
        <v>3164</v>
      </c>
      <c r="F3040" s="170"/>
    </row>
    <row r="3041" spans="2:6" ht="15" x14ac:dyDescent="0.25">
      <c r="B3041" s="169"/>
      <c r="C3041" s="679">
        <v>3069177</v>
      </c>
      <c r="D3041" s="677">
        <v>0</v>
      </c>
      <c r="E3041" s="678" t="s">
        <v>3165</v>
      </c>
      <c r="F3041" s="170"/>
    </row>
    <row r="3042" spans="2:6" ht="15" x14ac:dyDescent="0.25">
      <c r="B3042" s="169"/>
      <c r="C3042" s="679">
        <v>2962402</v>
      </c>
      <c r="D3042" s="677">
        <v>9</v>
      </c>
      <c r="E3042" s="678" t="s">
        <v>3166</v>
      </c>
      <c r="F3042" s="170"/>
    </row>
    <row r="3043" spans="2:6" ht="15" x14ac:dyDescent="0.25">
      <c r="B3043" s="169"/>
      <c r="C3043" s="679">
        <v>3048237</v>
      </c>
      <c r="D3043" s="677">
        <v>2</v>
      </c>
      <c r="E3043" s="678" t="s">
        <v>3167</v>
      </c>
      <c r="F3043" s="170"/>
    </row>
    <row r="3044" spans="2:6" ht="15" x14ac:dyDescent="0.25">
      <c r="B3044" s="169"/>
      <c r="C3044" s="679">
        <v>3048238</v>
      </c>
      <c r="D3044" s="677">
        <v>1</v>
      </c>
      <c r="E3044" s="678" t="s">
        <v>3168</v>
      </c>
      <c r="F3044" s="170"/>
    </row>
    <row r="3045" spans="2:6" ht="15" x14ac:dyDescent="0.25">
      <c r="B3045" s="169"/>
      <c r="C3045" s="679">
        <v>3095068</v>
      </c>
      <c r="D3045" s="677">
        <v>6</v>
      </c>
      <c r="E3045" s="678" t="s">
        <v>3169</v>
      </c>
      <c r="F3045" s="170"/>
    </row>
    <row r="3046" spans="2:6" ht="15" x14ac:dyDescent="0.25">
      <c r="B3046" s="169"/>
      <c r="C3046" s="679">
        <v>3078277</v>
      </c>
      <c r="D3046" s="677">
        <v>5</v>
      </c>
      <c r="E3046" s="678" t="s">
        <v>3170</v>
      </c>
      <c r="F3046" s="170"/>
    </row>
    <row r="3047" spans="2:6" ht="15" x14ac:dyDescent="0.25">
      <c r="B3047" s="169"/>
      <c r="C3047" s="679">
        <v>3048239</v>
      </c>
      <c r="D3047" s="677">
        <v>9</v>
      </c>
      <c r="E3047" s="678" t="s">
        <v>3171</v>
      </c>
      <c r="F3047" s="170"/>
    </row>
    <row r="3048" spans="2:6" ht="15" x14ac:dyDescent="0.25">
      <c r="B3048" s="169"/>
      <c r="C3048" s="679">
        <v>3048240</v>
      </c>
      <c r="D3048" s="677">
        <v>2</v>
      </c>
      <c r="E3048" s="678" t="s">
        <v>3172</v>
      </c>
      <c r="F3048" s="170"/>
    </row>
    <row r="3049" spans="2:6" ht="15" x14ac:dyDescent="0.25">
      <c r="B3049" s="169"/>
      <c r="C3049" s="679">
        <v>3048241</v>
      </c>
      <c r="D3049" s="677">
        <v>1</v>
      </c>
      <c r="E3049" s="678" t="s">
        <v>3173</v>
      </c>
      <c r="F3049" s="170"/>
    </row>
    <row r="3050" spans="2:6" ht="15" x14ac:dyDescent="0.25">
      <c r="B3050" s="169"/>
      <c r="C3050" s="679">
        <v>3038383</v>
      </c>
      <c r="D3050" s="677">
        <v>8</v>
      </c>
      <c r="E3050" s="678" t="s">
        <v>3174</v>
      </c>
      <c r="F3050" s="170"/>
    </row>
    <row r="3051" spans="2:6" ht="15" x14ac:dyDescent="0.25">
      <c r="B3051" s="169"/>
      <c r="C3051" s="679">
        <v>3000726</v>
      </c>
      <c r="D3051" s="677">
        <v>7</v>
      </c>
      <c r="E3051" s="678" t="s">
        <v>3175</v>
      </c>
      <c r="F3051" s="170"/>
    </row>
    <row r="3052" spans="2:6" ht="15" x14ac:dyDescent="0.25">
      <c r="B3052" s="169"/>
      <c r="C3052" s="679">
        <v>3048242</v>
      </c>
      <c r="D3052" s="677">
        <v>9</v>
      </c>
      <c r="E3052" s="678" t="s">
        <v>3176</v>
      </c>
      <c r="F3052" s="170"/>
    </row>
    <row r="3053" spans="2:6" ht="15" x14ac:dyDescent="0.25">
      <c r="B3053" s="169"/>
      <c r="C3053" s="679">
        <v>2961798</v>
      </c>
      <c r="D3053" s="677">
        <v>7</v>
      </c>
      <c r="E3053" s="678" t="s">
        <v>3177</v>
      </c>
      <c r="F3053" s="170"/>
    </row>
    <row r="3054" spans="2:6" ht="15" x14ac:dyDescent="0.25">
      <c r="B3054" s="169"/>
      <c r="C3054" s="679">
        <v>3226806</v>
      </c>
      <c r="D3054" s="677">
        <v>8</v>
      </c>
      <c r="E3054" s="678" t="s">
        <v>8466</v>
      </c>
      <c r="F3054" s="170"/>
    </row>
    <row r="3055" spans="2:6" ht="15" x14ac:dyDescent="0.25">
      <c r="B3055" s="169"/>
      <c r="C3055" s="679">
        <v>3070960</v>
      </c>
      <c r="D3055" s="677">
        <v>1</v>
      </c>
      <c r="E3055" s="678" t="s">
        <v>3178</v>
      </c>
      <c r="F3055" s="170"/>
    </row>
    <row r="3056" spans="2:6" ht="15" x14ac:dyDescent="0.25">
      <c r="B3056" s="169"/>
      <c r="C3056" s="679">
        <v>3096364</v>
      </c>
      <c r="D3056" s="677">
        <v>8</v>
      </c>
      <c r="E3056" s="678" t="s">
        <v>3179</v>
      </c>
      <c r="F3056" s="170"/>
    </row>
    <row r="3057" spans="2:6" ht="15" x14ac:dyDescent="0.25">
      <c r="B3057" s="169"/>
      <c r="C3057" s="679">
        <v>2961346</v>
      </c>
      <c r="D3057" s="677">
        <v>9</v>
      </c>
      <c r="E3057" s="678" t="s">
        <v>3180</v>
      </c>
      <c r="F3057" s="170"/>
    </row>
    <row r="3058" spans="2:6" ht="15" x14ac:dyDescent="0.25">
      <c r="B3058" s="169"/>
      <c r="C3058" s="679">
        <v>2962403</v>
      </c>
      <c r="D3058" s="677">
        <v>7</v>
      </c>
      <c r="E3058" s="678" t="s">
        <v>3181</v>
      </c>
      <c r="F3058" s="170"/>
    </row>
    <row r="3059" spans="2:6" ht="15" x14ac:dyDescent="0.25">
      <c r="B3059" s="169"/>
      <c r="C3059" s="679">
        <v>2961624</v>
      </c>
      <c r="D3059" s="677">
        <v>7</v>
      </c>
      <c r="E3059" s="678" t="s">
        <v>3182</v>
      </c>
      <c r="F3059" s="170"/>
    </row>
    <row r="3060" spans="2:6" ht="15" x14ac:dyDescent="0.25">
      <c r="B3060" s="169"/>
      <c r="C3060" s="679">
        <v>3098904</v>
      </c>
      <c r="D3060" s="677">
        <v>3</v>
      </c>
      <c r="E3060" s="678" t="s">
        <v>3183</v>
      </c>
      <c r="F3060" s="170"/>
    </row>
    <row r="3061" spans="2:6" ht="15" x14ac:dyDescent="0.25">
      <c r="B3061" s="169"/>
      <c r="C3061" s="679">
        <v>2962404</v>
      </c>
      <c r="D3061" s="677">
        <v>5</v>
      </c>
      <c r="E3061" s="678" t="s">
        <v>3184</v>
      </c>
      <c r="F3061" s="170"/>
    </row>
    <row r="3062" spans="2:6" ht="15" x14ac:dyDescent="0.25">
      <c r="B3062" s="169"/>
      <c r="C3062" s="679">
        <v>3103125</v>
      </c>
      <c r="D3062" s="677">
        <v>1</v>
      </c>
      <c r="E3062" s="678" t="s">
        <v>3185</v>
      </c>
      <c r="F3062" s="170"/>
    </row>
    <row r="3063" spans="2:6" ht="15" x14ac:dyDescent="0.25">
      <c r="B3063" s="169"/>
      <c r="C3063" s="679">
        <v>2961348</v>
      </c>
      <c r="D3063" s="677">
        <v>5</v>
      </c>
      <c r="E3063" s="678" t="s">
        <v>3186</v>
      </c>
      <c r="F3063" s="170"/>
    </row>
    <row r="3064" spans="2:6" ht="15" x14ac:dyDescent="0.25">
      <c r="B3064" s="169"/>
      <c r="C3064" s="679">
        <v>3339927</v>
      </c>
      <c r="D3064" s="677">
        <v>1</v>
      </c>
      <c r="E3064" s="678" t="s">
        <v>8467</v>
      </c>
      <c r="F3064" s="170"/>
    </row>
    <row r="3065" spans="2:6" ht="15" x14ac:dyDescent="0.25">
      <c r="B3065" s="169"/>
      <c r="C3065" s="679">
        <v>3048243</v>
      </c>
      <c r="D3065" s="677">
        <v>7</v>
      </c>
      <c r="E3065" s="678" t="s">
        <v>3187</v>
      </c>
      <c r="F3065" s="170"/>
    </row>
    <row r="3066" spans="2:6" ht="15" x14ac:dyDescent="0.25">
      <c r="B3066" s="169"/>
      <c r="C3066" s="679">
        <v>3048244</v>
      </c>
      <c r="D3066" s="677">
        <v>5</v>
      </c>
      <c r="E3066" s="678" t="s">
        <v>3188</v>
      </c>
      <c r="F3066" s="170"/>
    </row>
    <row r="3067" spans="2:6" ht="15" x14ac:dyDescent="0.25">
      <c r="B3067" s="169"/>
      <c r="C3067" s="679">
        <v>3048245</v>
      </c>
      <c r="D3067" s="677">
        <v>3</v>
      </c>
      <c r="E3067" s="678" t="s">
        <v>3189</v>
      </c>
      <c r="F3067" s="170"/>
    </row>
    <row r="3068" spans="2:6" ht="15" x14ac:dyDescent="0.25">
      <c r="B3068" s="169"/>
      <c r="C3068" s="679">
        <v>3048246</v>
      </c>
      <c r="D3068" s="677">
        <v>1</v>
      </c>
      <c r="E3068" s="678" t="s">
        <v>3190</v>
      </c>
      <c r="F3068" s="170"/>
    </row>
    <row r="3069" spans="2:6" ht="15" x14ac:dyDescent="0.25">
      <c r="B3069" s="169"/>
      <c r="C3069" s="679">
        <v>2982057</v>
      </c>
      <c r="D3069" s="677">
        <v>0</v>
      </c>
      <c r="E3069" s="678" t="s">
        <v>3191</v>
      </c>
      <c r="F3069" s="170"/>
    </row>
    <row r="3070" spans="2:6" ht="15" x14ac:dyDescent="0.25">
      <c r="B3070" s="169"/>
      <c r="C3070" s="679">
        <v>3048247</v>
      </c>
      <c r="D3070" s="677">
        <v>0</v>
      </c>
      <c r="E3070" s="678" t="s">
        <v>3192</v>
      </c>
      <c r="F3070" s="170"/>
    </row>
    <row r="3071" spans="2:6" ht="15" x14ac:dyDescent="0.25">
      <c r="B3071" s="169"/>
      <c r="C3071" s="679">
        <v>3048248</v>
      </c>
      <c r="D3071" s="677">
        <v>8</v>
      </c>
      <c r="E3071" s="678" t="s">
        <v>3193</v>
      </c>
      <c r="F3071" s="170"/>
    </row>
    <row r="3072" spans="2:6" ht="15" x14ac:dyDescent="0.25">
      <c r="B3072" s="169"/>
      <c r="C3072" s="679">
        <v>2962280</v>
      </c>
      <c r="D3072" s="677">
        <v>8</v>
      </c>
      <c r="E3072" s="678" t="s">
        <v>3194</v>
      </c>
      <c r="F3072" s="170"/>
    </row>
    <row r="3073" spans="2:6" ht="15" x14ac:dyDescent="0.25">
      <c r="B3073" s="169"/>
      <c r="C3073" s="679">
        <v>3321255</v>
      </c>
      <c r="D3073" s="677">
        <v>4</v>
      </c>
      <c r="E3073" s="678" t="s">
        <v>8468</v>
      </c>
      <c r="F3073" s="170"/>
    </row>
    <row r="3074" spans="2:6" ht="15" x14ac:dyDescent="0.25">
      <c r="B3074" s="169"/>
      <c r="C3074" s="679">
        <v>3048249</v>
      </c>
      <c r="D3074" s="677">
        <v>6</v>
      </c>
      <c r="E3074" s="678" t="s">
        <v>3195</v>
      </c>
      <c r="F3074" s="170"/>
    </row>
    <row r="3075" spans="2:6" ht="15" x14ac:dyDescent="0.25">
      <c r="B3075" s="169"/>
      <c r="C3075" s="679">
        <v>3048250</v>
      </c>
      <c r="D3075" s="677">
        <v>0</v>
      </c>
      <c r="E3075" s="678" t="s">
        <v>3196</v>
      </c>
      <c r="F3075" s="170"/>
    </row>
    <row r="3076" spans="2:6" ht="15" x14ac:dyDescent="0.25">
      <c r="B3076" s="169"/>
      <c r="C3076" s="679">
        <v>3048251</v>
      </c>
      <c r="D3076" s="677">
        <v>8</v>
      </c>
      <c r="E3076" s="678" t="s">
        <v>3197</v>
      </c>
      <c r="F3076" s="170"/>
    </row>
    <row r="3077" spans="2:6" ht="15" x14ac:dyDescent="0.25">
      <c r="B3077" s="169"/>
      <c r="C3077" s="679">
        <v>3048252</v>
      </c>
      <c r="D3077" s="677">
        <v>6</v>
      </c>
      <c r="E3077" s="678" t="s">
        <v>3198</v>
      </c>
      <c r="F3077" s="170"/>
    </row>
    <row r="3078" spans="2:6" ht="15" x14ac:dyDescent="0.25">
      <c r="B3078" s="169"/>
      <c r="C3078" s="679">
        <v>2961626</v>
      </c>
      <c r="D3078" s="677">
        <v>3</v>
      </c>
      <c r="E3078" s="678" t="s">
        <v>3199</v>
      </c>
      <c r="F3078" s="170"/>
    </row>
    <row r="3079" spans="2:6" ht="15" x14ac:dyDescent="0.25">
      <c r="B3079" s="169"/>
      <c r="C3079" s="679">
        <v>2961350</v>
      </c>
      <c r="D3079" s="677">
        <v>7</v>
      </c>
      <c r="E3079" s="678" t="s">
        <v>3200</v>
      </c>
      <c r="F3079" s="170"/>
    </row>
    <row r="3080" spans="2:6" ht="15" x14ac:dyDescent="0.25">
      <c r="B3080" s="169"/>
      <c r="C3080" s="679">
        <v>2961351</v>
      </c>
      <c r="D3080" s="677">
        <v>5</v>
      </c>
      <c r="E3080" s="678" t="s">
        <v>3201</v>
      </c>
      <c r="F3080" s="170"/>
    </row>
    <row r="3081" spans="2:6" ht="15" x14ac:dyDescent="0.25">
      <c r="B3081" s="169"/>
      <c r="C3081" s="679">
        <v>3072927</v>
      </c>
      <c r="D3081" s="677">
        <v>1</v>
      </c>
      <c r="E3081" s="678" t="s">
        <v>3202</v>
      </c>
      <c r="F3081" s="170"/>
    </row>
    <row r="3082" spans="2:6" ht="15" x14ac:dyDescent="0.25">
      <c r="B3082" s="169"/>
      <c r="C3082" s="679">
        <v>3048253</v>
      </c>
      <c r="D3082" s="677">
        <v>4</v>
      </c>
      <c r="E3082" s="678" t="s">
        <v>3203</v>
      </c>
      <c r="F3082" s="170"/>
    </row>
    <row r="3083" spans="2:6" ht="15" x14ac:dyDescent="0.25">
      <c r="B3083" s="169"/>
      <c r="C3083" s="679">
        <v>3085260</v>
      </c>
      <c r="D3083" s="677">
        <v>9</v>
      </c>
      <c r="E3083" s="678" t="s">
        <v>3204</v>
      </c>
      <c r="F3083" s="170"/>
    </row>
    <row r="3084" spans="2:6" ht="15" x14ac:dyDescent="0.25">
      <c r="B3084" s="169"/>
      <c r="C3084" s="679">
        <v>3048254</v>
      </c>
      <c r="D3084" s="677">
        <v>2</v>
      </c>
      <c r="E3084" s="678" t="s">
        <v>3205</v>
      </c>
      <c r="F3084" s="170"/>
    </row>
    <row r="3085" spans="2:6" ht="15" x14ac:dyDescent="0.25">
      <c r="B3085" s="169"/>
      <c r="C3085" s="679">
        <v>3048255</v>
      </c>
      <c r="D3085" s="677">
        <v>1</v>
      </c>
      <c r="E3085" s="678" t="s">
        <v>3206</v>
      </c>
      <c r="F3085" s="170"/>
    </row>
    <row r="3086" spans="2:6" ht="15" x14ac:dyDescent="0.25">
      <c r="B3086" s="169"/>
      <c r="C3086" s="679">
        <v>3275760</v>
      </c>
      <c r="D3086" s="677">
        <v>3</v>
      </c>
      <c r="E3086" s="678" t="s">
        <v>8469</v>
      </c>
      <c r="F3086" s="170"/>
    </row>
    <row r="3087" spans="2:6" ht="15" x14ac:dyDescent="0.25">
      <c r="B3087" s="169"/>
      <c r="C3087" s="679">
        <v>3048256</v>
      </c>
      <c r="D3087" s="677">
        <v>9</v>
      </c>
      <c r="E3087" s="678" t="s">
        <v>3207</v>
      </c>
      <c r="F3087" s="170"/>
    </row>
    <row r="3088" spans="2:6" ht="15" x14ac:dyDescent="0.25">
      <c r="B3088" s="169"/>
      <c r="C3088" s="679">
        <v>3048257</v>
      </c>
      <c r="D3088" s="677">
        <v>7</v>
      </c>
      <c r="E3088" s="678" t="s">
        <v>3208</v>
      </c>
      <c r="F3088" s="170"/>
    </row>
    <row r="3089" spans="2:6" ht="15" x14ac:dyDescent="0.25">
      <c r="B3089" s="169"/>
      <c r="C3089" s="679">
        <v>3048258</v>
      </c>
      <c r="D3089" s="677">
        <v>5</v>
      </c>
      <c r="E3089" s="678" t="s">
        <v>3209</v>
      </c>
      <c r="F3089" s="170"/>
    </row>
    <row r="3090" spans="2:6" ht="15" x14ac:dyDescent="0.25">
      <c r="B3090" s="169"/>
      <c r="C3090" s="679">
        <v>3288576</v>
      </c>
      <c r="D3090" s="677">
        <v>8</v>
      </c>
      <c r="E3090" s="678" t="s">
        <v>8470</v>
      </c>
      <c r="F3090" s="170"/>
    </row>
    <row r="3091" spans="2:6" ht="15" x14ac:dyDescent="0.25">
      <c r="B3091" s="169"/>
      <c r="C3091" s="679">
        <v>2961629</v>
      </c>
      <c r="D3091" s="677">
        <v>8</v>
      </c>
      <c r="E3091" s="678" t="s">
        <v>3210</v>
      </c>
      <c r="F3091" s="170"/>
    </row>
    <row r="3092" spans="2:6" ht="15" x14ac:dyDescent="0.25">
      <c r="B3092" s="169"/>
      <c r="C3092" s="679">
        <v>2961630</v>
      </c>
      <c r="D3092" s="677">
        <v>1</v>
      </c>
      <c r="E3092" s="678" t="s">
        <v>3211</v>
      </c>
      <c r="F3092" s="170"/>
    </row>
    <row r="3093" spans="2:6" ht="15" x14ac:dyDescent="0.25">
      <c r="B3093" s="169"/>
      <c r="C3093" s="679">
        <v>3076302</v>
      </c>
      <c r="D3093" s="677">
        <v>9</v>
      </c>
      <c r="E3093" s="678" t="s">
        <v>3212</v>
      </c>
      <c r="F3093" s="170"/>
    </row>
    <row r="3094" spans="2:6" ht="15" x14ac:dyDescent="0.25">
      <c r="B3094" s="169"/>
      <c r="C3094" s="679">
        <v>2961354</v>
      </c>
      <c r="D3094" s="677">
        <v>0</v>
      </c>
      <c r="E3094" s="678" t="s">
        <v>3213</v>
      </c>
      <c r="F3094" s="170"/>
    </row>
    <row r="3095" spans="2:6" ht="15" x14ac:dyDescent="0.25">
      <c r="B3095" s="169"/>
      <c r="C3095" s="679">
        <v>3100879</v>
      </c>
      <c r="D3095" s="677">
        <v>8</v>
      </c>
      <c r="E3095" s="678" t="s">
        <v>3214</v>
      </c>
      <c r="F3095" s="170"/>
    </row>
    <row r="3096" spans="2:6" ht="15" x14ac:dyDescent="0.25">
      <c r="B3096" s="169"/>
      <c r="C3096" s="679">
        <v>3100890</v>
      </c>
      <c r="D3096" s="677">
        <v>9</v>
      </c>
      <c r="E3096" s="678" t="s">
        <v>3215</v>
      </c>
      <c r="F3096" s="170"/>
    </row>
    <row r="3097" spans="2:6" ht="15" x14ac:dyDescent="0.25">
      <c r="B3097" s="169"/>
      <c r="C3097" s="679">
        <v>2961632</v>
      </c>
      <c r="D3097" s="677">
        <v>8</v>
      </c>
      <c r="E3097" s="678" t="s">
        <v>3216</v>
      </c>
      <c r="F3097" s="170"/>
    </row>
    <row r="3098" spans="2:6" ht="15" x14ac:dyDescent="0.25">
      <c r="B3098" s="169"/>
      <c r="C3098" s="679">
        <v>3071218</v>
      </c>
      <c r="D3098" s="677">
        <v>1</v>
      </c>
      <c r="E3098" s="678" t="s">
        <v>3217</v>
      </c>
      <c r="F3098" s="170"/>
    </row>
    <row r="3099" spans="2:6" ht="15" x14ac:dyDescent="0.25">
      <c r="B3099" s="169"/>
      <c r="C3099" s="679">
        <v>2961356</v>
      </c>
      <c r="D3099" s="677">
        <v>6</v>
      </c>
      <c r="E3099" s="678" t="s">
        <v>3218</v>
      </c>
      <c r="F3099" s="170"/>
    </row>
    <row r="3100" spans="2:6" ht="15" x14ac:dyDescent="0.25">
      <c r="B3100" s="169"/>
      <c r="C3100" s="679">
        <v>3070371</v>
      </c>
      <c r="D3100" s="677">
        <v>9</v>
      </c>
      <c r="E3100" s="678" t="s">
        <v>3219</v>
      </c>
      <c r="F3100" s="170"/>
    </row>
    <row r="3101" spans="2:6" ht="15" x14ac:dyDescent="0.25">
      <c r="B3101" s="169"/>
      <c r="C3101" s="679">
        <v>2961634</v>
      </c>
      <c r="D3101" s="677">
        <v>4</v>
      </c>
      <c r="E3101" s="678" t="s">
        <v>3220</v>
      </c>
      <c r="F3101" s="170"/>
    </row>
    <row r="3102" spans="2:6" ht="15" x14ac:dyDescent="0.25">
      <c r="B3102" s="169"/>
      <c r="C3102" s="679">
        <v>3048259</v>
      </c>
      <c r="D3102" s="677">
        <v>3</v>
      </c>
      <c r="E3102" s="678" t="s">
        <v>3221</v>
      </c>
      <c r="F3102" s="170"/>
    </row>
    <row r="3103" spans="2:6" ht="15" x14ac:dyDescent="0.25">
      <c r="B3103" s="169"/>
      <c r="C3103" s="679">
        <v>3227786</v>
      </c>
      <c r="D3103" s="677">
        <v>5</v>
      </c>
      <c r="E3103" s="678" t="s">
        <v>8471</v>
      </c>
      <c r="F3103" s="170"/>
    </row>
    <row r="3104" spans="2:6" ht="15" x14ac:dyDescent="0.25">
      <c r="B3104" s="169"/>
      <c r="C3104" s="679">
        <v>3273360</v>
      </c>
      <c r="D3104" s="677">
        <v>7</v>
      </c>
      <c r="E3104" s="678" t="s">
        <v>8472</v>
      </c>
      <c r="F3104" s="170"/>
    </row>
    <row r="3105" spans="2:6" ht="15" x14ac:dyDescent="0.25">
      <c r="B3105" s="169"/>
      <c r="C3105" s="679">
        <v>2974445</v>
      </c>
      <c r="D3105" s="677">
        <v>8</v>
      </c>
      <c r="E3105" s="678" t="s">
        <v>3222</v>
      </c>
      <c r="F3105" s="170"/>
    </row>
    <row r="3106" spans="2:6" ht="15" x14ac:dyDescent="0.25">
      <c r="B3106" s="169"/>
      <c r="C3106" s="679">
        <v>3048260</v>
      </c>
      <c r="D3106" s="677">
        <v>7</v>
      </c>
      <c r="E3106" s="678" t="s">
        <v>3223</v>
      </c>
      <c r="F3106" s="170"/>
    </row>
    <row r="3107" spans="2:6" ht="15" x14ac:dyDescent="0.25">
      <c r="B3107" s="169"/>
      <c r="C3107" s="679">
        <v>3076305</v>
      </c>
      <c r="D3107" s="677">
        <v>3</v>
      </c>
      <c r="E3107" s="678" t="s">
        <v>3224</v>
      </c>
      <c r="F3107" s="170"/>
    </row>
    <row r="3108" spans="2:6" ht="15" x14ac:dyDescent="0.25">
      <c r="B3108" s="169"/>
      <c r="C3108" s="679">
        <v>2963363</v>
      </c>
      <c r="D3108" s="677">
        <v>0</v>
      </c>
      <c r="E3108" s="678" t="s">
        <v>3225</v>
      </c>
      <c r="F3108" s="170"/>
    </row>
    <row r="3109" spans="2:6" ht="15" x14ac:dyDescent="0.25">
      <c r="B3109" s="169"/>
      <c r="C3109" s="679">
        <v>3072039</v>
      </c>
      <c r="D3109" s="677">
        <v>7</v>
      </c>
      <c r="E3109" s="678" t="s">
        <v>3226</v>
      </c>
      <c r="F3109" s="170"/>
    </row>
    <row r="3110" spans="2:6" ht="15" x14ac:dyDescent="0.25">
      <c r="B3110" s="169"/>
      <c r="C3110" s="679">
        <v>3048261</v>
      </c>
      <c r="D3110" s="677">
        <v>5</v>
      </c>
      <c r="E3110" s="678" t="s">
        <v>3227</v>
      </c>
      <c r="F3110" s="170"/>
    </row>
    <row r="3111" spans="2:6" ht="15" x14ac:dyDescent="0.25">
      <c r="B3111" s="169"/>
      <c r="C3111" s="679">
        <v>3048262</v>
      </c>
      <c r="D3111" s="677">
        <v>3</v>
      </c>
      <c r="E3111" s="678" t="s">
        <v>3228</v>
      </c>
      <c r="F3111" s="170"/>
    </row>
    <row r="3112" spans="2:6" ht="15" x14ac:dyDescent="0.25">
      <c r="B3112" s="169"/>
      <c r="C3112" s="679">
        <v>3048263</v>
      </c>
      <c r="D3112" s="677">
        <v>1</v>
      </c>
      <c r="E3112" s="678" t="s">
        <v>3229</v>
      </c>
      <c r="F3112" s="170"/>
    </row>
    <row r="3113" spans="2:6" ht="15" x14ac:dyDescent="0.25">
      <c r="B3113" s="169"/>
      <c r="C3113" s="679">
        <v>3073726</v>
      </c>
      <c r="D3113" s="677">
        <v>5</v>
      </c>
      <c r="E3113" s="678" t="s">
        <v>3230</v>
      </c>
      <c r="F3113" s="170"/>
    </row>
    <row r="3114" spans="2:6" ht="15" x14ac:dyDescent="0.25">
      <c r="B3114" s="169"/>
      <c r="C3114" s="679">
        <v>3048264</v>
      </c>
      <c r="D3114" s="677">
        <v>0</v>
      </c>
      <c r="E3114" s="678" t="s">
        <v>3231</v>
      </c>
      <c r="F3114" s="170"/>
    </row>
    <row r="3115" spans="2:6" ht="15" x14ac:dyDescent="0.25">
      <c r="B3115" s="169"/>
      <c r="C3115" s="679">
        <v>3048265</v>
      </c>
      <c r="D3115" s="677">
        <v>8</v>
      </c>
      <c r="E3115" s="678" t="s">
        <v>3232</v>
      </c>
      <c r="F3115" s="170"/>
    </row>
    <row r="3116" spans="2:6" ht="15" x14ac:dyDescent="0.25">
      <c r="B3116" s="169"/>
      <c r="C3116" s="679">
        <v>3048266</v>
      </c>
      <c r="D3116" s="677">
        <v>6</v>
      </c>
      <c r="E3116" s="678" t="s">
        <v>3233</v>
      </c>
      <c r="F3116" s="170"/>
    </row>
    <row r="3117" spans="2:6" ht="15" x14ac:dyDescent="0.25">
      <c r="B3117" s="169"/>
      <c r="C3117" s="679">
        <v>3210409</v>
      </c>
      <c r="D3117" s="677">
        <v>0</v>
      </c>
      <c r="E3117" s="678" t="s">
        <v>8473</v>
      </c>
      <c r="F3117" s="170"/>
    </row>
    <row r="3118" spans="2:6" ht="15" x14ac:dyDescent="0.25">
      <c r="B3118" s="169"/>
      <c r="C3118" s="679">
        <v>3048267</v>
      </c>
      <c r="D3118" s="677">
        <v>4</v>
      </c>
      <c r="E3118" s="678" t="s">
        <v>3234</v>
      </c>
      <c r="F3118" s="170"/>
    </row>
    <row r="3119" spans="2:6" ht="15" x14ac:dyDescent="0.25">
      <c r="B3119" s="169"/>
      <c r="C3119" s="679">
        <v>3048268</v>
      </c>
      <c r="D3119" s="677">
        <v>2</v>
      </c>
      <c r="E3119" s="678" t="s">
        <v>3235</v>
      </c>
      <c r="F3119" s="170"/>
    </row>
    <row r="3120" spans="2:6" ht="15" x14ac:dyDescent="0.25">
      <c r="B3120" s="169"/>
      <c r="C3120" s="679">
        <v>3243962</v>
      </c>
      <c r="D3120" s="677">
        <v>8</v>
      </c>
      <c r="E3120" s="678" t="s">
        <v>8474</v>
      </c>
      <c r="F3120" s="170"/>
    </row>
    <row r="3121" spans="2:6" ht="15" x14ac:dyDescent="0.25">
      <c r="B3121" s="169"/>
      <c r="C3121" s="679">
        <v>3069062</v>
      </c>
      <c r="D3121" s="677">
        <v>5</v>
      </c>
      <c r="E3121" s="678" t="s">
        <v>3236</v>
      </c>
      <c r="F3121" s="170"/>
    </row>
    <row r="3122" spans="2:6" ht="15" x14ac:dyDescent="0.25">
      <c r="B3122" s="169"/>
      <c r="C3122" s="679">
        <v>2963570</v>
      </c>
      <c r="D3122" s="677">
        <v>5</v>
      </c>
      <c r="E3122" s="678" t="s">
        <v>3237</v>
      </c>
      <c r="F3122" s="170"/>
    </row>
    <row r="3123" spans="2:6" ht="15" x14ac:dyDescent="0.25">
      <c r="B3123" s="169"/>
      <c r="C3123" s="679">
        <v>3276707</v>
      </c>
      <c r="D3123" s="677">
        <v>2</v>
      </c>
      <c r="E3123" s="678" t="s">
        <v>8475</v>
      </c>
      <c r="F3123" s="170"/>
    </row>
    <row r="3124" spans="2:6" ht="15" x14ac:dyDescent="0.25">
      <c r="B3124" s="169"/>
      <c r="C3124" s="679">
        <v>3295240</v>
      </c>
      <c r="D3124" s="677">
        <v>6</v>
      </c>
      <c r="E3124" s="678" t="s">
        <v>8476</v>
      </c>
      <c r="F3124" s="170"/>
    </row>
    <row r="3125" spans="2:6" ht="15" x14ac:dyDescent="0.25">
      <c r="B3125" s="169"/>
      <c r="C3125" s="679">
        <v>3285719</v>
      </c>
      <c r="D3125" s="677">
        <v>5</v>
      </c>
      <c r="E3125" s="678" t="s">
        <v>8477</v>
      </c>
      <c r="F3125" s="170"/>
    </row>
    <row r="3126" spans="2:6" ht="15" x14ac:dyDescent="0.25">
      <c r="B3126" s="169"/>
      <c r="C3126" s="679">
        <v>3155521</v>
      </c>
      <c r="D3126" s="677">
        <v>7</v>
      </c>
      <c r="E3126" s="678" t="s">
        <v>3238</v>
      </c>
      <c r="F3126" s="170"/>
    </row>
    <row r="3127" spans="2:6" ht="15" x14ac:dyDescent="0.25">
      <c r="B3127" s="169"/>
      <c r="C3127" s="679">
        <v>3282985</v>
      </c>
      <c r="D3127" s="677">
        <v>0</v>
      </c>
      <c r="E3127" s="678" t="s">
        <v>8478</v>
      </c>
      <c r="F3127" s="170"/>
    </row>
    <row r="3128" spans="2:6" ht="15" x14ac:dyDescent="0.25">
      <c r="B3128" s="169"/>
      <c r="C3128" s="679">
        <v>3048269</v>
      </c>
      <c r="D3128" s="677">
        <v>1</v>
      </c>
      <c r="E3128" s="678" t="s">
        <v>3239</v>
      </c>
      <c r="F3128" s="170"/>
    </row>
    <row r="3129" spans="2:6" ht="15" x14ac:dyDescent="0.25">
      <c r="B3129" s="169"/>
      <c r="C3129" s="679">
        <v>3048270</v>
      </c>
      <c r="D3129" s="677">
        <v>4</v>
      </c>
      <c r="E3129" s="678" t="s">
        <v>3240</v>
      </c>
      <c r="F3129" s="170"/>
    </row>
    <row r="3130" spans="2:6" ht="15" x14ac:dyDescent="0.25">
      <c r="B3130" s="169"/>
      <c r="C3130" s="679">
        <v>3048271</v>
      </c>
      <c r="D3130" s="677">
        <v>2</v>
      </c>
      <c r="E3130" s="678" t="s">
        <v>3241</v>
      </c>
      <c r="F3130" s="170"/>
    </row>
    <row r="3131" spans="2:6" ht="15" x14ac:dyDescent="0.25">
      <c r="B3131" s="169"/>
      <c r="C3131" s="679">
        <v>3048272</v>
      </c>
      <c r="D3131" s="677">
        <v>1</v>
      </c>
      <c r="E3131" s="678" t="s">
        <v>3242</v>
      </c>
      <c r="F3131" s="170"/>
    </row>
    <row r="3132" spans="2:6" ht="15" x14ac:dyDescent="0.25">
      <c r="B3132" s="169"/>
      <c r="C3132" s="679">
        <v>3048273</v>
      </c>
      <c r="D3132" s="677">
        <v>9</v>
      </c>
      <c r="E3132" s="678" t="s">
        <v>3243</v>
      </c>
      <c r="F3132" s="170"/>
    </row>
    <row r="3133" spans="2:6" ht="15" x14ac:dyDescent="0.25">
      <c r="B3133" s="169"/>
      <c r="C3133" s="679">
        <v>3080666</v>
      </c>
      <c r="D3133" s="677">
        <v>6</v>
      </c>
      <c r="E3133" s="678" t="s">
        <v>3244</v>
      </c>
      <c r="F3133" s="170"/>
    </row>
    <row r="3134" spans="2:6" ht="15" x14ac:dyDescent="0.25">
      <c r="B3134" s="169"/>
      <c r="C3134" s="679">
        <v>3048274</v>
      </c>
      <c r="D3134" s="677">
        <v>7</v>
      </c>
      <c r="E3134" s="678" t="s">
        <v>3245</v>
      </c>
      <c r="F3134" s="170"/>
    </row>
    <row r="3135" spans="2:6" ht="15" x14ac:dyDescent="0.25">
      <c r="B3135" s="169"/>
      <c r="C3135" s="679">
        <v>3075021</v>
      </c>
      <c r="D3135" s="677">
        <v>1</v>
      </c>
      <c r="E3135" s="678" t="s">
        <v>3246</v>
      </c>
      <c r="F3135" s="170"/>
    </row>
    <row r="3136" spans="2:6" ht="15" x14ac:dyDescent="0.25">
      <c r="B3136" s="169"/>
      <c r="C3136" s="679">
        <v>3048275</v>
      </c>
      <c r="D3136" s="677">
        <v>5</v>
      </c>
      <c r="E3136" s="678" t="s">
        <v>3247</v>
      </c>
      <c r="F3136" s="170"/>
    </row>
    <row r="3137" spans="2:6" ht="15" x14ac:dyDescent="0.25">
      <c r="B3137" s="169"/>
      <c r="C3137" s="679">
        <v>3078783</v>
      </c>
      <c r="D3137" s="677">
        <v>1</v>
      </c>
      <c r="E3137" s="678" t="s">
        <v>3248</v>
      </c>
      <c r="F3137" s="170"/>
    </row>
    <row r="3138" spans="2:6" ht="15" x14ac:dyDescent="0.25">
      <c r="B3138" s="169"/>
      <c r="C3138" s="679">
        <v>3048276</v>
      </c>
      <c r="D3138" s="677">
        <v>3</v>
      </c>
      <c r="E3138" s="678" t="s">
        <v>3249</v>
      </c>
      <c r="F3138" s="170"/>
    </row>
    <row r="3139" spans="2:6" ht="15" x14ac:dyDescent="0.25">
      <c r="B3139" s="169"/>
      <c r="C3139" s="679">
        <v>3048277</v>
      </c>
      <c r="D3139" s="677">
        <v>1</v>
      </c>
      <c r="E3139" s="678" t="s">
        <v>3250</v>
      </c>
      <c r="F3139" s="170"/>
    </row>
    <row r="3140" spans="2:6" ht="15" x14ac:dyDescent="0.25">
      <c r="B3140" s="169"/>
      <c r="C3140" s="679">
        <v>3229637</v>
      </c>
      <c r="D3140" s="677">
        <v>1</v>
      </c>
      <c r="E3140" s="678" t="s">
        <v>8479</v>
      </c>
      <c r="F3140" s="170"/>
    </row>
    <row r="3141" spans="2:6" ht="15" x14ac:dyDescent="0.25">
      <c r="B3141" s="169"/>
      <c r="C3141" s="679">
        <v>3048278</v>
      </c>
      <c r="D3141" s="677">
        <v>0</v>
      </c>
      <c r="E3141" s="678" t="s">
        <v>3251</v>
      </c>
      <c r="F3141" s="170"/>
    </row>
    <row r="3142" spans="2:6" ht="15" x14ac:dyDescent="0.25">
      <c r="B3142" s="169"/>
      <c r="C3142" s="679">
        <v>3087498</v>
      </c>
      <c r="D3142" s="677">
        <v>0</v>
      </c>
      <c r="E3142" s="678" t="s">
        <v>3252</v>
      </c>
      <c r="F3142" s="170"/>
    </row>
    <row r="3143" spans="2:6" ht="15" x14ac:dyDescent="0.25">
      <c r="B3143" s="169"/>
      <c r="C3143" s="679">
        <v>2961358</v>
      </c>
      <c r="D3143" s="677">
        <v>2</v>
      </c>
      <c r="E3143" s="678" t="s">
        <v>8480</v>
      </c>
      <c r="F3143" s="170"/>
    </row>
    <row r="3144" spans="2:6" ht="15" x14ac:dyDescent="0.25">
      <c r="B3144" s="169"/>
      <c r="C3144" s="679">
        <v>3048279</v>
      </c>
      <c r="D3144" s="677">
        <v>8</v>
      </c>
      <c r="E3144" s="678" t="s">
        <v>3253</v>
      </c>
      <c r="F3144" s="170"/>
    </row>
    <row r="3145" spans="2:6" ht="15" x14ac:dyDescent="0.25">
      <c r="B3145" s="169"/>
      <c r="C3145" s="679">
        <v>3296001</v>
      </c>
      <c r="D3145" s="677">
        <v>8</v>
      </c>
      <c r="E3145" s="678" t="s">
        <v>8481</v>
      </c>
      <c r="F3145" s="170"/>
    </row>
    <row r="3146" spans="2:6" ht="15" x14ac:dyDescent="0.25">
      <c r="B3146" s="169"/>
      <c r="C3146" s="679">
        <v>3353863</v>
      </c>
      <c r="D3146" s="677">
        <v>8</v>
      </c>
      <c r="E3146" s="678" t="s">
        <v>8482</v>
      </c>
      <c r="F3146" s="170"/>
    </row>
    <row r="3147" spans="2:6" ht="15" x14ac:dyDescent="0.25">
      <c r="B3147" s="169"/>
      <c r="C3147" s="679">
        <v>3048280</v>
      </c>
      <c r="D3147" s="677">
        <v>1</v>
      </c>
      <c r="E3147" s="678" t="s">
        <v>3254</v>
      </c>
      <c r="F3147" s="170"/>
    </row>
    <row r="3148" spans="2:6" ht="15" x14ac:dyDescent="0.25">
      <c r="B3148" s="169"/>
      <c r="C3148" s="679">
        <v>3048281</v>
      </c>
      <c r="D3148" s="677">
        <v>0</v>
      </c>
      <c r="E3148" s="678" t="s">
        <v>3255</v>
      </c>
      <c r="F3148" s="170"/>
    </row>
    <row r="3149" spans="2:6" ht="15" x14ac:dyDescent="0.25">
      <c r="B3149" s="169"/>
      <c r="C3149" s="679">
        <v>3295274</v>
      </c>
      <c r="D3149" s="677">
        <v>1</v>
      </c>
      <c r="E3149" s="678" t="s">
        <v>8483</v>
      </c>
      <c r="F3149" s="170"/>
    </row>
    <row r="3150" spans="2:6" ht="15" x14ac:dyDescent="0.25">
      <c r="B3150" s="169"/>
      <c r="C3150" s="679">
        <v>3048282</v>
      </c>
      <c r="D3150" s="677">
        <v>8</v>
      </c>
      <c r="E3150" s="678" t="s">
        <v>3256</v>
      </c>
      <c r="F3150" s="170"/>
    </row>
    <row r="3151" spans="2:6" ht="15" x14ac:dyDescent="0.25">
      <c r="B3151" s="169"/>
      <c r="C3151" s="679">
        <v>3048283</v>
      </c>
      <c r="D3151" s="677">
        <v>6</v>
      </c>
      <c r="E3151" s="678" t="s">
        <v>3257</v>
      </c>
      <c r="F3151" s="170"/>
    </row>
    <row r="3152" spans="2:6" ht="15" x14ac:dyDescent="0.25">
      <c r="B3152" s="169"/>
      <c r="C3152" s="679">
        <v>2961636</v>
      </c>
      <c r="D3152" s="677">
        <v>1</v>
      </c>
      <c r="E3152" s="678" t="s">
        <v>3258</v>
      </c>
      <c r="F3152" s="170"/>
    </row>
    <row r="3153" spans="2:6" ht="15" x14ac:dyDescent="0.25">
      <c r="B3153" s="169"/>
      <c r="C3153" s="679">
        <v>2962363</v>
      </c>
      <c r="D3153" s="677">
        <v>4</v>
      </c>
      <c r="E3153" s="678" t="s">
        <v>3259</v>
      </c>
      <c r="F3153" s="170"/>
    </row>
    <row r="3154" spans="2:6" ht="15" x14ac:dyDescent="0.25">
      <c r="B3154" s="169"/>
      <c r="C3154" s="679">
        <v>2961800</v>
      </c>
      <c r="D3154" s="677">
        <v>2</v>
      </c>
      <c r="E3154" s="678" t="s">
        <v>3260</v>
      </c>
      <c r="F3154" s="170"/>
    </row>
    <row r="3155" spans="2:6" ht="15" x14ac:dyDescent="0.25">
      <c r="B3155" s="169"/>
      <c r="C3155" s="679">
        <v>3069767</v>
      </c>
      <c r="D3155" s="677">
        <v>1</v>
      </c>
      <c r="E3155" s="678" t="s">
        <v>3261</v>
      </c>
      <c r="F3155" s="170"/>
    </row>
    <row r="3156" spans="2:6" ht="15" x14ac:dyDescent="0.25">
      <c r="B3156" s="169"/>
      <c r="C3156" s="679">
        <v>3086251</v>
      </c>
      <c r="D3156" s="677">
        <v>5</v>
      </c>
      <c r="E3156" s="678" t="s">
        <v>3262</v>
      </c>
      <c r="F3156" s="170"/>
    </row>
    <row r="3157" spans="2:6" ht="15" x14ac:dyDescent="0.25">
      <c r="B3157" s="169"/>
      <c r="C3157" s="679">
        <v>3078263</v>
      </c>
      <c r="D3157" s="677">
        <v>5</v>
      </c>
      <c r="E3157" s="678" t="s">
        <v>3263</v>
      </c>
      <c r="F3157" s="170"/>
    </row>
    <row r="3158" spans="2:6" ht="15" x14ac:dyDescent="0.25">
      <c r="B3158" s="169"/>
      <c r="C3158" s="679">
        <v>3087961</v>
      </c>
      <c r="D3158" s="677">
        <v>2</v>
      </c>
      <c r="E3158" s="678" t="s">
        <v>3264</v>
      </c>
      <c r="F3158" s="170"/>
    </row>
    <row r="3159" spans="2:6" ht="15" x14ac:dyDescent="0.25">
      <c r="B3159" s="169"/>
      <c r="C3159" s="679">
        <v>3048284</v>
      </c>
      <c r="D3159" s="677">
        <v>4</v>
      </c>
      <c r="E3159" s="678" t="s">
        <v>3265</v>
      </c>
      <c r="F3159" s="170"/>
    </row>
    <row r="3160" spans="2:6" ht="15" x14ac:dyDescent="0.25">
      <c r="B3160" s="169"/>
      <c r="C3160" s="679">
        <v>3048285</v>
      </c>
      <c r="D3160" s="677">
        <v>2</v>
      </c>
      <c r="E3160" s="678" t="s">
        <v>3266</v>
      </c>
      <c r="F3160" s="170"/>
    </row>
    <row r="3161" spans="2:6" ht="15" x14ac:dyDescent="0.25">
      <c r="B3161" s="169"/>
      <c r="C3161" s="679">
        <v>3291927</v>
      </c>
      <c r="D3161" s="677">
        <v>1</v>
      </c>
      <c r="E3161" s="678" t="s">
        <v>8484</v>
      </c>
      <c r="F3161" s="170"/>
    </row>
    <row r="3162" spans="2:6" ht="15" x14ac:dyDescent="0.25">
      <c r="B3162" s="169"/>
      <c r="C3162" s="679">
        <v>3298485</v>
      </c>
      <c r="D3162" s="677">
        <v>5</v>
      </c>
      <c r="E3162" s="678" t="s">
        <v>8485</v>
      </c>
      <c r="F3162" s="170"/>
    </row>
    <row r="3163" spans="2:6" ht="15" x14ac:dyDescent="0.25">
      <c r="B3163" s="169"/>
      <c r="C3163" s="679">
        <v>3264516</v>
      </c>
      <c r="D3163" s="677">
        <v>3</v>
      </c>
      <c r="E3163" s="678" t="s">
        <v>8486</v>
      </c>
      <c r="F3163" s="170"/>
    </row>
    <row r="3164" spans="2:6" ht="15" x14ac:dyDescent="0.25">
      <c r="B3164" s="169"/>
      <c r="C3164" s="679">
        <v>3048286</v>
      </c>
      <c r="D3164" s="677">
        <v>1</v>
      </c>
      <c r="E3164" s="678" t="s">
        <v>3267</v>
      </c>
      <c r="F3164" s="170"/>
    </row>
    <row r="3165" spans="2:6" ht="15" x14ac:dyDescent="0.25">
      <c r="B3165" s="169"/>
      <c r="C3165" s="679">
        <v>3194801</v>
      </c>
      <c r="D3165" s="677">
        <v>4</v>
      </c>
      <c r="E3165" s="678" t="s">
        <v>8487</v>
      </c>
      <c r="F3165" s="170"/>
    </row>
    <row r="3166" spans="2:6" ht="15" x14ac:dyDescent="0.25">
      <c r="B3166" s="169"/>
      <c r="C3166" s="679">
        <v>3048287</v>
      </c>
      <c r="D3166" s="677">
        <v>9</v>
      </c>
      <c r="E3166" s="678" t="s">
        <v>3268</v>
      </c>
      <c r="F3166" s="170"/>
    </row>
    <row r="3167" spans="2:6" ht="15" x14ac:dyDescent="0.25">
      <c r="B3167" s="169"/>
      <c r="C3167" s="679">
        <v>3270564</v>
      </c>
      <c r="D3167" s="677">
        <v>6</v>
      </c>
      <c r="E3167" s="678" t="s">
        <v>8488</v>
      </c>
      <c r="F3167" s="170"/>
    </row>
    <row r="3168" spans="2:6" ht="15" x14ac:dyDescent="0.25">
      <c r="B3168" s="169"/>
      <c r="C3168" s="679">
        <v>2961784</v>
      </c>
      <c r="D3168" s="677">
        <v>7</v>
      </c>
      <c r="E3168" s="678" t="s">
        <v>3269</v>
      </c>
      <c r="F3168" s="170"/>
    </row>
    <row r="3169" spans="2:6" ht="15" x14ac:dyDescent="0.25">
      <c r="B3169" s="169"/>
      <c r="C3169" s="679">
        <v>2962978</v>
      </c>
      <c r="D3169" s="677">
        <v>1</v>
      </c>
      <c r="E3169" s="678" t="s">
        <v>3270</v>
      </c>
      <c r="F3169" s="170"/>
    </row>
    <row r="3170" spans="2:6" ht="15" x14ac:dyDescent="0.25">
      <c r="B3170" s="169"/>
      <c r="C3170" s="679">
        <v>2961637</v>
      </c>
      <c r="D3170" s="677">
        <v>9</v>
      </c>
      <c r="E3170" s="678" t="s">
        <v>3271</v>
      </c>
      <c r="F3170" s="170"/>
    </row>
    <row r="3171" spans="2:6" ht="15" x14ac:dyDescent="0.25">
      <c r="B3171" s="169"/>
      <c r="C3171" s="679">
        <v>3048288</v>
      </c>
      <c r="D3171" s="677">
        <v>7</v>
      </c>
      <c r="E3171" s="678" t="s">
        <v>3272</v>
      </c>
      <c r="F3171" s="170"/>
    </row>
    <row r="3172" spans="2:6" ht="15" x14ac:dyDescent="0.25">
      <c r="B3172" s="169"/>
      <c r="C3172" s="679">
        <v>3106797</v>
      </c>
      <c r="D3172" s="677">
        <v>2</v>
      </c>
      <c r="E3172" s="678" t="s">
        <v>3273</v>
      </c>
      <c r="F3172" s="170"/>
    </row>
    <row r="3173" spans="2:6" ht="15" x14ac:dyDescent="0.25">
      <c r="B3173" s="169"/>
      <c r="C3173" s="679">
        <v>2961638</v>
      </c>
      <c r="D3173" s="677">
        <v>7</v>
      </c>
      <c r="E3173" s="678" t="s">
        <v>3274</v>
      </c>
      <c r="F3173" s="170"/>
    </row>
    <row r="3174" spans="2:6" ht="15" x14ac:dyDescent="0.25">
      <c r="B3174" s="169"/>
      <c r="C3174" s="679">
        <v>3048289</v>
      </c>
      <c r="D3174" s="677">
        <v>5</v>
      </c>
      <c r="E3174" s="678" t="s">
        <v>3275</v>
      </c>
      <c r="F3174" s="170"/>
    </row>
    <row r="3175" spans="2:6" ht="15" x14ac:dyDescent="0.25">
      <c r="B3175" s="169"/>
      <c r="C3175" s="679">
        <v>3048290</v>
      </c>
      <c r="D3175" s="677">
        <v>9</v>
      </c>
      <c r="E3175" s="678" t="s">
        <v>3276</v>
      </c>
      <c r="F3175" s="170"/>
    </row>
    <row r="3176" spans="2:6" ht="15" x14ac:dyDescent="0.25">
      <c r="B3176" s="169"/>
      <c r="C3176" s="679">
        <v>3048291</v>
      </c>
      <c r="D3176" s="677">
        <v>7</v>
      </c>
      <c r="E3176" s="678" t="s">
        <v>3277</v>
      </c>
      <c r="F3176" s="170"/>
    </row>
    <row r="3177" spans="2:6" ht="15" x14ac:dyDescent="0.25">
      <c r="B3177" s="169"/>
      <c r="C3177" s="679">
        <v>3048292</v>
      </c>
      <c r="D3177" s="677">
        <v>5</v>
      </c>
      <c r="E3177" s="678" t="s">
        <v>3278</v>
      </c>
      <c r="F3177" s="170"/>
    </row>
    <row r="3178" spans="2:6" ht="15" x14ac:dyDescent="0.25">
      <c r="B3178" s="169"/>
      <c r="C3178" s="679">
        <v>3048293</v>
      </c>
      <c r="D3178" s="677">
        <v>3</v>
      </c>
      <c r="E3178" s="678" t="s">
        <v>3279</v>
      </c>
      <c r="F3178" s="170"/>
    </row>
    <row r="3179" spans="2:6" ht="15" x14ac:dyDescent="0.25">
      <c r="B3179" s="169"/>
      <c r="C3179" s="679">
        <v>3048294</v>
      </c>
      <c r="D3179" s="677">
        <v>1</v>
      </c>
      <c r="E3179" s="678" t="s">
        <v>3280</v>
      </c>
      <c r="F3179" s="170"/>
    </row>
    <row r="3180" spans="2:6" ht="15" x14ac:dyDescent="0.25">
      <c r="B3180" s="169"/>
      <c r="C3180" s="679">
        <v>3048295</v>
      </c>
      <c r="D3180" s="677">
        <v>0</v>
      </c>
      <c r="E3180" s="678" t="s">
        <v>3281</v>
      </c>
      <c r="F3180" s="170"/>
    </row>
    <row r="3181" spans="2:6" ht="15" x14ac:dyDescent="0.25">
      <c r="B3181" s="169"/>
      <c r="C3181" s="679">
        <v>3048296</v>
      </c>
      <c r="D3181" s="677">
        <v>8</v>
      </c>
      <c r="E3181" s="678" t="s">
        <v>3282</v>
      </c>
      <c r="F3181" s="170"/>
    </row>
    <row r="3182" spans="2:6" ht="15" x14ac:dyDescent="0.25">
      <c r="B3182" s="169"/>
      <c r="C3182" s="679">
        <v>3048297</v>
      </c>
      <c r="D3182" s="677">
        <v>6</v>
      </c>
      <c r="E3182" s="678" t="s">
        <v>3283</v>
      </c>
      <c r="F3182" s="170"/>
    </row>
    <row r="3183" spans="2:6" ht="15" x14ac:dyDescent="0.25">
      <c r="B3183" s="169"/>
      <c r="C3183" s="679">
        <v>2964423</v>
      </c>
      <c r="D3183" s="677">
        <v>2</v>
      </c>
      <c r="E3183" s="678" t="s">
        <v>3284</v>
      </c>
      <c r="F3183" s="170"/>
    </row>
    <row r="3184" spans="2:6" ht="15" x14ac:dyDescent="0.25">
      <c r="B3184" s="169"/>
      <c r="C3184" s="679">
        <v>3048298</v>
      </c>
      <c r="D3184" s="677">
        <v>4</v>
      </c>
      <c r="E3184" s="678" t="s">
        <v>3285</v>
      </c>
      <c r="F3184" s="170"/>
    </row>
    <row r="3185" spans="2:6" ht="15" x14ac:dyDescent="0.25">
      <c r="B3185" s="169"/>
      <c r="C3185" s="679">
        <v>3075488</v>
      </c>
      <c r="D3185" s="677">
        <v>7</v>
      </c>
      <c r="E3185" s="678" t="s">
        <v>3286</v>
      </c>
      <c r="F3185" s="170"/>
    </row>
    <row r="3186" spans="2:6" ht="15" x14ac:dyDescent="0.25">
      <c r="B3186" s="169"/>
      <c r="C3186" s="679">
        <v>3048299</v>
      </c>
      <c r="D3186" s="677">
        <v>2</v>
      </c>
      <c r="E3186" s="678" t="s">
        <v>3287</v>
      </c>
      <c r="F3186" s="170"/>
    </row>
    <row r="3187" spans="2:6" ht="15" x14ac:dyDescent="0.25">
      <c r="B3187" s="169"/>
      <c r="C3187" s="679">
        <v>3048300</v>
      </c>
      <c r="D3187" s="677">
        <v>0</v>
      </c>
      <c r="E3187" s="678" t="s">
        <v>3288</v>
      </c>
      <c r="F3187" s="170"/>
    </row>
    <row r="3188" spans="2:6" ht="15" x14ac:dyDescent="0.25">
      <c r="B3188" s="169"/>
      <c r="C3188" s="679">
        <v>3048301</v>
      </c>
      <c r="D3188" s="677">
        <v>8</v>
      </c>
      <c r="E3188" s="678" t="s">
        <v>3289</v>
      </c>
      <c r="F3188" s="170"/>
    </row>
    <row r="3189" spans="2:6" ht="15" x14ac:dyDescent="0.25">
      <c r="B3189" s="169"/>
      <c r="C3189" s="679">
        <v>2961639</v>
      </c>
      <c r="D3189" s="677">
        <v>5</v>
      </c>
      <c r="E3189" s="678" t="s">
        <v>3290</v>
      </c>
      <c r="F3189" s="170"/>
    </row>
    <row r="3190" spans="2:6" ht="15" x14ac:dyDescent="0.25">
      <c r="B3190" s="169"/>
      <c r="C3190" s="679">
        <v>2962281</v>
      </c>
      <c r="D3190" s="677">
        <v>6</v>
      </c>
      <c r="E3190" s="678" t="s">
        <v>3291</v>
      </c>
      <c r="F3190" s="170"/>
    </row>
    <row r="3191" spans="2:6" ht="15" x14ac:dyDescent="0.25">
      <c r="B3191" s="169"/>
      <c r="C3191" s="679">
        <v>3048302</v>
      </c>
      <c r="D3191" s="677">
        <v>6</v>
      </c>
      <c r="E3191" s="678" t="s">
        <v>3292</v>
      </c>
      <c r="F3191" s="170"/>
    </row>
    <row r="3192" spans="2:6" ht="15" x14ac:dyDescent="0.25">
      <c r="B3192" s="169"/>
      <c r="C3192" s="679">
        <v>2961640</v>
      </c>
      <c r="D3192" s="677">
        <v>9</v>
      </c>
      <c r="E3192" s="678" t="s">
        <v>3293</v>
      </c>
      <c r="F3192" s="170"/>
    </row>
    <row r="3193" spans="2:6" ht="15" x14ac:dyDescent="0.25">
      <c r="B3193" s="169"/>
      <c r="C3193" s="679">
        <v>2961364</v>
      </c>
      <c r="D3193" s="677">
        <v>7</v>
      </c>
      <c r="E3193" s="678" t="s">
        <v>3294</v>
      </c>
      <c r="F3193" s="170"/>
    </row>
    <row r="3194" spans="2:6" ht="15" x14ac:dyDescent="0.25">
      <c r="B3194" s="169"/>
      <c r="C3194" s="679">
        <v>3237321</v>
      </c>
      <c r="D3194" s="677">
        <v>0</v>
      </c>
      <c r="E3194" s="678" t="s">
        <v>8489</v>
      </c>
      <c r="F3194" s="170"/>
    </row>
    <row r="3195" spans="2:6" ht="15" x14ac:dyDescent="0.25">
      <c r="B3195" s="169"/>
      <c r="C3195" s="679">
        <v>2961642</v>
      </c>
      <c r="D3195" s="677">
        <v>5</v>
      </c>
      <c r="E3195" s="678" t="s">
        <v>3295</v>
      </c>
      <c r="F3195" s="170"/>
    </row>
    <row r="3196" spans="2:6" ht="15" x14ac:dyDescent="0.25">
      <c r="B3196" s="169"/>
      <c r="C3196" s="679">
        <v>3048303</v>
      </c>
      <c r="D3196" s="677">
        <v>4</v>
      </c>
      <c r="E3196" s="678" t="s">
        <v>3296</v>
      </c>
      <c r="F3196" s="170"/>
    </row>
    <row r="3197" spans="2:6" ht="15" x14ac:dyDescent="0.25">
      <c r="B3197" s="169"/>
      <c r="C3197" s="679">
        <v>2961645</v>
      </c>
      <c r="D3197" s="677">
        <v>0</v>
      </c>
      <c r="E3197" s="678" t="s">
        <v>3297</v>
      </c>
      <c r="F3197" s="170"/>
    </row>
    <row r="3198" spans="2:6" ht="15" x14ac:dyDescent="0.25">
      <c r="B3198" s="169"/>
      <c r="C3198" s="679">
        <v>2961369</v>
      </c>
      <c r="D3198" s="677">
        <v>8</v>
      </c>
      <c r="E3198" s="678" t="s">
        <v>3298</v>
      </c>
      <c r="F3198" s="170"/>
    </row>
    <row r="3199" spans="2:6" ht="15" x14ac:dyDescent="0.25">
      <c r="B3199" s="169"/>
      <c r="C3199" s="679">
        <v>2961644</v>
      </c>
      <c r="D3199" s="677">
        <v>1</v>
      </c>
      <c r="E3199" s="678" t="s">
        <v>3299</v>
      </c>
      <c r="F3199" s="170"/>
    </row>
    <row r="3200" spans="2:6" ht="15" x14ac:dyDescent="0.25">
      <c r="B3200" s="169"/>
      <c r="C3200" s="679">
        <v>2962405</v>
      </c>
      <c r="D3200" s="677">
        <v>3</v>
      </c>
      <c r="E3200" s="678" t="s">
        <v>3300</v>
      </c>
      <c r="F3200" s="170"/>
    </row>
    <row r="3201" spans="2:6" ht="15" x14ac:dyDescent="0.25">
      <c r="B3201" s="169"/>
      <c r="C3201" s="679">
        <v>2961647</v>
      </c>
      <c r="D3201" s="677">
        <v>6</v>
      </c>
      <c r="E3201" s="678" t="s">
        <v>8490</v>
      </c>
      <c r="F3201" s="170"/>
    </row>
    <row r="3202" spans="2:6" ht="15" x14ac:dyDescent="0.25">
      <c r="B3202" s="169"/>
      <c r="C3202" s="679">
        <v>2961648</v>
      </c>
      <c r="D3202" s="677">
        <v>4</v>
      </c>
      <c r="E3202" s="678" t="s">
        <v>3301</v>
      </c>
      <c r="F3202" s="170"/>
    </row>
    <row r="3203" spans="2:6" ht="15" x14ac:dyDescent="0.25">
      <c r="B3203" s="169"/>
      <c r="C3203" s="679">
        <v>2961372</v>
      </c>
      <c r="D3203" s="677">
        <v>8</v>
      </c>
      <c r="E3203" s="678" t="s">
        <v>3302</v>
      </c>
      <c r="F3203" s="170"/>
    </row>
    <row r="3204" spans="2:6" ht="15" x14ac:dyDescent="0.25">
      <c r="B3204" s="169"/>
      <c r="C3204" s="679">
        <v>2961650</v>
      </c>
      <c r="D3204" s="677">
        <v>6</v>
      </c>
      <c r="E3204" s="678" t="s">
        <v>3303</v>
      </c>
      <c r="F3204" s="170"/>
    </row>
    <row r="3205" spans="2:6" ht="15" x14ac:dyDescent="0.25">
      <c r="B3205" s="169"/>
      <c r="C3205" s="679">
        <v>2961374</v>
      </c>
      <c r="D3205" s="677">
        <v>4</v>
      </c>
      <c r="E3205" s="678" t="s">
        <v>3304</v>
      </c>
      <c r="F3205" s="170"/>
    </row>
    <row r="3206" spans="2:6" ht="15" x14ac:dyDescent="0.25">
      <c r="B3206" s="169"/>
      <c r="C3206" s="679">
        <v>2961652</v>
      </c>
      <c r="D3206" s="677">
        <v>2</v>
      </c>
      <c r="E3206" s="678" t="s">
        <v>3305</v>
      </c>
      <c r="F3206" s="170"/>
    </row>
    <row r="3207" spans="2:6" ht="15" x14ac:dyDescent="0.25">
      <c r="B3207" s="169"/>
      <c r="C3207" s="679">
        <v>2961376</v>
      </c>
      <c r="D3207" s="677">
        <v>1</v>
      </c>
      <c r="E3207" s="678" t="s">
        <v>3306</v>
      </c>
      <c r="F3207" s="170"/>
    </row>
    <row r="3208" spans="2:6" ht="15" x14ac:dyDescent="0.25">
      <c r="B3208" s="169"/>
      <c r="C3208" s="679">
        <v>2961654</v>
      </c>
      <c r="D3208" s="677">
        <v>9</v>
      </c>
      <c r="E3208" s="678" t="s">
        <v>3307</v>
      </c>
      <c r="F3208" s="170"/>
    </row>
    <row r="3209" spans="2:6" ht="15" x14ac:dyDescent="0.25">
      <c r="B3209" s="169"/>
      <c r="C3209" s="679">
        <v>2961378</v>
      </c>
      <c r="D3209" s="677">
        <v>7</v>
      </c>
      <c r="E3209" s="678" t="s">
        <v>3308</v>
      </c>
      <c r="F3209" s="170"/>
    </row>
    <row r="3210" spans="2:6" ht="15" x14ac:dyDescent="0.25">
      <c r="B3210" s="169"/>
      <c r="C3210" s="679">
        <v>2961656</v>
      </c>
      <c r="D3210" s="677">
        <v>5</v>
      </c>
      <c r="E3210" s="678" t="s">
        <v>3309</v>
      </c>
      <c r="F3210" s="170"/>
    </row>
    <row r="3211" spans="2:6" ht="15" x14ac:dyDescent="0.25">
      <c r="B3211" s="169"/>
      <c r="C3211" s="679">
        <v>3080659</v>
      </c>
      <c r="D3211" s="677">
        <v>3</v>
      </c>
      <c r="E3211" s="678" t="s">
        <v>3310</v>
      </c>
      <c r="F3211" s="170"/>
    </row>
    <row r="3212" spans="2:6" ht="15" x14ac:dyDescent="0.25">
      <c r="B3212" s="169"/>
      <c r="C3212" s="679">
        <v>2961380</v>
      </c>
      <c r="D3212" s="677">
        <v>9</v>
      </c>
      <c r="E3212" s="678" t="s">
        <v>3311</v>
      </c>
      <c r="F3212" s="170"/>
    </row>
    <row r="3213" spans="2:6" ht="15" x14ac:dyDescent="0.25">
      <c r="B3213" s="169"/>
      <c r="C3213" s="679">
        <v>2961381</v>
      </c>
      <c r="D3213" s="677">
        <v>7</v>
      </c>
      <c r="E3213" s="678" t="s">
        <v>3312</v>
      </c>
      <c r="F3213" s="170"/>
    </row>
    <row r="3214" spans="2:6" ht="15" x14ac:dyDescent="0.25">
      <c r="B3214" s="169"/>
      <c r="C3214" s="679">
        <v>2961382</v>
      </c>
      <c r="D3214" s="677">
        <v>5</v>
      </c>
      <c r="E3214" s="678" t="s">
        <v>3313</v>
      </c>
      <c r="F3214" s="170"/>
    </row>
    <row r="3215" spans="2:6" ht="15" x14ac:dyDescent="0.25">
      <c r="B3215" s="169"/>
      <c r="C3215" s="679">
        <v>2961660</v>
      </c>
      <c r="D3215" s="677">
        <v>3</v>
      </c>
      <c r="E3215" s="678" t="s">
        <v>3314</v>
      </c>
      <c r="F3215" s="170"/>
    </row>
    <row r="3216" spans="2:6" ht="15" x14ac:dyDescent="0.25">
      <c r="B3216" s="169"/>
      <c r="C3216" s="679">
        <v>2961384</v>
      </c>
      <c r="D3216" s="677">
        <v>1</v>
      </c>
      <c r="E3216" s="678" t="s">
        <v>3315</v>
      </c>
      <c r="F3216" s="170"/>
    </row>
    <row r="3217" spans="2:6" ht="15" x14ac:dyDescent="0.25">
      <c r="B3217" s="169"/>
      <c r="C3217" s="679">
        <v>2961662</v>
      </c>
      <c r="D3217" s="677">
        <v>0</v>
      </c>
      <c r="E3217" s="678" t="s">
        <v>3316</v>
      </c>
      <c r="F3217" s="170"/>
    </row>
    <row r="3218" spans="2:6" ht="15" x14ac:dyDescent="0.25">
      <c r="B3218" s="169"/>
      <c r="C3218" s="679">
        <v>2961386</v>
      </c>
      <c r="D3218" s="677">
        <v>8</v>
      </c>
      <c r="E3218" s="678" t="s">
        <v>3317</v>
      </c>
      <c r="F3218" s="170"/>
    </row>
    <row r="3219" spans="2:6" ht="15" x14ac:dyDescent="0.25">
      <c r="B3219" s="169"/>
      <c r="C3219" s="679">
        <v>2961664</v>
      </c>
      <c r="D3219" s="677">
        <v>6</v>
      </c>
      <c r="E3219" s="678" t="s">
        <v>3318</v>
      </c>
      <c r="F3219" s="170"/>
    </row>
    <row r="3220" spans="2:6" ht="15" x14ac:dyDescent="0.25">
      <c r="B3220" s="169"/>
      <c r="C3220" s="679">
        <v>2961388</v>
      </c>
      <c r="D3220" s="677">
        <v>4</v>
      </c>
      <c r="E3220" s="678" t="s">
        <v>3319</v>
      </c>
      <c r="F3220" s="170"/>
    </row>
    <row r="3221" spans="2:6" ht="15" x14ac:dyDescent="0.25">
      <c r="B3221" s="169"/>
      <c r="C3221" s="679">
        <v>2961666</v>
      </c>
      <c r="D3221" s="677">
        <v>2</v>
      </c>
      <c r="E3221" s="678" t="s">
        <v>3320</v>
      </c>
      <c r="F3221" s="170"/>
    </row>
    <row r="3222" spans="2:6" ht="15" x14ac:dyDescent="0.25">
      <c r="B3222" s="169"/>
      <c r="C3222" s="679">
        <v>2961390</v>
      </c>
      <c r="D3222" s="677">
        <v>6</v>
      </c>
      <c r="E3222" s="678" t="s">
        <v>3321</v>
      </c>
      <c r="F3222" s="170"/>
    </row>
    <row r="3223" spans="2:6" ht="15" x14ac:dyDescent="0.25">
      <c r="B3223" s="169"/>
      <c r="C3223" s="679">
        <v>2961366</v>
      </c>
      <c r="D3223" s="677">
        <v>3</v>
      </c>
      <c r="E3223" s="678" t="s">
        <v>3322</v>
      </c>
      <c r="F3223" s="170"/>
    </row>
    <row r="3224" spans="2:6" ht="15" x14ac:dyDescent="0.25">
      <c r="B3224" s="169"/>
      <c r="C3224" s="679">
        <v>2961668</v>
      </c>
      <c r="D3224" s="677">
        <v>9</v>
      </c>
      <c r="E3224" s="678" t="s">
        <v>3323</v>
      </c>
      <c r="F3224" s="170"/>
    </row>
    <row r="3225" spans="2:6" ht="15" x14ac:dyDescent="0.25">
      <c r="B3225" s="169"/>
      <c r="C3225" s="679">
        <v>2961669</v>
      </c>
      <c r="D3225" s="677">
        <v>7</v>
      </c>
      <c r="E3225" s="678" t="s">
        <v>3324</v>
      </c>
      <c r="F3225" s="170"/>
    </row>
    <row r="3226" spans="2:6" ht="15" x14ac:dyDescent="0.25">
      <c r="B3226" s="169"/>
      <c r="C3226" s="679">
        <v>2961670</v>
      </c>
      <c r="D3226" s="677">
        <v>1</v>
      </c>
      <c r="E3226" s="678" t="s">
        <v>3325</v>
      </c>
      <c r="F3226" s="170"/>
    </row>
    <row r="3227" spans="2:6" ht="15" x14ac:dyDescent="0.25">
      <c r="B3227" s="169"/>
      <c r="C3227" s="679">
        <v>2961394</v>
      </c>
      <c r="D3227" s="677">
        <v>9</v>
      </c>
      <c r="E3227" s="678" t="s">
        <v>3326</v>
      </c>
      <c r="F3227" s="170"/>
    </row>
    <row r="3228" spans="2:6" ht="15" x14ac:dyDescent="0.25">
      <c r="B3228" s="169"/>
      <c r="C3228" s="679">
        <v>2961672</v>
      </c>
      <c r="D3228" s="677">
        <v>7</v>
      </c>
      <c r="E3228" s="678" t="s">
        <v>3327</v>
      </c>
      <c r="F3228" s="170"/>
    </row>
    <row r="3229" spans="2:6" ht="15" x14ac:dyDescent="0.25">
      <c r="B3229" s="169"/>
      <c r="C3229" s="679">
        <v>2961396</v>
      </c>
      <c r="D3229" s="677">
        <v>5</v>
      </c>
      <c r="E3229" s="678" t="s">
        <v>3328</v>
      </c>
      <c r="F3229" s="170"/>
    </row>
    <row r="3230" spans="2:6" ht="15" x14ac:dyDescent="0.25">
      <c r="B3230" s="169"/>
      <c r="C3230" s="679">
        <v>2961674</v>
      </c>
      <c r="D3230" s="677">
        <v>3</v>
      </c>
      <c r="E3230" s="678" t="s">
        <v>3329</v>
      </c>
      <c r="F3230" s="170"/>
    </row>
    <row r="3231" spans="2:6" ht="15" x14ac:dyDescent="0.25">
      <c r="B3231" s="169"/>
      <c r="C3231" s="679">
        <v>2961398</v>
      </c>
      <c r="D3231" s="677">
        <v>1</v>
      </c>
      <c r="E3231" s="678" t="s">
        <v>3330</v>
      </c>
      <c r="F3231" s="170"/>
    </row>
    <row r="3232" spans="2:6" ht="15" x14ac:dyDescent="0.25">
      <c r="B3232" s="169"/>
      <c r="C3232" s="679">
        <v>2961676</v>
      </c>
      <c r="D3232" s="677">
        <v>0</v>
      </c>
      <c r="E3232" s="678" t="s">
        <v>3331</v>
      </c>
      <c r="F3232" s="170"/>
    </row>
    <row r="3233" spans="2:6" ht="15" x14ac:dyDescent="0.25">
      <c r="B3233" s="169"/>
      <c r="C3233" s="679">
        <v>2961677</v>
      </c>
      <c r="D3233" s="677">
        <v>8</v>
      </c>
      <c r="E3233" s="678" t="s">
        <v>3332</v>
      </c>
      <c r="F3233" s="170"/>
    </row>
    <row r="3234" spans="2:6" ht="15" x14ac:dyDescent="0.25">
      <c r="B3234" s="169"/>
      <c r="C3234" s="679">
        <v>2961678</v>
      </c>
      <c r="D3234" s="677">
        <v>6</v>
      </c>
      <c r="E3234" s="678" t="s">
        <v>3333</v>
      </c>
      <c r="F3234" s="170"/>
    </row>
    <row r="3235" spans="2:6" ht="15" x14ac:dyDescent="0.25">
      <c r="B3235" s="169"/>
      <c r="C3235" s="679">
        <v>2961679</v>
      </c>
      <c r="D3235" s="677">
        <v>4</v>
      </c>
      <c r="E3235" s="678" t="s">
        <v>3334</v>
      </c>
      <c r="F3235" s="170"/>
    </row>
    <row r="3236" spans="2:6" ht="15" x14ac:dyDescent="0.25">
      <c r="B3236" s="169"/>
      <c r="C3236" s="679">
        <v>3353861</v>
      </c>
      <c r="D3236" s="677">
        <v>1</v>
      </c>
      <c r="E3236" s="678" t="s">
        <v>8491</v>
      </c>
      <c r="F3236" s="170"/>
    </row>
    <row r="3237" spans="2:6" ht="15" x14ac:dyDescent="0.25">
      <c r="B3237" s="169"/>
      <c r="C3237" s="679">
        <v>2961680</v>
      </c>
      <c r="D3237" s="677">
        <v>8</v>
      </c>
      <c r="E3237" s="678" t="s">
        <v>3335</v>
      </c>
      <c r="F3237" s="170"/>
    </row>
    <row r="3238" spans="2:6" ht="15" x14ac:dyDescent="0.25">
      <c r="B3238" s="169"/>
      <c r="C3238" s="679">
        <v>3318592</v>
      </c>
      <c r="D3238" s="677">
        <v>1</v>
      </c>
      <c r="E3238" s="678" t="s">
        <v>8492</v>
      </c>
      <c r="F3238" s="170"/>
    </row>
    <row r="3239" spans="2:6" ht="15" x14ac:dyDescent="0.25">
      <c r="B3239" s="169"/>
      <c r="C3239" s="679">
        <v>3219031</v>
      </c>
      <c r="D3239" s="677">
        <v>0</v>
      </c>
      <c r="E3239" s="678" t="s">
        <v>8493</v>
      </c>
      <c r="F3239" s="170"/>
    </row>
    <row r="3240" spans="2:6" ht="15" x14ac:dyDescent="0.25">
      <c r="B3240" s="169"/>
      <c r="C3240" s="679">
        <v>2962282</v>
      </c>
      <c r="D3240" s="677">
        <v>4</v>
      </c>
      <c r="E3240" s="678" t="s">
        <v>3336</v>
      </c>
      <c r="F3240" s="170"/>
    </row>
    <row r="3241" spans="2:6" ht="15" x14ac:dyDescent="0.25">
      <c r="B3241" s="169"/>
      <c r="C3241" s="679">
        <v>3048304</v>
      </c>
      <c r="D3241" s="677">
        <v>2</v>
      </c>
      <c r="E3241" s="678" t="s">
        <v>3337</v>
      </c>
      <c r="F3241" s="170"/>
    </row>
    <row r="3242" spans="2:6" ht="15" x14ac:dyDescent="0.25">
      <c r="B3242" s="169"/>
      <c r="C3242" s="679">
        <v>3048305</v>
      </c>
      <c r="D3242" s="677">
        <v>1</v>
      </c>
      <c r="E3242" s="678" t="s">
        <v>3338</v>
      </c>
      <c r="F3242" s="170"/>
    </row>
    <row r="3243" spans="2:6" ht="15" x14ac:dyDescent="0.25">
      <c r="B3243" s="169"/>
      <c r="C3243" s="679">
        <v>3048306</v>
      </c>
      <c r="D3243" s="677">
        <v>9</v>
      </c>
      <c r="E3243" s="678" t="s">
        <v>3339</v>
      </c>
      <c r="F3243" s="170"/>
    </row>
    <row r="3244" spans="2:6" ht="15" x14ac:dyDescent="0.25">
      <c r="B3244" s="169"/>
      <c r="C3244" s="679">
        <v>3048307</v>
      </c>
      <c r="D3244" s="677">
        <v>7</v>
      </c>
      <c r="E3244" s="678" t="s">
        <v>3340</v>
      </c>
      <c r="F3244" s="170"/>
    </row>
    <row r="3245" spans="2:6" ht="15" x14ac:dyDescent="0.25">
      <c r="B3245" s="169"/>
      <c r="C3245" s="679">
        <v>3048308</v>
      </c>
      <c r="D3245" s="677">
        <v>5</v>
      </c>
      <c r="E3245" s="678" t="s">
        <v>3341</v>
      </c>
      <c r="F3245" s="170"/>
    </row>
    <row r="3246" spans="2:6" ht="15" x14ac:dyDescent="0.25">
      <c r="B3246" s="169"/>
      <c r="C3246" s="679">
        <v>2962283</v>
      </c>
      <c r="D3246" s="677">
        <v>2</v>
      </c>
      <c r="E3246" s="678" t="s">
        <v>3342</v>
      </c>
      <c r="F3246" s="170"/>
    </row>
    <row r="3247" spans="2:6" ht="15" x14ac:dyDescent="0.25">
      <c r="B3247" s="169"/>
      <c r="C3247" s="679">
        <v>2961681</v>
      </c>
      <c r="D3247" s="677">
        <v>6</v>
      </c>
      <c r="E3247" s="678" t="s">
        <v>3343</v>
      </c>
      <c r="F3247" s="170"/>
    </row>
    <row r="3248" spans="2:6" ht="15" x14ac:dyDescent="0.25">
      <c r="B3248" s="169"/>
      <c r="C3248" s="679">
        <v>2961405</v>
      </c>
      <c r="D3248" s="677">
        <v>8</v>
      </c>
      <c r="E3248" s="678" t="s">
        <v>3344</v>
      </c>
      <c r="F3248" s="170"/>
    </row>
    <row r="3249" spans="2:6" ht="15" x14ac:dyDescent="0.25">
      <c r="B3249" s="169"/>
      <c r="C3249" s="679">
        <v>3265519</v>
      </c>
      <c r="D3249" s="677">
        <v>3</v>
      </c>
      <c r="E3249" s="678" t="s">
        <v>8494</v>
      </c>
      <c r="F3249" s="170"/>
    </row>
    <row r="3250" spans="2:6" ht="15" x14ac:dyDescent="0.25">
      <c r="B3250" s="169"/>
      <c r="C3250" s="679">
        <v>3085902</v>
      </c>
      <c r="D3250" s="677">
        <v>6</v>
      </c>
      <c r="E3250" s="678" t="s">
        <v>3345</v>
      </c>
      <c r="F3250" s="170"/>
    </row>
    <row r="3251" spans="2:6" ht="15" x14ac:dyDescent="0.25">
      <c r="B3251" s="169"/>
      <c r="C3251" s="679">
        <v>3255220</v>
      </c>
      <c r="D3251" s="677">
        <v>3</v>
      </c>
      <c r="E3251" s="678" t="s">
        <v>8495</v>
      </c>
      <c r="F3251" s="170"/>
    </row>
    <row r="3252" spans="2:6" ht="15" x14ac:dyDescent="0.25">
      <c r="B3252" s="169"/>
      <c r="C3252" s="679">
        <v>2962284</v>
      </c>
      <c r="D3252" s="677">
        <v>1</v>
      </c>
      <c r="E3252" s="678" t="s">
        <v>3346</v>
      </c>
      <c r="F3252" s="170"/>
    </row>
    <row r="3253" spans="2:6" ht="15" x14ac:dyDescent="0.25">
      <c r="B3253" s="169"/>
      <c r="C3253" s="679">
        <v>3310412</v>
      </c>
      <c r="D3253" s="677">
        <v>3</v>
      </c>
      <c r="E3253" s="678" t="s">
        <v>8496</v>
      </c>
      <c r="F3253" s="170"/>
    </row>
    <row r="3254" spans="2:6" ht="15" x14ac:dyDescent="0.25">
      <c r="B3254" s="169"/>
      <c r="C3254" s="679">
        <v>3048309</v>
      </c>
      <c r="D3254" s="677">
        <v>3</v>
      </c>
      <c r="E3254" s="678" t="s">
        <v>3347</v>
      </c>
      <c r="F3254" s="170"/>
    </row>
    <row r="3255" spans="2:6" ht="15" x14ac:dyDescent="0.25">
      <c r="B3255" s="169"/>
      <c r="C3255" s="679">
        <v>3048310</v>
      </c>
      <c r="D3255" s="677">
        <v>7</v>
      </c>
      <c r="E3255" s="678" t="s">
        <v>3348</v>
      </c>
      <c r="F3255" s="170"/>
    </row>
    <row r="3256" spans="2:6" ht="15" x14ac:dyDescent="0.25">
      <c r="B3256" s="169"/>
      <c r="C3256" s="679">
        <v>3150621</v>
      </c>
      <c r="D3256" s="677">
        <v>6</v>
      </c>
      <c r="E3256" s="678" t="s">
        <v>3349</v>
      </c>
      <c r="F3256" s="170"/>
    </row>
    <row r="3257" spans="2:6" ht="15" x14ac:dyDescent="0.25">
      <c r="B3257" s="169"/>
      <c r="C3257" s="679">
        <v>3048311</v>
      </c>
      <c r="D3257" s="677">
        <v>5</v>
      </c>
      <c r="E3257" s="678" t="s">
        <v>3350</v>
      </c>
      <c r="F3257" s="170"/>
    </row>
    <row r="3258" spans="2:6" ht="15" x14ac:dyDescent="0.25">
      <c r="B3258" s="169"/>
      <c r="C3258" s="679">
        <v>3048312</v>
      </c>
      <c r="D3258" s="677">
        <v>3</v>
      </c>
      <c r="E3258" s="678" t="s">
        <v>3351</v>
      </c>
      <c r="F3258" s="170"/>
    </row>
    <row r="3259" spans="2:6" ht="15" x14ac:dyDescent="0.25">
      <c r="B3259" s="169"/>
      <c r="C3259" s="679">
        <v>3048313</v>
      </c>
      <c r="D3259" s="677">
        <v>1</v>
      </c>
      <c r="E3259" s="678" t="s">
        <v>3352</v>
      </c>
      <c r="F3259" s="170"/>
    </row>
    <row r="3260" spans="2:6" ht="15" x14ac:dyDescent="0.25">
      <c r="B3260" s="169"/>
      <c r="C3260" s="679">
        <v>3048314</v>
      </c>
      <c r="D3260" s="677">
        <v>0</v>
      </c>
      <c r="E3260" s="678" t="s">
        <v>3353</v>
      </c>
      <c r="F3260" s="170"/>
    </row>
    <row r="3261" spans="2:6" ht="15" x14ac:dyDescent="0.25">
      <c r="B3261" s="169"/>
      <c r="C3261" s="679">
        <v>3048315</v>
      </c>
      <c r="D3261" s="677">
        <v>8</v>
      </c>
      <c r="E3261" s="678" t="s">
        <v>3354</v>
      </c>
      <c r="F3261" s="170"/>
    </row>
    <row r="3262" spans="2:6" ht="15" x14ac:dyDescent="0.25">
      <c r="B3262" s="169"/>
      <c r="C3262" s="679">
        <v>3048316</v>
      </c>
      <c r="D3262" s="677">
        <v>6</v>
      </c>
      <c r="E3262" s="678" t="s">
        <v>3355</v>
      </c>
      <c r="F3262" s="170"/>
    </row>
    <row r="3263" spans="2:6" ht="15" x14ac:dyDescent="0.25">
      <c r="B3263" s="169"/>
      <c r="C3263" s="679">
        <v>3048317</v>
      </c>
      <c r="D3263" s="677">
        <v>4</v>
      </c>
      <c r="E3263" s="678" t="s">
        <v>3356</v>
      </c>
      <c r="F3263" s="170"/>
    </row>
    <row r="3264" spans="2:6" ht="15" x14ac:dyDescent="0.25">
      <c r="B3264" s="169"/>
      <c r="C3264" s="679">
        <v>3048318</v>
      </c>
      <c r="D3264" s="677">
        <v>2</v>
      </c>
      <c r="E3264" s="678" t="s">
        <v>3357</v>
      </c>
      <c r="F3264" s="170"/>
    </row>
    <row r="3265" spans="2:6" ht="15" x14ac:dyDescent="0.25">
      <c r="B3265" s="169"/>
      <c r="C3265" s="679">
        <v>3155434</v>
      </c>
      <c r="D3265" s="677">
        <v>2</v>
      </c>
      <c r="E3265" s="678" t="s">
        <v>3358</v>
      </c>
      <c r="F3265" s="170"/>
    </row>
    <row r="3266" spans="2:6" ht="15" x14ac:dyDescent="0.25">
      <c r="B3266" s="169"/>
      <c r="C3266" s="679">
        <v>3075039</v>
      </c>
      <c r="D3266" s="677">
        <v>3</v>
      </c>
      <c r="E3266" s="678" t="s">
        <v>3359</v>
      </c>
      <c r="F3266" s="170"/>
    </row>
    <row r="3267" spans="2:6" ht="15" x14ac:dyDescent="0.25">
      <c r="B3267" s="169"/>
      <c r="C3267" s="679">
        <v>3077700</v>
      </c>
      <c r="D3267" s="677">
        <v>3</v>
      </c>
      <c r="E3267" s="678" t="s">
        <v>3360</v>
      </c>
      <c r="F3267" s="170"/>
    </row>
    <row r="3268" spans="2:6" ht="15" x14ac:dyDescent="0.25">
      <c r="B3268" s="169"/>
      <c r="C3268" s="679">
        <v>3048319</v>
      </c>
      <c r="D3268" s="677">
        <v>1</v>
      </c>
      <c r="E3268" s="678" t="s">
        <v>3361</v>
      </c>
      <c r="F3268" s="170"/>
    </row>
    <row r="3269" spans="2:6" ht="15" x14ac:dyDescent="0.25">
      <c r="B3269" s="169"/>
      <c r="C3269" s="679">
        <v>3048320</v>
      </c>
      <c r="D3269" s="677">
        <v>4</v>
      </c>
      <c r="E3269" s="678" t="s">
        <v>3362</v>
      </c>
      <c r="F3269" s="170"/>
    </row>
    <row r="3270" spans="2:6" ht="15" x14ac:dyDescent="0.25">
      <c r="B3270" s="169"/>
      <c r="C3270" s="679">
        <v>3157319</v>
      </c>
      <c r="D3270" s="677">
        <v>3</v>
      </c>
      <c r="E3270" s="678" t="s">
        <v>3363</v>
      </c>
      <c r="F3270" s="170"/>
    </row>
    <row r="3271" spans="2:6" ht="15" x14ac:dyDescent="0.25">
      <c r="B3271" s="169"/>
      <c r="C3271" s="679">
        <v>3139819</v>
      </c>
      <c r="D3271" s="677">
        <v>7</v>
      </c>
      <c r="E3271" s="678" t="s">
        <v>3364</v>
      </c>
      <c r="F3271" s="170"/>
    </row>
    <row r="3272" spans="2:6" ht="15" x14ac:dyDescent="0.25">
      <c r="B3272" s="169"/>
      <c r="C3272" s="679">
        <v>3048322</v>
      </c>
      <c r="D3272" s="677">
        <v>1</v>
      </c>
      <c r="E3272" s="678" t="s">
        <v>3365</v>
      </c>
      <c r="F3272" s="170"/>
    </row>
    <row r="3273" spans="2:6" ht="15" x14ac:dyDescent="0.25">
      <c r="B3273" s="169"/>
      <c r="C3273" s="679">
        <v>3048323</v>
      </c>
      <c r="D3273" s="677">
        <v>9</v>
      </c>
      <c r="E3273" s="678" t="s">
        <v>3366</v>
      </c>
      <c r="F3273" s="170"/>
    </row>
    <row r="3274" spans="2:6" ht="15" x14ac:dyDescent="0.25">
      <c r="B3274" s="169"/>
      <c r="C3274" s="679">
        <v>3048324</v>
      </c>
      <c r="D3274" s="677">
        <v>7</v>
      </c>
      <c r="E3274" s="678" t="s">
        <v>3367</v>
      </c>
      <c r="F3274" s="170"/>
    </row>
    <row r="3275" spans="2:6" ht="15" x14ac:dyDescent="0.25">
      <c r="B3275" s="169"/>
      <c r="C3275" s="679">
        <v>3048325</v>
      </c>
      <c r="D3275" s="677">
        <v>5</v>
      </c>
      <c r="E3275" s="678" t="s">
        <v>3368</v>
      </c>
      <c r="F3275" s="170"/>
    </row>
    <row r="3276" spans="2:6" ht="15" x14ac:dyDescent="0.25">
      <c r="B3276" s="169"/>
      <c r="C3276" s="679">
        <v>3048326</v>
      </c>
      <c r="D3276" s="677">
        <v>3</v>
      </c>
      <c r="E3276" s="678" t="s">
        <v>3369</v>
      </c>
      <c r="F3276" s="170"/>
    </row>
    <row r="3277" spans="2:6" ht="15" x14ac:dyDescent="0.25">
      <c r="B3277" s="169"/>
      <c r="C3277" s="679">
        <v>3048327</v>
      </c>
      <c r="D3277" s="677">
        <v>1</v>
      </c>
      <c r="E3277" s="678" t="s">
        <v>3370</v>
      </c>
      <c r="F3277" s="170"/>
    </row>
    <row r="3278" spans="2:6" ht="15" x14ac:dyDescent="0.25">
      <c r="B3278" s="169"/>
      <c r="C3278" s="679">
        <v>3048321</v>
      </c>
      <c r="D3278" s="677">
        <v>2</v>
      </c>
      <c r="E3278" s="678" t="s">
        <v>3371</v>
      </c>
      <c r="F3278" s="170"/>
    </row>
    <row r="3279" spans="2:6" ht="15" x14ac:dyDescent="0.25">
      <c r="B3279" s="169"/>
      <c r="C3279" s="679">
        <v>3048328</v>
      </c>
      <c r="D3279" s="677">
        <v>0</v>
      </c>
      <c r="E3279" s="678" t="s">
        <v>3372</v>
      </c>
      <c r="F3279" s="170"/>
    </row>
    <row r="3280" spans="2:6" ht="15" x14ac:dyDescent="0.25">
      <c r="B3280" s="169"/>
      <c r="C3280" s="679">
        <v>3048329</v>
      </c>
      <c r="D3280" s="677">
        <v>8</v>
      </c>
      <c r="E3280" s="678" t="s">
        <v>3373</v>
      </c>
      <c r="F3280" s="170"/>
    </row>
    <row r="3281" spans="2:6" ht="15" x14ac:dyDescent="0.25">
      <c r="B3281" s="169"/>
      <c r="C3281" s="679">
        <v>3048330</v>
      </c>
      <c r="D3281" s="677">
        <v>1</v>
      </c>
      <c r="E3281" s="678" t="s">
        <v>3374</v>
      </c>
      <c r="F3281" s="170"/>
    </row>
    <row r="3282" spans="2:6" ht="15" x14ac:dyDescent="0.25">
      <c r="B3282" s="169"/>
      <c r="C3282" s="679">
        <v>3048331</v>
      </c>
      <c r="D3282" s="677">
        <v>0</v>
      </c>
      <c r="E3282" s="678" t="s">
        <v>3375</v>
      </c>
      <c r="F3282" s="170"/>
    </row>
    <row r="3283" spans="2:6" ht="15" x14ac:dyDescent="0.25">
      <c r="B3283" s="169"/>
      <c r="C3283" s="679">
        <v>3048332</v>
      </c>
      <c r="D3283" s="677">
        <v>8</v>
      </c>
      <c r="E3283" s="678" t="s">
        <v>3376</v>
      </c>
      <c r="F3283" s="170"/>
    </row>
    <row r="3284" spans="2:6" ht="15" x14ac:dyDescent="0.25">
      <c r="B3284" s="169"/>
      <c r="C3284" s="679">
        <v>3076290</v>
      </c>
      <c r="D3284" s="677">
        <v>1</v>
      </c>
      <c r="E3284" s="678" t="s">
        <v>3377</v>
      </c>
      <c r="F3284" s="170"/>
    </row>
    <row r="3285" spans="2:6" ht="15" x14ac:dyDescent="0.25">
      <c r="B3285" s="169"/>
      <c r="C3285" s="679">
        <v>3078215</v>
      </c>
      <c r="D3285" s="677">
        <v>5</v>
      </c>
      <c r="E3285" s="678" t="s">
        <v>3378</v>
      </c>
      <c r="F3285" s="170"/>
    </row>
    <row r="3286" spans="2:6" ht="15" x14ac:dyDescent="0.25">
      <c r="B3286" s="169"/>
      <c r="C3286" s="679">
        <v>3074367</v>
      </c>
      <c r="D3286" s="677">
        <v>2</v>
      </c>
      <c r="E3286" s="678" t="s">
        <v>3379</v>
      </c>
      <c r="F3286" s="170"/>
    </row>
    <row r="3287" spans="2:6" ht="15" x14ac:dyDescent="0.25">
      <c r="B3287" s="169"/>
      <c r="C3287" s="679">
        <v>3048333</v>
      </c>
      <c r="D3287" s="677">
        <v>6</v>
      </c>
      <c r="E3287" s="678" t="s">
        <v>3380</v>
      </c>
      <c r="F3287" s="170"/>
    </row>
    <row r="3288" spans="2:6" ht="15" x14ac:dyDescent="0.25">
      <c r="B3288" s="169"/>
      <c r="C3288" s="679">
        <v>3048334</v>
      </c>
      <c r="D3288" s="677">
        <v>4</v>
      </c>
      <c r="E3288" s="678" t="s">
        <v>3381</v>
      </c>
      <c r="F3288" s="170"/>
    </row>
    <row r="3289" spans="2:6" ht="15" x14ac:dyDescent="0.25">
      <c r="B3289" s="169"/>
      <c r="C3289" s="679">
        <v>3048335</v>
      </c>
      <c r="D3289" s="677">
        <v>2</v>
      </c>
      <c r="E3289" s="678" t="s">
        <v>3382</v>
      </c>
      <c r="F3289" s="170"/>
    </row>
    <row r="3290" spans="2:6" ht="15" x14ac:dyDescent="0.25">
      <c r="B3290" s="169"/>
      <c r="C3290" s="679">
        <v>3048336</v>
      </c>
      <c r="D3290" s="677">
        <v>1</v>
      </c>
      <c r="E3290" s="678" t="s">
        <v>3383</v>
      </c>
      <c r="F3290" s="170"/>
    </row>
    <row r="3291" spans="2:6" ht="15" x14ac:dyDescent="0.25">
      <c r="B3291" s="169"/>
      <c r="C3291" s="679">
        <v>3048337</v>
      </c>
      <c r="D3291" s="677">
        <v>9</v>
      </c>
      <c r="E3291" s="678" t="s">
        <v>3384</v>
      </c>
      <c r="F3291" s="170"/>
    </row>
    <row r="3292" spans="2:6" ht="15" x14ac:dyDescent="0.25">
      <c r="B3292" s="169"/>
      <c r="C3292" s="679">
        <v>3048338</v>
      </c>
      <c r="D3292" s="677">
        <v>7</v>
      </c>
      <c r="E3292" s="678" t="s">
        <v>3385</v>
      </c>
      <c r="F3292" s="170"/>
    </row>
    <row r="3293" spans="2:6" ht="15" x14ac:dyDescent="0.25">
      <c r="B3293" s="169"/>
      <c r="C3293" s="679">
        <v>3048339</v>
      </c>
      <c r="D3293" s="677">
        <v>5</v>
      </c>
      <c r="E3293" s="678" t="s">
        <v>3386</v>
      </c>
      <c r="F3293" s="170"/>
    </row>
    <row r="3294" spans="2:6" ht="15" x14ac:dyDescent="0.25">
      <c r="B3294" s="169"/>
      <c r="C3294" s="679">
        <v>3048340</v>
      </c>
      <c r="D3294" s="677">
        <v>9</v>
      </c>
      <c r="E3294" s="678" t="s">
        <v>3387</v>
      </c>
      <c r="F3294" s="170"/>
    </row>
    <row r="3295" spans="2:6" ht="15" x14ac:dyDescent="0.25">
      <c r="B3295" s="169"/>
      <c r="C3295" s="679">
        <v>3048341</v>
      </c>
      <c r="D3295" s="677">
        <v>7</v>
      </c>
      <c r="E3295" s="678" t="s">
        <v>3388</v>
      </c>
      <c r="F3295" s="170"/>
    </row>
    <row r="3296" spans="2:6" ht="15" x14ac:dyDescent="0.25">
      <c r="B3296" s="169"/>
      <c r="C3296" s="679">
        <v>3048342</v>
      </c>
      <c r="D3296" s="677">
        <v>5</v>
      </c>
      <c r="E3296" s="678" t="s">
        <v>3389</v>
      </c>
      <c r="F3296" s="170"/>
    </row>
    <row r="3297" spans="2:6" ht="15" x14ac:dyDescent="0.25">
      <c r="B3297" s="169"/>
      <c r="C3297" s="679">
        <v>3048343</v>
      </c>
      <c r="D3297" s="677">
        <v>3</v>
      </c>
      <c r="E3297" s="678" t="s">
        <v>3390</v>
      </c>
      <c r="F3297" s="170"/>
    </row>
    <row r="3298" spans="2:6" ht="15" x14ac:dyDescent="0.25">
      <c r="B3298" s="169"/>
      <c r="C3298" s="679">
        <v>3048344</v>
      </c>
      <c r="D3298" s="677">
        <v>1</v>
      </c>
      <c r="E3298" s="678" t="s">
        <v>3391</v>
      </c>
      <c r="F3298" s="170"/>
    </row>
    <row r="3299" spans="2:6" ht="15" x14ac:dyDescent="0.25">
      <c r="B3299" s="169"/>
      <c r="C3299" s="679">
        <v>3048345</v>
      </c>
      <c r="D3299" s="677">
        <v>0</v>
      </c>
      <c r="E3299" s="678" t="s">
        <v>3392</v>
      </c>
      <c r="F3299" s="170"/>
    </row>
    <row r="3300" spans="2:6" ht="15" x14ac:dyDescent="0.25">
      <c r="B3300" s="169"/>
      <c r="C3300" s="679">
        <v>3048346</v>
      </c>
      <c r="D3300" s="677">
        <v>8</v>
      </c>
      <c r="E3300" s="678" t="s">
        <v>3393</v>
      </c>
      <c r="F3300" s="170"/>
    </row>
    <row r="3301" spans="2:6" ht="15" x14ac:dyDescent="0.25">
      <c r="B3301" s="169"/>
      <c r="C3301" s="679">
        <v>3048347</v>
      </c>
      <c r="D3301" s="677">
        <v>6</v>
      </c>
      <c r="E3301" s="678" t="s">
        <v>3394</v>
      </c>
      <c r="F3301" s="170"/>
    </row>
    <row r="3302" spans="2:6" ht="15" x14ac:dyDescent="0.25">
      <c r="B3302" s="169"/>
      <c r="C3302" s="679">
        <v>3048348</v>
      </c>
      <c r="D3302" s="677">
        <v>4</v>
      </c>
      <c r="E3302" s="678" t="s">
        <v>3395</v>
      </c>
      <c r="F3302" s="170"/>
    </row>
    <row r="3303" spans="2:6" ht="15" x14ac:dyDescent="0.25">
      <c r="B3303" s="169"/>
      <c r="C3303" s="679">
        <v>3048349</v>
      </c>
      <c r="D3303" s="677">
        <v>2</v>
      </c>
      <c r="E3303" s="678" t="s">
        <v>3396</v>
      </c>
      <c r="F3303" s="170"/>
    </row>
    <row r="3304" spans="2:6" ht="15" x14ac:dyDescent="0.25">
      <c r="B3304" s="169"/>
      <c r="C3304" s="679">
        <v>3048350</v>
      </c>
      <c r="D3304" s="677">
        <v>6</v>
      </c>
      <c r="E3304" s="678" t="s">
        <v>3397</v>
      </c>
      <c r="F3304" s="170"/>
    </row>
    <row r="3305" spans="2:6" ht="15" x14ac:dyDescent="0.25">
      <c r="B3305" s="169"/>
      <c r="C3305" s="679">
        <v>3048351</v>
      </c>
      <c r="D3305" s="677">
        <v>4</v>
      </c>
      <c r="E3305" s="678" t="s">
        <v>3398</v>
      </c>
      <c r="F3305" s="170"/>
    </row>
    <row r="3306" spans="2:6" ht="15" x14ac:dyDescent="0.25">
      <c r="B3306" s="169"/>
      <c r="C3306" s="679">
        <v>3048352</v>
      </c>
      <c r="D3306" s="677">
        <v>2</v>
      </c>
      <c r="E3306" s="678" t="s">
        <v>3399</v>
      </c>
      <c r="F3306" s="170"/>
    </row>
    <row r="3307" spans="2:6" ht="15" x14ac:dyDescent="0.25">
      <c r="B3307" s="169"/>
      <c r="C3307" s="679">
        <v>3048353</v>
      </c>
      <c r="D3307" s="677">
        <v>1</v>
      </c>
      <c r="E3307" s="678" t="s">
        <v>3400</v>
      </c>
      <c r="F3307" s="170"/>
    </row>
    <row r="3308" spans="2:6" ht="15" x14ac:dyDescent="0.25">
      <c r="B3308" s="169"/>
      <c r="C3308" s="679">
        <v>3048354</v>
      </c>
      <c r="D3308" s="677">
        <v>9</v>
      </c>
      <c r="E3308" s="678" t="s">
        <v>3401</v>
      </c>
      <c r="F3308" s="170"/>
    </row>
    <row r="3309" spans="2:6" ht="15" x14ac:dyDescent="0.25">
      <c r="B3309" s="169"/>
      <c r="C3309" s="679">
        <v>3048355</v>
      </c>
      <c r="D3309" s="677">
        <v>7</v>
      </c>
      <c r="E3309" s="678" t="s">
        <v>3402</v>
      </c>
      <c r="F3309" s="170"/>
    </row>
    <row r="3310" spans="2:6" ht="15" x14ac:dyDescent="0.25">
      <c r="B3310" s="169"/>
      <c r="C3310" s="679">
        <v>3048356</v>
      </c>
      <c r="D3310" s="677">
        <v>5</v>
      </c>
      <c r="E3310" s="678" t="s">
        <v>3403</v>
      </c>
      <c r="F3310" s="170"/>
    </row>
    <row r="3311" spans="2:6" ht="15" x14ac:dyDescent="0.25">
      <c r="B3311" s="169"/>
      <c r="C3311" s="679">
        <v>3048357</v>
      </c>
      <c r="D3311" s="677">
        <v>3</v>
      </c>
      <c r="E3311" s="678" t="s">
        <v>3404</v>
      </c>
      <c r="F3311" s="170"/>
    </row>
    <row r="3312" spans="2:6" ht="15" x14ac:dyDescent="0.25">
      <c r="B3312" s="169"/>
      <c r="C3312" s="679">
        <v>3048358</v>
      </c>
      <c r="D3312" s="677">
        <v>1</v>
      </c>
      <c r="E3312" s="678" t="s">
        <v>3405</v>
      </c>
      <c r="F3312" s="170"/>
    </row>
    <row r="3313" spans="2:6" ht="15" x14ac:dyDescent="0.25">
      <c r="B3313" s="169"/>
      <c r="C3313" s="679">
        <v>3048359</v>
      </c>
      <c r="D3313" s="677">
        <v>0</v>
      </c>
      <c r="E3313" s="678" t="s">
        <v>3406</v>
      </c>
      <c r="F3313" s="170"/>
    </row>
    <row r="3314" spans="2:6" ht="15" x14ac:dyDescent="0.25">
      <c r="B3314" s="169"/>
      <c r="C3314" s="679">
        <v>3048360</v>
      </c>
      <c r="D3314" s="677">
        <v>3</v>
      </c>
      <c r="E3314" s="678" t="s">
        <v>3407</v>
      </c>
      <c r="F3314" s="170"/>
    </row>
    <row r="3315" spans="2:6" ht="15" x14ac:dyDescent="0.25">
      <c r="B3315" s="169"/>
      <c r="C3315" s="679">
        <v>3048361</v>
      </c>
      <c r="D3315" s="677">
        <v>1</v>
      </c>
      <c r="E3315" s="678" t="s">
        <v>3408</v>
      </c>
      <c r="F3315" s="170"/>
    </row>
    <row r="3316" spans="2:6" ht="15" x14ac:dyDescent="0.25">
      <c r="B3316" s="169"/>
      <c r="C3316" s="679">
        <v>3048362</v>
      </c>
      <c r="D3316" s="677">
        <v>0</v>
      </c>
      <c r="E3316" s="678" t="s">
        <v>3409</v>
      </c>
      <c r="F3316" s="170"/>
    </row>
    <row r="3317" spans="2:6" ht="15" x14ac:dyDescent="0.25">
      <c r="B3317" s="169"/>
      <c r="C3317" s="679">
        <v>3048363</v>
      </c>
      <c r="D3317" s="677">
        <v>8</v>
      </c>
      <c r="E3317" s="678" t="s">
        <v>3410</v>
      </c>
      <c r="F3317" s="170"/>
    </row>
    <row r="3318" spans="2:6" ht="15" x14ac:dyDescent="0.25">
      <c r="B3318" s="169"/>
      <c r="C3318" s="679">
        <v>3048364</v>
      </c>
      <c r="D3318" s="677">
        <v>6</v>
      </c>
      <c r="E3318" s="678" t="s">
        <v>3411</v>
      </c>
      <c r="F3318" s="170"/>
    </row>
    <row r="3319" spans="2:6" ht="15" x14ac:dyDescent="0.25">
      <c r="B3319" s="169"/>
      <c r="C3319" s="679">
        <v>3048365</v>
      </c>
      <c r="D3319" s="677">
        <v>4</v>
      </c>
      <c r="E3319" s="678" t="s">
        <v>3412</v>
      </c>
      <c r="F3319" s="170"/>
    </row>
    <row r="3320" spans="2:6" ht="15" x14ac:dyDescent="0.25">
      <c r="B3320" s="169"/>
      <c r="C3320" s="679">
        <v>3048366</v>
      </c>
      <c r="D3320" s="677">
        <v>2</v>
      </c>
      <c r="E3320" s="678" t="s">
        <v>3413</v>
      </c>
      <c r="F3320" s="170"/>
    </row>
    <row r="3321" spans="2:6" ht="15" x14ac:dyDescent="0.25">
      <c r="B3321" s="169"/>
      <c r="C3321" s="679">
        <v>3048367</v>
      </c>
      <c r="D3321" s="677">
        <v>1</v>
      </c>
      <c r="E3321" s="678" t="s">
        <v>3414</v>
      </c>
      <c r="F3321" s="170"/>
    </row>
    <row r="3322" spans="2:6" ht="15" x14ac:dyDescent="0.25">
      <c r="B3322" s="169"/>
      <c r="C3322" s="679">
        <v>3048368</v>
      </c>
      <c r="D3322" s="677">
        <v>9</v>
      </c>
      <c r="E3322" s="678" t="s">
        <v>3415</v>
      </c>
      <c r="F3322" s="170"/>
    </row>
    <row r="3323" spans="2:6" ht="15" x14ac:dyDescent="0.25">
      <c r="B3323" s="169"/>
      <c r="C3323" s="679">
        <v>3048369</v>
      </c>
      <c r="D3323" s="677">
        <v>7</v>
      </c>
      <c r="E3323" s="678" t="s">
        <v>3416</v>
      </c>
      <c r="F3323" s="170"/>
    </row>
    <row r="3324" spans="2:6" ht="15" x14ac:dyDescent="0.25">
      <c r="B3324" s="169"/>
      <c r="C3324" s="679">
        <v>3048370</v>
      </c>
      <c r="D3324" s="677">
        <v>1</v>
      </c>
      <c r="E3324" s="678" t="s">
        <v>3417</v>
      </c>
      <c r="F3324" s="170"/>
    </row>
    <row r="3325" spans="2:6" ht="15" x14ac:dyDescent="0.25">
      <c r="B3325" s="169"/>
      <c r="C3325" s="679">
        <v>3048371</v>
      </c>
      <c r="D3325" s="677">
        <v>9</v>
      </c>
      <c r="E3325" s="678" t="s">
        <v>3418</v>
      </c>
      <c r="F3325" s="170"/>
    </row>
    <row r="3326" spans="2:6" ht="15" x14ac:dyDescent="0.25">
      <c r="B3326" s="169"/>
      <c r="C3326" s="679">
        <v>3162126</v>
      </c>
      <c r="D3326" s="677">
        <v>1</v>
      </c>
      <c r="E3326" s="678" t="s">
        <v>3419</v>
      </c>
      <c r="F3326" s="170"/>
    </row>
    <row r="3327" spans="2:6" ht="15" x14ac:dyDescent="0.25">
      <c r="B3327" s="169"/>
      <c r="C3327" s="679">
        <v>3048372</v>
      </c>
      <c r="D3327" s="677">
        <v>7</v>
      </c>
      <c r="E3327" s="678" t="s">
        <v>3420</v>
      </c>
      <c r="F3327" s="170"/>
    </row>
    <row r="3328" spans="2:6" ht="15" x14ac:dyDescent="0.25">
      <c r="B3328" s="169"/>
      <c r="C3328" s="679">
        <v>3048373</v>
      </c>
      <c r="D3328" s="677">
        <v>5</v>
      </c>
      <c r="E3328" s="678" t="s">
        <v>3421</v>
      </c>
      <c r="F3328" s="170"/>
    </row>
    <row r="3329" spans="2:6" ht="15" x14ac:dyDescent="0.25">
      <c r="B3329" s="169"/>
      <c r="C3329" s="679">
        <v>3048374</v>
      </c>
      <c r="D3329" s="677">
        <v>3</v>
      </c>
      <c r="E3329" s="678" t="s">
        <v>3422</v>
      </c>
      <c r="F3329" s="170"/>
    </row>
    <row r="3330" spans="2:6" ht="15" x14ac:dyDescent="0.25">
      <c r="B3330" s="169"/>
      <c r="C3330" s="679">
        <v>3048375</v>
      </c>
      <c r="D3330" s="677">
        <v>1</v>
      </c>
      <c r="E3330" s="678" t="s">
        <v>3423</v>
      </c>
      <c r="F3330" s="170"/>
    </row>
    <row r="3331" spans="2:6" ht="15" x14ac:dyDescent="0.25">
      <c r="B3331" s="169"/>
      <c r="C3331" s="679">
        <v>3048376</v>
      </c>
      <c r="D3331" s="677">
        <v>0</v>
      </c>
      <c r="E3331" s="678" t="s">
        <v>3424</v>
      </c>
      <c r="F3331" s="170"/>
    </row>
    <row r="3332" spans="2:6" ht="15" x14ac:dyDescent="0.25">
      <c r="B3332" s="169"/>
      <c r="C3332" s="679">
        <v>3087958</v>
      </c>
      <c r="D3332" s="677">
        <v>2</v>
      </c>
      <c r="E3332" s="678" t="s">
        <v>3425</v>
      </c>
      <c r="F3332" s="170"/>
    </row>
    <row r="3333" spans="2:6" ht="15" x14ac:dyDescent="0.25">
      <c r="B3333" s="169"/>
      <c r="C3333" s="679">
        <v>3048377</v>
      </c>
      <c r="D3333" s="677">
        <v>8</v>
      </c>
      <c r="E3333" s="678" t="s">
        <v>3426</v>
      </c>
      <c r="F3333" s="170"/>
    </row>
    <row r="3334" spans="2:6" ht="15" x14ac:dyDescent="0.25">
      <c r="B3334" s="169"/>
      <c r="C3334" s="679">
        <v>3128529</v>
      </c>
      <c r="D3334" s="677">
        <v>5</v>
      </c>
      <c r="E3334" s="678" t="s">
        <v>3427</v>
      </c>
      <c r="F3334" s="170"/>
    </row>
    <row r="3335" spans="2:6" ht="15" x14ac:dyDescent="0.25">
      <c r="B3335" s="169"/>
      <c r="C3335" s="679">
        <v>3156380</v>
      </c>
      <c r="D3335" s="677">
        <v>5</v>
      </c>
      <c r="E3335" s="678" t="s">
        <v>3428</v>
      </c>
      <c r="F3335" s="170"/>
    </row>
    <row r="3336" spans="2:6" ht="15" x14ac:dyDescent="0.25">
      <c r="B3336" s="169"/>
      <c r="C3336" s="679">
        <v>3048378</v>
      </c>
      <c r="D3336" s="677">
        <v>6</v>
      </c>
      <c r="E3336" s="678" t="s">
        <v>3429</v>
      </c>
      <c r="F3336" s="170"/>
    </row>
    <row r="3337" spans="2:6" ht="15" x14ac:dyDescent="0.25">
      <c r="B3337" s="169"/>
      <c r="C3337" s="679">
        <v>3048380</v>
      </c>
      <c r="D3337" s="677">
        <v>8</v>
      </c>
      <c r="E3337" s="678" t="s">
        <v>3430</v>
      </c>
      <c r="F3337" s="170"/>
    </row>
    <row r="3338" spans="2:6" ht="15" x14ac:dyDescent="0.25">
      <c r="B3338" s="169"/>
      <c r="C3338" s="679">
        <v>3048381</v>
      </c>
      <c r="D3338" s="677">
        <v>6</v>
      </c>
      <c r="E3338" s="678" t="s">
        <v>3431</v>
      </c>
      <c r="F3338" s="170"/>
    </row>
    <row r="3339" spans="2:6" ht="15" x14ac:dyDescent="0.25">
      <c r="B3339" s="169"/>
      <c r="C3339" s="679">
        <v>3070337</v>
      </c>
      <c r="D3339" s="677">
        <v>9</v>
      </c>
      <c r="E3339" s="678" t="s">
        <v>3432</v>
      </c>
      <c r="F3339" s="170"/>
    </row>
    <row r="3340" spans="2:6" ht="15" x14ac:dyDescent="0.25">
      <c r="B3340" s="169"/>
      <c r="C3340" s="679">
        <v>3048382</v>
      </c>
      <c r="D3340" s="677">
        <v>4</v>
      </c>
      <c r="E3340" s="678" t="s">
        <v>3433</v>
      </c>
      <c r="F3340" s="170"/>
    </row>
    <row r="3341" spans="2:6" ht="15" x14ac:dyDescent="0.25">
      <c r="B3341" s="169"/>
      <c r="C3341" s="679">
        <v>3048383</v>
      </c>
      <c r="D3341" s="677">
        <v>2</v>
      </c>
      <c r="E3341" s="678" t="s">
        <v>3434</v>
      </c>
      <c r="F3341" s="170"/>
    </row>
    <row r="3342" spans="2:6" ht="15" x14ac:dyDescent="0.25">
      <c r="B3342" s="169"/>
      <c r="C3342" s="679">
        <v>3048384</v>
      </c>
      <c r="D3342" s="677">
        <v>1</v>
      </c>
      <c r="E3342" s="678" t="s">
        <v>3435</v>
      </c>
      <c r="F3342" s="170"/>
    </row>
    <row r="3343" spans="2:6" ht="15" x14ac:dyDescent="0.25">
      <c r="B3343" s="169"/>
      <c r="C3343" s="679">
        <v>3072554</v>
      </c>
      <c r="D3343" s="677">
        <v>2</v>
      </c>
      <c r="E3343" s="678" t="s">
        <v>3436</v>
      </c>
      <c r="F3343" s="170"/>
    </row>
    <row r="3344" spans="2:6" ht="15" x14ac:dyDescent="0.25">
      <c r="B3344" s="169"/>
      <c r="C3344" s="679">
        <v>3048385</v>
      </c>
      <c r="D3344" s="677">
        <v>9</v>
      </c>
      <c r="E3344" s="678" t="s">
        <v>3437</v>
      </c>
      <c r="F3344" s="170"/>
    </row>
    <row r="3345" spans="2:6" ht="15" x14ac:dyDescent="0.25">
      <c r="B3345" s="169"/>
      <c r="C3345" s="679">
        <v>3048386</v>
      </c>
      <c r="D3345" s="677">
        <v>7</v>
      </c>
      <c r="E3345" s="678" t="s">
        <v>3438</v>
      </c>
      <c r="F3345" s="170"/>
    </row>
    <row r="3346" spans="2:6" ht="15" x14ac:dyDescent="0.25">
      <c r="B3346" s="169"/>
      <c r="C3346" s="679">
        <v>3212279</v>
      </c>
      <c r="D3346" s="677">
        <v>9</v>
      </c>
      <c r="E3346" s="678" t="s">
        <v>8497</v>
      </c>
      <c r="F3346" s="170"/>
    </row>
    <row r="3347" spans="2:6" ht="15" x14ac:dyDescent="0.25">
      <c r="B3347" s="169"/>
      <c r="C3347" s="679">
        <v>2962285</v>
      </c>
      <c r="D3347" s="677">
        <v>9</v>
      </c>
      <c r="E3347" s="678" t="s">
        <v>3439</v>
      </c>
      <c r="F3347" s="170"/>
    </row>
    <row r="3348" spans="2:6" ht="15" x14ac:dyDescent="0.25">
      <c r="B3348" s="169"/>
      <c r="C3348" s="679">
        <v>2961406</v>
      </c>
      <c r="D3348" s="677">
        <v>6</v>
      </c>
      <c r="E3348" s="678" t="s">
        <v>3440</v>
      </c>
      <c r="F3348" s="170"/>
    </row>
    <row r="3349" spans="2:6" ht="15" x14ac:dyDescent="0.25">
      <c r="B3349" s="169"/>
      <c r="C3349" s="679">
        <v>2962286</v>
      </c>
      <c r="D3349" s="677">
        <v>7</v>
      </c>
      <c r="E3349" s="678" t="s">
        <v>3441</v>
      </c>
      <c r="F3349" s="170"/>
    </row>
    <row r="3350" spans="2:6" ht="15" x14ac:dyDescent="0.25">
      <c r="B3350" s="169"/>
      <c r="C3350" s="679">
        <v>2962364</v>
      </c>
      <c r="D3350" s="677">
        <v>2</v>
      </c>
      <c r="E3350" s="678" t="s">
        <v>3442</v>
      </c>
      <c r="F3350" s="170"/>
    </row>
    <row r="3351" spans="2:6" ht="15" x14ac:dyDescent="0.25">
      <c r="B3351" s="169"/>
      <c r="C3351" s="679">
        <v>2961796</v>
      </c>
      <c r="D3351" s="677">
        <v>1</v>
      </c>
      <c r="E3351" s="678" t="s">
        <v>3443</v>
      </c>
      <c r="F3351" s="170"/>
    </row>
    <row r="3352" spans="2:6" ht="15" x14ac:dyDescent="0.25">
      <c r="B3352" s="169"/>
      <c r="C3352" s="679">
        <v>3276438</v>
      </c>
      <c r="D3352" s="677">
        <v>3</v>
      </c>
      <c r="E3352" s="678" t="s">
        <v>8498</v>
      </c>
      <c r="F3352" s="170"/>
    </row>
    <row r="3353" spans="2:6" ht="15" x14ac:dyDescent="0.25">
      <c r="B3353" s="169"/>
      <c r="C3353" s="679">
        <v>3085459</v>
      </c>
      <c r="D3353" s="677">
        <v>8</v>
      </c>
      <c r="E3353" s="678" t="s">
        <v>3444</v>
      </c>
      <c r="F3353" s="170"/>
    </row>
    <row r="3354" spans="2:6" ht="15" x14ac:dyDescent="0.25">
      <c r="B3354" s="169"/>
      <c r="C3354" s="679">
        <v>3048387</v>
      </c>
      <c r="D3354" s="677">
        <v>5</v>
      </c>
      <c r="E3354" s="678" t="s">
        <v>3445</v>
      </c>
      <c r="F3354" s="170"/>
    </row>
    <row r="3355" spans="2:6" ht="15" x14ac:dyDescent="0.25">
      <c r="B3355" s="169"/>
      <c r="C3355" s="679">
        <v>3048388</v>
      </c>
      <c r="D3355" s="677">
        <v>3</v>
      </c>
      <c r="E3355" s="678" t="s">
        <v>3446</v>
      </c>
      <c r="F3355" s="170"/>
    </row>
    <row r="3356" spans="2:6" ht="15" x14ac:dyDescent="0.25">
      <c r="B3356" s="169"/>
      <c r="C3356" s="679">
        <v>3048389</v>
      </c>
      <c r="D3356" s="677">
        <v>1</v>
      </c>
      <c r="E3356" s="678" t="s">
        <v>3447</v>
      </c>
      <c r="F3356" s="170"/>
    </row>
    <row r="3357" spans="2:6" ht="15" x14ac:dyDescent="0.25">
      <c r="B3357" s="169"/>
      <c r="C3357" s="679">
        <v>3048390</v>
      </c>
      <c r="D3357" s="677">
        <v>5</v>
      </c>
      <c r="E3357" s="678" t="s">
        <v>3448</v>
      </c>
      <c r="F3357" s="170"/>
    </row>
    <row r="3358" spans="2:6" ht="15" x14ac:dyDescent="0.25">
      <c r="B3358" s="169"/>
      <c r="C3358" s="679">
        <v>3048391</v>
      </c>
      <c r="D3358" s="677">
        <v>3</v>
      </c>
      <c r="E3358" s="678" t="s">
        <v>3449</v>
      </c>
      <c r="F3358" s="170"/>
    </row>
    <row r="3359" spans="2:6" ht="15" x14ac:dyDescent="0.25">
      <c r="B3359" s="169"/>
      <c r="C3359" s="679">
        <v>2961683</v>
      </c>
      <c r="D3359" s="677">
        <v>2</v>
      </c>
      <c r="E3359" s="678" t="s">
        <v>3450</v>
      </c>
      <c r="F3359" s="170"/>
    </row>
    <row r="3360" spans="2:6" ht="15" x14ac:dyDescent="0.25">
      <c r="B3360" s="169"/>
      <c r="C3360" s="679">
        <v>3076752</v>
      </c>
      <c r="D3360" s="677">
        <v>1</v>
      </c>
      <c r="E3360" s="678" t="s">
        <v>3451</v>
      </c>
      <c r="F3360" s="170"/>
    </row>
    <row r="3361" spans="2:6" ht="15" x14ac:dyDescent="0.25">
      <c r="B3361" s="169"/>
      <c r="C3361" s="679">
        <v>3048392</v>
      </c>
      <c r="D3361" s="677">
        <v>1</v>
      </c>
      <c r="E3361" s="678" t="s">
        <v>3452</v>
      </c>
      <c r="F3361" s="170"/>
    </row>
    <row r="3362" spans="2:6" ht="15" x14ac:dyDescent="0.25">
      <c r="B3362" s="169"/>
      <c r="C3362" s="679">
        <v>3048393</v>
      </c>
      <c r="D3362" s="677">
        <v>0</v>
      </c>
      <c r="E3362" s="678" t="s">
        <v>3453</v>
      </c>
      <c r="F3362" s="170"/>
    </row>
    <row r="3363" spans="2:6" ht="15" x14ac:dyDescent="0.25">
      <c r="B3363" s="169"/>
      <c r="C3363" s="679">
        <v>3048394</v>
      </c>
      <c r="D3363" s="677">
        <v>8</v>
      </c>
      <c r="E3363" s="678" t="s">
        <v>3454</v>
      </c>
      <c r="F3363" s="170"/>
    </row>
    <row r="3364" spans="2:6" ht="15" x14ac:dyDescent="0.25">
      <c r="B3364" s="169"/>
      <c r="C3364" s="679">
        <v>1864037</v>
      </c>
      <c r="D3364" s="677">
        <v>1</v>
      </c>
      <c r="E3364" s="678" t="s">
        <v>3455</v>
      </c>
      <c r="F3364" s="170"/>
    </row>
    <row r="3365" spans="2:6" ht="15" x14ac:dyDescent="0.25">
      <c r="B3365" s="169"/>
      <c r="C3365" s="679">
        <v>3048395</v>
      </c>
      <c r="D3365" s="677">
        <v>6</v>
      </c>
      <c r="E3365" s="678" t="s">
        <v>3456</v>
      </c>
      <c r="F3365" s="170"/>
    </row>
    <row r="3366" spans="2:6" ht="15" x14ac:dyDescent="0.25">
      <c r="B3366" s="169"/>
      <c r="C3366" s="679">
        <v>2961802</v>
      </c>
      <c r="D3366" s="677">
        <v>9</v>
      </c>
      <c r="E3366" s="678" t="s">
        <v>3457</v>
      </c>
      <c r="F3366" s="170"/>
    </row>
    <row r="3367" spans="2:6" ht="15" x14ac:dyDescent="0.25">
      <c r="B3367" s="169"/>
      <c r="C3367" s="679">
        <v>2961956</v>
      </c>
      <c r="D3367" s="677">
        <v>4</v>
      </c>
      <c r="E3367" s="678" t="s">
        <v>3458</v>
      </c>
      <c r="F3367" s="170"/>
    </row>
    <row r="3368" spans="2:6" ht="15" x14ac:dyDescent="0.25">
      <c r="B3368" s="169"/>
      <c r="C3368" s="679">
        <v>3058049</v>
      </c>
      <c r="D3368" s="677">
        <v>8</v>
      </c>
      <c r="E3368" s="678" t="s">
        <v>3459</v>
      </c>
      <c r="F3368" s="170"/>
    </row>
    <row r="3369" spans="2:6" ht="15" x14ac:dyDescent="0.25">
      <c r="B3369" s="169"/>
      <c r="C3369" s="679">
        <v>2962981</v>
      </c>
      <c r="D3369" s="677">
        <v>1</v>
      </c>
      <c r="E3369" s="678" t="s">
        <v>3460</v>
      </c>
      <c r="F3369" s="170"/>
    </row>
    <row r="3370" spans="2:6" ht="15" x14ac:dyDescent="0.25">
      <c r="B3370" s="169"/>
      <c r="C3370" s="679">
        <v>2963371</v>
      </c>
      <c r="D3370" s="677">
        <v>1</v>
      </c>
      <c r="E3370" s="678" t="s">
        <v>3461</v>
      </c>
      <c r="F3370" s="170"/>
    </row>
    <row r="3371" spans="2:6" ht="15" x14ac:dyDescent="0.25">
      <c r="B3371" s="169"/>
      <c r="C3371" s="679">
        <v>2963000</v>
      </c>
      <c r="D3371" s="677">
        <v>2</v>
      </c>
      <c r="E3371" s="678" t="s">
        <v>3462</v>
      </c>
      <c r="F3371" s="170"/>
    </row>
    <row r="3372" spans="2:6" ht="15" x14ac:dyDescent="0.25">
      <c r="B3372" s="169"/>
      <c r="C3372" s="679">
        <v>3078256</v>
      </c>
      <c r="D3372" s="677">
        <v>2</v>
      </c>
      <c r="E3372" s="678" t="s">
        <v>3463</v>
      </c>
      <c r="F3372" s="170"/>
    </row>
    <row r="3373" spans="2:6" ht="15" x14ac:dyDescent="0.25">
      <c r="B3373" s="169"/>
      <c r="C3373" s="679">
        <v>3048396</v>
      </c>
      <c r="D3373" s="677">
        <v>4</v>
      </c>
      <c r="E3373" s="678" t="s">
        <v>3464</v>
      </c>
      <c r="F3373" s="170"/>
    </row>
    <row r="3374" spans="2:6" ht="15" x14ac:dyDescent="0.25">
      <c r="B3374" s="169"/>
      <c r="C3374" s="679">
        <v>3048397</v>
      </c>
      <c r="D3374" s="677">
        <v>2</v>
      </c>
      <c r="E3374" s="678" t="s">
        <v>3465</v>
      </c>
      <c r="F3374" s="170"/>
    </row>
    <row r="3375" spans="2:6" ht="15" x14ac:dyDescent="0.25">
      <c r="B3375" s="169"/>
      <c r="C3375" s="679">
        <v>3048398</v>
      </c>
      <c r="D3375" s="677">
        <v>1</v>
      </c>
      <c r="E3375" s="678" t="s">
        <v>3466</v>
      </c>
      <c r="F3375" s="170"/>
    </row>
    <row r="3376" spans="2:6" ht="15" x14ac:dyDescent="0.25">
      <c r="B3376" s="169"/>
      <c r="C3376" s="679">
        <v>3048399</v>
      </c>
      <c r="D3376" s="677">
        <v>9</v>
      </c>
      <c r="E3376" s="678" t="s">
        <v>3467</v>
      </c>
      <c r="F3376" s="170"/>
    </row>
    <row r="3377" spans="2:6" ht="15" x14ac:dyDescent="0.25">
      <c r="B3377" s="169"/>
      <c r="C3377" s="679">
        <v>3161232</v>
      </c>
      <c r="D3377" s="677">
        <v>6</v>
      </c>
      <c r="E3377" s="678" t="s">
        <v>3468</v>
      </c>
      <c r="F3377" s="170"/>
    </row>
    <row r="3378" spans="2:6" ht="15" x14ac:dyDescent="0.25">
      <c r="B3378" s="169"/>
      <c r="C3378" s="679">
        <v>3055220</v>
      </c>
      <c r="D3378" s="677">
        <v>6</v>
      </c>
      <c r="E3378" s="678" t="s">
        <v>3469</v>
      </c>
      <c r="F3378" s="170"/>
    </row>
    <row r="3379" spans="2:6" ht="15" x14ac:dyDescent="0.25">
      <c r="B3379" s="169"/>
      <c r="C3379" s="679">
        <v>3070414</v>
      </c>
      <c r="D3379" s="677">
        <v>6</v>
      </c>
      <c r="E3379" s="678" t="s">
        <v>3470</v>
      </c>
      <c r="F3379" s="170"/>
    </row>
    <row r="3380" spans="2:6" ht="15" x14ac:dyDescent="0.25">
      <c r="B3380" s="169"/>
      <c r="C3380" s="679">
        <v>3171257</v>
      </c>
      <c r="D3380" s="677">
        <v>6</v>
      </c>
      <c r="E3380" s="678" t="s">
        <v>3471</v>
      </c>
      <c r="F3380" s="170"/>
    </row>
    <row r="3381" spans="2:6" ht="15" x14ac:dyDescent="0.25">
      <c r="B3381" s="169"/>
      <c r="C3381" s="679">
        <v>3158213</v>
      </c>
      <c r="D3381" s="677">
        <v>3</v>
      </c>
      <c r="E3381" s="678" t="s">
        <v>3472</v>
      </c>
      <c r="F3381" s="170"/>
    </row>
    <row r="3382" spans="2:6" ht="15" x14ac:dyDescent="0.25">
      <c r="B3382" s="169"/>
      <c r="C3382" s="679">
        <v>3129403</v>
      </c>
      <c r="D3382" s="677">
        <v>1</v>
      </c>
      <c r="E3382" s="678" t="s">
        <v>3473</v>
      </c>
      <c r="F3382" s="170"/>
    </row>
    <row r="3383" spans="2:6" ht="15" x14ac:dyDescent="0.25">
      <c r="B3383" s="169"/>
      <c r="C3383" s="679">
        <v>3158373</v>
      </c>
      <c r="D3383" s="677">
        <v>3</v>
      </c>
      <c r="E3383" s="678" t="s">
        <v>3474</v>
      </c>
      <c r="F3383" s="170"/>
    </row>
    <row r="3384" spans="2:6" ht="15" x14ac:dyDescent="0.25">
      <c r="B3384" s="169"/>
      <c r="C3384" s="679">
        <v>3158546</v>
      </c>
      <c r="D3384" s="677">
        <v>9</v>
      </c>
      <c r="E3384" s="678" t="s">
        <v>3475</v>
      </c>
      <c r="F3384" s="170"/>
    </row>
    <row r="3385" spans="2:6" ht="15" x14ac:dyDescent="0.25">
      <c r="B3385" s="169"/>
      <c r="C3385" s="679">
        <v>3163919</v>
      </c>
      <c r="D3385" s="677">
        <v>4</v>
      </c>
      <c r="E3385" s="678" t="s">
        <v>3476</v>
      </c>
      <c r="F3385" s="170"/>
    </row>
    <row r="3386" spans="2:6" ht="15" x14ac:dyDescent="0.25">
      <c r="B3386" s="169"/>
      <c r="C3386" s="679">
        <v>3154575</v>
      </c>
      <c r="D3386" s="677">
        <v>1</v>
      </c>
      <c r="E3386" s="678" t="s">
        <v>3477</v>
      </c>
      <c r="F3386" s="170"/>
    </row>
    <row r="3387" spans="2:6" ht="15" x14ac:dyDescent="0.25">
      <c r="B3387" s="169"/>
      <c r="C3387" s="679">
        <v>3222997</v>
      </c>
      <c r="D3387" s="677">
        <v>6</v>
      </c>
      <c r="E3387" s="678" t="s">
        <v>8499</v>
      </c>
      <c r="F3387" s="170"/>
    </row>
    <row r="3388" spans="2:6" ht="15" x14ac:dyDescent="0.25">
      <c r="B3388" s="169"/>
      <c r="C3388" s="679">
        <v>3163594</v>
      </c>
      <c r="D3388" s="677">
        <v>6</v>
      </c>
      <c r="E3388" s="678" t="s">
        <v>3478</v>
      </c>
      <c r="F3388" s="170"/>
    </row>
    <row r="3389" spans="2:6" ht="15" x14ac:dyDescent="0.25">
      <c r="B3389" s="169"/>
      <c r="C3389" s="679">
        <v>3155036</v>
      </c>
      <c r="D3389" s="677">
        <v>3</v>
      </c>
      <c r="E3389" s="678" t="s">
        <v>3479</v>
      </c>
      <c r="F3389" s="170"/>
    </row>
    <row r="3390" spans="2:6" ht="15" x14ac:dyDescent="0.25">
      <c r="B3390" s="169"/>
      <c r="C3390" s="679">
        <v>3048400</v>
      </c>
      <c r="D3390" s="677">
        <v>6</v>
      </c>
      <c r="E3390" s="678" t="s">
        <v>3480</v>
      </c>
      <c r="F3390" s="170"/>
    </row>
    <row r="3391" spans="2:6" ht="15" x14ac:dyDescent="0.25">
      <c r="B3391" s="169"/>
      <c r="C3391" s="679">
        <v>3048402</v>
      </c>
      <c r="D3391" s="677">
        <v>2</v>
      </c>
      <c r="E3391" s="678" t="s">
        <v>3481</v>
      </c>
      <c r="F3391" s="170"/>
    </row>
    <row r="3392" spans="2:6" ht="15" x14ac:dyDescent="0.25">
      <c r="B3392" s="169"/>
      <c r="C3392" s="679">
        <v>3048403</v>
      </c>
      <c r="D3392" s="677">
        <v>1</v>
      </c>
      <c r="E3392" s="678" t="s">
        <v>3482</v>
      </c>
      <c r="F3392" s="170"/>
    </row>
    <row r="3393" spans="2:6" ht="15" x14ac:dyDescent="0.25">
      <c r="B3393" s="169"/>
      <c r="C3393" s="679">
        <v>3048404</v>
      </c>
      <c r="D3393" s="677">
        <v>9</v>
      </c>
      <c r="E3393" s="678" t="s">
        <v>3483</v>
      </c>
      <c r="F3393" s="170"/>
    </row>
    <row r="3394" spans="2:6" ht="15" x14ac:dyDescent="0.25">
      <c r="B3394" s="169"/>
      <c r="C3394" s="679">
        <v>3048405</v>
      </c>
      <c r="D3394" s="677">
        <v>7</v>
      </c>
      <c r="E3394" s="678" t="s">
        <v>3484</v>
      </c>
      <c r="F3394" s="170"/>
    </row>
    <row r="3395" spans="2:6" ht="15" x14ac:dyDescent="0.25">
      <c r="B3395" s="169"/>
      <c r="C3395" s="679">
        <v>3048406</v>
      </c>
      <c r="D3395" s="677">
        <v>5</v>
      </c>
      <c r="E3395" s="678" t="s">
        <v>3485</v>
      </c>
      <c r="F3395" s="170"/>
    </row>
    <row r="3396" spans="2:6" ht="15" x14ac:dyDescent="0.25">
      <c r="B3396" s="169"/>
      <c r="C3396" s="679">
        <v>3048407</v>
      </c>
      <c r="D3396" s="677">
        <v>3</v>
      </c>
      <c r="E3396" s="678" t="s">
        <v>3486</v>
      </c>
      <c r="F3396" s="170"/>
    </row>
    <row r="3397" spans="2:6" ht="15" x14ac:dyDescent="0.25">
      <c r="B3397" s="169"/>
      <c r="C3397" s="679">
        <v>3048408</v>
      </c>
      <c r="D3397" s="677">
        <v>1</v>
      </c>
      <c r="E3397" s="678" t="s">
        <v>3487</v>
      </c>
      <c r="F3397" s="170"/>
    </row>
    <row r="3398" spans="2:6" ht="15" x14ac:dyDescent="0.25">
      <c r="B3398" s="169"/>
      <c r="C3398" s="679">
        <v>3048409</v>
      </c>
      <c r="D3398" s="677">
        <v>0</v>
      </c>
      <c r="E3398" s="678" t="s">
        <v>3488</v>
      </c>
      <c r="F3398" s="170"/>
    </row>
    <row r="3399" spans="2:6" ht="15" x14ac:dyDescent="0.25">
      <c r="B3399" s="169"/>
      <c r="C3399" s="679">
        <v>3048410</v>
      </c>
      <c r="D3399" s="677">
        <v>3</v>
      </c>
      <c r="E3399" s="678" t="s">
        <v>3489</v>
      </c>
      <c r="F3399" s="170"/>
    </row>
    <row r="3400" spans="2:6" ht="15" x14ac:dyDescent="0.25">
      <c r="B3400" s="169"/>
      <c r="C3400" s="679">
        <v>3048411</v>
      </c>
      <c r="D3400" s="677">
        <v>1</v>
      </c>
      <c r="E3400" s="678" t="s">
        <v>3490</v>
      </c>
      <c r="F3400" s="170"/>
    </row>
    <row r="3401" spans="2:6" ht="15" x14ac:dyDescent="0.25">
      <c r="B3401" s="169"/>
      <c r="C3401" s="679">
        <v>3048412</v>
      </c>
      <c r="D3401" s="677">
        <v>0</v>
      </c>
      <c r="E3401" s="678" t="s">
        <v>3491</v>
      </c>
      <c r="F3401" s="170"/>
    </row>
    <row r="3402" spans="2:6" ht="15" x14ac:dyDescent="0.25">
      <c r="B3402" s="169"/>
      <c r="C3402" s="679">
        <v>3048413</v>
      </c>
      <c r="D3402" s="677">
        <v>8</v>
      </c>
      <c r="E3402" s="678" t="s">
        <v>3492</v>
      </c>
      <c r="F3402" s="170"/>
    </row>
    <row r="3403" spans="2:6" ht="15" x14ac:dyDescent="0.25">
      <c r="B3403" s="169"/>
      <c r="C3403" s="679">
        <v>3048414</v>
      </c>
      <c r="D3403" s="677">
        <v>6</v>
      </c>
      <c r="E3403" s="678" t="s">
        <v>3493</v>
      </c>
      <c r="F3403" s="170"/>
    </row>
    <row r="3404" spans="2:6" ht="15" x14ac:dyDescent="0.25">
      <c r="B3404" s="169"/>
      <c r="C3404" s="679">
        <v>3048415</v>
      </c>
      <c r="D3404" s="677">
        <v>4</v>
      </c>
      <c r="E3404" s="678" t="s">
        <v>3494</v>
      </c>
      <c r="F3404" s="170"/>
    </row>
    <row r="3405" spans="2:6" ht="15" x14ac:dyDescent="0.25">
      <c r="B3405" s="169"/>
      <c r="C3405" s="679">
        <v>3048416</v>
      </c>
      <c r="D3405" s="677">
        <v>2</v>
      </c>
      <c r="E3405" s="678" t="s">
        <v>3495</v>
      </c>
      <c r="F3405" s="170"/>
    </row>
    <row r="3406" spans="2:6" ht="15" x14ac:dyDescent="0.25">
      <c r="B3406" s="169"/>
      <c r="C3406" s="679">
        <v>3048417</v>
      </c>
      <c r="D3406" s="677">
        <v>1</v>
      </c>
      <c r="E3406" s="678" t="s">
        <v>3496</v>
      </c>
      <c r="F3406" s="170"/>
    </row>
    <row r="3407" spans="2:6" ht="15" x14ac:dyDescent="0.25">
      <c r="B3407" s="169"/>
      <c r="C3407" s="679">
        <v>3048418</v>
      </c>
      <c r="D3407" s="677">
        <v>9</v>
      </c>
      <c r="E3407" s="678" t="s">
        <v>3497</v>
      </c>
      <c r="F3407" s="170"/>
    </row>
    <row r="3408" spans="2:6" ht="15" x14ac:dyDescent="0.25">
      <c r="B3408" s="169"/>
      <c r="C3408" s="679">
        <v>3048419</v>
      </c>
      <c r="D3408" s="677">
        <v>7</v>
      </c>
      <c r="E3408" s="678" t="s">
        <v>3498</v>
      </c>
      <c r="F3408" s="170"/>
    </row>
    <row r="3409" spans="2:6" ht="15" x14ac:dyDescent="0.25">
      <c r="B3409" s="169"/>
      <c r="C3409" s="679">
        <v>3048420</v>
      </c>
      <c r="D3409" s="677">
        <v>1</v>
      </c>
      <c r="E3409" s="678" t="s">
        <v>3499</v>
      </c>
      <c r="F3409" s="170"/>
    </row>
    <row r="3410" spans="2:6" ht="15" x14ac:dyDescent="0.25">
      <c r="B3410" s="169"/>
      <c r="C3410" s="679">
        <v>3048421</v>
      </c>
      <c r="D3410" s="677">
        <v>9</v>
      </c>
      <c r="E3410" s="678" t="s">
        <v>3500</v>
      </c>
      <c r="F3410" s="170"/>
    </row>
    <row r="3411" spans="2:6" ht="15" x14ac:dyDescent="0.25">
      <c r="B3411" s="169"/>
      <c r="C3411" s="679">
        <v>3048422</v>
      </c>
      <c r="D3411" s="677">
        <v>7</v>
      </c>
      <c r="E3411" s="678" t="s">
        <v>3501</v>
      </c>
      <c r="F3411" s="170"/>
    </row>
    <row r="3412" spans="2:6" ht="15" x14ac:dyDescent="0.25">
      <c r="B3412" s="169"/>
      <c r="C3412" s="679">
        <v>3048423</v>
      </c>
      <c r="D3412" s="677">
        <v>5</v>
      </c>
      <c r="E3412" s="678" t="s">
        <v>3502</v>
      </c>
      <c r="F3412" s="170"/>
    </row>
    <row r="3413" spans="2:6" ht="15" x14ac:dyDescent="0.25">
      <c r="B3413" s="169"/>
      <c r="C3413" s="679">
        <v>3048424</v>
      </c>
      <c r="D3413" s="677">
        <v>3</v>
      </c>
      <c r="E3413" s="678" t="s">
        <v>3503</v>
      </c>
      <c r="F3413" s="170"/>
    </row>
    <row r="3414" spans="2:6" ht="15" x14ac:dyDescent="0.25">
      <c r="B3414" s="169"/>
      <c r="C3414" s="679">
        <v>3048425</v>
      </c>
      <c r="D3414" s="677">
        <v>1</v>
      </c>
      <c r="E3414" s="678" t="s">
        <v>3504</v>
      </c>
      <c r="F3414" s="170"/>
    </row>
    <row r="3415" spans="2:6" ht="15" x14ac:dyDescent="0.25">
      <c r="B3415" s="169"/>
      <c r="C3415" s="679">
        <v>3048426</v>
      </c>
      <c r="D3415" s="677">
        <v>0</v>
      </c>
      <c r="E3415" s="678" t="s">
        <v>3505</v>
      </c>
      <c r="F3415" s="170"/>
    </row>
    <row r="3416" spans="2:6" ht="15" x14ac:dyDescent="0.25">
      <c r="B3416" s="169"/>
      <c r="C3416" s="679">
        <v>3048427</v>
      </c>
      <c r="D3416" s="677">
        <v>8</v>
      </c>
      <c r="E3416" s="678" t="s">
        <v>3506</v>
      </c>
      <c r="F3416" s="170"/>
    </row>
    <row r="3417" spans="2:6" ht="15" x14ac:dyDescent="0.25">
      <c r="B3417" s="169"/>
      <c r="C3417" s="679">
        <v>3048428</v>
      </c>
      <c r="D3417" s="677">
        <v>6</v>
      </c>
      <c r="E3417" s="678" t="s">
        <v>3507</v>
      </c>
      <c r="F3417" s="170"/>
    </row>
    <row r="3418" spans="2:6" ht="15" x14ac:dyDescent="0.25">
      <c r="B3418" s="169"/>
      <c r="C3418" s="679">
        <v>3048429</v>
      </c>
      <c r="D3418" s="677">
        <v>4</v>
      </c>
      <c r="E3418" s="678" t="s">
        <v>3508</v>
      </c>
      <c r="F3418" s="170"/>
    </row>
    <row r="3419" spans="2:6" ht="15" x14ac:dyDescent="0.25">
      <c r="B3419" s="169"/>
      <c r="C3419" s="679">
        <v>3048430</v>
      </c>
      <c r="D3419" s="677">
        <v>8</v>
      </c>
      <c r="E3419" s="678" t="s">
        <v>3509</v>
      </c>
      <c r="F3419" s="170"/>
    </row>
    <row r="3420" spans="2:6" ht="15" x14ac:dyDescent="0.25">
      <c r="B3420" s="169"/>
      <c r="C3420" s="679">
        <v>3048431</v>
      </c>
      <c r="D3420" s="677">
        <v>6</v>
      </c>
      <c r="E3420" s="678" t="s">
        <v>3510</v>
      </c>
      <c r="F3420" s="170"/>
    </row>
    <row r="3421" spans="2:6" ht="15" x14ac:dyDescent="0.25">
      <c r="B3421" s="169"/>
      <c r="C3421" s="679">
        <v>3048432</v>
      </c>
      <c r="D3421" s="677">
        <v>4</v>
      </c>
      <c r="E3421" s="678" t="s">
        <v>3511</v>
      </c>
      <c r="F3421" s="170"/>
    </row>
    <row r="3422" spans="2:6" ht="15" x14ac:dyDescent="0.25">
      <c r="B3422" s="169"/>
      <c r="C3422" s="679">
        <v>3048433</v>
      </c>
      <c r="D3422" s="677">
        <v>2</v>
      </c>
      <c r="E3422" s="678" t="s">
        <v>3512</v>
      </c>
      <c r="F3422" s="170"/>
    </row>
    <row r="3423" spans="2:6" ht="15" x14ac:dyDescent="0.25">
      <c r="B3423" s="169"/>
      <c r="C3423" s="679">
        <v>3100649</v>
      </c>
      <c r="D3423" s="677">
        <v>3</v>
      </c>
      <c r="E3423" s="678" t="s">
        <v>3513</v>
      </c>
      <c r="F3423" s="170"/>
    </row>
    <row r="3424" spans="2:6" ht="15" x14ac:dyDescent="0.25">
      <c r="B3424" s="169"/>
      <c r="C3424" s="679">
        <v>3048434</v>
      </c>
      <c r="D3424" s="677">
        <v>1</v>
      </c>
      <c r="E3424" s="678" t="s">
        <v>3514</v>
      </c>
      <c r="F3424" s="170"/>
    </row>
    <row r="3425" spans="2:6" ht="15" x14ac:dyDescent="0.25">
      <c r="B3425" s="169"/>
      <c r="C3425" s="679">
        <v>3048435</v>
      </c>
      <c r="D3425" s="677">
        <v>9</v>
      </c>
      <c r="E3425" s="678" t="s">
        <v>3515</v>
      </c>
      <c r="F3425" s="170"/>
    </row>
    <row r="3426" spans="2:6" ht="15" x14ac:dyDescent="0.25">
      <c r="B3426" s="169"/>
      <c r="C3426" s="679">
        <v>3048436</v>
      </c>
      <c r="D3426" s="677">
        <v>7</v>
      </c>
      <c r="E3426" s="678" t="s">
        <v>3516</v>
      </c>
      <c r="F3426" s="170"/>
    </row>
    <row r="3427" spans="2:6" ht="15" x14ac:dyDescent="0.25">
      <c r="B3427" s="169"/>
      <c r="C3427" s="679">
        <v>3048437</v>
      </c>
      <c r="D3427" s="677">
        <v>5</v>
      </c>
      <c r="E3427" s="678" t="s">
        <v>3517</v>
      </c>
      <c r="F3427" s="170"/>
    </row>
    <row r="3428" spans="2:6" ht="15" x14ac:dyDescent="0.25">
      <c r="B3428" s="169"/>
      <c r="C3428" s="679">
        <v>3048438</v>
      </c>
      <c r="D3428" s="677">
        <v>3</v>
      </c>
      <c r="E3428" s="678" t="s">
        <v>3518</v>
      </c>
      <c r="F3428" s="170"/>
    </row>
    <row r="3429" spans="2:6" ht="15" x14ac:dyDescent="0.25">
      <c r="B3429" s="169"/>
      <c r="C3429" s="679">
        <v>3048439</v>
      </c>
      <c r="D3429" s="677">
        <v>1</v>
      </c>
      <c r="E3429" s="678" t="s">
        <v>3519</v>
      </c>
      <c r="F3429" s="170"/>
    </row>
    <row r="3430" spans="2:6" ht="15" x14ac:dyDescent="0.25">
      <c r="B3430" s="169"/>
      <c r="C3430" s="679">
        <v>3048440</v>
      </c>
      <c r="D3430" s="677">
        <v>5</v>
      </c>
      <c r="E3430" s="678" t="s">
        <v>3520</v>
      </c>
      <c r="F3430" s="170"/>
    </row>
    <row r="3431" spans="2:6" ht="15" x14ac:dyDescent="0.25">
      <c r="B3431" s="169"/>
      <c r="C3431" s="679">
        <v>3048441</v>
      </c>
      <c r="D3431" s="677">
        <v>3</v>
      </c>
      <c r="E3431" s="678" t="s">
        <v>3521</v>
      </c>
      <c r="F3431" s="170"/>
    </row>
    <row r="3432" spans="2:6" ht="15" x14ac:dyDescent="0.25">
      <c r="B3432" s="169"/>
      <c r="C3432" s="679">
        <v>3048442</v>
      </c>
      <c r="D3432" s="677">
        <v>1</v>
      </c>
      <c r="E3432" s="678" t="s">
        <v>3522</v>
      </c>
      <c r="F3432" s="170"/>
    </row>
    <row r="3433" spans="2:6" ht="15" x14ac:dyDescent="0.25">
      <c r="B3433" s="169"/>
      <c r="C3433" s="679">
        <v>3048443</v>
      </c>
      <c r="D3433" s="677">
        <v>0</v>
      </c>
      <c r="E3433" s="678" t="s">
        <v>3523</v>
      </c>
      <c r="F3433" s="170"/>
    </row>
    <row r="3434" spans="2:6" ht="15" x14ac:dyDescent="0.25">
      <c r="B3434" s="169"/>
      <c r="C3434" s="679">
        <v>3048444</v>
      </c>
      <c r="D3434" s="677">
        <v>8</v>
      </c>
      <c r="E3434" s="678" t="s">
        <v>3524</v>
      </c>
      <c r="F3434" s="170"/>
    </row>
    <row r="3435" spans="2:6" ht="15" x14ac:dyDescent="0.25">
      <c r="B3435" s="169"/>
      <c r="C3435" s="679">
        <v>3048445</v>
      </c>
      <c r="D3435" s="677">
        <v>6</v>
      </c>
      <c r="E3435" s="678" t="s">
        <v>3525</v>
      </c>
      <c r="F3435" s="170"/>
    </row>
    <row r="3436" spans="2:6" ht="15" x14ac:dyDescent="0.25">
      <c r="B3436" s="169"/>
      <c r="C3436" s="679">
        <v>3048446</v>
      </c>
      <c r="D3436" s="677">
        <v>4</v>
      </c>
      <c r="E3436" s="678" t="s">
        <v>3526</v>
      </c>
      <c r="F3436" s="170"/>
    </row>
    <row r="3437" spans="2:6" ht="15" x14ac:dyDescent="0.25">
      <c r="B3437" s="169"/>
      <c r="C3437" s="679">
        <v>3048447</v>
      </c>
      <c r="D3437" s="677">
        <v>2</v>
      </c>
      <c r="E3437" s="678" t="s">
        <v>3527</v>
      </c>
      <c r="F3437" s="170"/>
    </row>
    <row r="3438" spans="2:6" ht="15" x14ac:dyDescent="0.25">
      <c r="B3438" s="169"/>
      <c r="C3438" s="679">
        <v>3048448</v>
      </c>
      <c r="D3438" s="677">
        <v>1</v>
      </c>
      <c r="E3438" s="678" t="s">
        <v>3528</v>
      </c>
      <c r="F3438" s="170"/>
    </row>
    <row r="3439" spans="2:6" ht="15" x14ac:dyDescent="0.25">
      <c r="B3439" s="169"/>
      <c r="C3439" s="679">
        <v>3048449</v>
      </c>
      <c r="D3439" s="677">
        <v>9</v>
      </c>
      <c r="E3439" s="678" t="s">
        <v>3529</v>
      </c>
      <c r="F3439" s="170"/>
    </row>
    <row r="3440" spans="2:6" ht="15" x14ac:dyDescent="0.25">
      <c r="B3440" s="169"/>
      <c r="C3440" s="679">
        <v>3048450</v>
      </c>
      <c r="D3440" s="677">
        <v>2</v>
      </c>
      <c r="E3440" s="678" t="s">
        <v>3530</v>
      </c>
      <c r="F3440" s="170"/>
    </row>
    <row r="3441" spans="2:6" ht="15" x14ac:dyDescent="0.25">
      <c r="B3441" s="169"/>
      <c r="C3441" s="679">
        <v>3048451</v>
      </c>
      <c r="D3441" s="677">
        <v>1</v>
      </c>
      <c r="E3441" s="678" t="s">
        <v>3531</v>
      </c>
      <c r="F3441" s="170"/>
    </row>
    <row r="3442" spans="2:6" ht="15" x14ac:dyDescent="0.25">
      <c r="B3442" s="169"/>
      <c r="C3442" s="679">
        <v>3048452</v>
      </c>
      <c r="D3442" s="677">
        <v>9</v>
      </c>
      <c r="E3442" s="678" t="s">
        <v>3532</v>
      </c>
      <c r="F3442" s="170"/>
    </row>
    <row r="3443" spans="2:6" ht="15" x14ac:dyDescent="0.25">
      <c r="B3443" s="169"/>
      <c r="C3443" s="679">
        <v>3048453</v>
      </c>
      <c r="D3443" s="677">
        <v>7</v>
      </c>
      <c r="E3443" s="678" t="s">
        <v>3533</v>
      </c>
      <c r="F3443" s="170"/>
    </row>
    <row r="3444" spans="2:6" ht="15" x14ac:dyDescent="0.25">
      <c r="B3444" s="169"/>
      <c r="C3444" s="679">
        <v>3048454</v>
      </c>
      <c r="D3444" s="677">
        <v>5</v>
      </c>
      <c r="E3444" s="678" t="s">
        <v>3534</v>
      </c>
      <c r="F3444" s="170"/>
    </row>
    <row r="3445" spans="2:6" ht="15" x14ac:dyDescent="0.25">
      <c r="B3445" s="169"/>
      <c r="C3445" s="679">
        <v>3048455</v>
      </c>
      <c r="D3445" s="677">
        <v>3</v>
      </c>
      <c r="E3445" s="678" t="s">
        <v>3535</v>
      </c>
      <c r="F3445" s="170"/>
    </row>
    <row r="3446" spans="2:6" ht="15" x14ac:dyDescent="0.25">
      <c r="B3446" s="169"/>
      <c r="C3446" s="679">
        <v>3048456</v>
      </c>
      <c r="D3446" s="677">
        <v>1</v>
      </c>
      <c r="E3446" s="678" t="s">
        <v>3536</v>
      </c>
      <c r="F3446" s="170"/>
    </row>
    <row r="3447" spans="2:6" ht="15" x14ac:dyDescent="0.25">
      <c r="B3447" s="169"/>
      <c r="C3447" s="679">
        <v>3048457</v>
      </c>
      <c r="D3447" s="677">
        <v>0</v>
      </c>
      <c r="E3447" s="678" t="s">
        <v>3537</v>
      </c>
      <c r="F3447" s="170"/>
    </row>
    <row r="3448" spans="2:6" ht="15" x14ac:dyDescent="0.25">
      <c r="B3448" s="169"/>
      <c r="C3448" s="679">
        <v>3048401</v>
      </c>
      <c r="D3448" s="677">
        <v>4</v>
      </c>
      <c r="E3448" s="678" t="s">
        <v>3538</v>
      </c>
      <c r="F3448" s="170"/>
    </row>
    <row r="3449" spans="2:6" ht="15" x14ac:dyDescent="0.25">
      <c r="B3449" s="169"/>
      <c r="C3449" s="679">
        <v>3048458</v>
      </c>
      <c r="D3449" s="677">
        <v>8</v>
      </c>
      <c r="E3449" s="678" t="s">
        <v>3539</v>
      </c>
      <c r="F3449" s="170"/>
    </row>
    <row r="3450" spans="2:6" ht="15" x14ac:dyDescent="0.25">
      <c r="B3450" s="169"/>
      <c r="C3450" s="679">
        <v>3048459</v>
      </c>
      <c r="D3450" s="677">
        <v>6</v>
      </c>
      <c r="E3450" s="678" t="s">
        <v>3540</v>
      </c>
      <c r="F3450" s="170"/>
    </row>
    <row r="3451" spans="2:6" ht="15" x14ac:dyDescent="0.25">
      <c r="B3451" s="169"/>
      <c r="C3451" s="679">
        <v>3048460</v>
      </c>
      <c r="D3451" s="677">
        <v>0</v>
      </c>
      <c r="E3451" s="678" t="s">
        <v>3541</v>
      </c>
      <c r="F3451" s="170"/>
    </row>
    <row r="3452" spans="2:6" ht="15" x14ac:dyDescent="0.25">
      <c r="B3452" s="169"/>
      <c r="C3452" s="679">
        <v>3048461</v>
      </c>
      <c r="D3452" s="677">
        <v>8</v>
      </c>
      <c r="E3452" s="678" t="s">
        <v>3542</v>
      </c>
      <c r="F3452" s="170"/>
    </row>
    <row r="3453" spans="2:6" ht="15" x14ac:dyDescent="0.25">
      <c r="B3453" s="169"/>
      <c r="C3453" s="679">
        <v>3048462</v>
      </c>
      <c r="D3453" s="677">
        <v>6</v>
      </c>
      <c r="E3453" s="678" t="s">
        <v>3543</v>
      </c>
      <c r="F3453" s="170"/>
    </row>
    <row r="3454" spans="2:6" ht="15" x14ac:dyDescent="0.25">
      <c r="B3454" s="169"/>
      <c r="C3454" s="679">
        <v>3048463</v>
      </c>
      <c r="D3454" s="677">
        <v>4</v>
      </c>
      <c r="E3454" s="678" t="s">
        <v>3544</v>
      </c>
      <c r="F3454" s="170"/>
    </row>
    <row r="3455" spans="2:6" ht="15" x14ac:dyDescent="0.25">
      <c r="B3455" s="169"/>
      <c r="C3455" s="679">
        <v>3048464</v>
      </c>
      <c r="D3455" s="677">
        <v>2</v>
      </c>
      <c r="E3455" s="678" t="s">
        <v>3545</v>
      </c>
      <c r="F3455" s="170"/>
    </row>
    <row r="3456" spans="2:6" ht="15" x14ac:dyDescent="0.25">
      <c r="B3456" s="169"/>
      <c r="C3456" s="679">
        <v>3048465</v>
      </c>
      <c r="D3456" s="677">
        <v>1</v>
      </c>
      <c r="E3456" s="678" t="s">
        <v>3546</v>
      </c>
      <c r="F3456" s="170"/>
    </row>
    <row r="3457" spans="2:6" ht="15" x14ac:dyDescent="0.25">
      <c r="B3457" s="169"/>
      <c r="C3457" s="679">
        <v>3048466</v>
      </c>
      <c r="D3457" s="677">
        <v>9</v>
      </c>
      <c r="E3457" s="678" t="s">
        <v>3547</v>
      </c>
      <c r="F3457" s="170"/>
    </row>
    <row r="3458" spans="2:6" ht="15" x14ac:dyDescent="0.25">
      <c r="B3458" s="169"/>
      <c r="C3458" s="679">
        <v>3048467</v>
      </c>
      <c r="D3458" s="677">
        <v>7</v>
      </c>
      <c r="E3458" s="678" t="s">
        <v>3548</v>
      </c>
      <c r="F3458" s="170"/>
    </row>
    <row r="3459" spans="2:6" ht="15" x14ac:dyDescent="0.25">
      <c r="B3459" s="169"/>
      <c r="C3459" s="679">
        <v>3048468</v>
      </c>
      <c r="D3459" s="677">
        <v>5</v>
      </c>
      <c r="E3459" s="678" t="s">
        <v>3549</v>
      </c>
      <c r="F3459" s="170"/>
    </row>
    <row r="3460" spans="2:6" ht="15" x14ac:dyDescent="0.25">
      <c r="B3460" s="169"/>
      <c r="C3460" s="679">
        <v>3048469</v>
      </c>
      <c r="D3460" s="677">
        <v>3</v>
      </c>
      <c r="E3460" s="678" t="s">
        <v>3550</v>
      </c>
      <c r="F3460" s="170"/>
    </row>
    <row r="3461" spans="2:6" ht="15" x14ac:dyDescent="0.25">
      <c r="B3461" s="169"/>
      <c r="C3461" s="679">
        <v>3048470</v>
      </c>
      <c r="D3461" s="677">
        <v>7</v>
      </c>
      <c r="E3461" s="678" t="s">
        <v>3551</v>
      </c>
      <c r="F3461" s="170"/>
    </row>
    <row r="3462" spans="2:6" ht="15" x14ac:dyDescent="0.25">
      <c r="B3462" s="169"/>
      <c r="C3462" s="679">
        <v>3048471</v>
      </c>
      <c r="D3462" s="677">
        <v>5</v>
      </c>
      <c r="E3462" s="678" t="s">
        <v>3552</v>
      </c>
      <c r="F3462" s="170"/>
    </row>
    <row r="3463" spans="2:6" ht="15" x14ac:dyDescent="0.25">
      <c r="B3463" s="169"/>
      <c r="C3463" s="679">
        <v>3048472</v>
      </c>
      <c r="D3463" s="677">
        <v>3</v>
      </c>
      <c r="E3463" s="678" t="s">
        <v>3553</v>
      </c>
      <c r="F3463" s="170"/>
    </row>
    <row r="3464" spans="2:6" ht="15" x14ac:dyDescent="0.25">
      <c r="B3464" s="169"/>
      <c r="C3464" s="679">
        <v>3048473</v>
      </c>
      <c r="D3464" s="677">
        <v>1</v>
      </c>
      <c r="E3464" s="678" t="s">
        <v>3554</v>
      </c>
      <c r="F3464" s="170"/>
    </row>
    <row r="3465" spans="2:6" ht="15" x14ac:dyDescent="0.25">
      <c r="B3465" s="169"/>
      <c r="C3465" s="679">
        <v>3048474</v>
      </c>
      <c r="D3465" s="677">
        <v>0</v>
      </c>
      <c r="E3465" s="678" t="s">
        <v>3555</v>
      </c>
      <c r="F3465" s="170"/>
    </row>
    <row r="3466" spans="2:6" ht="15" x14ac:dyDescent="0.25">
      <c r="B3466" s="169"/>
      <c r="C3466" s="679">
        <v>3048475</v>
      </c>
      <c r="D3466" s="677">
        <v>8</v>
      </c>
      <c r="E3466" s="678" t="s">
        <v>3556</v>
      </c>
      <c r="F3466" s="170"/>
    </row>
    <row r="3467" spans="2:6" ht="15" x14ac:dyDescent="0.25">
      <c r="B3467" s="169"/>
      <c r="C3467" s="679">
        <v>3048476</v>
      </c>
      <c r="D3467" s="677">
        <v>6</v>
      </c>
      <c r="E3467" s="678" t="s">
        <v>3557</v>
      </c>
      <c r="F3467" s="170"/>
    </row>
    <row r="3468" spans="2:6" ht="15" x14ac:dyDescent="0.25">
      <c r="B3468" s="169"/>
      <c r="C3468" s="679">
        <v>3048477</v>
      </c>
      <c r="D3468" s="677">
        <v>4</v>
      </c>
      <c r="E3468" s="678" t="s">
        <v>3558</v>
      </c>
      <c r="F3468" s="170"/>
    </row>
    <row r="3469" spans="2:6" ht="15" x14ac:dyDescent="0.25">
      <c r="B3469" s="169"/>
      <c r="C3469" s="679">
        <v>3048478</v>
      </c>
      <c r="D3469" s="677">
        <v>2</v>
      </c>
      <c r="E3469" s="678" t="s">
        <v>3559</v>
      </c>
      <c r="F3469" s="170"/>
    </row>
    <row r="3470" spans="2:6" ht="15" x14ac:dyDescent="0.25">
      <c r="B3470" s="169"/>
      <c r="C3470" s="679">
        <v>3048479</v>
      </c>
      <c r="D3470" s="677">
        <v>1</v>
      </c>
      <c r="E3470" s="678" t="s">
        <v>3560</v>
      </c>
      <c r="F3470" s="170"/>
    </row>
    <row r="3471" spans="2:6" ht="15" x14ac:dyDescent="0.25">
      <c r="B3471" s="169"/>
      <c r="C3471" s="679">
        <v>3048480</v>
      </c>
      <c r="D3471" s="677">
        <v>4</v>
      </c>
      <c r="E3471" s="678" t="s">
        <v>3561</v>
      </c>
      <c r="F3471" s="170"/>
    </row>
    <row r="3472" spans="2:6" ht="15" x14ac:dyDescent="0.25">
      <c r="B3472" s="169"/>
      <c r="C3472" s="679">
        <v>3048481</v>
      </c>
      <c r="D3472" s="677">
        <v>2</v>
      </c>
      <c r="E3472" s="678" t="s">
        <v>3562</v>
      </c>
      <c r="F3472" s="170"/>
    </row>
    <row r="3473" spans="2:6" ht="15" x14ac:dyDescent="0.25">
      <c r="B3473" s="169"/>
      <c r="C3473" s="679">
        <v>3048482</v>
      </c>
      <c r="D3473" s="677">
        <v>1</v>
      </c>
      <c r="E3473" s="678" t="s">
        <v>3563</v>
      </c>
      <c r="F3473" s="170"/>
    </row>
    <row r="3474" spans="2:6" ht="15" x14ac:dyDescent="0.25">
      <c r="B3474" s="169"/>
      <c r="C3474" s="679">
        <v>3048483</v>
      </c>
      <c r="D3474" s="677">
        <v>9</v>
      </c>
      <c r="E3474" s="678" t="s">
        <v>3564</v>
      </c>
      <c r="F3474" s="170"/>
    </row>
    <row r="3475" spans="2:6" ht="15" x14ac:dyDescent="0.25">
      <c r="B3475" s="169"/>
      <c r="C3475" s="679">
        <v>3048484</v>
      </c>
      <c r="D3475" s="677">
        <v>7</v>
      </c>
      <c r="E3475" s="678" t="s">
        <v>3565</v>
      </c>
      <c r="F3475" s="170"/>
    </row>
    <row r="3476" spans="2:6" ht="15" x14ac:dyDescent="0.25">
      <c r="B3476" s="169"/>
      <c r="C3476" s="679">
        <v>3048485</v>
      </c>
      <c r="D3476" s="677">
        <v>5</v>
      </c>
      <c r="E3476" s="678" t="s">
        <v>3566</v>
      </c>
      <c r="F3476" s="170"/>
    </row>
    <row r="3477" spans="2:6" ht="15" x14ac:dyDescent="0.25">
      <c r="B3477" s="169"/>
      <c r="C3477" s="679">
        <v>3048486</v>
      </c>
      <c r="D3477" s="677">
        <v>3</v>
      </c>
      <c r="E3477" s="678" t="s">
        <v>3567</v>
      </c>
      <c r="F3477" s="170"/>
    </row>
    <row r="3478" spans="2:6" ht="15" x14ac:dyDescent="0.25">
      <c r="B3478" s="169"/>
      <c r="C3478" s="679">
        <v>3048487</v>
      </c>
      <c r="D3478" s="677">
        <v>1</v>
      </c>
      <c r="E3478" s="678" t="s">
        <v>3568</v>
      </c>
      <c r="F3478" s="170"/>
    </row>
    <row r="3479" spans="2:6" ht="15" x14ac:dyDescent="0.25">
      <c r="B3479" s="169"/>
      <c r="C3479" s="679">
        <v>3048488</v>
      </c>
      <c r="D3479" s="677">
        <v>0</v>
      </c>
      <c r="E3479" s="678" t="s">
        <v>3569</v>
      </c>
      <c r="F3479" s="170"/>
    </row>
    <row r="3480" spans="2:6" ht="15" x14ac:dyDescent="0.25">
      <c r="B3480" s="169"/>
      <c r="C3480" s="679">
        <v>3048489</v>
      </c>
      <c r="D3480" s="677">
        <v>8</v>
      </c>
      <c r="E3480" s="678" t="s">
        <v>3570</v>
      </c>
      <c r="F3480" s="170"/>
    </row>
    <row r="3481" spans="2:6" ht="15" x14ac:dyDescent="0.25">
      <c r="B3481" s="169"/>
      <c r="C3481" s="679">
        <v>3048490</v>
      </c>
      <c r="D3481" s="677">
        <v>1</v>
      </c>
      <c r="E3481" s="678" t="s">
        <v>3571</v>
      </c>
      <c r="F3481" s="170"/>
    </row>
    <row r="3482" spans="2:6" ht="15" x14ac:dyDescent="0.25">
      <c r="B3482" s="169"/>
      <c r="C3482" s="679">
        <v>3048491</v>
      </c>
      <c r="D3482" s="677">
        <v>0</v>
      </c>
      <c r="E3482" s="678" t="s">
        <v>3572</v>
      </c>
      <c r="F3482" s="170"/>
    </row>
    <row r="3483" spans="2:6" ht="15" x14ac:dyDescent="0.25">
      <c r="B3483" s="169"/>
      <c r="C3483" s="679">
        <v>3048492</v>
      </c>
      <c r="D3483" s="677">
        <v>8</v>
      </c>
      <c r="E3483" s="678" t="s">
        <v>3573</v>
      </c>
      <c r="F3483" s="170"/>
    </row>
    <row r="3484" spans="2:6" ht="15" x14ac:dyDescent="0.25">
      <c r="B3484" s="169"/>
      <c r="C3484" s="679">
        <v>3048493</v>
      </c>
      <c r="D3484" s="677">
        <v>6</v>
      </c>
      <c r="E3484" s="678" t="s">
        <v>3574</v>
      </c>
      <c r="F3484" s="170"/>
    </row>
    <row r="3485" spans="2:6" ht="15" x14ac:dyDescent="0.25">
      <c r="B3485" s="169"/>
      <c r="C3485" s="679">
        <v>3048494</v>
      </c>
      <c r="D3485" s="677">
        <v>4</v>
      </c>
      <c r="E3485" s="678" t="s">
        <v>3575</v>
      </c>
      <c r="F3485" s="170"/>
    </row>
    <row r="3486" spans="2:6" ht="15" x14ac:dyDescent="0.25">
      <c r="B3486" s="169"/>
      <c r="C3486" s="679">
        <v>3048495</v>
      </c>
      <c r="D3486" s="677">
        <v>2</v>
      </c>
      <c r="E3486" s="678" t="s">
        <v>3576</v>
      </c>
      <c r="F3486" s="170"/>
    </row>
    <row r="3487" spans="2:6" ht="15" x14ac:dyDescent="0.25">
      <c r="B3487" s="169"/>
      <c r="C3487" s="679">
        <v>3048496</v>
      </c>
      <c r="D3487" s="677">
        <v>1</v>
      </c>
      <c r="E3487" s="678" t="s">
        <v>3577</v>
      </c>
      <c r="F3487" s="170"/>
    </row>
    <row r="3488" spans="2:6" ht="15" x14ac:dyDescent="0.25">
      <c r="B3488" s="169"/>
      <c r="C3488" s="679">
        <v>3048497</v>
      </c>
      <c r="D3488" s="677">
        <v>9</v>
      </c>
      <c r="E3488" s="678" t="s">
        <v>3578</v>
      </c>
      <c r="F3488" s="170"/>
    </row>
    <row r="3489" spans="2:6" ht="15" x14ac:dyDescent="0.25">
      <c r="B3489" s="169"/>
      <c r="C3489" s="679">
        <v>3048498</v>
      </c>
      <c r="D3489" s="677">
        <v>7</v>
      </c>
      <c r="E3489" s="678" t="s">
        <v>3579</v>
      </c>
      <c r="F3489" s="170"/>
    </row>
    <row r="3490" spans="2:6" ht="15" x14ac:dyDescent="0.25">
      <c r="B3490" s="169"/>
      <c r="C3490" s="679">
        <v>3048499</v>
      </c>
      <c r="D3490" s="677">
        <v>5</v>
      </c>
      <c r="E3490" s="678" t="s">
        <v>3580</v>
      </c>
      <c r="F3490" s="170"/>
    </row>
    <row r="3491" spans="2:6" ht="15" x14ac:dyDescent="0.25">
      <c r="B3491" s="169"/>
      <c r="C3491" s="679">
        <v>3048500</v>
      </c>
      <c r="D3491" s="677">
        <v>2</v>
      </c>
      <c r="E3491" s="678" t="s">
        <v>3581</v>
      </c>
      <c r="F3491" s="170"/>
    </row>
    <row r="3492" spans="2:6" ht="15" x14ac:dyDescent="0.25">
      <c r="B3492" s="169"/>
      <c r="C3492" s="679">
        <v>3048501</v>
      </c>
      <c r="D3492" s="677">
        <v>1</v>
      </c>
      <c r="E3492" s="678" t="s">
        <v>3582</v>
      </c>
      <c r="F3492" s="170"/>
    </row>
    <row r="3493" spans="2:6" ht="15" x14ac:dyDescent="0.25">
      <c r="B3493" s="169"/>
      <c r="C3493" s="679">
        <v>3048502</v>
      </c>
      <c r="D3493" s="677">
        <v>9</v>
      </c>
      <c r="E3493" s="678" t="s">
        <v>3583</v>
      </c>
      <c r="F3493" s="170"/>
    </row>
    <row r="3494" spans="2:6" ht="15" x14ac:dyDescent="0.25">
      <c r="B3494" s="169"/>
      <c r="C3494" s="679">
        <v>3048503</v>
      </c>
      <c r="D3494" s="677">
        <v>7</v>
      </c>
      <c r="E3494" s="678" t="s">
        <v>3584</v>
      </c>
      <c r="F3494" s="170"/>
    </row>
    <row r="3495" spans="2:6" ht="15" x14ac:dyDescent="0.25">
      <c r="B3495" s="169"/>
      <c r="C3495" s="679">
        <v>3048504</v>
      </c>
      <c r="D3495" s="677">
        <v>5</v>
      </c>
      <c r="E3495" s="678" t="s">
        <v>3585</v>
      </c>
      <c r="F3495" s="170"/>
    </row>
    <row r="3496" spans="2:6" ht="15" x14ac:dyDescent="0.25">
      <c r="B3496" s="169"/>
      <c r="C3496" s="679">
        <v>3048505</v>
      </c>
      <c r="D3496" s="677">
        <v>3</v>
      </c>
      <c r="E3496" s="678" t="s">
        <v>3586</v>
      </c>
      <c r="F3496" s="170"/>
    </row>
    <row r="3497" spans="2:6" ht="15" x14ac:dyDescent="0.25">
      <c r="B3497" s="169"/>
      <c r="C3497" s="679">
        <v>3048506</v>
      </c>
      <c r="D3497" s="677">
        <v>1</v>
      </c>
      <c r="E3497" s="678" t="s">
        <v>3587</v>
      </c>
      <c r="F3497" s="170"/>
    </row>
    <row r="3498" spans="2:6" ht="15" x14ac:dyDescent="0.25">
      <c r="B3498" s="169"/>
      <c r="C3498" s="679">
        <v>3048507</v>
      </c>
      <c r="D3498" s="677">
        <v>0</v>
      </c>
      <c r="E3498" s="678" t="s">
        <v>3588</v>
      </c>
      <c r="F3498" s="170"/>
    </row>
    <row r="3499" spans="2:6" ht="15" x14ac:dyDescent="0.25">
      <c r="B3499" s="169"/>
      <c r="C3499" s="679">
        <v>3048508</v>
      </c>
      <c r="D3499" s="677">
        <v>8</v>
      </c>
      <c r="E3499" s="678" t="s">
        <v>3589</v>
      </c>
      <c r="F3499" s="170"/>
    </row>
    <row r="3500" spans="2:6" ht="15" x14ac:dyDescent="0.25">
      <c r="B3500" s="169"/>
      <c r="C3500" s="679">
        <v>3048509</v>
      </c>
      <c r="D3500" s="677">
        <v>6</v>
      </c>
      <c r="E3500" s="678" t="s">
        <v>3590</v>
      </c>
      <c r="F3500" s="170"/>
    </row>
    <row r="3501" spans="2:6" ht="15" x14ac:dyDescent="0.25">
      <c r="B3501" s="169"/>
      <c r="C3501" s="679">
        <v>3048510</v>
      </c>
      <c r="D3501" s="677">
        <v>0</v>
      </c>
      <c r="E3501" s="678" t="s">
        <v>3591</v>
      </c>
      <c r="F3501" s="170"/>
    </row>
    <row r="3502" spans="2:6" ht="15" x14ac:dyDescent="0.25">
      <c r="B3502" s="169"/>
      <c r="C3502" s="679">
        <v>3048511</v>
      </c>
      <c r="D3502" s="677">
        <v>8</v>
      </c>
      <c r="E3502" s="678" t="s">
        <v>3592</v>
      </c>
      <c r="F3502" s="170"/>
    </row>
    <row r="3503" spans="2:6" ht="15" x14ac:dyDescent="0.25">
      <c r="B3503" s="169"/>
      <c r="C3503" s="679">
        <v>3048512</v>
      </c>
      <c r="D3503" s="677">
        <v>6</v>
      </c>
      <c r="E3503" s="678" t="s">
        <v>3593</v>
      </c>
      <c r="F3503" s="170"/>
    </row>
    <row r="3504" spans="2:6" ht="15" x14ac:dyDescent="0.25">
      <c r="B3504" s="169"/>
      <c r="C3504" s="679">
        <v>3155431</v>
      </c>
      <c r="D3504" s="677">
        <v>8</v>
      </c>
      <c r="E3504" s="678" t="s">
        <v>3594</v>
      </c>
      <c r="F3504" s="170"/>
    </row>
    <row r="3505" spans="2:6" ht="15" x14ac:dyDescent="0.25">
      <c r="B3505" s="169"/>
      <c r="C3505" s="679">
        <v>3048513</v>
      </c>
      <c r="D3505" s="677">
        <v>4</v>
      </c>
      <c r="E3505" s="678" t="s">
        <v>3595</v>
      </c>
      <c r="F3505" s="170"/>
    </row>
    <row r="3506" spans="2:6" ht="15" x14ac:dyDescent="0.25">
      <c r="B3506" s="169"/>
      <c r="C3506" s="679">
        <v>3048514</v>
      </c>
      <c r="D3506" s="677">
        <v>2</v>
      </c>
      <c r="E3506" s="678" t="s">
        <v>3596</v>
      </c>
      <c r="F3506" s="170"/>
    </row>
    <row r="3507" spans="2:6" ht="15" x14ac:dyDescent="0.25">
      <c r="B3507" s="169"/>
      <c r="C3507" s="679">
        <v>3048515</v>
      </c>
      <c r="D3507" s="677">
        <v>1</v>
      </c>
      <c r="E3507" s="678" t="s">
        <v>3597</v>
      </c>
      <c r="F3507" s="170"/>
    </row>
    <row r="3508" spans="2:6" ht="15" x14ac:dyDescent="0.25">
      <c r="B3508" s="169"/>
      <c r="C3508" s="679">
        <v>3048516</v>
      </c>
      <c r="D3508" s="677">
        <v>9</v>
      </c>
      <c r="E3508" s="678" t="s">
        <v>3598</v>
      </c>
      <c r="F3508" s="170"/>
    </row>
    <row r="3509" spans="2:6" ht="15" x14ac:dyDescent="0.25">
      <c r="B3509" s="169"/>
      <c r="C3509" s="679">
        <v>3095676</v>
      </c>
      <c r="D3509" s="677">
        <v>5</v>
      </c>
      <c r="E3509" s="678" t="s">
        <v>3599</v>
      </c>
      <c r="F3509" s="170"/>
    </row>
    <row r="3510" spans="2:6" ht="15" x14ac:dyDescent="0.25">
      <c r="B3510" s="169"/>
      <c r="C3510" s="679">
        <v>3143397</v>
      </c>
      <c r="D3510" s="677">
        <v>9</v>
      </c>
      <c r="E3510" s="678" t="s">
        <v>3600</v>
      </c>
      <c r="F3510" s="170"/>
    </row>
    <row r="3511" spans="2:6" ht="15" x14ac:dyDescent="0.25">
      <c r="B3511" s="169"/>
      <c r="C3511" s="679">
        <v>3048517</v>
      </c>
      <c r="D3511" s="677">
        <v>7</v>
      </c>
      <c r="E3511" s="678" t="s">
        <v>3601</v>
      </c>
      <c r="F3511" s="170"/>
    </row>
    <row r="3512" spans="2:6" ht="15" x14ac:dyDescent="0.25">
      <c r="B3512" s="169"/>
      <c r="C3512" s="679">
        <v>3048518</v>
      </c>
      <c r="D3512" s="677">
        <v>5</v>
      </c>
      <c r="E3512" s="678" t="s">
        <v>3602</v>
      </c>
      <c r="F3512" s="170"/>
    </row>
    <row r="3513" spans="2:6" ht="15" x14ac:dyDescent="0.25">
      <c r="B3513" s="169"/>
      <c r="C3513" s="679">
        <v>3048519</v>
      </c>
      <c r="D3513" s="677">
        <v>3</v>
      </c>
      <c r="E3513" s="678" t="s">
        <v>3603</v>
      </c>
      <c r="F3513" s="170"/>
    </row>
    <row r="3514" spans="2:6" ht="15" x14ac:dyDescent="0.25">
      <c r="B3514" s="169"/>
      <c r="C3514" s="679">
        <v>3048520</v>
      </c>
      <c r="D3514" s="677">
        <v>7</v>
      </c>
      <c r="E3514" s="678" t="s">
        <v>3604</v>
      </c>
      <c r="F3514" s="170"/>
    </row>
    <row r="3515" spans="2:6" ht="15" x14ac:dyDescent="0.25">
      <c r="B3515" s="169"/>
      <c r="C3515" s="679">
        <v>3048521</v>
      </c>
      <c r="D3515" s="677">
        <v>5</v>
      </c>
      <c r="E3515" s="678" t="s">
        <v>3605</v>
      </c>
      <c r="F3515" s="170"/>
    </row>
    <row r="3516" spans="2:6" ht="15" x14ac:dyDescent="0.25">
      <c r="B3516" s="169"/>
      <c r="C3516" s="679">
        <v>3048522</v>
      </c>
      <c r="D3516" s="677">
        <v>3</v>
      </c>
      <c r="E3516" s="678" t="s">
        <v>3606</v>
      </c>
      <c r="F3516" s="170"/>
    </row>
    <row r="3517" spans="2:6" ht="15" x14ac:dyDescent="0.25">
      <c r="B3517" s="169"/>
      <c r="C3517" s="679">
        <v>3153445</v>
      </c>
      <c r="D3517" s="677">
        <v>7</v>
      </c>
      <c r="E3517" s="678" t="s">
        <v>3607</v>
      </c>
      <c r="F3517" s="170"/>
    </row>
    <row r="3518" spans="2:6" ht="15" x14ac:dyDescent="0.25">
      <c r="B3518" s="169"/>
      <c r="C3518" s="679">
        <v>3161234</v>
      </c>
      <c r="D3518" s="677">
        <v>2</v>
      </c>
      <c r="E3518" s="678" t="s">
        <v>3608</v>
      </c>
      <c r="F3518" s="170"/>
    </row>
    <row r="3519" spans="2:6" ht="15" x14ac:dyDescent="0.25">
      <c r="B3519" s="169"/>
      <c r="C3519" s="679">
        <v>3091360</v>
      </c>
      <c r="D3519" s="677">
        <v>8</v>
      </c>
      <c r="E3519" s="678" t="s">
        <v>3609</v>
      </c>
      <c r="F3519" s="170"/>
    </row>
    <row r="3520" spans="2:6" ht="15" x14ac:dyDescent="0.25">
      <c r="B3520" s="169"/>
      <c r="C3520" s="679">
        <v>2961953</v>
      </c>
      <c r="D3520" s="677">
        <v>0</v>
      </c>
      <c r="E3520" s="678" t="s">
        <v>3610</v>
      </c>
      <c r="F3520" s="170"/>
    </row>
    <row r="3521" spans="2:6" ht="15" x14ac:dyDescent="0.25">
      <c r="B3521" s="169"/>
      <c r="C3521" s="679">
        <v>3078275</v>
      </c>
      <c r="D3521" s="677">
        <v>9</v>
      </c>
      <c r="E3521" s="678" t="s">
        <v>3611</v>
      </c>
      <c r="F3521" s="170"/>
    </row>
    <row r="3522" spans="2:6" ht="15" x14ac:dyDescent="0.25">
      <c r="B3522" s="169"/>
      <c r="C3522" s="679">
        <v>3058050</v>
      </c>
      <c r="D3522" s="677">
        <v>1</v>
      </c>
      <c r="E3522" s="678" t="s">
        <v>3612</v>
      </c>
      <c r="F3522" s="170"/>
    </row>
    <row r="3523" spans="2:6" ht="15" x14ac:dyDescent="0.25">
      <c r="B3523" s="169"/>
      <c r="C3523" s="679">
        <v>3131881</v>
      </c>
      <c r="D3523" s="677">
        <v>9</v>
      </c>
      <c r="E3523" s="678" t="s">
        <v>3613</v>
      </c>
      <c r="F3523" s="170"/>
    </row>
    <row r="3524" spans="2:6" ht="15" x14ac:dyDescent="0.25">
      <c r="B3524" s="169"/>
      <c r="C3524" s="679">
        <v>3114278</v>
      </c>
      <c r="D3524" s="677">
        <v>8</v>
      </c>
      <c r="E3524" s="678" t="s">
        <v>3614</v>
      </c>
      <c r="F3524" s="170"/>
    </row>
    <row r="3525" spans="2:6" ht="15" x14ac:dyDescent="0.25">
      <c r="B3525" s="169"/>
      <c r="C3525" s="679">
        <v>2963589</v>
      </c>
      <c r="D3525" s="677">
        <v>6</v>
      </c>
      <c r="E3525" s="678" t="s">
        <v>3615</v>
      </c>
      <c r="F3525" s="170"/>
    </row>
    <row r="3526" spans="2:6" ht="15" x14ac:dyDescent="0.25">
      <c r="B3526" s="169"/>
      <c r="C3526" s="679">
        <v>3075025</v>
      </c>
      <c r="D3526" s="677">
        <v>3</v>
      </c>
      <c r="E3526" s="678" t="s">
        <v>3616</v>
      </c>
      <c r="F3526" s="170"/>
    </row>
    <row r="3527" spans="2:6" ht="15" x14ac:dyDescent="0.25">
      <c r="B3527" s="169"/>
      <c r="C3527" s="679">
        <v>3078262</v>
      </c>
      <c r="D3527" s="677">
        <v>7</v>
      </c>
      <c r="E3527" s="678" t="s">
        <v>3617</v>
      </c>
      <c r="F3527" s="170"/>
    </row>
    <row r="3528" spans="2:6" ht="15" x14ac:dyDescent="0.25">
      <c r="B3528" s="169"/>
      <c r="C3528" s="679">
        <v>3226795</v>
      </c>
      <c r="D3528" s="677">
        <v>9</v>
      </c>
      <c r="E3528" s="678" t="s">
        <v>8500</v>
      </c>
      <c r="F3528" s="170"/>
    </row>
    <row r="3529" spans="2:6" ht="15" x14ac:dyDescent="0.25">
      <c r="B3529" s="169"/>
      <c r="C3529" s="679">
        <v>3075272</v>
      </c>
      <c r="D3529" s="677">
        <v>8</v>
      </c>
      <c r="E3529" s="678" t="s">
        <v>3618</v>
      </c>
      <c r="F3529" s="170"/>
    </row>
    <row r="3530" spans="2:6" ht="15" x14ac:dyDescent="0.25">
      <c r="B3530" s="169"/>
      <c r="C3530" s="679">
        <v>2963590</v>
      </c>
      <c r="D3530" s="677">
        <v>0</v>
      </c>
      <c r="E3530" s="678" t="s">
        <v>3619</v>
      </c>
      <c r="F3530" s="170"/>
    </row>
    <row r="3531" spans="2:6" ht="15" x14ac:dyDescent="0.25">
      <c r="B3531" s="169"/>
      <c r="C3531" s="679">
        <v>2963591</v>
      </c>
      <c r="D3531" s="677">
        <v>8</v>
      </c>
      <c r="E3531" s="678" t="s">
        <v>3620</v>
      </c>
      <c r="F3531" s="170"/>
    </row>
    <row r="3532" spans="2:6" ht="15" x14ac:dyDescent="0.25">
      <c r="B3532" s="169"/>
      <c r="C3532" s="679">
        <v>3074362</v>
      </c>
      <c r="D3532" s="677">
        <v>1</v>
      </c>
      <c r="E3532" s="678" t="s">
        <v>3621</v>
      </c>
      <c r="F3532" s="170"/>
    </row>
    <row r="3533" spans="2:6" ht="15" x14ac:dyDescent="0.25">
      <c r="B3533" s="169"/>
      <c r="C3533" s="679">
        <v>3339931</v>
      </c>
      <c r="D3533" s="677">
        <v>0</v>
      </c>
      <c r="E3533" s="678" t="s">
        <v>8501</v>
      </c>
      <c r="F3533" s="170"/>
    </row>
    <row r="3534" spans="2:6" ht="15" x14ac:dyDescent="0.25">
      <c r="B3534" s="169"/>
      <c r="C3534" s="679">
        <v>3262896</v>
      </c>
      <c r="D3534" s="677">
        <v>0</v>
      </c>
      <c r="E3534" s="678" t="s">
        <v>8502</v>
      </c>
      <c r="F3534" s="170"/>
    </row>
    <row r="3535" spans="2:6" ht="15" x14ac:dyDescent="0.25">
      <c r="B3535" s="169"/>
      <c r="C3535" s="679">
        <v>3058051</v>
      </c>
      <c r="D3535" s="677">
        <v>0</v>
      </c>
      <c r="E3535" s="678" t="s">
        <v>3622</v>
      </c>
      <c r="F3535" s="170"/>
    </row>
    <row r="3536" spans="2:6" ht="15" x14ac:dyDescent="0.25">
      <c r="B3536" s="169"/>
      <c r="C3536" s="679">
        <v>3330077</v>
      </c>
      <c r="D3536" s="677">
        <v>1</v>
      </c>
      <c r="E3536" s="678" t="s">
        <v>8503</v>
      </c>
      <c r="F3536" s="170"/>
    </row>
    <row r="3537" spans="2:6" ht="15" x14ac:dyDescent="0.25">
      <c r="B3537" s="169"/>
      <c r="C3537" s="679">
        <v>3071914</v>
      </c>
      <c r="D3537" s="677">
        <v>3</v>
      </c>
      <c r="E3537" s="678" t="s">
        <v>3623</v>
      </c>
      <c r="F3537" s="170"/>
    </row>
    <row r="3538" spans="2:6" ht="15" x14ac:dyDescent="0.25">
      <c r="B3538" s="169"/>
      <c r="C3538" s="679">
        <v>2963361</v>
      </c>
      <c r="D3538" s="677">
        <v>3</v>
      </c>
      <c r="E3538" s="678" t="s">
        <v>3624</v>
      </c>
      <c r="F3538" s="170"/>
    </row>
    <row r="3539" spans="2:6" ht="15" x14ac:dyDescent="0.25">
      <c r="B3539" s="169"/>
      <c r="C3539" s="679">
        <v>3276716</v>
      </c>
      <c r="D3539" s="677">
        <v>1</v>
      </c>
      <c r="E3539" s="678" t="s">
        <v>8504</v>
      </c>
      <c r="F3539" s="170"/>
    </row>
    <row r="3540" spans="2:6" ht="15" x14ac:dyDescent="0.25">
      <c r="B3540" s="169"/>
      <c r="C3540" s="679">
        <v>3075147</v>
      </c>
      <c r="D3540" s="677">
        <v>1</v>
      </c>
      <c r="E3540" s="678" t="s">
        <v>3625</v>
      </c>
      <c r="F3540" s="170"/>
    </row>
    <row r="3541" spans="2:6" ht="15" x14ac:dyDescent="0.25">
      <c r="B3541" s="169"/>
      <c r="C3541" s="679">
        <v>3075006</v>
      </c>
      <c r="D3541" s="677">
        <v>7</v>
      </c>
      <c r="E3541" s="678" t="s">
        <v>3626</v>
      </c>
      <c r="F3541" s="170"/>
    </row>
    <row r="3542" spans="2:6" ht="15" x14ac:dyDescent="0.25">
      <c r="B3542" s="169"/>
      <c r="C3542" s="679">
        <v>3265518</v>
      </c>
      <c r="D3542" s="677">
        <v>5</v>
      </c>
      <c r="E3542" s="678" t="s">
        <v>8505</v>
      </c>
      <c r="F3542" s="170"/>
    </row>
    <row r="3543" spans="2:6" ht="15" x14ac:dyDescent="0.25">
      <c r="B3543" s="169"/>
      <c r="C3543" s="679">
        <v>3082531</v>
      </c>
      <c r="D3543" s="677">
        <v>8</v>
      </c>
      <c r="E3543" s="678" t="s">
        <v>3627</v>
      </c>
      <c r="F3543" s="170"/>
    </row>
    <row r="3544" spans="2:6" ht="15" x14ac:dyDescent="0.25">
      <c r="B3544" s="169"/>
      <c r="C3544" s="679">
        <v>3176546</v>
      </c>
      <c r="D3544" s="677">
        <v>7</v>
      </c>
      <c r="E3544" s="678" t="s">
        <v>3628</v>
      </c>
      <c r="F3544" s="170"/>
    </row>
    <row r="3545" spans="2:6" ht="15" x14ac:dyDescent="0.25">
      <c r="B3545" s="169"/>
      <c r="C3545" s="679">
        <v>3285722</v>
      </c>
      <c r="D3545" s="677">
        <v>5</v>
      </c>
      <c r="E3545" s="678" t="s">
        <v>8506</v>
      </c>
      <c r="F3545" s="170"/>
    </row>
    <row r="3546" spans="2:6" ht="15" x14ac:dyDescent="0.25">
      <c r="B3546" s="169"/>
      <c r="C3546" s="679">
        <v>3048523</v>
      </c>
      <c r="D3546" s="677">
        <v>1</v>
      </c>
      <c r="E3546" s="678" t="s">
        <v>3629</v>
      </c>
      <c r="F3546" s="170"/>
    </row>
    <row r="3547" spans="2:6" ht="15" x14ac:dyDescent="0.25">
      <c r="B3547" s="169"/>
      <c r="C3547" s="679">
        <v>3048524</v>
      </c>
      <c r="D3547" s="677">
        <v>0</v>
      </c>
      <c r="E3547" s="678" t="s">
        <v>3630</v>
      </c>
      <c r="F3547" s="170"/>
    </row>
    <row r="3548" spans="2:6" ht="15" x14ac:dyDescent="0.25">
      <c r="B3548" s="169"/>
      <c r="C3548" s="679">
        <v>3048525</v>
      </c>
      <c r="D3548" s="677">
        <v>8</v>
      </c>
      <c r="E3548" s="678" t="s">
        <v>3631</v>
      </c>
      <c r="F3548" s="170"/>
    </row>
    <row r="3549" spans="2:6" ht="15" x14ac:dyDescent="0.25">
      <c r="B3549" s="169"/>
      <c r="C3549" s="679">
        <v>3048526</v>
      </c>
      <c r="D3549" s="677">
        <v>6</v>
      </c>
      <c r="E3549" s="678" t="s">
        <v>3632</v>
      </c>
      <c r="F3549" s="170"/>
    </row>
    <row r="3550" spans="2:6" ht="15" x14ac:dyDescent="0.25">
      <c r="B3550" s="169"/>
      <c r="C3550" s="679">
        <v>3048527</v>
      </c>
      <c r="D3550" s="677">
        <v>4</v>
      </c>
      <c r="E3550" s="678" t="s">
        <v>3633</v>
      </c>
      <c r="F3550" s="170"/>
    </row>
    <row r="3551" spans="2:6" ht="15" x14ac:dyDescent="0.25">
      <c r="B3551" s="169"/>
      <c r="C3551" s="679">
        <v>3048528</v>
      </c>
      <c r="D3551" s="677">
        <v>2</v>
      </c>
      <c r="E3551" s="678" t="s">
        <v>3634</v>
      </c>
      <c r="F3551" s="170"/>
    </row>
    <row r="3552" spans="2:6" ht="15" x14ac:dyDescent="0.25">
      <c r="B3552" s="169"/>
      <c r="C3552" s="679">
        <v>3048529</v>
      </c>
      <c r="D3552" s="677">
        <v>1</v>
      </c>
      <c r="E3552" s="678" t="s">
        <v>3635</v>
      </c>
      <c r="F3552" s="170"/>
    </row>
    <row r="3553" spans="2:6" ht="15" x14ac:dyDescent="0.25">
      <c r="B3553" s="169"/>
      <c r="C3553" s="679">
        <v>3048530</v>
      </c>
      <c r="D3553" s="677">
        <v>4</v>
      </c>
      <c r="E3553" s="678" t="s">
        <v>3636</v>
      </c>
      <c r="F3553" s="170"/>
    </row>
    <row r="3554" spans="2:6" ht="15" x14ac:dyDescent="0.25">
      <c r="B3554" s="169"/>
      <c r="C3554" s="679">
        <v>3048531</v>
      </c>
      <c r="D3554" s="677">
        <v>2</v>
      </c>
      <c r="E3554" s="678" t="s">
        <v>3637</v>
      </c>
      <c r="F3554" s="170"/>
    </row>
    <row r="3555" spans="2:6" ht="15" x14ac:dyDescent="0.25">
      <c r="B3555" s="169"/>
      <c r="C3555" s="679">
        <v>3048532</v>
      </c>
      <c r="D3555" s="677">
        <v>1</v>
      </c>
      <c r="E3555" s="678" t="s">
        <v>3638</v>
      </c>
      <c r="F3555" s="170"/>
    </row>
    <row r="3556" spans="2:6" ht="15" x14ac:dyDescent="0.25">
      <c r="B3556" s="169"/>
      <c r="C3556" s="679">
        <v>3087235</v>
      </c>
      <c r="D3556" s="677">
        <v>9</v>
      </c>
      <c r="E3556" s="678" t="s">
        <v>3639</v>
      </c>
      <c r="F3556" s="170"/>
    </row>
    <row r="3557" spans="2:6" ht="15" x14ac:dyDescent="0.25">
      <c r="B3557" s="169"/>
      <c r="C3557" s="679">
        <v>3140405</v>
      </c>
      <c r="D3557" s="677">
        <v>7</v>
      </c>
      <c r="E3557" s="678" t="s">
        <v>3640</v>
      </c>
      <c r="F3557" s="170"/>
    </row>
    <row r="3558" spans="2:6" ht="15" x14ac:dyDescent="0.25">
      <c r="B3558" s="169"/>
      <c r="C3558" s="679">
        <v>3048533</v>
      </c>
      <c r="D3558" s="677">
        <v>9</v>
      </c>
      <c r="E3558" s="678" t="s">
        <v>3641</v>
      </c>
      <c r="F3558" s="170"/>
    </row>
    <row r="3559" spans="2:6" ht="15" x14ac:dyDescent="0.25">
      <c r="B3559" s="169"/>
      <c r="C3559" s="679">
        <v>3048534</v>
      </c>
      <c r="D3559" s="677">
        <v>7</v>
      </c>
      <c r="E3559" s="678" t="s">
        <v>3642</v>
      </c>
      <c r="F3559" s="170"/>
    </row>
    <row r="3560" spans="2:6" ht="15" x14ac:dyDescent="0.25">
      <c r="B3560" s="169"/>
      <c r="C3560" s="679">
        <v>3048535</v>
      </c>
      <c r="D3560" s="677">
        <v>5</v>
      </c>
      <c r="E3560" s="678" t="s">
        <v>3643</v>
      </c>
      <c r="F3560" s="170"/>
    </row>
    <row r="3561" spans="2:6" ht="15" x14ac:dyDescent="0.25">
      <c r="B3561" s="169"/>
      <c r="C3561" s="679">
        <v>3048536</v>
      </c>
      <c r="D3561" s="677">
        <v>3</v>
      </c>
      <c r="E3561" s="678" t="s">
        <v>3644</v>
      </c>
      <c r="F3561" s="170"/>
    </row>
    <row r="3562" spans="2:6" ht="15" x14ac:dyDescent="0.25">
      <c r="B3562" s="169"/>
      <c r="C3562" s="679">
        <v>3048537</v>
      </c>
      <c r="D3562" s="677">
        <v>1</v>
      </c>
      <c r="E3562" s="678" t="s">
        <v>3645</v>
      </c>
      <c r="F3562" s="170"/>
    </row>
    <row r="3563" spans="2:6" ht="15" x14ac:dyDescent="0.25">
      <c r="B3563" s="169"/>
      <c r="C3563" s="679">
        <v>3048538</v>
      </c>
      <c r="D3563" s="677">
        <v>0</v>
      </c>
      <c r="E3563" s="678" t="s">
        <v>3646</v>
      </c>
      <c r="F3563" s="170"/>
    </row>
    <row r="3564" spans="2:6" ht="15" x14ac:dyDescent="0.25">
      <c r="B3564" s="169"/>
      <c r="C3564" s="679">
        <v>3048539</v>
      </c>
      <c r="D3564" s="677">
        <v>8</v>
      </c>
      <c r="E3564" s="678" t="s">
        <v>3647</v>
      </c>
      <c r="F3564" s="170"/>
    </row>
    <row r="3565" spans="2:6" ht="15" x14ac:dyDescent="0.25">
      <c r="B3565" s="169"/>
      <c r="C3565" s="679">
        <v>3048540</v>
      </c>
      <c r="D3565" s="677">
        <v>1</v>
      </c>
      <c r="E3565" s="678" t="s">
        <v>3648</v>
      </c>
      <c r="F3565" s="170"/>
    </row>
    <row r="3566" spans="2:6" ht="15" x14ac:dyDescent="0.25">
      <c r="B3566" s="169"/>
      <c r="C3566" s="679">
        <v>2963375</v>
      </c>
      <c r="D3566" s="677">
        <v>3</v>
      </c>
      <c r="E3566" s="678" t="s">
        <v>3649</v>
      </c>
      <c r="F3566" s="170"/>
    </row>
    <row r="3567" spans="2:6" ht="15" x14ac:dyDescent="0.25">
      <c r="B3567" s="169"/>
      <c r="C3567" s="679">
        <v>3054704</v>
      </c>
      <c r="D3567" s="677">
        <v>1</v>
      </c>
      <c r="E3567" s="678" t="s">
        <v>3650</v>
      </c>
      <c r="F3567" s="170"/>
    </row>
    <row r="3568" spans="2:6" ht="15" x14ac:dyDescent="0.25">
      <c r="B3568" s="169"/>
      <c r="C3568" s="679">
        <v>3054705</v>
      </c>
      <c r="D3568" s="677">
        <v>9</v>
      </c>
      <c r="E3568" s="678" t="s">
        <v>3651</v>
      </c>
      <c r="F3568" s="170"/>
    </row>
    <row r="3569" spans="2:6" ht="15" x14ac:dyDescent="0.25">
      <c r="B3569" s="169"/>
      <c r="C3569" s="679">
        <v>3054708</v>
      </c>
      <c r="D3569" s="677">
        <v>3</v>
      </c>
      <c r="E3569" s="678" t="s">
        <v>3652</v>
      </c>
      <c r="F3569" s="170"/>
    </row>
    <row r="3570" spans="2:6" ht="15" x14ac:dyDescent="0.25">
      <c r="B3570" s="169"/>
      <c r="C3570" s="679">
        <v>3054707</v>
      </c>
      <c r="D3570" s="677">
        <v>5</v>
      </c>
      <c r="E3570" s="678" t="s">
        <v>3653</v>
      </c>
      <c r="F3570" s="170"/>
    </row>
    <row r="3571" spans="2:6" ht="15" x14ac:dyDescent="0.25">
      <c r="B3571" s="169"/>
      <c r="C3571" s="679">
        <v>3054620</v>
      </c>
      <c r="D3571" s="677">
        <v>6</v>
      </c>
      <c r="E3571" s="678" t="s">
        <v>3654</v>
      </c>
      <c r="F3571" s="170"/>
    </row>
    <row r="3572" spans="2:6" ht="15" x14ac:dyDescent="0.25">
      <c r="B3572" s="169"/>
      <c r="C3572" s="679">
        <v>3054654</v>
      </c>
      <c r="D3572" s="677">
        <v>1</v>
      </c>
      <c r="E3572" s="678" t="s">
        <v>3655</v>
      </c>
      <c r="F3572" s="170"/>
    </row>
    <row r="3573" spans="2:6" ht="15" x14ac:dyDescent="0.25">
      <c r="B3573" s="169"/>
      <c r="C3573" s="679">
        <v>3054706</v>
      </c>
      <c r="D3573" s="677">
        <v>7</v>
      </c>
      <c r="E3573" s="678" t="s">
        <v>3656</v>
      </c>
      <c r="F3573" s="170"/>
    </row>
    <row r="3574" spans="2:6" ht="15" x14ac:dyDescent="0.25">
      <c r="B3574" s="169"/>
      <c r="C3574" s="679">
        <v>3054524</v>
      </c>
      <c r="D3574" s="677">
        <v>2</v>
      </c>
      <c r="E3574" s="678" t="s">
        <v>3657</v>
      </c>
      <c r="F3574" s="170"/>
    </row>
    <row r="3575" spans="2:6" ht="15" x14ac:dyDescent="0.25">
      <c r="B3575" s="169"/>
      <c r="C3575" s="679">
        <v>3054623</v>
      </c>
      <c r="D3575" s="677">
        <v>1</v>
      </c>
      <c r="E3575" s="678" t="s">
        <v>3658</v>
      </c>
      <c r="F3575" s="170"/>
    </row>
    <row r="3576" spans="2:6" ht="15" x14ac:dyDescent="0.25">
      <c r="B3576" s="169"/>
      <c r="C3576" s="679">
        <v>3054709</v>
      </c>
      <c r="D3576" s="677">
        <v>1</v>
      </c>
      <c r="E3576" s="678" t="s">
        <v>3659</v>
      </c>
      <c r="F3576" s="170"/>
    </row>
    <row r="3577" spans="2:6" ht="15" x14ac:dyDescent="0.25">
      <c r="B3577" s="169"/>
      <c r="C3577" s="679">
        <v>3054667</v>
      </c>
      <c r="D3577" s="677">
        <v>2</v>
      </c>
      <c r="E3577" s="678" t="s">
        <v>3660</v>
      </c>
      <c r="F3577" s="170"/>
    </row>
    <row r="3578" spans="2:6" ht="15" x14ac:dyDescent="0.25">
      <c r="B3578" s="169"/>
      <c r="C3578" s="679">
        <v>3054710</v>
      </c>
      <c r="D3578" s="677">
        <v>5</v>
      </c>
      <c r="E3578" s="678" t="s">
        <v>3661</v>
      </c>
      <c r="F3578" s="170"/>
    </row>
    <row r="3579" spans="2:6" ht="15" x14ac:dyDescent="0.25">
      <c r="B3579" s="169"/>
      <c r="C3579" s="679">
        <v>3054678</v>
      </c>
      <c r="D3579" s="677">
        <v>8</v>
      </c>
      <c r="E3579" s="678" t="s">
        <v>3662</v>
      </c>
      <c r="F3579" s="170"/>
    </row>
    <row r="3580" spans="2:6" ht="15" x14ac:dyDescent="0.25">
      <c r="B3580" s="169"/>
      <c r="C3580" s="679">
        <v>3054520</v>
      </c>
      <c r="D3580" s="677">
        <v>0</v>
      </c>
      <c r="E3580" s="678" t="s">
        <v>3663</v>
      </c>
      <c r="F3580" s="170"/>
    </row>
    <row r="3581" spans="2:6" ht="15" x14ac:dyDescent="0.25">
      <c r="B3581" s="169"/>
      <c r="C3581" s="679">
        <v>3054711</v>
      </c>
      <c r="D3581" s="677">
        <v>3</v>
      </c>
      <c r="E3581" s="678" t="s">
        <v>3664</v>
      </c>
      <c r="F3581" s="170"/>
    </row>
    <row r="3582" spans="2:6" ht="15" x14ac:dyDescent="0.25">
      <c r="B3582" s="169"/>
      <c r="C3582" s="679">
        <v>3054712</v>
      </c>
      <c r="D3582" s="677">
        <v>1</v>
      </c>
      <c r="E3582" s="678" t="s">
        <v>3665</v>
      </c>
      <c r="F3582" s="170"/>
    </row>
    <row r="3583" spans="2:6" ht="15" x14ac:dyDescent="0.25">
      <c r="B3583" s="169"/>
      <c r="C3583" s="679">
        <v>3054655</v>
      </c>
      <c r="D3583" s="677">
        <v>9</v>
      </c>
      <c r="E3583" s="678" t="s">
        <v>3666</v>
      </c>
      <c r="F3583" s="170"/>
    </row>
    <row r="3584" spans="2:6" ht="15" x14ac:dyDescent="0.25">
      <c r="B3584" s="169"/>
      <c r="C3584" s="679">
        <v>3054713</v>
      </c>
      <c r="D3584" s="677">
        <v>0</v>
      </c>
      <c r="E3584" s="678" t="s">
        <v>3667</v>
      </c>
      <c r="F3584" s="170"/>
    </row>
    <row r="3585" spans="2:6" ht="15" x14ac:dyDescent="0.25">
      <c r="B3585" s="169"/>
      <c r="C3585" s="679">
        <v>3054533</v>
      </c>
      <c r="D3585" s="677">
        <v>1</v>
      </c>
      <c r="E3585" s="678" t="s">
        <v>3668</v>
      </c>
      <c r="F3585" s="170"/>
    </row>
    <row r="3586" spans="2:6" ht="15" x14ac:dyDescent="0.25">
      <c r="B3586" s="169"/>
      <c r="C3586" s="679">
        <v>3054714</v>
      </c>
      <c r="D3586" s="677">
        <v>8</v>
      </c>
      <c r="E3586" s="678" t="s">
        <v>3669</v>
      </c>
      <c r="F3586" s="170"/>
    </row>
    <row r="3587" spans="2:6" ht="15" x14ac:dyDescent="0.25">
      <c r="B3587" s="169"/>
      <c r="C3587" s="679">
        <v>3054673</v>
      </c>
      <c r="D3587" s="677">
        <v>7</v>
      </c>
      <c r="E3587" s="678" t="s">
        <v>3670</v>
      </c>
      <c r="F3587" s="170"/>
    </row>
    <row r="3588" spans="2:6" ht="15" x14ac:dyDescent="0.25">
      <c r="B3588" s="169"/>
      <c r="C3588" s="679">
        <v>3054715</v>
      </c>
      <c r="D3588" s="677">
        <v>6</v>
      </c>
      <c r="E3588" s="678" t="s">
        <v>3671</v>
      </c>
      <c r="F3588" s="170"/>
    </row>
    <row r="3589" spans="2:6" ht="15" x14ac:dyDescent="0.25">
      <c r="B3589" s="169"/>
      <c r="C3589" s="679">
        <v>3054656</v>
      </c>
      <c r="D3589" s="677">
        <v>7</v>
      </c>
      <c r="E3589" s="678" t="s">
        <v>3672</v>
      </c>
      <c r="F3589" s="170"/>
    </row>
    <row r="3590" spans="2:6" ht="15" x14ac:dyDescent="0.25">
      <c r="B3590" s="169"/>
      <c r="C3590" s="679">
        <v>3054716</v>
      </c>
      <c r="D3590" s="677">
        <v>4</v>
      </c>
      <c r="E3590" s="678" t="s">
        <v>3673</v>
      </c>
      <c r="F3590" s="170"/>
    </row>
    <row r="3591" spans="2:6" ht="15" x14ac:dyDescent="0.25">
      <c r="B3591" s="169"/>
      <c r="C3591" s="679">
        <v>3054502</v>
      </c>
      <c r="D3591" s="677">
        <v>1</v>
      </c>
      <c r="E3591" s="678" t="s">
        <v>3674</v>
      </c>
      <c r="F3591" s="170"/>
    </row>
    <row r="3592" spans="2:6" ht="15" x14ac:dyDescent="0.25">
      <c r="B3592" s="169"/>
      <c r="C3592" s="679">
        <v>3054691</v>
      </c>
      <c r="D3592" s="677">
        <v>5</v>
      </c>
      <c r="E3592" s="678" t="s">
        <v>3675</v>
      </c>
      <c r="F3592" s="170"/>
    </row>
    <row r="3593" spans="2:6" ht="15" x14ac:dyDescent="0.25">
      <c r="B3593" s="169"/>
      <c r="C3593" s="679">
        <v>3054718</v>
      </c>
      <c r="D3593" s="677">
        <v>1</v>
      </c>
      <c r="E3593" s="678" t="s">
        <v>3676</v>
      </c>
      <c r="F3593" s="170"/>
    </row>
    <row r="3594" spans="2:6" ht="15" x14ac:dyDescent="0.25">
      <c r="B3594" s="169"/>
      <c r="C3594" s="679">
        <v>3054717</v>
      </c>
      <c r="D3594" s="677">
        <v>2</v>
      </c>
      <c r="E3594" s="678" t="s">
        <v>3677</v>
      </c>
      <c r="F3594" s="170"/>
    </row>
    <row r="3595" spans="2:6" ht="15" x14ac:dyDescent="0.25">
      <c r="B3595" s="169"/>
      <c r="C3595" s="679">
        <v>3054719</v>
      </c>
      <c r="D3595" s="677">
        <v>9</v>
      </c>
      <c r="E3595" s="678" t="s">
        <v>3678</v>
      </c>
      <c r="F3595" s="170"/>
    </row>
    <row r="3596" spans="2:6" ht="15" x14ac:dyDescent="0.25">
      <c r="B3596" s="169"/>
      <c r="C3596" s="679">
        <v>3054658</v>
      </c>
      <c r="D3596" s="677">
        <v>3</v>
      </c>
      <c r="E3596" s="678" t="s">
        <v>3679</v>
      </c>
      <c r="F3596" s="170"/>
    </row>
    <row r="3597" spans="2:6" ht="15" x14ac:dyDescent="0.25">
      <c r="B3597" s="169"/>
      <c r="C3597" s="679">
        <v>3054675</v>
      </c>
      <c r="D3597" s="677">
        <v>3</v>
      </c>
      <c r="E3597" s="678" t="s">
        <v>3680</v>
      </c>
      <c r="F3597" s="170"/>
    </row>
    <row r="3598" spans="2:6" ht="15" x14ac:dyDescent="0.25">
      <c r="B3598" s="169"/>
      <c r="C3598" s="679">
        <v>3339982</v>
      </c>
      <c r="D3598" s="677">
        <v>4</v>
      </c>
      <c r="E3598" s="678" t="s">
        <v>8507</v>
      </c>
      <c r="F3598" s="170"/>
    </row>
    <row r="3599" spans="2:6" ht="15" x14ac:dyDescent="0.25">
      <c r="B3599" s="169"/>
      <c r="C3599" s="679">
        <v>3048541</v>
      </c>
      <c r="D3599" s="677">
        <v>0</v>
      </c>
      <c r="E3599" s="678" t="s">
        <v>3681</v>
      </c>
      <c r="F3599" s="170"/>
    </row>
    <row r="3600" spans="2:6" ht="15" x14ac:dyDescent="0.25">
      <c r="B3600" s="169"/>
      <c r="C3600" s="679">
        <v>3048542</v>
      </c>
      <c r="D3600" s="677">
        <v>8</v>
      </c>
      <c r="E3600" s="678" t="s">
        <v>3682</v>
      </c>
      <c r="F3600" s="170"/>
    </row>
    <row r="3601" spans="2:6" ht="15" x14ac:dyDescent="0.25">
      <c r="B3601" s="169"/>
      <c r="C3601" s="679">
        <v>3048543</v>
      </c>
      <c r="D3601" s="677">
        <v>6</v>
      </c>
      <c r="E3601" s="678" t="s">
        <v>3683</v>
      </c>
      <c r="F3601" s="170"/>
    </row>
    <row r="3602" spans="2:6" ht="15" x14ac:dyDescent="0.25">
      <c r="B3602" s="169"/>
      <c r="C3602" s="679">
        <v>3048544</v>
      </c>
      <c r="D3602" s="677">
        <v>4</v>
      </c>
      <c r="E3602" s="678" t="s">
        <v>3684</v>
      </c>
      <c r="F3602" s="170"/>
    </row>
    <row r="3603" spans="2:6" ht="15" x14ac:dyDescent="0.25">
      <c r="B3603" s="169"/>
      <c r="C3603" s="679">
        <v>3295241</v>
      </c>
      <c r="D3603" s="677">
        <v>4</v>
      </c>
      <c r="E3603" s="678" t="s">
        <v>8508</v>
      </c>
      <c r="F3603" s="170"/>
    </row>
    <row r="3604" spans="2:6" ht="15" x14ac:dyDescent="0.25">
      <c r="B3604" s="169"/>
      <c r="C3604" s="679">
        <v>3048545</v>
      </c>
      <c r="D3604" s="677">
        <v>2</v>
      </c>
      <c r="E3604" s="678" t="s">
        <v>3685</v>
      </c>
      <c r="F3604" s="170"/>
    </row>
    <row r="3605" spans="2:6" ht="15" x14ac:dyDescent="0.25">
      <c r="B3605" s="169"/>
      <c r="C3605" s="679">
        <v>3048546</v>
      </c>
      <c r="D3605" s="677">
        <v>1</v>
      </c>
      <c r="E3605" s="678" t="s">
        <v>3686</v>
      </c>
      <c r="F3605" s="170"/>
    </row>
    <row r="3606" spans="2:6" ht="15" x14ac:dyDescent="0.25">
      <c r="B3606" s="169"/>
      <c r="C3606" s="679">
        <v>3048547</v>
      </c>
      <c r="D3606" s="677">
        <v>9</v>
      </c>
      <c r="E3606" s="678" t="s">
        <v>3687</v>
      </c>
      <c r="F3606" s="170"/>
    </row>
    <row r="3607" spans="2:6" ht="15" x14ac:dyDescent="0.25">
      <c r="B3607" s="169"/>
      <c r="C3607" s="679">
        <v>3339929</v>
      </c>
      <c r="D3607" s="677">
        <v>8</v>
      </c>
      <c r="E3607" s="678" t="s">
        <v>8509</v>
      </c>
      <c r="F3607" s="170"/>
    </row>
    <row r="3608" spans="2:6" ht="15" x14ac:dyDescent="0.25">
      <c r="B3608" s="169"/>
      <c r="C3608" s="679">
        <v>3075028</v>
      </c>
      <c r="D3608" s="677">
        <v>8</v>
      </c>
      <c r="E3608" s="678" t="s">
        <v>3688</v>
      </c>
      <c r="F3608" s="170"/>
    </row>
    <row r="3609" spans="2:6" ht="15" x14ac:dyDescent="0.25">
      <c r="B3609" s="169"/>
      <c r="C3609" s="679">
        <v>3180627</v>
      </c>
      <c r="D3609" s="677">
        <v>9</v>
      </c>
      <c r="E3609" s="678" t="s">
        <v>3689</v>
      </c>
      <c r="F3609" s="170"/>
    </row>
    <row r="3610" spans="2:6" ht="15" x14ac:dyDescent="0.25">
      <c r="B3610" s="169"/>
      <c r="C3610" s="679">
        <v>3110518</v>
      </c>
      <c r="D3610" s="677">
        <v>1</v>
      </c>
      <c r="E3610" s="678" t="s">
        <v>3690</v>
      </c>
      <c r="F3610" s="170"/>
    </row>
    <row r="3611" spans="2:6" ht="15" x14ac:dyDescent="0.25">
      <c r="B3611" s="169"/>
      <c r="C3611" s="679">
        <v>3110516</v>
      </c>
      <c r="D3611" s="677">
        <v>5</v>
      </c>
      <c r="E3611" s="678" t="s">
        <v>3691</v>
      </c>
      <c r="F3611" s="170"/>
    </row>
    <row r="3612" spans="2:6" ht="15" x14ac:dyDescent="0.25">
      <c r="B3612" s="169"/>
      <c r="C3612" s="679">
        <v>3075029</v>
      </c>
      <c r="D3612" s="677">
        <v>6</v>
      </c>
      <c r="E3612" s="678" t="s">
        <v>3692</v>
      </c>
      <c r="F3612" s="170"/>
    </row>
    <row r="3613" spans="2:6" ht="15" x14ac:dyDescent="0.25">
      <c r="B3613" s="169"/>
      <c r="C3613" s="679">
        <v>3109489</v>
      </c>
      <c r="D3613" s="677">
        <v>9</v>
      </c>
      <c r="E3613" s="678" t="s">
        <v>3693</v>
      </c>
      <c r="F3613" s="170"/>
    </row>
    <row r="3614" spans="2:6" ht="15" x14ac:dyDescent="0.25">
      <c r="B3614" s="169"/>
      <c r="C3614" s="679">
        <v>3110512</v>
      </c>
      <c r="D3614" s="677">
        <v>2</v>
      </c>
      <c r="E3614" s="678" t="s">
        <v>3694</v>
      </c>
      <c r="F3614" s="170"/>
    </row>
    <row r="3615" spans="2:6" ht="15" x14ac:dyDescent="0.25">
      <c r="B3615" s="169"/>
      <c r="C3615" s="679">
        <v>3090273</v>
      </c>
      <c r="D3615" s="677">
        <v>8</v>
      </c>
      <c r="E3615" s="678" t="s">
        <v>3695</v>
      </c>
      <c r="F3615" s="170"/>
    </row>
    <row r="3616" spans="2:6" ht="15" x14ac:dyDescent="0.25">
      <c r="B3616" s="169"/>
      <c r="C3616" s="679">
        <v>3080762</v>
      </c>
      <c r="D3616" s="677">
        <v>0</v>
      </c>
      <c r="E3616" s="678" t="s">
        <v>3696</v>
      </c>
      <c r="F3616" s="170"/>
    </row>
    <row r="3617" spans="2:6" ht="15" x14ac:dyDescent="0.25">
      <c r="B3617" s="169"/>
      <c r="C3617" s="679">
        <v>3100063</v>
      </c>
      <c r="D3617" s="677">
        <v>1</v>
      </c>
      <c r="E3617" s="678" t="s">
        <v>3697</v>
      </c>
      <c r="F3617" s="170"/>
    </row>
    <row r="3618" spans="2:6" ht="15" x14ac:dyDescent="0.25">
      <c r="B3618" s="169"/>
      <c r="C3618" s="679">
        <v>3307474</v>
      </c>
      <c r="D3618" s="677">
        <v>7</v>
      </c>
      <c r="E3618" s="678" t="s">
        <v>8510</v>
      </c>
      <c r="F3618" s="170"/>
    </row>
    <row r="3619" spans="2:6" ht="15" x14ac:dyDescent="0.25">
      <c r="B3619" s="169"/>
      <c r="C3619" s="679">
        <v>3048548</v>
      </c>
      <c r="D3619" s="677">
        <v>7</v>
      </c>
      <c r="E3619" s="678" t="s">
        <v>3698</v>
      </c>
      <c r="F3619" s="170"/>
    </row>
    <row r="3620" spans="2:6" ht="15" x14ac:dyDescent="0.25">
      <c r="B3620" s="169"/>
      <c r="C3620" s="679">
        <v>3338774</v>
      </c>
      <c r="D3620" s="677">
        <v>5</v>
      </c>
      <c r="E3620" s="678" t="s">
        <v>8511</v>
      </c>
      <c r="F3620" s="170"/>
    </row>
    <row r="3621" spans="2:6" ht="15" x14ac:dyDescent="0.25">
      <c r="B3621" s="169"/>
      <c r="C3621" s="679">
        <v>3267658</v>
      </c>
      <c r="D3621" s="677">
        <v>1</v>
      </c>
      <c r="E3621" s="678" t="s">
        <v>8512</v>
      </c>
      <c r="F3621" s="170"/>
    </row>
    <row r="3622" spans="2:6" ht="15" x14ac:dyDescent="0.25">
      <c r="B3622" s="169"/>
      <c r="C3622" s="679">
        <v>3175294</v>
      </c>
      <c r="D3622" s="677">
        <v>2</v>
      </c>
      <c r="E3622" s="678" t="s">
        <v>3699</v>
      </c>
      <c r="F3622" s="170"/>
    </row>
    <row r="3623" spans="2:6" ht="15" x14ac:dyDescent="0.25">
      <c r="B3623" s="169"/>
      <c r="C3623" s="679">
        <v>3080645</v>
      </c>
      <c r="D3623" s="677">
        <v>3</v>
      </c>
      <c r="E3623" s="678" t="s">
        <v>3700</v>
      </c>
      <c r="F3623" s="170"/>
    </row>
    <row r="3624" spans="2:6" ht="15" x14ac:dyDescent="0.25">
      <c r="B3624" s="169"/>
      <c r="C3624" s="679">
        <v>3048549</v>
      </c>
      <c r="D3624" s="677">
        <v>5</v>
      </c>
      <c r="E3624" s="678" t="s">
        <v>3701</v>
      </c>
      <c r="F3624" s="170"/>
    </row>
    <row r="3625" spans="2:6" ht="15" x14ac:dyDescent="0.25">
      <c r="B3625" s="169"/>
      <c r="C3625" s="679">
        <v>3289655</v>
      </c>
      <c r="D3625" s="677">
        <v>7</v>
      </c>
      <c r="E3625" s="678" t="s">
        <v>8513</v>
      </c>
      <c r="F3625" s="170"/>
    </row>
    <row r="3626" spans="2:6" ht="15" x14ac:dyDescent="0.25">
      <c r="B3626" s="169"/>
      <c r="C3626" s="679">
        <v>3157395</v>
      </c>
      <c r="D3626" s="677">
        <v>9</v>
      </c>
      <c r="E3626" s="678" t="s">
        <v>3702</v>
      </c>
      <c r="F3626" s="170"/>
    </row>
    <row r="3627" spans="2:6" ht="15" x14ac:dyDescent="0.25">
      <c r="B3627" s="169"/>
      <c r="C3627" s="679">
        <v>3157839</v>
      </c>
      <c r="D3627" s="677">
        <v>0</v>
      </c>
      <c r="E3627" s="678" t="s">
        <v>3703</v>
      </c>
      <c r="F3627" s="170"/>
    </row>
    <row r="3628" spans="2:6" ht="15" x14ac:dyDescent="0.25">
      <c r="B3628" s="169"/>
      <c r="C3628" s="679">
        <v>3215486</v>
      </c>
      <c r="D3628" s="677">
        <v>1</v>
      </c>
      <c r="E3628" s="678" t="s">
        <v>8514</v>
      </c>
      <c r="F3628" s="170"/>
    </row>
    <row r="3629" spans="2:6" ht="15" x14ac:dyDescent="0.25">
      <c r="B3629" s="169"/>
      <c r="C3629" s="679">
        <v>3151169</v>
      </c>
      <c r="D3629" s="677">
        <v>4</v>
      </c>
      <c r="E3629" s="678" t="s">
        <v>3704</v>
      </c>
      <c r="F3629" s="170"/>
    </row>
    <row r="3630" spans="2:6" ht="15" x14ac:dyDescent="0.25">
      <c r="B3630" s="169"/>
      <c r="C3630" s="679">
        <v>3183608</v>
      </c>
      <c r="D3630" s="677">
        <v>9</v>
      </c>
      <c r="E3630" s="678" t="s">
        <v>3705</v>
      </c>
      <c r="F3630" s="170"/>
    </row>
    <row r="3631" spans="2:6" ht="15" x14ac:dyDescent="0.25">
      <c r="B3631" s="169"/>
      <c r="C3631" s="679">
        <v>3150392</v>
      </c>
      <c r="D3631" s="677">
        <v>6</v>
      </c>
      <c r="E3631" s="678" t="s">
        <v>3706</v>
      </c>
      <c r="F3631" s="170"/>
    </row>
    <row r="3632" spans="2:6" ht="15" x14ac:dyDescent="0.25">
      <c r="B3632" s="169"/>
      <c r="C3632" s="679">
        <v>3156931</v>
      </c>
      <c r="D3632" s="677">
        <v>5</v>
      </c>
      <c r="E3632" s="678" t="s">
        <v>3707</v>
      </c>
      <c r="F3632" s="170"/>
    </row>
    <row r="3633" spans="2:6" ht="15" x14ac:dyDescent="0.25">
      <c r="B3633" s="169"/>
      <c r="C3633" s="679">
        <v>3165566</v>
      </c>
      <c r="D3633" s="677">
        <v>1</v>
      </c>
      <c r="E3633" s="678" t="s">
        <v>3708</v>
      </c>
      <c r="F3633" s="170"/>
    </row>
    <row r="3634" spans="2:6" ht="15" x14ac:dyDescent="0.25">
      <c r="B3634" s="169"/>
      <c r="C3634" s="679">
        <v>3048550</v>
      </c>
      <c r="D3634" s="677">
        <v>9</v>
      </c>
      <c r="E3634" s="678" t="s">
        <v>3709</v>
      </c>
      <c r="F3634" s="170"/>
    </row>
    <row r="3635" spans="2:6" ht="15" x14ac:dyDescent="0.25">
      <c r="B3635" s="169"/>
      <c r="C3635" s="679">
        <v>3048551</v>
      </c>
      <c r="D3635" s="677">
        <v>7</v>
      </c>
      <c r="E3635" s="678" t="s">
        <v>3710</v>
      </c>
      <c r="F3635" s="170"/>
    </row>
    <row r="3636" spans="2:6" ht="15" x14ac:dyDescent="0.25">
      <c r="B3636" s="169"/>
      <c r="C3636" s="679">
        <v>3310419</v>
      </c>
      <c r="D3636" s="677">
        <v>1</v>
      </c>
      <c r="E3636" s="678" t="s">
        <v>8515</v>
      </c>
      <c r="F3636" s="170"/>
    </row>
    <row r="3637" spans="2:6" ht="15" x14ac:dyDescent="0.25">
      <c r="B3637" s="169"/>
      <c r="C3637" s="679">
        <v>3084874</v>
      </c>
      <c r="D3637" s="677">
        <v>1</v>
      </c>
      <c r="E3637" s="678" t="s">
        <v>3711</v>
      </c>
      <c r="F3637" s="170"/>
    </row>
    <row r="3638" spans="2:6" ht="15" x14ac:dyDescent="0.25">
      <c r="B3638" s="169"/>
      <c r="C3638" s="679">
        <v>3182318</v>
      </c>
      <c r="D3638" s="677">
        <v>1</v>
      </c>
      <c r="E3638" s="678" t="s">
        <v>3712</v>
      </c>
      <c r="F3638" s="170"/>
    </row>
    <row r="3639" spans="2:6" ht="15" x14ac:dyDescent="0.25">
      <c r="B3639" s="169"/>
      <c r="C3639" s="679">
        <v>3075295</v>
      </c>
      <c r="D3639" s="677">
        <v>7</v>
      </c>
      <c r="E3639" s="678" t="s">
        <v>3713</v>
      </c>
      <c r="F3639" s="170"/>
    </row>
    <row r="3640" spans="2:6" ht="15" x14ac:dyDescent="0.25">
      <c r="B3640" s="169"/>
      <c r="C3640" s="679">
        <v>3126504</v>
      </c>
      <c r="D3640" s="677">
        <v>9</v>
      </c>
      <c r="E3640" s="678" t="s">
        <v>3714</v>
      </c>
      <c r="F3640" s="170"/>
    </row>
    <row r="3641" spans="2:6" ht="15" x14ac:dyDescent="0.25">
      <c r="B3641" s="169"/>
      <c r="C3641" s="679">
        <v>3215485</v>
      </c>
      <c r="D3641" s="677">
        <v>2</v>
      </c>
      <c r="E3641" s="678" t="s">
        <v>8516</v>
      </c>
      <c r="F3641" s="170"/>
    </row>
    <row r="3642" spans="2:6" ht="15" x14ac:dyDescent="0.25">
      <c r="B3642" s="169"/>
      <c r="C3642" s="679">
        <v>3074363</v>
      </c>
      <c r="D3642" s="677">
        <v>0</v>
      </c>
      <c r="E3642" s="678" t="s">
        <v>3715</v>
      </c>
      <c r="F3642" s="170"/>
    </row>
    <row r="3643" spans="2:6" ht="15" x14ac:dyDescent="0.25">
      <c r="B3643" s="169"/>
      <c r="C3643" s="679">
        <v>3166541</v>
      </c>
      <c r="D3643" s="677">
        <v>1</v>
      </c>
      <c r="E3643" s="678" t="s">
        <v>3716</v>
      </c>
      <c r="F3643" s="170"/>
    </row>
    <row r="3644" spans="2:6" ht="15" x14ac:dyDescent="0.25">
      <c r="B3644" s="169"/>
      <c r="C3644" s="679">
        <v>3210600</v>
      </c>
      <c r="D3644" s="677">
        <v>9</v>
      </c>
      <c r="E3644" s="678" t="s">
        <v>8517</v>
      </c>
      <c r="F3644" s="170"/>
    </row>
    <row r="3645" spans="2:6" ht="15" x14ac:dyDescent="0.25">
      <c r="B3645" s="169"/>
      <c r="C3645" s="679">
        <v>2962288</v>
      </c>
      <c r="D3645" s="677">
        <v>3</v>
      </c>
      <c r="E3645" s="678" t="s">
        <v>3717</v>
      </c>
      <c r="F3645" s="170"/>
    </row>
    <row r="3646" spans="2:6" ht="15" x14ac:dyDescent="0.25">
      <c r="B3646" s="169"/>
      <c r="C3646" s="679">
        <v>2962289</v>
      </c>
      <c r="D3646" s="677">
        <v>1</v>
      </c>
      <c r="E3646" s="678" t="s">
        <v>3718</v>
      </c>
      <c r="F3646" s="170"/>
    </row>
    <row r="3647" spans="2:6" ht="15" x14ac:dyDescent="0.25">
      <c r="B3647" s="169"/>
      <c r="C3647" s="679">
        <v>2962290</v>
      </c>
      <c r="D3647" s="677">
        <v>5</v>
      </c>
      <c r="E3647" s="678" t="s">
        <v>3719</v>
      </c>
      <c r="F3647" s="170"/>
    </row>
    <row r="3648" spans="2:6" ht="15" x14ac:dyDescent="0.25">
      <c r="B3648" s="169"/>
      <c r="C3648" s="679">
        <v>2962365</v>
      </c>
      <c r="D3648" s="677">
        <v>1</v>
      </c>
      <c r="E3648" s="678" t="s">
        <v>3720</v>
      </c>
      <c r="F3648" s="170"/>
    </row>
    <row r="3649" spans="2:6" ht="15" x14ac:dyDescent="0.25">
      <c r="B3649" s="169"/>
      <c r="C3649" s="679">
        <v>2962366</v>
      </c>
      <c r="D3649" s="677">
        <v>9</v>
      </c>
      <c r="E3649" s="678" t="s">
        <v>3721</v>
      </c>
      <c r="F3649" s="170"/>
    </row>
    <row r="3650" spans="2:6" ht="15" x14ac:dyDescent="0.25">
      <c r="B3650" s="169"/>
      <c r="C3650" s="679">
        <v>3291104</v>
      </c>
      <c r="D3650" s="677">
        <v>1</v>
      </c>
      <c r="E3650" s="678" t="s">
        <v>8518</v>
      </c>
      <c r="F3650" s="170"/>
    </row>
    <row r="3651" spans="2:6" ht="15" x14ac:dyDescent="0.25">
      <c r="B3651" s="169"/>
      <c r="C3651" s="679">
        <v>2962406</v>
      </c>
      <c r="D3651" s="677">
        <v>1</v>
      </c>
      <c r="E3651" s="678" t="s">
        <v>3722</v>
      </c>
      <c r="F3651" s="170"/>
    </row>
    <row r="3652" spans="2:6" ht="15" x14ac:dyDescent="0.25">
      <c r="B3652" s="169"/>
      <c r="C3652" s="679">
        <v>3069174</v>
      </c>
      <c r="D3652" s="677">
        <v>5</v>
      </c>
      <c r="E3652" s="678" t="s">
        <v>3723</v>
      </c>
      <c r="F3652" s="170"/>
    </row>
    <row r="3653" spans="2:6" ht="15" x14ac:dyDescent="0.25">
      <c r="B3653" s="169"/>
      <c r="C3653" s="679">
        <v>3079567</v>
      </c>
      <c r="D3653" s="677">
        <v>2</v>
      </c>
      <c r="E3653" s="678" t="s">
        <v>3724</v>
      </c>
      <c r="F3653" s="170"/>
    </row>
    <row r="3654" spans="2:6" ht="15" x14ac:dyDescent="0.25">
      <c r="B3654" s="169"/>
      <c r="C3654" s="679">
        <v>3072552</v>
      </c>
      <c r="D3654" s="677">
        <v>6</v>
      </c>
      <c r="E3654" s="678" t="s">
        <v>3725</v>
      </c>
      <c r="F3654" s="170"/>
    </row>
    <row r="3655" spans="2:6" ht="15" x14ac:dyDescent="0.25">
      <c r="B3655" s="169"/>
      <c r="C3655" s="679">
        <v>3081521</v>
      </c>
      <c r="D3655" s="677">
        <v>5</v>
      </c>
      <c r="E3655" s="678" t="s">
        <v>3726</v>
      </c>
      <c r="F3655" s="170"/>
    </row>
    <row r="3656" spans="2:6" ht="15" x14ac:dyDescent="0.25">
      <c r="B3656" s="169"/>
      <c r="C3656" s="679">
        <v>3058039</v>
      </c>
      <c r="D3656" s="677">
        <v>1</v>
      </c>
      <c r="E3656" s="678" t="s">
        <v>3727</v>
      </c>
      <c r="F3656" s="170"/>
    </row>
    <row r="3657" spans="2:6" ht="15" x14ac:dyDescent="0.25">
      <c r="B3657" s="169"/>
      <c r="C3657" s="679">
        <v>3070956</v>
      </c>
      <c r="D3657" s="677">
        <v>3</v>
      </c>
      <c r="E3657" s="678" t="s">
        <v>3728</v>
      </c>
      <c r="F3657" s="170"/>
    </row>
    <row r="3658" spans="2:6" ht="15" x14ac:dyDescent="0.25">
      <c r="B3658" s="169"/>
      <c r="C3658" s="679">
        <v>2962291</v>
      </c>
      <c r="D3658" s="677">
        <v>3</v>
      </c>
      <c r="E3658" s="678" t="s">
        <v>3729</v>
      </c>
      <c r="F3658" s="170"/>
    </row>
    <row r="3659" spans="2:6" ht="15" x14ac:dyDescent="0.25">
      <c r="B3659" s="169"/>
      <c r="C3659" s="679">
        <v>3078288</v>
      </c>
      <c r="D3659" s="677">
        <v>1</v>
      </c>
      <c r="E3659" s="678" t="s">
        <v>3730</v>
      </c>
      <c r="F3659" s="170"/>
    </row>
    <row r="3660" spans="2:6" ht="15" x14ac:dyDescent="0.25">
      <c r="B3660" s="169"/>
      <c r="C3660" s="679">
        <v>2962292</v>
      </c>
      <c r="D3660" s="677">
        <v>1</v>
      </c>
      <c r="E3660" s="678" t="s">
        <v>3731</v>
      </c>
      <c r="F3660" s="684"/>
    </row>
    <row r="3661" spans="2:6" ht="15" x14ac:dyDescent="0.25">
      <c r="B3661" s="169"/>
      <c r="C3661" s="679">
        <v>3048552</v>
      </c>
      <c r="D3661" s="677">
        <v>5</v>
      </c>
      <c r="E3661" s="678" t="s">
        <v>3732</v>
      </c>
      <c r="F3661" s="684"/>
    </row>
    <row r="3662" spans="2:6" ht="15" customHeight="1" x14ac:dyDescent="0.25">
      <c r="B3662" s="683"/>
      <c r="C3662" s="679">
        <v>3095924</v>
      </c>
      <c r="D3662" s="677">
        <v>1</v>
      </c>
      <c r="E3662" s="678" t="s">
        <v>3733</v>
      </c>
      <c r="F3662" s="684"/>
    </row>
    <row r="3663" spans="2:6" ht="15" x14ac:dyDescent="0.25">
      <c r="B3663" s="173"/>
      <c r="C3663" s="679">
        <v>2962293</v>
      </c>
      <c r="D3663" s="677">
        <v>0</v>
      </c>
      <c r="E3663" s="678" t="s">
        <v>3734</v>
      </c>
      <c r="F3663" s="685"/>
    </row>
    <row r="3664" spans="2:6" ht="15" x14ac:dyDescent="0.25">
      <c r="B3664" s="173"/>
      <c r="C3664" s="679">
        <v>3088456</v>
      </c>
      <c r="D3664" s="677">
        <v>0</v>
      </c>
      <c r="E3664" s="678" t="s">
        <v>3735</v>
      </c>
      <c r="F3664" s="686"/>
    </row>
    <row r="3665" spans="2:6" ht="15" x14ac:dyDescent="0.25">
      <c r="B3665" s="173"/>
      <c r="C3665" s="679">
        <v>3155037</v>
      </c>
      <c r="D3665" s="677">
        <v>1</v>
      </c>
      <c r="E3665" s="678" t="s">
        <v>3736</v>
      </c>
      <c r="F3665" s="686"/>
    </row>
    <row r="3666" spans="2:6" ht="15" x14ac:dyDescent="0.25">
      <c r="B3666" s="173"/>
      <c r="C3666" s="679">
        <v>3100951</v>
      </c>
      <c r="D3666" s="677">
        <v>4</v>
      </c>
      <c r="E3666" s="678" t="s">
        <v>3737</v>
      </c>
      <c r="F3666" s="686"/>
    </row>
    <row r="3667" spans="2:6" ht="15" x14ac:dyDescent="0.25">
      <c r="B3667" s="173"/>
      <c r="C3667" s="679">
        <v>2962407</v>
      </c>
      <c r="D3667" s="677">
        <v>0</v>
      </c>
      <c r="E3667" s="678" t="s">
        <v>3738</v>
      </c>
      <c r="F3667" s="686"/>
    </row>
    <row r="3668" spans="2:6" ht="15" x14ac:dyDescent="0.25">
      <c r="B3668" s="173"/>
      <c r="C3668" s="679">
        <v>3143448</v>
      </c>
      <c r="D3668" s="677">
        <v>7</v>
      </c>
      <c r="E3668" s="678" t="s">
        <v>3739</v>
      </c>
      <c r="F3668" s="686"/>
    </row>
    <row r="3669" spans="2:6" ht="15" x14ac:dyDescent="0.25">
      <c r="B3669" s="173"/>
      <c r="C3669" s="679">
        <v>3300065</v>
      </c>
      <c r="D3669" s="677">
        <v>4</v>
      </c>
      <c r="E3669" s="678" t="s">
        <v>8519</v>
      </c>
      <c r="F3669" s="686"/>
    </row>
    <row r="3670" spans="2:6" ht="15" x14ac:dyDescent="0.25">
      <c r="B3670" s="173"/>
      <c r="C3670" s="679">
        <v>3276728</v>
      </c>
      <c r="D3670" s="677">
        <v>5</v>
      </c>
      <c r="E3670" s="678" t="s">
        <v>8520</v>
      </c>
      <c r="F3670" s="686"/>
    </row>
    <row r="3671" spans="2:6" ht="15" x14ac:dyDescent="0.25">
      <c r="B3671" s="173"/>
      <c r="C3671" s="679">
        <v>3273346</v>
      </c>
      <c r="D3671" s="677">
        <v>1</v>
      </c>
      <c r="E3671" s="678" t="s">
        <v>8521</v>
      </c>
      <c r="F3671" s="686"/>
    </row>
    <row r="3672" spans="2:6" ht="15" x14ac:dyDescent="0.25">
      <c r="B3672" s="173"/>
      <c r="C3672" s="679">
        <v>3074331</v>
      </c>
      <c r="D3672" s="677">
        <v>1</v>
      </c>
      <c r="E3672" s="678" t="s">
        <v>3740</v>
      </c>
      <c r="F3672" s="686"/>
    </row>
    <row r="3673" spans="2:6" ht="15" x14ac:dyDescent="0.25">
      <c r="B3673" s="173"/>
      <c r="C3673" s="679">
        <v>2962294</v>
      </c>
      <c r="D3673" s="677">
        <v>8</v>
      </c>
      <c r="E3673" s="678" t="s">
        <v>3741</v>
      </c>
      <c r="F3673" s="686"/>
    </row>
    <row r="3674" spans="2:6" ht="15" x14ac:dyDescent="0.25">
      <c r="B3674" s="173"/>
      <c r="C3674" s="679">
        <v>3103133</v>
      </c>
      <c r="D3674" s="677">
        <v>1</v>
      </c>
      <c r="E3674" s="678" t="s">
        <v>3742</v>
      </c>
      <c r="F3674" s="686"/>
    </row>
    <row r="3675" spans="2:6" ht="15" x14ac:dyDescent="0.25">
      <c r="B3675" s="173"/>
      <c r="C3675" s="679">
        <v>3069151</v>
      </c>
      <c r="D3675" s="677">
        <v>6</v>
      </c>
      <c r="E3675" s="678" t="s">
        <v>3743</v>
      </c>
      <c r="F3675" s="686"/>
    </row>
    <row r="3676" spans="2:6" ht="15" x14ac:dyDescent="0.25">
      <c r="B3676" s="173"/>
      <c r="C3676" s="679">
        <v>3048553</v>
      </c>
      <c r="D3676" s="677">
        <v>3</v>
      </c>
      <c r="E3676" s="678" t="s">
        <v>3744</v>
      </c>
      <c r="F3676" s="686"/>
    </row>
    <row r="3677" spans="2:6" ht="15" x14ac:dyDescent="0.25">
      <c r="B3677" s="173"/>
      <c r="C3677" s="679">
        <v>3114770</v>
      </c>
      <c r="D3677" s="677">
        <v>4</v>
      </c>
      <c r="E3677" s="678" t="s">
        <v>3745</v>
      </c>
      <c r="F3677" s="686"/>
    </row>
    <row r="3678" spans="2:6" ht="15" x14ac:dyDescent="0.25">
      <c r="B3678" s="173"/>
      <c r="C3678" s="679">
        <v>2961407</v>
      </c>
      <c r="D3678" s="677">
        <v>4</v>
      </c>
      <c r="E3678" s="678" t="s">
        <v>3746</v>
      </c>
      <c r="F3678" s="686"/>
    </row>
    <row r="3679" spans="2:6" ht="15" x14ac:dyDescent="0.25">
      <c r="B3679" s="173"/>
      <c r="C3679" s="679">
        <v>2961976</v>
      </c>
      <c r="D3679" s="677">
        <v>9</v>
      </c>
      <c r="E3679" s="678" t="s">
        <v>3747</v>
      </c>
      <c r="F3679" s="686"/>
    </row>
    <row r="3680" spans="2:6" ht="15" x14ac:dyDescent="0.25">
      <c r="B3680" s="173"/>
      <c r="C3680" s="679">
        <v>3084880</v>
      </c>
      <c r="D3680" s="677">
        <v>6</v>
      </c>
      <c r="E3680" s="678" t="s">
        <v>3748</v>
      </c>
      <c r="F3680" s="686"/>
    </row>
    <row r="3681" spans="2:6" ht="15" x14ac:dyDescent="0.25">
      <c r="B3681" s="173"/>
      <c r="C3681" s="679">
        <v>3074962</v>
      </c>
      <c r="D3681" s="677">
        <v>0</v>
      </c>
      <c r="E3681" s="678" t="s">
        <v>3749</v>
      </c>
      <c r="F3681" s="686"/>
    </row>
    <row r="3682" spans="2:6" ht="15" x14ac:dyDescent="0.25">
      <c r="B3682" s="173"/>
      <c r="C3682" s="679">
        <v>2962295</v>
      </c>
      <c r="D3682" s="677">
        <v>6</v>
      </c>
      <c r="E3682" s="678" t="s">
        <v>3750</v>
      </c>
      <c r="F3682" s="686"/>
    </row>
    <row r="3683" spans="2:6" ht="15" x14ac:dyDescent="0.25">
      <c r="B3683" s="173"/>
      <c r="C3683" s="679">
        <v>3110502</v>
      </c>
      <c r="D3683" s="677">
        <v>5</v>
      </c>
      <c r="E3683" s="678" t="s">
        <v>3751</v>
      </c>
      <c r="F3683" s="686"/>
    </row>
    <row r="3684" spans="2:6" ht="15" x14ac:dyDescent="0.25">
      <c r="B3684" s="173"/>
      <c r="C3684" s="679">
        <v>2962296</v>
      </c>
      <c r="D3684" s="677">
        <v>4</v>
      </c>
      <c r="E3684" s="678" t="s">
        <v>3752</v>
      </c>
      <c r="F3684" s="686"/>
    </row>
    <row r="3685" spans="2:6" ht="15" x14ac:dyDescent="0.25">
      <c r="B3685" s="173"/>
      <c r="C3685" s="679">
        <v>3151161</v>
      </c>
      <c r="D3685" s="677">
        <v>9</v>
      </c>
      <c r="E3685" s="678" t="s">
        <v>3753</v>
      </c>
      <c r="F3685" s="686"/>
    </row>
    <row r="3686" spans="2:6" ht="15" x14ac:dyDescent="0.25">
      <c r="B3686" s="173"/>
      <c r="C3686" s="679">
        <v>3087467</v>
      </c>
      <c r="D3686" s="677">
        <v>0</v>
      </c>
      <c r="E3686" s="678" t="s">
        <v>3754</v>
      </c>
      <c r="F3686" s="686"/>
    </row>
    <row r="3687" spans="2:6" ht="15" x14ac:dyDescent="0.25">
      <c r="B3687" s="173"/>
      <c r="C3687" s="679">
        <v>2962297</v>
      </c>
      <c r="D3687" s="677">
        <v>2</v>
      </c>
      <c r="E3687" s="678" t="s">
        <v>3755</v>
      </c>
      <c r="F3687" s="686"/>
    </row>
    <row r="3688" spans="2:6" ht="15" x14ac:dyDescent="0.25">
      <c r="B3688" s="173"/>
      <c r="C3688" s="679">
        <v>3307526</v>
      </c>
      <c r="D3688" s="677">
        <v>3</v>
      </c>
      <c r="E3688" s="678" t="s">
        <v>8522</v>
      </c>
      <c r="F3688" s="686"/>
    </row>
    <row r="3689" spans="2:6" ht="15" x14ac:dyDescent="0.25">
      <c r="B3689" s="173"/>
      <c r="C3689" s="679">
        <v>2962298</v>
      </c>
      <c r="D3689" s="677">
        <v>1</v>
      </c>
      <c r="E3689" s="678" t="s">
        <v>3756</v>
      </c>
      <c r="F3689" s="686"/>
    </row>
    <row r="3690" spans="2:6" ht="15" x14ac:dyDescent="0.25">
      <c r="B3690" s="173"/>
      <c r="C3690" s="679">
        <v>2961971</v>
      </c>
      <c r="D3690" s="677">
        <v>8</v>
      </c>
      <c r="E3690" s="678" t="s">
        <v>3757</v>
      </c>
      <c r="F3690" s="686"/>
    </row>
    <row r="3691" spans="2:6" ht="15" x14ac:dyDescent="0.25">
      <c r="B3691" s="173"/>
      <c r="C3691" s="679">
        <v>2962299</v>
      </c>
      <c r="D3691" s="677">
        <v>9</v>
      </c>
      <c r="E3691" s="678" t="s">
        <v>3758</v>
      </c>
      <c r="F3691" s="686"/>
    </row>
    <row r="3692" spans="2:6" ht="15" x14ac:dyDescent="0.25">
      <c r="B3692" s="173"/>
      <c r="C3692" s="679">
        <v>2962300</v>
      </c>
      <c r="D3692" s="677">
        <v>6</v>
      </c>
      <c r="E3692" s="678" t="s">
        <v>3759</v>
      </c>
      <c r="F3692" s="686"/>
    </row>
    <row r="3693" spans="2:6" ht="15" x14ac:dyDescent="0.25">
      <c r="B3693" s="173"/>
      <c r="C3693" s="679">
        <v>2962301</v>
      </c>
      <c r="D3693" s="677">
        <v>4</v>
      </c>
      <c r="E3693" s="678" t="s">
        <v>3760</v>
      </c>
      <c r="F3693" s="686"/>
    </row>
    <row r="3694" spans="2:6" ht="15" x14ac:dyDescent="0.25">
      <c r="B3694" s="173"/>
      <c r="C3694" s="679">
        <v>3157501</v>
      </c>
      <c r="D3694" s="677">
        <v>3</v>
      </c>
      <c r="E3694" s="678" t="s">
        <v>3761</v>
      </c>
      <c r="F3694" s="686"/>
    </row>
    <row r="3695" spans="2:6" ht="15" x14ac:dyDescent="0.25">
      <c r="B3695" s="173"/>
      <c r="C3695" s="679">
        <v>2961685</v>
      </c>
      <c r="D3695" s="677">
        <v>9</v>
      </c>
      <c r="E3695" s="678" t="s">
        <v>3762</v>
      </c>
      <c r="F3695" s="686"/>
    </row>
    <row r="3696" spans="2:6" ht="15" x14ac:dyDescent="0.25">
      <c r="B3696" s="173"/>
      <c r="C3696" s="679">
        <v>3103129</v>
      </c>
      <c r="D3696" s="677">
        <v>3</v>
      </c>
      <c r="E3696" s="678" t="s">
        <v>3763</v>
      </c>
      <c r="F3696" s="686"/>
    </row>
    <row r="3697" spans="2:6" ht="15" x14ac:dyDescent="0.25">
      <c r="B3697" s="173"/>
      <c r="C3697" s="679">
        <v>3075402</v>
      </c>
      <c r="D3697" s="677">
        <v>0</v>
      </c>
      <c r="E3697" s="678" t="s">
        <v>3764</v>
      </c>
      <c r="F3697" s="686"/>
    </row>
    <row r="3698" spans="2:6" ht="15" x14ac:dyDescent="0.25">
      <c r="B3698" s="173"/>
      <c r="C3698" s="679">
        <v>3103784</v>
      </c>
      <c r="D3698" s="677">
        <v>4</v>
      </c>
      <c r="E3698" s="678" t="s">
        <v>3765</v>
      </c>
      <c r="F3698" s="686"/>
    </row>
    <row r="3699" spans="2:6" ht="15" x14ac:dyDescent="0.25">
      <c r="B3699" s="173"/>
      <c r="C3699" s="679">
        <v>3157343</v>
      </c>
      <c r="D3699" s="677">
        <v>6</v>
      </c>
      <c r="E3699" s="678" t="s">
        <v>3766</v>
      </c>
      <c r="F3699" s="686"/>
    </row>
    <row r="3700" spans="2:6" ht="15" x14ac:dyDescent="0.25">
      <c r="B3700" s="173"/>
      <c r="C3700" s="679">
        <v>3095201</v>
      </c>
      <c r="D3700" s="677">
        <v>8</v>
      </c>
      <c r="E3700" s="678" t="s">
        <v>3767</v>
      </c>
      <c r="F3700" s="686"/>
    </row>
    <row r="3701" spans="2:6" ht="15" x14ac:dyDescent="0.25">
      <c r="B3701" s="173"/>
      <c r="C3701" s="679">
        <v>3085374</v>
      </c>
      <c r="D3701" s="677">
        <v>5</v>
      </c>
      <c r="E3701" s="678" t="s">
        <v>3768</v>
      </c>
      <c r="F3701" s="686"/>
    </row>
    <row r="3702" spans="2:6" ht="15" x14ac:dyDescent="0.25">
      <c r="B3702" s="173"/>
      <c r="C3702" s="679">
        <v>3079571</v>
      </c>
      <c r="D3702" s="677">
        <v>1</v>
      </c>
      <c r="E3702" s="678" t="s">
        <v>3769</v>
      </c>
      <c r="F3702" s="686"/>
    </row>
    <row r="3703" spans="2:6" ht="15" x14ac:dyDescent="0.25">
      <c r="B3703" s="173"/>
      <c r="C3703" s="679">
        <v>3076272</v>
      </c>
      <c r="D3703" s="677">
        <v>3</v>
      </c>
      <c r="E3703" s="678" t="s">
        <v>3770</v>
      </c>
      <c r="F3703" s="686"/>
    </row>
    <row r="3704" spans="2:6" ht="15" x14ac:dyDescent="0.25">
      <c r="B3704" s="173"/>
      <c r="C3704" s="679">
        <v>3048554</v>
      </c>
      <c r="D3704" s="677">
        <v>1</v>
      </c>
      <c r="E3704" s="678" t="s">
        <v>3771</v>
      </c>
      <c r="F3704" s="686"/>
    </row>
    <row r="3705" spans="2:6" ht="15" x14ac:dyDescent="0.25">
      <c r="B3705" s="173"/>
      <c r="C3705" s="679">
        <v>3095200</v>
      </c>
      <c r="D3705" s="677">
        <v>0</v>
      </c>
      <c r="E3705" s="678" t="s">
        <v>3772</v>
      </c>
      <c r="F3705" s="686"/>
    </row>
    <row r="3706" spans="2:6" ht="15" x14ac:dyDescent="0.25">
      <c r="B3706" s="173"/>
      <c r="C3706" s="679">
        <v>3100072</v>
      </c>
      <c r="D3706" s="677">
        <v>0</v>
      </c>
      <c r="E3706" s="678" t="s">
        <v>3773</v>
      </c>
      <c r="F3706" s="686"/>
    </row>
    <row r="3707" spans="2:6" ht="15" x14ac:dyDescent="0.25">
      <c r="B3707" s="173"/>
      <c r="C3707" s="679">
        <v>3208073</v>
      </c>
      <c r="D3707" s="677">
        <v>5</v>
      </c>
      <c r="E3707" s="678" t="s">
        <v>8523</v>
      </c>
      <c r="F3707" s="686"/>
    </row>
    <row r="3708" spans="2:6" ht="15" x14ac:dyDescent="0.25">
      <c r="B3708" s="173"/>
      <c r="C3708" s="679">
        <v>2962367</v>
      </c>
      <c r="D3708" s="677">
        <v>7</v>
      </c>
      <c r="E3708" s="678" t="s">
        <v>3774</v>
      </c>
      <c r="F3708" s="686"/>
    </row>
    <row r="3709" spans="2:6" ht="15" x14ac:dyDescent="0.25">
      <c r="B3709" s="173"/>
      <c r="C3709" s="679">
        <v>3320939</v>
      </c>
      <c r="D3709" s="677">
        <v>1</v>
      </c>
      <c r="E3709" s="678" t="s">
        <v>8524</v>
      </c>
      <c r="F3709" s="686"/>
    </row>
    <row r="3710" spans="2:6" ht="15" x14ac:dyDescent="0.25">
      <c r="B3710" s="173"/>
      <c r="C3710" s="679">
        <v>2962302</v>
      </c>
      <c r="D3710" s="677">
        <v>2</v>
      </c>
      <c r="E3710" s="678" t="s">
        <v>3775</v>
      </c>
      <c r="F3710" s="686"/>
    </row>
    <row r="3711" spans="2:6" ht="15" x14ac:dyDescent="0.25">
      <c r="B3711" s="173"/>
      <c r="C3711" s="679">
        <v>3077705</v>
      </c>
      <c r="D3711" s="677">
        <v>4</v>
      </c>
      <c r="E3711" s="678" t="s">
        <v>3776</v>
      </c>
      <c r="F3711" s="686"/>
    </row>
    <row r="3712" spans="2:6" ht="15" x14ac:dyDescent="0.25">
      <c r="B3712" s="173"/>
      <c r="C3712" s="679">
        <v>3310411</v>
      </c>
      <c r="D3712" s="677">
        <v>5</v>
      </c>
      <c r="E3712" s="678" t="s">
        <v>8525</v>
      </c>
      <c r="F3712" s="686"/>
    </row>
    <row r="3713" spans="2:6" ht="15" x14ac:dyDescent="0.25">
      <c r="B3713" s="173"/>
      <c r="C3713" s="679">
        <v>2962303</v>
      </c>
      <c r="D3713" s="677">
        <v>1</v>
      </c>
      <c r="E3713" s="678" t="s">
        <v>3777</v>
      </c>
      <c r="F3713" s="686"/>
    </row>
    <row r="3714" spans="2:6" ht="15" x14ac:dyDescent="0.25">
      <c r="B3714" s="173"/>
      <c r="C3714" s="679">
        <v>3212130</v>
      </c>
      <c r="D3714" s="677">
        <v>0</v>
      </c>
      <c r="E3714" s="678" t="s">
        <v>8526</v>
      </c>
      <c r="F3714" s="686"/>
    </row>
    <row r="3715" spans="2:6" ht="15" x14ac:dyDescent="0.25">
      <c r="B3715" s="173"/>
      <c r="C3715" s="679">
        <v>2961960</v>
      </c>
      <c r="D3715" s="677">
        <v>2</v>
      </c>
      <c r="E3715" s="678" t="s">
        <v>3778</v>
      </c>
      <c r="F3715" s="686"/>
    </row>
    <row r="3716" spans="2:6" ht="15" x14ac:dyDescent="0.25">
      <c r="B3716" s="173"/>
      <c r="C3716" s="679">
        <v>2962304</v>
      </c>
      <c r="D3716" s="677">
        <v>9</v>
      </c>
      <c r="E3716" s="678" t="s">
        <v>3779</v>
      </c>
      <c r="F3716" s="686"/>
    </row>
    <row r="3717" spans="2:6" ht="15" x14ac:dyDescent="0.25">
      <c r="B3717" s="173"/>
      <c r="C3717" s="679">
        <v>3090241</v>
      </c>
      <c r="D3717" s="677">
        <v>0</v>
      </c>
      <c r="E3717" s="678" t="s">
        <v>3780</v>
      </c>
      <c r="F3717" s="686"/>
    </row>
    <row r="3718" spans="2:6" ht="15" x14ac:dyDescent="0.25">
      <c r="B3718" s="173"/>
      <c r="C3718" s="679">
        <v>3147198</v>
      </c>
      <c r="D3718" s="677">
        <v>6</v>
      </c>
      <c r="E3718" s="678" t="s">
        <v>3781</v>
      </c>
      <c r="F3718" s="686"/>
    </row>
    <row r="3719" spans="2:6" ht="15" x14ac:dyDescent="0.25">
      <c r="B3719" s="173"/>
      <c r="C3719" s="679">
        <v>3092165</v>
      </c>
      <c r="D3719" s="677">
        <v>1</v>
      </c>
      <c r="E3719" s="678" t="s">
        <v>3782</v>
      </c>
      <c r="F3719" s="686"/>
    </row>
    <row r="3720" spans="2:6" ht="15" x14ac:dyDescent="0.25">
      <c r="B3720" s="173"/>
      <c r="C3720" s="679">
        <v>2962305</v>
      </c>
      <c r="D3720" s="677">
        <v>7</v>
      </c>
      <c r="E3720" s="678" t="s">
        <v>3783</v>
      </c>
      <c r="F3720" s="686"/>
    </row>
    <row r="3721" spans="2:6" ht="15" x14ac:dyDescent="0.25">
      <c r="B3721" s="173"/>
      <c r="C3721" s="679">
        <v>2961686</v>
      </c>
      <c r="D3721" s="677">
        <v>7</v>
      </c>
      <c r="E3721" s="678" t="s">
        <v>3784</v>
      </c>
      <c r="F3721" s="686"/>
    </row>
    <row r="3722" spans="2:6" ht="15" x14ac:dyDescent="0.25">
      <c r="B3722" s="173"/>
      <c r="C3722" s="679">
        <v>3353860</v>
      </c>
      <c r="D3722" s="677">
        <v>3</v>
      </c>
      <c r="E3722" s="678" t="s">
        <v>8527</v>
      </c>
      <c r="F3722" s="686"/>
    </row>
    <row r="3723" spans="2:6" ht="15" x14ac:dyDescent="0.25">
      <c r="B3723" s="173"/>
      <c r="C3723" s="679">
        <v>2962368</v>
      </c>
      <c r="D3723" s="677">
        <v>5</v>
      </c>
      <c r="E3723" s="678" t="s">
        <v>3785</v>
      </c>
      <c r="F3723" s="686"/>
    </row>
    <row r="3724" spans="2:6" ht="15" x14ac:dyDescent="0.25">
      <c r="B3724" s="173"/>
      <c r="C3724" s="679">
        <v>3300542</v>
      </c>
      <c r="D3724" s="677">
        <v>7</v>
      </c>
      <c r="E3724" s="678" t="s">
        <v>8528</v>
      </c>
      <c r="F3724" s="686"/>
    </row>
    <row r="3725" spans="2:6" ht="15" x14ac:dyDescent="0.25">
      <c r="B3725" s="173"/>
      <c r="C3725" s="679">
        <v>2962307</v>
      </c>
      <c r="D3725" s="677">
        <v>3</v>
      </c>
      <c r="E3725" s="678" t="s">
        <v>3786</v>
      </c>
      <c r="F3725" s="686"/>
    </row>
    <row r="3726" spans="2:6" ht="15" x14ac:dyDescent="0.25">
      <c r="B3726" s="173"/>
      <c r="C3726" s="679">
        <v>3075384</v>
      </c>
      <c r="D3726" s="677">
        <v>8</v>
      </c>
      <c r="E3726" s="678" t="s">
        <v>3787</v>
      </c>
      <c r="F3726" s="686"/>
    </row>
    <row r="3727" spans="2:6" ht="15" x14ac:dyDescent="0.25">
      <c r="B3727" s="173"/>
      <c r="C3727" s="679">
        <v>3087511</v>
      </c>
      <c r="D3727" s="677">
        <v>1</v>
      </c>
      <c r="E3727" s="678" t="s">
        <v>3788</v>
      </c>
      <c r="F3727" s="686"/>
    </row>
    <row r="3728" spans="2:6" ht="15" x14ac:dyDescent="0.25">
      <c r="B3728" s="173"/>
      <c r="C3728" s="679">
        <v>3076301</v>
      </c>
      <c r="D3728" s="677">
        <v>1</v>
      </c>
      <c r="E3728" s="678" t="s">
        <v>3789</v>
      </c>
      <c r="F3728" s="686"/>
    </row>
    <row r="3729" spans="2:6" ht="15" x14ac:dyDescent="0.25">
      <c r="B3729" s="173"/>
      <c r="C3729" s="679">
        <v>3090255</v>
      </c>
      <c r="D3729" s="677">
        <v>0</v>
      </c>
      <c r="E3729" s="678" t="s">
        <v>3790</v>
      </c>
      <c r="F3729" s="686"/>
    </row>
    <row r="3730" spans="2:6" ht="15" x14ac:dyDescent="0.25">
      <c r="B3730" s="173"/>
      <c r="C3730" s="679">
        <v>3100107</v>
      </c>
      <c r="D3730" s="677">
        <v>6</v>
      </c>
      <c r="E3730" s="678" t="s">
        <v>3791</v>
      </c>
      <c r="F3730" s="686"/>
    </row>
    <row r="3731" spans="2:6" ht="15" x14ac:dyDescent="0.25">
      <c r="B3731" s="173"/>
      <c r="C3731" s="679">
        <v>3285804</v>
      </c>
      <c r="D3731" s="677">
        <v>3</v>
      </c>
      <c r="E3731" s="678" t="s">
        <v>8529</v>
      </c>
      <c r="F3731" s="686"/>
    </row>
    <row r="3732" spans="2:6" ht="15" x14ac:dyDescent="0.25">
      <c r="B3732" s="173"/>
      <c r="C3732" s="679">
        <v>3098899</v>
      </c>
      <c r="D3732" s="677">
        <v>3</v>
      </c>
      <c r="E3732" s="678" t="s">
        <v>3792</v>
      </c>
      <c r="F3732" s="686"/>
    </row>
    <row r="3733" spans="2:6" ht="15" x14ac:dyDescent="0.25">
      <c r="B3733" s="173"/>
      <c r="C3733" s="679">
        <v>3212520</v>
      </c>
      <c r="D3733" s="677">
        <v>8</v>
      </c>
      <c r="E3733" s="678" t="s">
        <v>8530</v>
      </c>
      <c r="F3733" s="686"/>
    </row>
    <row r="3734" spans="2:6" ht="15" x14ac:dyDescent="0.25">
      <c r="B3734" s="173"/>
      <c r="C3734" s="679">
        <v>3103786</v>
      </c>
      <c r="D3734" s="677">
        <v>1</v>
      </c>
      <c r="E3734" s="678" t="s">
        <v>3793</v>
      </c>
      <c r="F3734" s="686"/>
    </row>
    <row r="3735" spans="2:6" ht="15" x14ac:dyDescent="0.25">
      <c r="B3735" s="173"/>
      <c r="C3735" s="679">
        <v>3072928</v>
      </c>
      <c r="D3735" s="677">
        <v>9</v>
      </c>
      <c r="E3735" s="678" t="s">
        <v>3794</v>
      </c>
      <c r="F3735" s="686"/>
    </row>
    <row r="3736" spans="2:6" ht="15" x14ac:dyDescent="0.25">
      <c r="B3736" s="173"/>
      <c r="C3736" s="679">
        <v>3080515</v>
      </c>
      <c r="D3736" s="677">
        <v>5</v>
      </c>
      <c r="E3736" s="678" t="s">
        <v>3795</v>
      </c>
      <c r="F3736" s="686"/>
    </row>
    <row r="3737" spans="2:6" ht="15" x14ac:dyDescent="0.25">
      <c r="B3737" s="173"/>
      <c r="C3737" s="679">
        <v>3151399</v>
      </c>
      <c r="D3737" s="677">
        <v>9</v>
      </c>
      <c r="E3737" s="678" t="s">
        <v>3796</v>
      </c>
      <c r="F3737" s="686"/>
    </row>
    <row r="3738" spans="2:6" ht="15" x14ac:dyDescent="0.25">
      <c r="B3738" s="173"/>
      <c r="C3738" s="679">
        <v>2962308</v>
      </c>
      <c r="D3738" s="677">
        <v>1</v>
      </c>
      <c r="E3738" s="678" t="s">
        <v>3797</v>
      </c>
      <c r="F3738" s="686"/>
    </row>
    <row r="3739" spans="2:6" ht="15" x14ac:dyDescent="0.25">
      <c r="B3739" s="173"/>
      <c r="C3739" s="679">
        <v>3353870</v>
      </c>
      <c r="D3739" s="677">
        <v>1</v>
      </c>
      <c r="E3739" s="678" t="s">
        <v>8531</v>
      </c>
      <c r="F3739" s="686"/>
    </row>
    <row r="3740" spans="2:6" ht="15" x14ac:dyDescent="0.25">
      <c r="B3740" s="173"/>
      <c r="C3740" s="679">
        <v>2962442</v>
      </c>
      <c r="D3740" s="677">
        <v>8</v>
      </c>
      <c r="E3740" s="678" t="s">
        <v>3798</v>
      </c>
      <c r="F3740" s="686"/>
    </row>
    <row r="3741" spans="2:6" ht="15" x14ac:dyDescent="0.25">
      <c r="B3741" s="173"/>
      <c r="C3741" s="679">
        <v>2962443</v>
      </c>
      <c r="D3741" s="677">
        <v>6</v>
      </c>
      <c r="E3741" s="678" t="s">
        <v>3799</v>
      </c>
      <c r="F3741" s="686"/>
    </row>
    <row r="3742" spans="2:6" ht="15" x14ac:dyDescent="0.25">
      <c r="B3742" s="173"/>
      <c r="C3742" s="679">
        <v>2962444</v>
      </c>
      <c r="D3742" s="677">
        <v>4</v>
      </c>
      <c r="E3742" s="678" t="s">
        <v>3800</v>
      </c>
      <c r="F3742" s="686"/>
    </row>
    <row r="3743" spans="2:6" ht="15" x14ac:dyDescent="0.25">
      <c r="B3743" s="173"/>
      <c r="C3743" s="679">
        <v>2962445</v>
      </c>
      <c r="D3743" s="677">
        <v>2</v>
      </c>
      <c r="E3743" s="678" t="s">
        <v>3801</v>
      </c>
      <c r="F3743" s="686"/>
    </row>
    <row r="3744" spans="2:6" ht="15" x14ac:dyDescent="0.25">
      <c r="B3744" s="173"/>
      <c r="C3744" s="679">
        <v>2961687</v>
      </c>
      <c r="D3744" s="677">
        <v>5</v>
      </c>
      <c r="E3744" s="678" t="s">
        <v>3802</v>
      </c>
      <c r="F3744" s="686"/>
    </row>
    <row r="3745" spans="2:6" ht="15" x14ac:dyDescent="0.25">
      <c r="B3745" s="173"/>
      <c r="C3745" s="679">
        <v>2962446</v>
      </c>
      <c r="D3745" s="677">
        <v>1</v>
      </c>
      <c r="E3745" s="678" t="s">
        <v>3803</v>
      </c>
      <c r="F3745" s="686"/>
    </row>
    <row r="3746" spans="2:6" ht="15" x14ac:dyDescent="0.25">
      <c r="B3746" s="173"/>
      <c r="C3746" s="679">
        <v>2962447</v>
      </c>
      <c r="D3746" s="677">
        <v>9</v>
      </c>
      <c r="E3746" s="678" t="s">
        <v>3804</v>
      </c>
      <c r="F3746" s="686"/>
    </row>
    <row r="3747" spans="2:6" ht="15" x14ac:dyDescent="0.25">
      <c r="B3747" s="173"/>
      <c r="C3747" s="679">
        <v>2961688</v>
      </c>
      <c r="D3747" s="677">
        <v>3</v>
      </c>
      <c r="E3747" s="678" t="s">
        <v>3805</v>
      </c>
      <c r="F3747" s="686"/>
    </row>
    <row r="3748" spans="2:6" ht="15" x14ac:dyDescent="0.25">
      <c r="B3748" s="173"/>
      <c r="C3748" s="679">
        <v>2961689</v>
      </c>
      <c r="D3748" s="677">
        <v>1</v>
      </c>
      <c r="E3748" s="678" t="s">
        <v>3806</v>
      </c>
      <c r="F3748" s="686"/>
    </row>
    <row r="3749" spans="2:6" ht="15" x14ac:dyDescent="0.25">
      <c r="B3749" s="173"/>
      <c r="C3749" s="679">
        <v>2961413</v>
      </c>
      <c r="D3749" s="677">
        <v>9</v>
      </c>
      <c r="E3749" s="678" t="s">
        <v>3807</v>
      </c>
      <c r="F3749" s="686"/>
    </row>
    <row r="3750" spans="2:6" ht="15" x14ac:dyDescent="0.25">
      <c r="B3750" s="173"/>
      <c r="C3750" s="679">
        <v>2962448</v>
      </c>
      <c r="D3750" s="677">
        <v>7</v>
      </c>
      <c r="E3750" s="678" t="s">
        <v>3808</v>
      </c>
      <c r="F3750" s="686"/>
    </row>
    <row r="3751" spans="2:6" ht="15" x14ac:dyDescent="0.25">
      <c r="B3751" s="173"/>
      <c r="C3751" s="679">
        <v>2962449</v>
      </c>
      <c r="D3751" s="677">
        <v>5</v>
      </c>
      <c r="E3751" s="678" t="s">
        <v>3809</v>
      </c>
      <c r="F3751" s="686"/>
    </row>
    <row r="3752" spans="2:6" ht="15" x14ac:dyDescent="0.25">
      <c r="B3752" s="173"/>
      <c r="C3752" s="679">
        <v>2961414</v>
      </c>
      <c r="D3752" s="677">
        <v>7</v>
      </c>
      <c r="E3752" s="678" t="s">
        <v>3810</v>
      </c>
      <c r="F3752" s="686"/>
    </row>
    <row r="3753" spans="2:6" ht="15" x14ac:dyDescent="0.25">
      <c r="B3753" s="173"/>
      <c r="C3753" s="679">
        <v>2961415</v>
      </c>
      <c r="D3753" s="677">
        <v>5</v>
      </c>
      <c r="E3753" s="678" t="s">
        <v>3811</v>
      </c>
      <c r="F3753" s="686"/>
    </row>
    <row r="3754" spans="2:6" ht="15" x14ac:dyDescent="0.25">
      <c r="B3754" s="173"/>
      <c r="C3754" s="679">
        <v>2962450</v>
      </c>
      <c r="D3754" s="677">
        <v>9</v>
      </c>
      <c r="E3754" s="678" t="s">
        <v>3812</v>
      </c>
      <c r="F3754" s="686"/>
    </row>
    <row r="3755" spans="2:6" ht="15" x14ac:dyDescent="0.25">
      <c r="B3755" s="173"/>
      <c r="C3755" s="679">
        <v>2962451</v>
      </c>
      <c r="D3755" s="677">
        <v>7</v>
      </c>
      <c r="E3755" s="678" t="s">
        <v>3813</v>
      </c>
      <c r="F3755" s="686"/>
    </row>
    <row r="3756" spans="2:6" ht="15" x14ac:dyDescent="0.25">
      <c r="B3756" s="173"/>
      <c r="C3756" s="679">
        <v>2962452</v>
      </c>
      <c r="D3756" s="677">
        <v>5</v>
      </c>
      <c r="E3756" s="678" t="s">
        <v>3814</v>
      </c>
      <c r="F3756" s="686"/>
    </row>
    <row r="3757" spans="2:6" ht="15" x14ac:dyDescent="0.25">
      <c r="B3757" s="173"/>
      <c r="C3757" s="679">
        <v>2962453</v>
      </c>
      <c r="D3757" s="677">
        <v>3</v>
      </c>
      <c r="E3757" s="678" t="s">
        <v>3815</v>
      </c>
      <c r="F3757" s="686"/>
    </row>
    <row r="3758" spans="2:6" ht="15" x14ac:dyDescent="0.25">
      <c r="B3758" s="173"/>
      <c r="C3758" s="679">
        <v>2962454</v>
      </c>
      <c r="D3758" s="677">
        <v>1</v>
      </c>
      <c r="E3758" s="678" t="s">
        <v>3816</v>
      </c>
      <c r="F3758" s="686"/>
    </row>
    <row r="3759" spans="2:6" ht="15" x14ac:dyDescent="0.25">
      <c r="B3759" s="173"/>
      <c r="C3759" s="679">
        <v>2962309</v>
      </c>
      <c r="D3759" s="677">
        <v>0</v>
      </c>
      <c r="E3759" s="678" t="s">
        <v>3817</v>
      </c>
      <c r="F3759" s="686"/>
    </row>
    <row r="3760" spans="2:6" ht="15" x14ac:dyDescent="0.25">
      <c r="B3760" s="173"/>
      <c r="C3760" s="679">
        <v>3029981</v>
      </c>
      <c r="D3760" s="677">
        <v>1</v>
      </c>
      <c r="E3760" s="678" t="s">
        <v>3818</v>
      </c>
      <c r="F3760" s="686"/>
    </row>
    <row r="3761" spans="2:6" ht="15" x14ac:dyDescent="0.25">
      <c r="B3761" s="173"/>
      <c r="C3761" s="679">
        <v>2961416</v>
      </c>
      <c r="D3761" s="677">
        <v>3</v>
      </c>
      <c r="E3761" s="678" t="s">
        <v>3819</v>
      </c>
      <c r="F3761" s="686"/>
    </row>
    <row r="3762" spans="2:6" ht="15" x14ac:dyDescent="0.25">
      <c r="B3762" s="173"/>
      <c r="C3762" s="679">
        <v>2962310</v>
      </c>
      <c r="D3762" s="677">
        <v>3</v>
      </c>
      <c r="E3762" s="678" t="s">
        <v>3820</v>
      </c>
      <c r="F3762" s="686"/>
    </row>
    <row r="3763" spans="2:6" ht="15" x14ac:dyDescent="0.25">
      <c r="B3763" s="173"/>
      <c r="C3763" s="679">
        <v>2962455</v>
      </c>
      <c r="D3763" s="677">
        <v>0</v>
      </c>
      <c r="E3763" s="678" t="s">
        <v>3821</v>
      </c>
      <c r="F3763" s="686"/>
    </row>
    <row r="3764" spans="2:6" ht="15" x14ac:dyDescent="0.25">
      <c r="B3764" s="173"/>
      <c r="C3764" s="679">
        <v>2961417</v>
      </c>
      <c r="D3764" s="677">
        <v>1</v>
      </c>
      <c r="E3764" s="678" t="s">
        <v>3822</v>
      </c>
      <c r="F3764" s="686"/>
    </row>
    <row r="3765" spans="2:6" ht="15" x14ac:dyDescent="0.25">
      <c r="B3765" s="173"/>
      <c r="C3765" s="679">
        <v>2961621</v>
      </c>
      <c r="D3765" s="677">
        <v>2</v>
      </c>
      <c r="E3765" s="678" t="s">
        <v>3823</v>
      </c>
      <c r="F3765" s="686"/>
    </row>
    <row r="3766" spans="2:6" ht="15" x14ac:dyDescent="0.25">
      <c r="B3766" s="173"/>
      <c r="C3766" s="679">
        <v>2962456</v>
      </c>
      <c r="D3766" s="677">
        <v>8</v>
      </c>
      <c r="E3766" s="678" t="s">
        <v>3824</v>
      </c>
      <c r="F3766" s="686"/>
    </row>
    <row r="3767" spans="2:6" ht="15" x14ac:dyDescent="0.25">
      <c r="B3767" s="173"/>
      <c r="C3767" s="679">
        <v>2962457</v>
      </c>
      <c r="D3767" s="677">
        <v>6</v>
      </c>
      <c r="E3767" s="678" t="s">
        <v>3825</v>
      </c>
      <c r="F3767" s="686"/>
    </row>
    <row r="3768" spans="2:6" ht="15" x14ac:dyDescent="0.25">
      <c r="B3768" s="173"/>
      <c r="C3768" s="679">
        <v>2962458</v>
      </c>
      <c r="D3768" s="677">
        <v>4</v>
      </c>
      <c r="E3768" s="678" t="s">
        <v>3826</v>
      </c>
      <c r="F3768" s="686"/>
    </row>
    <row r="3769" spans="2:6" ht="15" x14ac:dyDescent="0.25">
      <c r="B3769" s="173"/>
      <c r="C3769" s="679">
        <v>2962459</v>
      </c>
      <c r="D3769" s="677">
        <v>2</v>
      </c>
      <c r="E3769" s="678" t="s">
        <v>3827</v>
      </c>
      <c r="F3769" s="686"/>
    </row>
    <row r="3770" spans="2:6" ht="15" x14ac:dyDescent="0.25">
      <c r="B3770" s="173"/>
      <c r="C3770" s="679">
        <v>2962460</v>
      </c>
      <c r="D3770" s="677">
        <v>6</v>
      </c>
      <c r="E3770" s="678" t="s">
        <v>3828</v>
      </c>
      <c r="F3770" s="686"/>
    </row>
    <row r="3771" spans="2:6" ht="15" x14ac:dyDescent="0.25">
      <c r="B3771" s="173"/>
      <c r="C3771" s="679">
        <v>2962369</v>
      </c>
      <c r="D3771" s="677">
        <v>3</v>
      </c>
      <c r="E3771" s="678" t="s">
        <v>3829</v>
      </c>
      <c r="F3771" s="686"/>
    </row>
    <row r="3772" spans="2:6" ht="15" x14ac:dyDescent="0.25">
      <c r="B3772" s="173"/>
      <c r="C3772" s="679">
        <v>2962461</v>
      </c>
      <c r="D3772" s="677">
        <v>4</v>
      </c>
      <c r="E3772" s="678" t="s">
        <v>3830</v>
      </c>
      <c r="F3772" s="686"/>
    </row>
    <row r="3773" spans="2:6" ht="15" x14ac:dyDescent="0.25">
      <c r="B3773" s="173"/>
      <c r="C3773" s="679">
        <v>2962462</v>
      </c>
      <c r="D3773" s="677">
        <v>2</v>
      </c>
      <c r="E3773" s="678" t="s">
        <v>3831</v>
      </c>
      <c r="F3773" s="686"/>
    </row>
    <row r="3774" spans="2:6" ht="15" x14ac:dyDescent="0.25">
      <c r="B3774" s="173"/>
      <c r="C3774" s="679">
        <v>2962463</v>
      </c>
      <c r="D3774" s="677">
        <v>1</v>
      </c>
      <c r="E3774" s="678" t="s">
        <v>3832</v>
      </c>
      <c r="F3774" s="686"/>
    </row>
    <row r="3775" spans="2:6" ht="15" x14ac:dyDescent="0.25">
      <c r="B3775" s="173"/>
      <c r="C3775" s="679">
        <v>2962464</v>
      </c>
      <c r="D3775" s="677">
        <v>9</v>
      </c>
      <c r="E3775" s="678" t="s">
        <v>3833</v>
      </c>
      <c r="F3775" s="686"/>
    </row>
    <row r="3776" spans="2:6" ht="15" x14ac:dyDescent="0.25">
      <c r="B3776" s="173"/>
      <c r="C3776" s="679">
        <v>2962465</v>
      </c>
      <c r="D3776" s="677">
        <v>7</v>
      </c>
      <c r="E3776" s="678" t="s">
        <v>3834</v>
      </c>
      <c r="F3776" s="686"/>
    </row>
    <row r="3777" spans="2:6" ht="15" x14ac:dyDescent="0.25">
      <c r="B3777" s="173"/>
      <c r="C3777" s="679">
        <v>2962370</v>
      </c>
      <c r="D3777" s="677">
        <v>7</v>
      </c>
      <c r="E3777" s="678" t="s">
        <v>3835</v>
      </c>
      <c r="F3777" s="686"/>
    </row>
    <row r="3778" spans="2:6" ht="15" x14ac:dyDescent="0.25">
      <c r="B3778" s="173"/>
      <c r="C3778" s="679">
        <v>2962466</v>
      </c>
      <c r="D3778" s="677">
        <v>5</v>
      </c>
      <c r="E3778" s="678" t="s">
        <v>3836</v>
      </c>
      <c r="F3778" s="686"/>
    </row>
    <row r="3779" spans="2:6" ht="15" x14ac:dyDescent="0.25">
      <c r="B3779" s="173"/>
      <c r="C3779" s="679">
        <v>2962467</v>
      </c>
      <c r="D3779" s="677">
        <v>3</v>
      </c>
      <c r="E3779" s="678" t="s">
        <v>3837</v>
      </c>
      <c r="F3779" s="686"/>
    </row>
    <row r="3780" spans="2:6" ht="15" x14ac:dyDescent="0.25">
      <c r="B3780" s="173"/>
      <c r="C3780" s="679">
        <v>2961694</v>
      </c>
      <c r="D3780" s="677">
        <v>8</v>
      </c>
      <c r="E3780" s="678" t="s">
        <v>3838</v>
      </c>
      <c r="F3780" s="686"/>
    </row>
    <row r="3781" spans="2:6" ht="15" x14ac:dyDescent="0.25">
      <c r="B3781" s="173"/>
      <c r="C3781" s="679">
        <v>3072932</v>
      </c>
      <c r="D3781" s="677">
        <v>7</v>
      </c>
      <c r="E3781" s="678" t="s">
        <v>3839</v>
      </c>
      <c r="F3781" s="686"/>
    </row>
    <row r="3782" spans="2:6" ht="15" x14ac:dyDescent="0.25">
      <c r="B3782" s="173"/>
      <c r="C3782" s="679">
        <v>2963593</v>
      </c>
      <c r="D3782" s="677">
        <v>4</v>
      </c>
      <c r="E3782" s="678" t="s">
        <v>3840</v>
      </c>
      <c r="F3782" s="686"/>
    </row>
    <row r="3783" spans="2:6" ht="15" x14ac:dyDescent="0.25">
      <c r="B3783" s="173"/>
      <c r="C3783" s="679">
        <v>2962468</v>
      </c>
      <c r="D3783" s="677">
        <v>1</v>
      </c>
      <c r="E3783" s="678" t="s">
        <v>3841</v>
      </c>
      <c r="F3783" s="686"/>
    </row>
    <row r="3784" spans="2:6" ht="15" x14ac:dyDescent="0.25">
      <c r="B3784" s="173"/>
      <c r="C3784" s="679">
        <v>2962469</v>
      </c>
      <c r="D3784" s="677">
        <v>0</v>
      </c>
      <c r="E3784" s="678" t="s">
        <v>3842</v>
      </c>
      <c r="F3784" s="686"/>
    </row>
    <row r="3785" spans="2:6" ht="15" x14ac:dyDescent="0.25">
      <c r="B3785" s="173"/>
      <c r="C3785" s="679">
        <v>3092476</v>
      </c>
      <c r="D3785" s="677">
        <v>6</v>
      </c>
      <c r="E3785" s="678" t="s">
        <v>3843</v>
      </c>
      <c r="F3785" s="686"/>
    </row>
    <row r="3786" spans="2:6" ht="15" x14ac:dyDescent="0.25">
      <c r="B3786" s="173"/>
      <c r="C3786" s="679">
        <v>2962470</v>
      </c>
      <c r="D3786" s="677">
        <v>3</v>
      </c>
      <c r="E3786" s="678" t="s">
        <v>3844</v>
      </c>
      <c r="F3786" s="686"/>
    </row>
    <row r="3787" spans="2:6" ht="15" x14ac:dyDescent="0.25">
      <c r="B3787" s="173"/>
      <c r="C3787" s="679">
        <v>3051450</v>
      </c>
      <c r="D3787" s="677">
        <v>9</v>
      </c>
      <c r="E3787" s="678" t="s">
        <v>3845</v>
      </c>
      <c r="F3787" s="686"/>
    </row>
    <row r="3788" spans="2:6" ht="15" x14ac:dyDescent="0.25">
      <c r="B3788" s="173"/>
      <c r="C3788" s="679">
        <v>2961419</v>
      </c>
      <c r="D3788" s="677">
        <v>8</v>
      </c>
      <c r="E3788" s="678" t="s">
        <v>3846</v>
      </c>
      <c r="F3788" s="686"/>
    </row>
    <row r="3789" spans="2:6" ht="15" x14ac:dyDescent="0.25">
      <c r="B3789" s="173"/>
      <c r="C3789" s="679">
        <v>2962371</v>
      </c>
      <c r="D3789" s="677">
        <v>5</v>
      </c>
      <c r="E3789" s="678" t="s">
        <v>3847</v>
      </c>
      <c r="F3789" s="686"/>
    </row>
    <row r="3790" spans="2:6" ht="15" x14ac:dyDescent="0.25">
      <c r="B3790" s="173"/>
      <c r="C3790" s="679">
        <v>2962311</v>
      </c>
      <c r="D3790" s="677">
        <v>1</v>
      </c>
      <c r="E3790" s="678" t="s">
        <v>3848</v>
      </c>
      <c r="F3790" s="686"/>
    </row>
    <row r="3791" spans="2:6" ht="15" x14ac:dyDescent="0.25">
      <c r="B3791" s="173"/>
      <c r="C3791" s="679">
        <v>2962312</v>
      </c>
      <c r="D3791" s="677">
        <v>0</v>
      </c>
      <c r="E3791" s="678" t="s">
        <v>3849</v>
      </c>
      <c r="F3791" s="686"/>
    </row>
    <row r="3792" spans="2:6" ht="15" x14ac:dyDescent="0.25">
      <c r="B3792" s="173"/>
      <c r="C3792" s="679">
        <v>2961696</v>
      </c>
      <c r="D3792" s="677">
        <v>4</v>
      </c>
      <c r="E3792" s="678" t="s">
        <v>3850</v>
      </c>
      <c r="F3792" s="686"/>
    </row>
    <row r="3793" spans="2:6" ht="15" x14ac:dyDescent="0.25">
      <c r="B3793" s="173"/>
      <c r="C3793" s="679">
        <v>3087684</v>
      </c>
      <c r="D3793" s="677">
        <v>2</v>
      </c>
      <c r="E3793" s="678" t="s">
        <v>3851</v>
      </c>
      <c r="F3793" s="686"/>
    </row>
    <row r="3794" spans="2:6" ht="15" x14ac:dyDescent="0.25">
      <c r="B3794" s="173"/>
      <c r="C3794" s="679">
        <v>3081528</v>
      </c>
      <c r="D3794" s="677">
        <v>2</v>
      </c>
      <c r="E3794" s="678" t="s">
        <v>3852</v>
      </c>
      <c r="F3794" s="686"/>
    </row>
    <row r="3795" spans="2:6" ht="15" x14ac:dyDescent="0.25">
      <c r="B3795" s="173"/>
      <c r="C3795" s="679">
        <v>2962313</v>
      </c>
      <c r="D3795" s="677">
        <v>8</v>
      </c>
      <c r="E3795" s="678" t="s">
        <v>3853</v>
      </c>
      <c r="F3795" s="686"/>
    </row>
    <row r="3796" spans="2:6" ht="15" x14ac:dyDescent="0.25">
      <c r="B3796" s="173"/>
      <c r="C3796" s="679">
        <v>2962314</v>
      </c>
      <c r="D3796" s="677">
        <v>6</v>
      </c>
      <c r="E3796" s="678" t="s">
        <v>3854</v>
      </c>
      <c r="F3796" s="686"/>
    </row>
    <row r="3797" spans="2:6" ht="15" x14ac:dyDescent="0.25">
      <c r="B3797" s="173"/>
      <c r="C3797" s="679">
        <v>2962315</v>
      </c>
      <c r="D3797" s="677">
        <v>4</v>
      </c>
      <c r="E3797" s="678" t="s">
        <v>3855</v>
      </c>
      <c r="F3797" s="686"/>
    </row>
    <row r="3798" spans="2:6" ht="15" x14ac:dyDescent="0.25">
      <c r="B3798" s="173"/>
      <c r="C3798" s="679">
        <v>2962316</v>
      </c>
      <c r="D3798" s="677">
        <v>2</v>
      </c>
      <c r="E3798" s="678" t="s">
        <v>3856</v>
      </c>
      <c r="F3798" s="686"/>
    </row>
    <row r="3799" spans="2:6" ht="15" x14ac:dyDescent="0.25">
      <c r="B3799" s="173"/>
      <c r="C3799" s="679">
        <v>3291103</v>
      </c>
      <c r="D3799" s="677">
        <v>3</v>
      </c>
      <c r="E3799" s="678" t="s">
        <v>8532</v>
      </c>
      <c r="F3799" s="686"/>
    </row>
    <row r="3800" spans="2:6" ht="15" x14ac:dyDescent="0.25">
      <c r="B3800" s="173"/>
      <c r="C3800" s="679">
        <v>3070369</v>
      </c>
      <c r="D3800" s="677">
        <v>7</v>
      </c>
      <c r="E3800" s="678" t="s">
        <v>3857</v>
      </c>
      <c r="F3800" s="686"/>
    </row>
    <row r="3801" spans="2:6" ht="15" x14ac:dyDescent="0.25">
      <c r="B3801" s="173"/>
      <c r="C3801" s="679">
        <v>3084478</v>
      </c>
      <c r="D3801" s="677">
        <v>9</v>
      </c>
      <c r="E3801" s="678" t="s">
        <v>3858</v>
      </c>
      <c r="F3801" s="686"/>
    </row>
    <row r="3802" spans="2:6" ht="15" x14ac:dyDescent="0.25">
      <c r="B3802" s="173"/>
      <c r="C3802" s="679">
        <v>2962317</v>
      </c>
      <c r="D3802" s="677">
        <v>1</v>
      </c>
      <c r="E3802" s="678" t="s">
        <v>3859</v>
      </c>
      <c r="F3802" s="686"/>
    </row>
    <row r="3803" spans="2:6" ht="15" x14ac:dyDescent="0.25">
      <c r="B3803" s="173"/>
      <c r="C3803" s="679">
        <v>3086924</v>
      </c>
      <c r="D3803" s="677">
        <v>2</v>
      </c>
      <c r="E3803" s="678" t="s">
        <v>3860</v>
      </c>
      <c r="F3803" s="686"/>
    </row>
    <row r="3804" spans="2:6" ht="15" x14ac:dyDescent="0.25">
      <c r="B3804" s="173"/>
      <c r="C3804" s="679">
        <v>2962318</v>
      </c>
      <c r="D3804" s="677">
        <v>9</v>
      </c>
      <c r="E3804" s="678" t="s">
        <v>3861</v>
      </c>
      <c r="F3804" s="686"/>
    </row>
    <row r="3805" spans="2:6" ht="15" x14ac:dyDescent="0.25">
      <c r="B3805" s="173"/>
      <c r="C3805" s="679">
        <v>2961697</v>
      </c>
      <c r="D3805" s="677">
        <v>2</v>
      </c>
      <c r="E3805" s="678" t="s">
        <v>3862</v>
      </c>
      <c r="F3805" s="686"/>
    </row>
    <row r="3806" spans="2:6" ht="15" x14ac:dyDescent="0.25">
      <c r="B3806" s="173"/>
      <c r="C3806" s="679">
        <v>2961421</v>
      </c>
      <c r="D3806" s="677">
        <v>0</v>
      </c>
      <c r="E3806" s="678" t="s">
        <v>3862</v>
      </c>
      <c r="F3806" s="686"/>
    </row>
    <row r="3807" spans="2:6" ht="15" x14ac:dyDescent="0.25">
      <c r="B3807" s="173"/>
      <c r="C3807" s="679">
        <v>3292805</v>
      </c>
      <c r="D3807" s="677">
        <v>0</v>
      </c>
      <c r="E3807" s="678" t="s">
        <v>8533</v>
      </c>
      <c r="F3807" s="686"/>
    </row>
    <row r="3808" spans="2:6" ht="15" x14ac:dyDescent="0.25">
      <c r="B3808" s="173"/>
      <c r="C3808" s="679">
        <v>3088266</v>
      </c>
      <c r="D3808" s="677">
        <v>4</v>
      </c>
      <c r="E3808" s="678" t="s">
        <v>3863</v>
      </c>
      <c r="F3808" s="686"/>
    </row>
    <row r="3809" spans="2:6" ht="15" x14ac:dyDescent="0.25">
      <c r="B3809" s="173"/>
      <c r="C3809" s="679">
        <v>3307541</v>
      </c>
      <c r="D3809" s="677">
        <v>7</v>
      </c>
      <c r="E3809" s="678" t="s">
        <v>8534</v>
      </c>
      <c r="F3809" s="686"/>
    </row>
    <row r="3810" spans="2:6" ht="15" x14ac:dyDescent="0.25">
      <c r="B3810" s="173"/>
      <c r="C3810" s="679">
        <v>3158344</v>
      </c>
      <c r="D3810" s="677">
        <v>0</v>
      </c>
      <c r="E3810" s="678" t="s">
        <v>3864</v>
      </c>
      <c r="F3810" s="686"/>
    </row>
    <row r="3811" spans="2:6" ht="15" x14ac:dyDescent="0.25">
      <c r="B3811" s="173"/>
      <c r="C3811" s="679">
        <v>3310414</v>
      </c>
      <c r="D3811" s="677">
        <v>0</v>
      </c>
      <c r="E3811" s="678" t="s">
        <v>8535</v>
      </c>
      <c r="F3811" s="686"/>
    </row>
    <row r="3812" spans="2:6" ht="15" x14ac:dyDescent="0.25">
      <c r="B3812" s="173"/>
      <c r="C3812" s="679">
        <v>2962319</v>
      </c>
      <c r="D3812" s="677">
        <v>7</v>
      </c>
      <c r="E3812" s="678" t="s">
        <v>3865</v>
      </c>
      <c r="F3812" s="686"/>
    </row>
    <row r="3813" spans="2:6" ht="15" x14ac:dyDescent="0.25">
      <c r="B3813" s="173"/>
      <c r="C3813" s="679">
        <v>2962372</v>
      </c>
      <c r="D3813" s="677">
        <v>3</v>
      </c>
      <c r="E3813" s="678" t="s">
        <v>3866</v>
      </c>
      <c r="F3813" s="686"/>
    </row>
    <row r="3814" spans="2:6" ht="15" x14ac:dyDescent="0.25">
      <c r="B3814" s="173"/>
      <c r="C3814" s="679">
        <v>3086253</v>
      </c>
      <c r="D3814" s="677">
        <v>1</v>
      </c>
      <c r="E3814" s="678" t="s">
        <v>3867</v>
      </c>
      <c r="F3814" s="686"/>
    </row>
    <row r="3815" spans="2:6" ht="15" x14ac:dyDescent="0.25">
      <c r="B3815" s="173"/>
      <c r="C3815" s="679">
        <v>2962320</v>
      </c>
      <c r="D3815" s="677">
        <v>1</v>
      </c>
      <c r="E3815" s="678" t="s">
        <v>3868</v>
      </c>
      <c r="F3815" s="686"/>
    </row>
    <row r="3816" spans="2:6" ht="15" x14ac:dyDescent="0.25">
      <c r="B3816" s="173"/>
      <c r="C3816" s="679">
        <v>2962321</v>
      </c>
      <c r="D3816" s="677">
        <v>9</v>
      </c>
      <c r="E3816" s="678" t="s">
        <v>3869</v>
      </c>
      <c r="F3816" s="686"/>
    </row>
    <row r="3817" spans="2:6" ht="15" x14ac:dyDescent="0.25">
      <c r="B3817" s="173"/>
      <c r="C3817" s="679">
        <v>2962322</v>
      </c>
      <c r="D3817" s="677">
        <v>7</v>
      </c>
      <c r="E3817" s="678" t="s">
        <v>3870</v>
      </c>
      <c r="F3817" s="686"/>
    </row>
    <row r="3818" spans="2:6" ht="15" x14ac:dyDescent="0.25">
      <c r="B3818" s="173"/>
      <c r="C3818" s="679">
        <v>3285800</v>
      </c>
      <c r="D3818" s="677">
        <v>1</v>
      </c>
      <c r="E3818" s="678" t="s">
        <v>8536</v>
      </c>
      <c r="F3818" s="686"/>
    </row>
    <row r="3819" spans="2:6" ht="15" x14ac:dyDescent="0.25">
      <c r="B3819" s="173"/>
      <c r="C3819" s="679">
        <v>3074961</v>
      </c>
      <c r="D3819" s="677">
        <v>1</v>
      </c>
      <c r="E3819" s="678" t="s">
        <v>3871</v>
      </c>
      <c r="F3819" s="686"/>
    </row>
    <row r="3820" spans="2:6" ht="15" x14ac:dyDescent="0.25">
      <c r="B3820" s="173"/>
      <c r="C3820" s="679">
        <v>3076304</v>
      </c>
      <c r="D3820" s="677">
        <v>5</v>
      </c>
      <c r="E3820" s="678" t="s">
        <v>3872</v>
      </c>
      <c r="F3820" s="686"/>
    </row>
    <row r="3821" spans="2:6" ht="15" x14ac:dyDescent="0.25">
      <c r="B3821" s="173"/>
      <c r="C3821" s="679">
        <v>2961422</v>
      </c>
      <c r="D3821" s="677">
        <v>8</v>
      </c>
      <c r="E3821" s="678" t="s">
        <v>3873</v>
      </c>
      <c r="F3821" s="686"/>
    </row>
    <row r="3822" spans="2:6" ht="15" x14ac:dyDescent="0.25">
      <c r="B3822" s="173"/>
      <c r="C3822" s="679">
        <v>2961699</v>
      </c>
      <c r="D3822" s="677">
        <v>9</v>
      </c>
      <c r="E3822" s="678" t="s">
        <v>3874</v>
      </c>
      <c r="F3822" s="686"/>
    </row>
    <row r="3823" spans="2:6" ht="15" x14ac:dyDescent="0.25">
      <c r="B3823" s="173"/>
      <c r="C3823" s="679">
        <v>2962373</v>
      </c>
      <c r="D3823" s="677">
        <v>1</v>
      </c>
      <c r="E3823" s="678" t="s">
        <v>3875</v>
      </c>
      <c r="F3823" s="686"/>
    </row>
    <row r="3824" spans="2:6" ht="15" x14ac:dyDescent="0.25">
      <c r="B3824" s="173"/>
      <c r="C3824" s="679">
        <v>3070406</v>
      </c>
      <c r="D3824" s="677">
        <v>5</v>
      </c>
      <c r="E3824" s="678" t="s">
        <v>3876</v>
      </c>
      <c r="F3824" s="686"/>
    </row>
    <row r="3825" spans="2:6" ht="15" x14ac:dyDescent="0.25">
      <c r="B3825" s="173"/>
      <c r="C3825" s="679">
        <v>3075223</v>
      </c>
      <c r="D3825" s="677">
        <v>0</v>
      </c>
      <c r="E3825" s="678" t="s">
        <v>3877</v>
      </c>
      <c r="F3825" s="686"/>
    </row>
    <row r="3826" spans="2:6" ht="15" x14ac:dyDescent="0.25">
      <c r="B3826" s="173"/>
      <c r="C3826" s="679">
        <v>3218685</v>
      </c>
      <c r="D3826" s="677">
        <v>1</v>
      </c>
      <c r="E3826" s="678" t="s">
        <v>8537</v>
      </c>
      <c r="F3826" s="686"/>
    </row>
    <row r="3827" spans="2:6" ht="15" x14ac:dyDescent="0.25">
      <c r="B3827" s="173"/>
      <c r="C3827" s="679">
        <v>3157505</v>
      </c>
      <c r="D3827" s="677">
        <v>6</v>
      </c>
      <c r="E3827" s="678" t="s">
        <v>3878</v>
      </c>
      <c r="F3827" s="686"/>
    </row>
    <row r="3828" spans="2:6" ht="15" x14ac:dyDescent="0.25">
      <c r="B3828" s="173"/>
      <c r="C3828" s="679">
        <v>3140393</v>
      </c>
      <c r="D3828" s="677">
        <v>0</v>
      </c>
      <c r="E3828" s="678" t="s">
        <v>3879</v>
      </c>
      <c r="F3828" s="686"/>
    </row>
    <row r="3829" spans="2:6" ht="15" x14ac:dyDescent="0.25">
      <c r="B3829" s="173"/>
      <c r="C3829" s="679">
        <v>3211880</v>
      </c>
      <c r="D3829" s="677">
        <v>5</v>
      </c>
      <c r="E3829" s="678" t="s">
        <v>8538</v>
      </c>
      <c r="F3829" s="686"/>
    </row>
    <row r="3830" spans="2:6" ht="15" x14ac:dyDescent="0.25">
      <c r="B3830" s="173"/>
      <c r="C3830" s="679">
        <v>2961954</v>
      </c>
      <c r="D3830" s="677">
        <v>8</v>
      </c>
      <c r="E3830" s="678" t="s">
        <v>3880</v>
      </c>
      <c r="F3830" s="686"/>
    </row>
    <row r="3831" spans="2:6" ht="15" x14ac:dyDescent="0.25">
      <c r="B3831" s="173"/>
      <c r="C3831" s="679">
        <v>3178819</v>
      </c>
      <c r="D3831" s="677">
        <v>0</v>
      </c>
      <c r="E3831" s="678" t="s">
        <v>3881</v>
      </c>
      <c r="F3831" s="686"/>
    </row>
    <row r="3832" spans="2:6" ht="15" x14ac:dyDescent="0.25">
      <c r="B3832" s="173"/>
      <c r="C3832" s="679">
        <v>3226826</v>
      </c>
      <c r="D3832" s="677">
        <v>2</v>
      </c>
      <c r="E3832" s="678" t="s">
        <v>8539</v>
      </c>
      <c r="F3832" s="686"/>
    </row>
    <row r="3833" spans="2:6" ht="15" x14ac:dyDescent="0.25">
      <c r="B3833" s="173"/>
      <c r="C3833" s="679">
        <v>3226821</v>
      </c>
      <c r="D3833" s="677">
        <v>1</v>
      </c>
      <c r="E3833" s="678" t="s">
        <v>8539</v>
      </c>
      <c r="F3833" s="686"/>
    </row>
    <row r="3834" spans="2:6" ht="15" x14ac:dyDescent="0.25">
      <c r="B3834" s="173"/>
      <c r="C3834" s="679">
        <v>3226892</v>
      </c>
      <c r="D3834" s="677">
        <v>1</v>
      </c>
      <c r="E3834" s="678" t="s">
        <v>8540</v>
      </c>
      <c r="F3834" s="686"/>
    </row>
    <row r="3835" spans="2:6" ht="15" x14ac:dyDescent="0.25">
      <c r="B3835" s="173"/>
      <c r="C3835" s="679">
        <v>3199706</v>
      </c>
      <c r="D3835" s="677">
        <v>6</v>
      </c>
      <c r="E3835" s="678" t="s">
        <v>8541</v>
      </c>
      <c r="F3835" s="686"/>
    </row>
    <row r="3836" spans="2:6" ht="15" x14ac:dyDescent="0.25">
      <c r="B3836" s="173"/>
      <c r="C3836" s="679">
        <v>3163972</v>
      </c>
      <c r="D3836" s="677">
        <v>1</v>
      </c>
      <c r="E3836" s="678" t="s">
        <v>3882</v>
      </c>
      <c r="F3836" s="686"/>
    </row>
    <row r="3837" spans="2:6" ht="15" x14ac:dyDescent="0.25">
      <c r="B3837" s="173"/>
      <c r="C3837" s="679">
        <v>3156388</v>
      </c>
      <c r="D3837" s="677">
        <v>1</v>
      </c>
      <c r="E3837" s="678" t="s">
        <v>3883</v>
      </c>
      <c r="F3837" s="686"/>
    </row>
    <row r="3838" spans="2:6" ht="15" x14ac:dyDescent="0.25">
      <c r="B3838" s="173"/>
      <c r="C3838" s="679">
        <v>3158217</v>
      </c>
      <c r="D3838" s="677">
        <v>6</v>
      </c>
      <c r="E3838" s="678" t="s">
        <v>3884</v>
      </c>
      <c r="F3838" s="686"/>
    </row>
    <row r="3839" spans="2:6" ht="15" x14ac:dyDescent="0.25">
      <c r="B3839" s="173"/>
      <c r="C3839" s="679">
        <v>3157329</v>
      </c>
      <c r="D3839" s="677">
        <v>1</v>
      </c>
      <c r="E3839" s="678" t="s">
        <v>3885</v>
      </c>
      <c r="F3839" s="686"/>
    </row>
    <row r="3840" spans="2:6" ht="15" x14ac:dyDescent="0.25">
      <c r="B3840" s="173"/>
      <c r="C3840" s="679">
        <v>3110508</v>
      </c>
      <c r="D3840" s="677">
        <v>4</v>
      </c>
      <c r="E3840" s="678" t="s">
        <v>3886</v>
      </c>
      <c r="F3840" s="686"/>
    </row>
    <row r="3841" spans="2:6" ht="15" x14ac:dyDescent="0.25">
      <c r="B3841" s="173"/>
      <c r="C3841" s="679">
        <v>3072541</v>
      </c>
      <c r="D3841" s="677">
        <v>1</v>
      </c>
      <c r="E3841" s="678" t="s">
        <v>3887</v>
      </c>
      <c r="F3841" s="686"/>
    </row>
    <row r="3842" spans="2:6" ht="15" x14ac:dyDescent="0.25">
      <c r="B3842" s="173"/>
      <c r="C3842" s="679">
        <v>3156387</v>
      </c>
      <c r="D3842" s="677">
        <v>2</v>
      </c>
      <c r="E3842" s="678" t="s">
        <v>3888</v>
      </c>
      <c r="F3842" s="686"/>
    </row>
    <row r="3843" spans="2:6" ht="15" x14ac:dyDescent="0.25">
      <c r="B3843" s="173"/>
      <c r="C3843" s="679">
        <v>3141112</v>
      </c>
      <c r="D3843" s="677">
        <v>6</v>
      </c>
      <c r="E3843" s="678" t="s">
        <v>3889</v>
      </c>
      <c r="F3843" s="686"/>
    </row>
    <row r="3844" spans="2:6" ht="15" x14ac:dyDescent="0.25">
      <c r="B3844" s="173"/>
      <c r="C3844" s="679">
        <v>3157697</v>
      </c>
      <c r="D3844" s="677">
        <v>4</v>
      </c>
      <c r="E3844" s="678" t="s">
        <v>3890</v>
      </c>
      <c r="F3844" s="686"/>
    </row>
    <row r="3845" spans="2:6" ht="15" x14ac:dyDescent="0.25">
      <c r="B3845" s="173"/>
      <c r="C3845" s="679">
        <v>3048555</v>
      </c>
      <c r="D3845" s="677">
        <v>0</v>
      </c>
      <c r="E3845" s="678" t="s">
        <v>3891</v>
      </c>
      <c r="F3845" s="686"/>
    </row>
    <row r="3846" spans="2:6" ht="15" x14ac:dyDescent="0.25">
      <c r="B3846" s="173"/>
      <c r="C3846" s="679">
        <v>3048556</v>
      </c>
      <c r="D3846" s="677">
        <v>8</v>
      </c>
      <c r="E3846" s="678" t="s">
        <v>3892</v>
      </c>
      <c r="F3846" s="686"/>
    </row>
    <row r="3847" spans="2:6" ht="15" x14ac:dyDescent="0.25">
      <c r="B3847" s="173"/>
      <c r="C3847" s="679">
        <v>3048557</v>
      </c>
      <c r="D3847" s="677">
        <v>6</v>
      </c>
      <c r="E3847" s="678" t="s">
        <v>3893</v>
      </c>
      <c r="F3847" s="686"/>
    </row>
    <row r="3848" spans="2:6" ht="15" x14ac:dyDescent="0.25">
      <c r="B3848" s="173"/>
      <c r="C3848" s="679">
        <v>3291100</v>
      </c>
      <c r="D3848" s="677">
        <v>9</v>
      </c>
      <c r="E3848" s="678" t="s">
        <v>8542</v>
      </c>
      <c r="F3848" s="686"/>
    </row>
    <row r="3849" spans="2:6" ht="15" x14ac:dyDescent="0.25">
      <c r="B3849" s="173"/>
      <c r="C3849" s="679">
        <v>3048558</v>
      </c>
      <c r="D3849" s="677">
        <v>4</v>
      </c>
      <c r="E3849" s="678" t="s">
        <v>3894</v>
      </c>
      <c r="F3849" s="686"/>
    </row>
    <row r="3850" spans="2:6" ht="15" x14ac:dyDescent="0.25">
      <c r="B3850" s="173"/>
      <c r="C3850" s="679">
        <v>3048559</v>
      </c>
      <c r="D3850" s="677">
        <v>2</v>
      </c>
      <c r="E3850" s="678" t="s">
        <v>3895</v>
      </c>
      <c r="F3850" s="686"/>
    </row>
    <row r="3851" spans="2:6" ht="15" x14ac:dyDescent="0.25">
      <c r="B3851" s="173"/>
      <c r="C3851" s="679">
        <v>3048560</v>
      </c>
      <c r="D3851" s="677">
        <v>6</v>
      </c>
      <c r="E3851" s="678" t="s">
        <v>3896</v>
      </c>
      <c r="F3851" s="686"/>
    </row>
    <row r="3852" spans="2:6" ht="15" x14ac:dyDescent="0.25">
      <c r="B3852" s="173"/>
      <c r="C3852" s="680">
        <v>3048561</v>
      </c>
      <c r="D3852" s="681">
        <v>4</v>
      </c>
      <c r="E3852" s="682" t="s">
        <v>3897</v>
      </c>
      <c r="F3852" s="686"/>
    </row>
    <row r="3853" spans="2:6" ht="15" customHeight="1" thickBot="1" x14ac:dyDescent="0.25">
      <c r="B3853" s="687"/>
      <c r="C3853" s="688"/>
      <c r="D3853" s="688"/>
      <c r="E3853" s="688"/>
      <c r="F3853" s="689"/>
    </row>
    <row r="3854" spans="2:6" ht="12" thickTop="1" x14ac:dyDescent="0.2"/>
  </sheetData>
  <sheetProtection password="CB18" sheet="1" objects="1" scenarios="1"/>
  <pageMargins left="0.51181102362204722" right="0.51181102362204722" top="0.39370078740157483" bottom="0.39370078740157483" header="0.31496062992125984" footer="0.31496062992125984"/>
  <pageSetup paperSize="9" scale="115" fitToHeight="0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3:M6210"/>
  <sheetViews>
    <sheetView showRowColHeaders="0" workbookViewId="0">
      <pane ySplit="5" topLeftCell="A6" activePane="bottomLeft" state="frozen"/>
      <selection activeCell="G6" sqref="G6:Q6"/>
      <selection pane="bottomLeft" activeCell="G6" sqref="G6:Q6"/>
    </sheetView>
  </sheetViews>
  <sheetFormatPr defaultColWidth="3.7109375" defaultRowHeight="11.25" x14ac:dyDescent="0.2"/>
  <cols>
    <col min="1" max="2" width="2.7109375" style="165" customWidth="1"/>
    <col min="3" max="3" width="7" style="165" bestFit="1" customWidth="1"/>
    <col min="4" max="4" width="31.5703125" style="165" bestFit="1" customWidth="1"/>
    <col min="5" max="5" width="7" style="165" bestFit="1" customWidth="1"/>
    <col min="6" max="6" width="37.7109375" style="165" customWidth="1"/>
    <col min="7" max="7" width="7" style="165" bestFit="1" customWidth="1"/>
    <col min="8" max="8" width="38.7109375" style="165" customWidth="1"/>
    <col min="9" max="9" width="7" style="165" bestFit="1" customWidth="1"/>
    <col min="10" max="10" width="103.7109375" style="165" bestFit="1" customWidth="1"/>
    <col min="11" max="11" width="31.5703125" style="165" bestFit="1" customWidth="1"/>
    <col min="12" max="12" width="18.140625" style="165" bestFit="1" customWidth="1"/>
    <col min="13" max="16384" width="3.7109375" style="165"/>
  </cols>
  <sheetData>
    <row r="3" spans="2:13" ht="12" thickBot="1" x14ac:dyDescent="0.25"/>
    <row r="4" spans="2:13" ht="12.75" thickTop="1" thickBot="1" x14ac:dyDescent="0.25">
      <c r="B4" s="174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8"/>
    </row>
    <row r="5" spans="2:13" ht="12" thickBot="1" x14ac:dyDescent="0.25">
      <c r="B5" s="173"/>
      <c r="C5" s="697" t="s">
        <v>409</v>
      </c>
      <c r="D5" s="698"/>
      <c r="E5" s="698" t="s">
        <v>409</v>
      </c>
      <c r="F5" s="698" t="s">
        <v>3898</v>
      </c>
      <c r="G5" s="698" t="s">
        <v>409</v>
      </c>
      <c r="H5" s="698" t="s">
        <v>3899</v>
      </c>
      <c r="I5" s="698" t="s">
        <v>409</v>
      </c>
      <c r="J5" s="698" t="s">
        <v>3900</v>
      </c>
      <c r="K5" s="698" t="s">
        <v>3901</v>
      </c>
      <c r="L5" s="699" t="s">
        <v>3902</v>
      </c>
      <c r="M5" s="170"/>
    </row>
    <row r="6" spans="2:13" x14ac:dyDescent="0.2">
      <c r="B6" s="173"/>
      <c r="C6" s="691">
        <v>1</v>
      </c>
      <c r="D6" s="692" t="s">
        <v>3903</v>
      </c>
      <c r="E6" s="692">
        <v>1</v>
      </c>
      <c r="F6" s="692" t="s">
        <v>3904</v>
      </c>
      <c r="G6" s="692">
        <v>1</v>
      </c>
      <c r="H6" s="692" t="s">
        <v>3904</v>
      </c>
      <c r="I6" s="692">
        <v>1</v>
      </c>
      <c r="J6" s="692" t="s">
        <v>3905</v>
      </c>
      <c r="K6" s="692" t="s">
        <v>8543</v>
      </c>
      <c r="L6" s="693">
        <v>320</v>
      </c>
      <c r="M6" s="170"/>
    </row>
    <row r="7" spans="2:13" x14ac:dyDescent="0.2">
      <c r="B7" s="173"/>
      <c r="C7" s="694">
        <v>1</v>
      </c>
      <c r="D7" s="695" t="s">
        <v>3903</v>
      </c>
      <c r="E7" s="695">
        <v>1</v>
      </c>
      <c r="F7" s="695" t="s">
        <v>3904</v>
      </c>
      <c r="G7" s="695">
        <v>1</v>
      </c>
      <c r="H7" s="695" t="s">
        <v>3904</v>
      </c>
      <c r="I7" s="695">
        <v>2</v>
      </c>
      <c r="J7" s="695" t="s">
        <v>3906</v>
      </c>
      <c r="K7" s="695" t="s">
        <v>3907</v>
      </c>
      <c r="L7" s="696">
        <v>7852</v>
      </c>
      <c r="M7" s="170"/>
    </row>
    <row r="8" spans="2:13" x14ac:dyDescent="0.2">
      <c r="B8" s="173"/>
      <c r="C8" s="694">
        <v>1</v>
      </c>
      <c r="D8" s="695" t="s">
        <v>3903</v>
      </c>
      <c r="E8" s="695">
        <v>1</v>
      </c>
      <c r="F8" s="695" t="s">
        <v>3904</v>
      </c>
      <c r="G8" s="695">
        <v>1</v>
      </c>
      <c r="H8" s="695" t="s">
        <v>3904</v>
      </c>
      <c r="I8" s="695">
        <v>3</v>
      </c>
      <c r="J8" s="695" t="s">
        <v>3908</v>
      </c>
      <c r="K8" s="695" t="s">
        <v>3907</v>
      </c>
      <c r="L8" s="696">
        <v>33</v>
      </c>
      <c r="M8" s="170"/>
    </row>
    <row r="9" spans="2:13" x14ac:dyDescent="0.2">
      <c r="B9" s="173"/>
      <c r="C9" s="694">
        <v>1</v>
      </c>
      <c r="D9" s="695" t="s">
        <v>3903</v>
      </c>
      <c r="E9" s="695">
        <v>1</v>
      </c>
      <c r="F9" s="695" t="s">
        <v>3904</v>
      </c>
      <c r="G9" s="695">
        <v>1</v>
      </c>
      <c r="H9" s="695" t="s">
        <v>3904</v>
      </c>
      <c r="I9" s="695">
        <v>4</v>
      </c>
      <c r="J9" s="695" t="s">
        <v>3909</v>
      </c>
      <c r="K9" s="695" t="s">
        <v>3907</v>
      </c>
      <c r="L9" s="696">
        <v>2</v>
      </c>
      <c r="M9" s="170"/>
    </row>
    <row r="10" spans="2:13" x14ac:dyDescent="0.2">
      <c r="B10" s="173"/>
      <c r="C10" s="694">
        <v>1</v>
      </c>
      <c r="D10" s="695" t="s">
        <v>3903</v>
      </c>
      <c r="E10" s="695">
        <v>1</v>
      </c>
      <c r="F10" s="695" t="s">
        <v>3904</v>
      </c>
      <c r="G10" s="695">
        <v>1</v>
      </c>
      <c r="H10" s="695" t="s">
        <v>3904</v>
      </c>
      <c r="I10" s="695">
        <v>5</v>
      </c>
      <c r="J10" s="695" t="s">
        <v>3910</v>
      </c>
      <c r="K10" s="695" t="s">
        <v>3907</v>
      </c>
      <c r="L10" s="696">
        <v>39</v>
      </c>
      <c r="M10" s="170"/>
    </row>
    <row r="11" spans="2:13" x14ac:dyDescent="0.2">
      <c r="B11" s="173"/>
      <c r="C11" s="694">
        <v>1</v>
      </c>
      <c r="D11" s="695" t="s">
        <v>3903</v>
      </c>
      <c r="E11" s="695">
        <v>1</v>
      </c>
      <c r="F11" s="695" t="s">
        <v>3904</v>
      </c>
      <c r="G11" s="695">
        <v>1</v>
      </c>
      <c r="H11" s="695" t="s">
        <v>3904</v>
      </c>
      <c r="I11" s="695">
        <v>6</v>
      </c>
      <c r="J11" s="695" t="s">
        <v>3911</v>
      </c>
      <c r="K11" s="695" t="s">
        <v>3907</v>
      </c>
      <c r="L11" s="696">
        <v>8310</v>
      </c>
      <c r="M11" s="170"/>
    </row>
    <row r="12" spans="2:13" x14ac:dyDescent="0.2">
      <c r="B12" s="173"/>
      <c r="C12" s="694">
        <v>1</v>
      </c>
      <c r="D12" s="695" t="s">
        <v>3903</v>
      </c>
      <c r="E12" s="695">
        <v>1</v>
      </c>
      <c r="F12" s="695" t="s">
        <v>3904</v>
      </c>
      <c r="G12" s="695">
        <v>1</v>
      </c>
      <c r="H12" s="695" t="s">
        <v>3904</v>
      </c>
      <c r="I12" s="695">
        <v>7</v>
      </c>
      <c r="J12" s="695" t="s">
        <v>3912</v>
      </c>
      <c r="K12" s="695" t="s">
        <v>3907</v>
      </c>
      <c r="L12" s="696">
        <v>3996</v>
      </c>
      <c r="M12" s="170"/>
    </row>
    <row r="13" spans="2:13" x14ac:dyDescent="0.2">
      <c r="B13" s="173"/>
      <c r="C13" s="694">
        <v>1</v>
      </c>
      <c r="D13" s="695" t="s">
        <v>3903</v>
      </c>
      <c r="E13" s="695">
        <v>1</v>
      </c>
      <c r="F13" s="695" t="s">
        <v>3904</v>
      </c>
      <c r="G13" s="695">
        <v>1</v>
      </c>
      <c r="H13" s="695" t="s">
        <v>3904</v>
      </c>
      <c r="I13" s="695">
        <v>8</v>
      </c>
      <c r="J13" s="695" t="s">
        <v>3913</v>
      </c>
      <c r="K13" s="695" t="s">
        <v>3907</v>
      </c>
      <c r="L13" s="696">
        <v>36</v>
      </c>
      <c r="M13" s="170"/>
    </row>
    <row r="14" spans="2:13" x14ac:dyDescent="0.2">
      <c r="B14" s="173"/>
      <c r="C14" s="694">
        <v>1</v>
      </c>
      <c r="D14" s="695" t="s">
        <v>3903</v>
      </c>
      <c r="E14" s="695">
        <v>1</v>
      </c>
      <c r="F14" s="695" t="s">
        <v>3904</v>
      </c>
      <c r="G14" s="695">
        <v>1</v>
      </c>
      <c r="H14" s="695" t="s">
        <v>3904</v>
      </c>
      <c r="I14" s="695">
        <v>9</v>
      </c>
      <c r="J14" s="695" t="s">
        <v>3914</v>
      </c>
      <c r="K14" s="695" t="s">
        <v>3907</v>
      </c>
      <c r="L14" s="696">
        <v>17</v>
      </c>
      <c r="M14" s="170"/>
    </row>
    <row r="15" spans="2:13" x14ac:dyDescent="0.2">
      <c r="B15" s="173"/>
      <c r="C15" s="694">
        <v>1</v>
      </c>
      <c r="D15" s="695" t="s">
        <v>3903</v>
      </c>
      <c r="E15" s="695">
        <v>1</v>
      </c>
      <c r="F15" s="695" t="s">
        <v>3904</v>
      </c>
      <c r="G15" s="695">
        <v>1</v>
      </c>
      <c r="H15" s="695" t="s">
        <v>3904</v>
      </c>
      <c r="I15" s="695">
        <v>10</v>
      </c>
      <c r="J15" s="695" t="s">
        <v>3915</v>
      </c>
      <c r="K15" s="695" t="s">
        <v>3907</v>
      </c>
      <c r="L15" s="696">
        <v>581</v>
      </c>
      <c r="M15" s="170"/>
    </row>
    <row r="16" spans="2:13" x14ac:dyDescent="0.2">
      <c r="B16" s="173"/>
      <c r="C16" s="694">
        <v>1</v>
      </c>
      <c r="D16" s="695" t="s">
        <v>3903</v>
      </c>
      <c r="E16" s="695">
        <v>1</v>
      </c>
      <c r="F16" s="695" t="s">
        <v>3904</v>
      </c>
      <c r="G16" s="695">
        <v>1</v>
      </c>
      <c r="H16" s="695" t="s">
        <v>3904</v>
      </c>
      <c r="I16" s="695">
        <v>11</v>
      </c>
      <c r="J16" s="695" t="s">
        <v>3916</v>
      </c>
      <c r="K16" s="695" t="s">
        <v>3907</v>
      </c>
      <c r="L16" s="696">
        <v>9</v>
      </c>
      <c r="M16" s="170"/>
    </row>
    <row r="17" spans="2:13" x14ac:dyDescent="0.2">
      <c r="B17" s="173"/>
      <c r="C17" s="694">
        <v>1</v>
      </c>
      <c r="D17" s="695" t="s">
        <v>3903</v>
      </c>
      <c r="E17" s="695">
        <v>1</v>
      </c>
      <c r="F17" s="695" t="s">
        <v>3904</v>
      </c>
      <c r="G17" s="695">
        <v>1</v>
      </c>
      <c r="H17" s="695" t="s">
        <v>3904</v>
      </c>
      <c r="I17" s="695">
        <v>12</v>
      </c>
      <c r="J17" s="695" t="s">
        <v>3917</v>
      </c>
      <c r="K17" s="695" t="s">
        <v>3907</v>
      </c>
      <c r="L17" s="696">
        <v>823</v>
      </c>
      <c r="M17" s="170"/>
    </row>
    <row r="18" spans="2:13" x14ac:dyDescent="0.2">
      <c r="B18" s="173"/>
      <c r="C18" s="694">
        <v>1</v>
      </c>
      <c r="D18" s="695" t="s">
        <v>3903</v>
      </c>
      <c r="E18" s="695">
        <v>1</v>
      </c>
      <c r="F18" s="695" t="s">
        <v>3904</v>
      </c>
      <c r="G18" s="695">
        <v>1</v>
      </c>
      <c r="H18" s="695" t="s">
        <v>3904</v>
      </c>
      <c r="I18" s="695">
        <v>13</v>
      </c>
      <c r="J18" s="695" t="s">
        <v>3918</v>
      </c>
      <c r="K18" s="695" t="s">
        <v>3907</v>
      </c>
      <c r="L18" s="696">
        <v>205</v>
      </c>
      <c r="M18" s="170"/>
    </row>
    <row r="19" spans="2:13" x14ac:dyDescent="0.2">
      <c r="B19" s="173"/>
      <c r="C19" s="694">
        <v>1</v>
      </c>
      <c r="D19" s="695" t="s">
        <v>3903</v>
      </c>
      <c r="E19" s="695">
        <v>1</v>
      </c>
      <c r="F19" s="695" t="s">
        <v>3904</v>
      </c>
      <c r="G19" s="695">
        <v>1</v>
      </c>
      <c r="H19" s="695" t="s">
        <v>3904</v>
      </c>
      <c r="I19" s="695">
        <v>14</v>
      </c>
      <c r="J19" s="695" t="s">
        <v>3919</v>
      </c>
      <c r="K19" s="695" t="s">
        <v>3907</v>
      </c>
      <c r="L19" s="696">
        <v>3</v>
      </c>
      <c r="M19" s="170"/>
    </row>
    <row r="20" spans="2:13" x14ac:dyDescent="0.2">
      <c r="B20" s="173"/>
      <c r="C20" s="694">
        <v>1</v>
      </c>
      <c r="D20" s="695" t="s">
        <v>3903</v>
      </c>
      <c r="E20" s="695">
        <v>1</v>
      </c>
      <c r="F20" s="695" t="s">
        <v>3904</v>
      </c>
      <c r="G20" s="695">
        <v>1</v>
      </c>
      <c r="H20" s="695" t="s">
        <v>3904</v>
      </c>
      <c r="I20" s="695">
        <v>15</v>
      </c>
      <c r="J20" s="695" t="s">
        <v>3920</v>
      </c>
      <c r="K20" s="695" t="s">
        <v>3907</v>
      </c>
      <c r="L20" s="696">
        <v>4829</v>
      </c>
      <c r="M20" s="170"/>
    </row>
    <row r="21" spans="2:13" x14ac:dyDescent="0.2">
      <c r="B21" s="173"/>
      <c r="C21" s="694">
        <v>1</v>
      </c>
      <c r="D21" s="695" t="s">
        <v>3903</v>
      </c>
      <c r="E21" s="695">
        <v>1</v>
      </c>
      <c r="F21" s="695" t="s">
        <v>3904</v>
      </c>
      <c r="G21" s="695">
        <v>1</v>
      </c>
      <c r="H21" s="695" t="s">
        <v>3904</v>
      </c>
      <c r="I21" s="695">
        <v>16</v>
      </c>
      <c r="J21" s="695" t="s">
        <v>3921</v>
      </c>
      <c r="K21" s="695" t="s">
        <v>3907</v>
      </c>
      <c r="L21" s="696">
        <v>796</v>
      </c>
      <c r="M21" s="170"/>
    </row>
    <row r="22" spans="2:13" x14ac:dyDescent="0.2">
      <c r="B22" s="173"/>
      <c r="C22" s="694">
        <v>1</v>
      </c>
      <c r="D22" s="695" t="s">
        <v>3903</v>
      </c>
      <c r="E22" s="695">
        <v>1</v>
      </c>
      <c r="F22" s="695" t="s">
        <v>3904</v>
      </c>
      <c r="G22" s="695">
        <v>1</v>
      </c>
      <c r="H22" s="695" t="s">
        <v>3904</v>
      </c>
      <c r="I22" s="695">
        <v>17</v>
      </c>
      <c r="J22" s="695" t="s">
        <v>3922</v>
      </c>
      <c r="K22" s="695" t="s">
        <v>3907</v>
      </c>
      <c r="L22" s="696">
        <v>492</v>
      </c>
      <c r="M22" s="170"/>
    </row>
    <row r="23" spans="2:13" x14ac:dyDescent="0.2">
      <c r="B23" s="173"/>
      <c r="C23" s="694">
        <v>1</v>
      </c>
      <c r="D23" s="695" t="s">
        <v>3903</v>
      </c>
      <c r="E23" s="695">
        <v>1</v>
      </c>
      <c r="F23" s="695" t="s">
        <v>3904</v>
      </c>
      <c r="G23" s="695">
        <v>1</v>
      </c>
      <c r="H23" s="695" t="s">
        <v>3904</v>
      </c>
      <c r="I23" s="695">
        <v>18</v>
      </c>
      <c r="J23" s="695" t="s">
        <v>3923</v>
      </c>
      <c r="K23" s="695" t="s">
        <v>3907</v>
      </c>
      <c r="L23" s="696">
        <v>627</v>
      </c>
      <c r="M23" s="170"/>
    </row>
    <row r="24" spans="2:13" x14ac:dyDescent="0.2">
      <c r="B24" s="173"/>
      <c r="C24" s="694">
        <v>1</v>
      </c>
      <c r="D24" s="695" t="s">
        <v>3903</v>
      </c>
      <c r="E24" s="695">
        <v>1</v>
      </c>
      <c r="F24" s="695" t="s">
        <v>3904</v>
      </c>
      <c r="G24" s="695">
        <v>1</v>
      </c>
      <c r="H24" s="695" t="s">
        <v>3904</v>
      </c>
      <c r="I24" s="695">
        <v>19</v>
      </c>
      <c r="J24" s="695" t="s">
        <v>3924</v>
      </c>
      <c r="K24" s="695" t="s">
        <v>3907</v>
      </c>
      <c r="L24" s="696">
        <v>27</v>
      </c>
      <c r="M24" s="170"/>
    </row>
    <row r="25" spans="2:13" x14ac:dyDescent="0.2">
      <c r="B25" s="173"/>
      <c r="C25" s="694">
        <v>1</v>
      </c>
      <c r="D25" s="695" t="s">
        <v>3903</v>
      </c>
      <c r="E25" s="695">
        <v>1</v>
      </c>
      <c r="F25" s="695" t="s">
        <v>3904</v>
      </c>
      <c r="G25" s="695">
        <v>1</v>
      </c>
      <c r="H25" s="695" t="s">
        <v>3904</v>
      </c>
      <c r="I25" s="695">
        <v>20</v>
      </c>
      <c r="J25" s="695" t="s">
        <v>3925</v>
      </c>
      <c r="K25" s="695" t="s">
        <v>3907</v>
      </c>
      <c r="L25" s="696">
        <v>417</v>
      </c>
      <c r="M25" s="170"/>
    </row>
    <row r="26" spans="2:13" x14ac:dyDescent="0.2">
      <c r="B26" s="173"/>
      <c r="C26" s="694">
        <v>1</v>
      </c>
      <c r="D26" s="695" t="s">
        <v>3903</v>
      </c>
      <c r="E26" s="695">
        <v>1</v>
      </c>
      <c r="F26" s="695" t="s">
        <v>3904</v>
      </c>
      <c r="G26" s="695">
        <v>1</v>
      </c>
      <c r="H26" s="695" t="s">
        <v>3904</v>
      </c>
      <c r="I26" s="695">
        <v>21</v>
      </c>
      <c r="J26" s="695" t="s">
        <v>3926</v>
      </c>
      <c r="K26" s="695" t="s">
        <v>3907</v>
      </c>
      <c r="L26" s="696">
        <v>759</v>
      </c>
      <c r="M26" s="170"/>
    </row>
    <row r="27" spans="2:13" x14ac:dyDescent="0.2">
      <c r="B27" s="173"/>
      <c r="C27" s="694">
        <v>1</v>
      </c>
      <c r="D27" s="695" t="s">
        <v>3903</v>
      </c>
      <c r="E27" s="695">
        <v>1</v>
      </c>
      <c r="F27" s="695" t="s">
        <v>3904</v>
      </c>
      <c r="G27" s="695">
        <v>1</v>
      </c>
      <c r="H27" s="695" t="s">
        <v>3904</v>
      </c>
      <c r="I27" s="695">
        <v>22</v>
      </c>
      <c r="J27" s="695" t="s">
        <v>3927</v>
      </c>
      <c r="K27" s="695" t="s">
        <v>3907</v>
      </c>
      <c r="L27" s="696">
        <v>15</v>
      </c>
      <c r="M27" s="170"/>
    </row>
    <row r="28" spans="2:13" x14ac:dyDescent="0.2">
      <c r="B28" s="173"/>
      <c r="C28" s="694">
        <v>1</v>
      </c>
      <c r="D28" s="695" t="s">
        <v>3903</v>
      </c>
      <c r="E28" s="695">
        <v>1</v>
      </c>
      <c r="F28" s="695" t="s">
        <v>3904</v>
      </c>
      <c r="G28" s="695">
        <v>1</v>
      </c>
      <c r="H28" s="695" t="s">
        <v>3904</v>
      </c>
      <c r="I28" s="695">
        <v>23</v>
      </c>
      <c r="J28" s="695" t="s">
        <v>3928</v>
      </c>
      <c r="K28" s="695" t="s">
        <v>3907</v>
      </c>
      <c r="L28" s="696">
        <v>52</v>
      </c>
      <c r="M28" s="170"/>
    </row>
    <row r="29" spans="2:13" x14ac:dyDescent="0.2">
      <c r="B29" s="173"/>
      <c r="C29" s="694">
        <v>1</v>
      </c>
      <c r="D29" s="695" t="s">
        <v>3903</v>
      </c>
      <c r="E29" s="695">
        <v>1</v>
      </c>
      <c r="F29" s="695" t="s">
        <v>3904</v>
      </c>
      <c r="G29" s="695">
        <v>1</v>
      </c>
      <c r="H29" s="695" t="s">
        <v>3904</v>
      </c>
      <c r="I29" s="695">
        <v>24</v>
      </c>
      <c r="J29" s="695" t="s">
        <v>3929</v>
      </c>
      <c r="K29" s="695" t="s">
        <v>3907</v>
      </c>
      <c r="L29" s="696">
        <v>3</v>
      </c>
      <c r="M29" s="170"/>
    </row>
    <row r="30" spans="2:13" x14ac:dyDescent="0.2">
      <c r="B30" s="173"/>
      <c r="C30" s="694">
        <v>1</v>
      </c>
      <c r="D30" s="695" t="s">
        <v>3903</v>
      </c>
      <c r="E30" s="695">
        <v>1</v>
      </c>
      <c r="F30" s="695" t="s">
        <v>3904</v>
      </c>
      <c r="G30" s="695">
        <v>1</v>
      </c>
      <c r="H30" s="695" t="s">
        <v>3904</v>
      </c>
      <c r="I30" s="695">
        <v>25</v>
      </c>
      <c r="J30" s="695" t="s">
        <v>3930</v>
      </c>
      <c r="K30" s="695" t="s">
        <v>3907</v>
      </c>
      <c r="L30" s="696">
        <v>1385</v>
      </c>
      <c r="M30" s="170"/>
    </row>
    <row r="31" spans="2:13" x14ac:dyDescent="0.2">
      <c r="B31" s="173"/>
      <c r="C31" s="694">
        <v>1</v>
      </c>
      <c r="D31" s="695" t="s">
        <v>3903</v>
      </c>
      <c r="E31" s="695">
        <v>1</v>
      </c>
      <c r="F31" s="695" t="s">
        <v>3904</v>
      </c>
      <c r="G31" s="695">
        <v>1</v>
      </c>
      <c r="H31" s="695" t="s">
        <v>3904</v>
      </c>
      <c r="I31" s="695">
        <v>26</v>
      </c>
      <c r="J31" s="695" t="s">
        <v>3931</v>
      </c>
      <c r="K31" s="695" t="s">
        <v>3907</v>
      </c>
      <c r="L31" s="696">
        <v>0</v>
      </c>
      <c r="M31" s="170"/>
    </row>
    <row r="32" spans="2:13" x14ac:dyDescent="0.2">
      <c r="B32" s="173"/>
      <c r="C32" s="694">
        <v>1</v>
      </c>
      <c r="D32" s="695" t="s">
        <v>3903</v>
      </c>
      <c r="E32" s="695">
        <v>1</v>
      </c>
      <c r="F32" s="695" t="s">
        <v>3904</v>
      </c>
      <c r="G32" s="695">
        <v>1</v>
      </c>
      <c r="H32" s="695" t="s">
        <v>3904</v>
      </c>
      <c r="I32" s="695">
        <v>27</v>
      </c>
      <c r="J32" s="695" t="s">
        <v>3932</v>
      </c>
      <c r="K32" s="695" t="s">
        <v>3907</v>
      </c>
      <c r="L32" s="696">
        <v>18</v>
      </c>
      <c r="M32" s="170"/>
    </row>
    <row r="33" spans="2:13" x14ac:dyDescent="0.2">
      <c r="B33" s="173"/>
      <c r="C33" s="694">
        <v>1</v>
      </c>
      <c r="D33" s="695" t="s">
        <v>3903</v>
      </c>
      <c r="E33" s="695">
        <v>1</v>
      </c>
      <c r="F33" s="695" t="s">
        <v>3904</v>
      </c>
      <c r="G33" s="695">
        <v>1</v>
      </c>
      <c r="H33" s="695" t="s">
        <v>3904</v>
      </c>
      <c r="I33" s="695">
        <v>28</v>
      </c>
      <c r="J33" s="695" t="s">
        <v>3933</v>
      </c>
      <c r="K33" s="695" t="s">
        <v>3907</v>
      </c>
      <c r="L33" s="696">
        <v>152</v>
      </c>
      <c r="M33" s="170"/>
    </row>
    <row r="34" spans="2:13" x14ac:dyDescent="0.2">
      <c r="B34" s="173"/>
      <c r="C34" s="694">
        <v>1</v>
      </c>
      <c r="D34" s="695" t="s">
        <v>3903</v>
      </c>
      <c r="E34" s="695">
        <v>1</v>
      </c>
      <c r="F34" s="695" t="s">
        <v>3904</v>
      </c>
      <c r="G34" s="695">
        <v>1</v>
      </c>
      <c r="H34" s="695" t="s">
        <v>3904</v>
      </c>
      <c r="I34" s="695">
        <v>30</v>
      </c>
      <c r="J34" s="695" t="s">
        <v>3934</v>
      </c>
      <c r="K34" s="695" t="s">
        <v>8543</v>
      </c>
      <c r="L34" s="696">
        <v>183</v>
      </c>
      <c r="M34" s="170"/>
    </row>
    <row r="35" spans="2:13" x14ac:dyDescent="0.2">
      <c r="B35" s="173"/>
      <c r="C35" s="694">
        <v>1</v>
      </c>
      <c r="D35" s="695" t="s">
        <v>3903</v>
      </c>
      <c r="E35" s="695">
        <v>1</v>
      </c>
      <c r="F35" s="695" t="s">
        <v>3904</v>
      </c>
      <c r="G35" s="695">
        <v>1</v>
      </c>
      <c r="H35" s="695" t="s">
        <v>3904</v>
      </c>
      <c r="I35" s="695">
        <v>31</v>
      </c>
      <c r="J35" s="695" t="s">
        <v>3935</v>
      </c>
      <c r="K35" s="695" t="s">
        <v>8543</v>
      </c>
      <c r="L35" s="696">
        <v>1</v>
      </c>
      <c r="M35" s="170"/>
    </row>
    <row r="36" spans="2:13" x14ac:dyDescent="0.2">
      <c r="B36" s="173"/>
      <c r="C36" s="694">
        <v>1</v>
      </c>
      <c r="D36" s="695" t="s">
        <v>3903</v>
      </c>
      <c r="E36" s="695">
        <v>1</v>
      </c>
      <c r="F36" s="695" t="s">
        <v>3904</v>
      </c>
      <c r="G36" s="695">
        <v>1</v>
      </c>
      <c r="H36" s="695" t="s">
        <v>3904</v>
      </c>
      <c r="I36" s="695">
        <v>32</v>
      </c>
      <c r="J36" s="695" t="s">
        <v>3936</v>
      </c>
      <c r="K36" s="695" t="s">
        <v>8543</v>
      </c>
      <c r="L36" s="696">
        <v>11</v>
      </c>
      <c r="M36" s="170"/>
    </row>
    <row r="37" spans="2:13" x14ac:dyDescent="0.2">
      <c r="B37" s="173"/>
      <c r="C37" s="694">
        <v>1</v>
      </c>
      <c r="D37" s="695" t="s">
        <v>3903</v>
      </c>
      <c r="E37" s="695">
        <v>1</v>
      </c>
      <c r="F37" s="695" t="s">
        <v>3904</v>
      </c>
      <c r="G37" s="695">
        <v>1</v>
      </c>
      <c r="H37" s="695" t="s">
        <v>3904</v>
      </c>
      <c r="I37" s="695">
        <v>33</v>
      </c>
      <c r="J37" s="695" t="s">
        <v>3937</v>
      </c>
      <c r="K37" s="695" t="s">
        <v>8543</v>
      </c>
      <c r="L37" s="696">
        <v>74</v>
      </c>
      <c r="M37" s="170"/>
    </row>
    <row r="38" spans="2:13" x14ac:dyDescent="0.2">
      <c r="B38" s="173"/>
      <c r="C38" s="694">
        <v>1</v>
      </c>
      <c r="D38" s="695" t="s">
        <v>3903</v>
      </c>
      <c r="E38" s="695">
        <v>1</v>
      </c>
      <c r="F38" s="695" t="s">
        <v>3904</v>
      </c>
      <c r="G38" s="695">
        <v>1</v>
      </c>
      <c r="H38" s="695" t="s">
        <v>3904</v>
      </c>
      <c r="I38" s="695">
        <v>34</v>
      </c>
      <c r="J38" s="695" t="s">
        <v>3938</v>
      </c>
      <c r="K38" s="695" t="s">
        <v>8543</v>
      </c>
      <c r="L38" s="696">
        <v>10</v>
      </c>
      <c r="M38" s="170"/>
    </row>
    <row r="39" spans="2:13" x14ac:dyDescent="0.2">
      <c r="B39" s="173"/>
      <c r="C39" s="694">
        <v>1</v>
      </c>
      <c r="D39" s="695" t="s">
        <v>3903</v>
      </c>
      <c r="E39" s="695">
        <v>1</v>
      </c>
      <c r="F39" s="695" t="s">
        <v>3904</v>
      </c>
      <c r="G39" s="695">
        <v>1</v>
      </c>
      <c r="H39" s="695" t="s">
        <v>3904</v>
      </c>
      <c r="I39" s="695">
        <v>35</v>
      </c>
      <c r="J39" s="695" t="s">
        <v>3939</v>
      </c>
      <c r="K39" s="695" t="s">
        <v>8543</v>
      </c>
      <c r="L39" s="696">
        <v>39</v>
      </c>
      <c r="M39" s="170"/>
    </row>
    <row r="40" spans="2:13" x14ac:dyDescent="0.2">
      <c r="B40" s="173"/>
      <c r="C40" s="694">
        <v>1</v>
      </c>
      <c r="D40" s="695" t="s">
        <v>3903</v>
      </c>
      <c r="E40" s="695">
        <v>1</v>
      </c>
      <c r="F40" s="695" t="s">
        <v>3904</v>
      </c>
      <c r="G40" s="695">
        <v>1</v>
      </c>
      <c r="H40" s="695" t="s">
        <v>3904</v>
      </c>
      <c r="I40" s="695">
        <v>36</v>
      </c>
      <c r="J40" s="695" t="s">
        <v>3940</v>
      </c>
      <c r="K40" s="695" t="s">
        <v>8543</v>
      </c>
      <c r="L40" s="696">
        <v>55</v>
      </c>
      <c r="M40" s="170"/>
    </row>
    <row r="41" spans="2:13" x14ac:dyDescent="0.2">
      <c r="B41" s="173"/>
      <c r="C41" s="694">
        <v>1</v>
      </c>
      <c r="D41" s="695" t="s">
        <v>3903</v>
      </c>
      <c r="E41" s="695">
        <v>1</v>
      </c>
      <c r="F41" s="695" t="s">
        <v>3904</v>
      </c>
      <c r="G41" s="695">
        <v>1</v>
      </c>
      <c r="H41" s="695" t="s">
        <v>3904</v>
      </c>
      <c r="I41" s="695">
        <v>37</v>
      </c>
      <c r="J41" s="695" t="s">
        <v>3941</v>
      </c>
      <c r="K41" s="695" t="s">
        <v>8543</v>
      </c>
      <c r="L41" s="696">
        <v>5</v>
      </c>
      <c r="M41" s="170"/>
    </row>
    <row r="42" spans="2:13" x14ac:dyDescent="0.2">
      <c r="B42" s="173"/>
      <c r="C42" s="694">
        <v>1</v>
      </c>
      <c r="D42" s="695" t="s">
        <v>3903</v>
      </c>
      <c r="E42" s="695">
        <v>1</v>
      </c>
      <c r="F42" s="695" t="s">
        <v>3904</v>
      </c>
      <c r="G42" s="695">
        <v>1</v>
      </c>
      <c r="H42" s="695" t="s">
        <v>3904</v>
      </c>
      <c r="I42" s="695">
        <v>38</v>
      </c>
      <c r="J42" s="695" t="s">
        <v>3942</v>
      </c>
      <c r="K42" s="695" t="s">
        <v>8543</v>
      </c>
      <c r="L42" s="696">
        <v>68</v>
      </c>
      <c r="M42" s="170"/>
    </row>
    <row r="43" spans="2:13" x14ac:dyDescent="0.2">
      <c r="B43" s="173"/>
      <c r="C43" s="694">
        <v>1</v>
      </c>
      <c r="D43" s="695" t="s">
        <v>3903</v>
      </c>
      <c r="E43" s="695">
        <v>1</v>
      </c>
      <c r="F43" s="695" t="s">
        <v>3904</v>
      </c>
      <c r="G43" s="695">
        <v>1</v>
      </c>
      <c r="H43" s="695" t="s">
        <v>3904</v>
      </c>
      <c r="I43" s="695">
        <v>39</v>
      </c>
      <c r="J43" s="695" t="s">
        <v>3943</v>
      </c>
      <c r="K43" s="695" t="s">
        <v>8543</v>
      </c>
      <c r="L43" s="696">
        <v>94</v>
      </c>
      <c r="M43" s="170"/>
    </row>
    <row r="44" spans="2:13" x14ac:dyDescent="0.2">
      <c r="B44" s="173"/>
      <c r="C44" s="694">
        <v>1</v>
      </c>
      <c r="D44" s="695" t="s">
        <v>3903</v>
      </c>
      <c r="E44" s="695">
        <v>1</v>
      </c>
      <c r="F44" s="695" t="s">
        <v>3904</v>
      </c>
      <c r="G44" s="695">
        <v>1</v>
      </c>
      <c r="H44" s="695" t="s">
        <v>3904</v>
      </c>
      <c r="I44" s="695">
        <v>40</v>
      </c>
      <c r="J44" s="695" t="s">
        <v>3944</v>
      </c>
      <c r="K44" s="695" t="s">
        <v>8543</v>
      </c>
      <c r="L44" s="696">
        <v>11</v>
      </c>
      <c r="M44" s="170"/>
    </row>
    <row r="45" spans="2:13" x14ac:dyDescent="0.2">
      <c r="B45" s="173"/>
      <c r="C45" s="694">
        <v>1</v>
      </c>
      <c r="D45" s="695" t="s">
        <v>3903</v>
      </c>
      <c r="E45" s="695">
        <v>1</v>
      </c>
      <c r="F45" s="695" t="s">
        <v>3904</v>
      </c>
      <c r="G45" s="695">
        <v>1</v>
      </c>
      <c r="H45" s="695" t="s">
        <v>3904</v>
      </c>
      <c r="I45" s="695">
        <v>41</v>
      </c>
      <c r="J45" s="695" t="s">
        <v>3945</v>
      </c>
      <c r="K45" s="695" t="s">
        <v>8543</v>
      </c>
      <c r="L45" s="696">
        <v>216</v>
      </c>
      <c r="M45" s="170"/>
    </row>
    <row r="46" spans="2:13" x14ac:dyDescent="0.2">
      <c r="B46" s="173"/>
      <c r="C46" s="694">
        <v>1</v>
      </c>
      <c r="D46" s="695" t="s">
        <v>3903</v>
      </c>
      <c r="E46" s="695">
        <v>1</v>
      </c>
      <c r="F46" s="695" t="s">
        <v>3904</v>
      </c>
      <c r="G46" s="695">
        <v>1</v>
      </c>
      <c r="H46" s="695" t="s">
        <v>3904</v>
      </c>
      <c r="I46" s="695">
        <v>42</v>
      </c>
      <c r="J46" s="695" t="s">
        <v>3946</v>
      </c>
      <c r="K46" s="695" t="s">
        <v>8543</v>
      </c>
      <c r="L46" s="696">
        <v>67</v>
      </c>
      <c r="M46" s="170"/>
    </row>
    <row r="47" spans="2:13" x14ac:dyDescent="0.2">
      <c r="B47" s="173"/>
      <c r="C47" s="694">
        <v>1</v>
      </c>
      <c r="D47" s="695" t="s">
        <v>3903</v>
      </c>
      <c r="E47" s="695">
        <v>1</v>
      </c>
      <c r="F47" s="695" t="s">
        <v>3904</v>
      </c>
      <c r="G47" s="695">
        <v>1</v>
      </c>
      <c r="H47" s="695" t="s">
        <v>3904</v>
      </c>
      <c r="I47" s="695">
        <v>43</v>
      </c>
      <c r="J47" s="695" t="s">
        <v>3947</v>
      </c>
      <c r="K47" s="695" t="s">
        <v>8543</v>
      </c>
      <c r="L47" s="696">
        <v>28</v>
      </c>
      <c r="M47" s="170"/>
    </row>
    <row r="48" spans="2:13" x14ac:dyDescent="0.2">
      <c r="B48" s="173"/>
      <c r="C48" s="694">
        <v>1</v>
      </c>
      <c r="D48" s="695" t="s">
        <v>3903</v>
      </c>
      <c r="E48" s="695">
        <v>1</v>
      </c>
      <c r="F48" s="695" t="s">
        <v>3904</v>
      </c>
      <c r="G48" s="695">
        <v>1</v>
      </c>
      <c r="H48" s="695" t="s">
        <v>3904</v>
      </c>
      <c r="I48" s="695">
        <v>44</v>
      </c>
      <c r="J48" s="695" t="s">
        <v>3948</v>
      </c>
      <c r="K48" s="695" t="s">
        <v>8543</v>
      </c>
      <c r="L48" s="696">
        <v>33</v>
      </c>
      <c r="M48" s="170"/>
    </row>
    <row r="49" spans="2:13" x14ac:dyDescent="0.2">
      <c r="B49" s="173"/>
      <c r="C49" s="694">
        <v>1</v>
      </c>
      <c r="D49" s="695" t="s">
        <v>3903</v>
      </c>
      <c r="E49" s="695">
        <v>1</v>
      </c>
      <c r="F49" s="695" t="s">
        <v>3904</v>
      </c>
      <c r="G49" s="695">
        <v>1</v>
      </c>
      <c r="H49" s="695" t="s">
        <v>3904</v>
      </c>
      <c r="I49" s="695">
        <v>45</v>
      </c>
      <c r="J49" s="695" t="s">
        <v>3949</v>
      </c>
      <c r="K49" s="695" t="s">
        <v>8543</v>
      </c>
      <c r="L49" s="696">
        <v>45</v>
      </c>
      <c r="M49" s="170"/>
    </row>
    <row r="50" spans="2:13" x14ac:dyDescent="0.2">
      <c r="B50" s="173"/>
      <c r="C50" s="694">
        <v>1</v>
      </c>
      <c r="D50" s="695" t="s">
        <v>3903</v>
      </c>
      <c r="E50" s="695">
        <v>1</v>
      </c>
      <c r="F50" s="695" t="s">
        <v>3904</v>
      </c>
      <c r="G50" s="695">
        <v>1</v>
      </c>
      <c r="H50" s="695" t="s">
        <v>3904</v>
      </c>
      <c r="I50" s="695">
        <v>46</v>
      </c>
      <c r="J50" s="695" t="s">
        <v>3950</v>
      </c>
      <c r="K50" s="695" t="s">
        <v>8543</v>
      </c>
      <c r="L50" s="696">
        <v>5</v>
      </c>
      <c r="M50" s="170"/>
    </row>
    <row r="51" spans="2:13" x14ac:dyDescent="0.2">
      <c r="B51" s="173"/>
      <c r="C51" s="694">
        <v>1</v>
      </c>
      <c r="D51" s="695" t="s">
        <v>3903</v>
      </c>
      <c r="E51" s="695">
        <v>1</v>
      </c>
      <c r="F51" s="695" t="s">
        <v>3904</v>
      </c>
      <c r="G51" s="695">
        <v>1</v>
      </c>
      <c r="H51" s="695" t="s">
        <v>3904</v>
      </c>
      <c r="I51" s="695">
        <v>47</v>
      </c>
      <c r="J51" s="695" t="s">
        <v>3951</v>
      </c>
      <c r="K51" s="695" t="s">
        <v>8543</v>
      </c>
      <c r="L51" s="696">
        <v>6</v>
      </c>
      <c r="M51" s="170"/>
    </row>
    <row r="52" spans="2:13" x14ac:dyDescent="0.2">
      <c r="B52" s="173"/>
      <c r="C52" s="694">
        <v>1</v>
      </c>
      <c r="D52" s="695" t="s">
        <v>3903</v>
      </c>
      <c r="E52" s="695">
        <v>1</v>
      </c>
      <c r="F52" s="695" t="s">
        <v>3904</v>
      </c>
      <c r="G52" s="695">
        <v>1</v>
      </c>
      <c r="H52" s="695" t="s">
        <v>3904</v>
      </c>
      <c r="I52" s="695">
        <v>48</v>
      </c>
      <c r="J52" s="695" t="s">
        <v>3952</v>
      </c>
      <c r="K52" s="695" t="s">
        <v>8543</v>
      </c>
      <c r="L52" s="696">
        <v>57</v>
      </c>
      <c r="M52" s="170"/>
    </row>
    <row r="53" spans="2:13" x14ac:dyDescent="0.2">
      <c r="B53" s="173"/>
      <c r="C53" s="694">
        <v>1</v>
      </c>
      <c r="D53" s="695" t="s">
        <v>3903</v>
      </c>
      <c r="E53" s="695">
        <v>1</v>
      </c>
      <c r="F53" s="695" t="s">
        <v>3904</v>
      </c>
      <c r="G53" s="695">
        <v>1</v>
      </c>
      <c r="H53" s="695" t="s">
        <v>3904</v>
      </c>
      <c r="I53" s="695">
        <v>49</v>
      </c>
      <c r="J53" s="695" t="s">
        <v>3953</v>
      </c>
      <c r="K53" s="695" t="s">
        <v>8543</v>
      </c>
      <c r="L53" s="696">
        <v>54</v>
      </c>
      <c r="M53" s="170"/>
    </row>
    <row r="54" spans="2:13" x14ac:dyDescent="0.2">
      <c r="B54" s="173"/>
      <c r="C54" s="694">
        <v>1</v>
      </c>
      <c r="D54" s="695" t="s">
        <v>3903</v>
      </c>
      <c r="E54" s="695">
        <v>1</v>
      </c>
      <c r="F54" s="695" t="s">
        <v>3904</v>
      </c>
      <c r="G54" s="695">
        <v>1</v>
      </c>
      <c r="H54" s="695" t="s">
        <v>3904</v>
      </c>
      <c r="I54" s="695">
        <v>50</v>
      </c>
      <c r="J54" s="695" t="s">
        <v>3954</v>
      </c>
      <c r="K54" s="695" t="s">
        <v>8543</v>
      </c>
      <c r="L54" s="696">
        <v>101</v>
      </c>
      <c r="M54" s="170"/>
    </row>
    <row r="55" spans="2:13" x14ac:dyDescent="0.2">
      <c r="B55" s="173"/>
      <c r="C55" s="694">
        <v>1</v>
      </c>
      <c r="D55" s="695" t="s">
        <v>3903</v>
      </c>
      <c r="E55" s="695">
        <v>1</v>
      </c>
      <c r="F55" s="695" t="s">
        <v>3904</v>
      </c>
      <c r="G55" s="695">
        <v>1</v>
      </c>
      <c r="H55" s="695" t="s">
        <v>3904</v>
      </c>
      <c r="I55" s="695">
        <v>51</v>
      </c>
      <c r="J55" s="695" t="s">
        <v>3955</v>
      </c>
      <c r="K55" s="695" t="s">
        <v>8543</v>
      </c>
      <c r="L55" s="696">
        <v>31</v>
      </c>
      <c r="M55" s="170"/>
    </row>
    <row r="56" spans="2:13" x14ac:dyDescent="0.2">
      <c r="B56" s="173"/>
      <c r="C56" s="694">
        <v>1</v>
      </c>
      <c r="D56" s="695" t="s">
        <v>3903</v>
      </c>
      <c r="E56" s="695">
        <v>1</v>
      </c>
      <c r="F56" s="695" t="s">
        <v>3904</v>
      </c>
      <c r="G56" s="695">
        <v>1</v>
      </c>
      <c r="H56" s="695" t="s">
        <v>3904</v>
      </c>
      <c r="I56" s="695">
        <v>52</v>
      </c>
      <c r="J56" s="695" t="s">
        <v>3956</v>
      </c>
      <c r="K56" s="695" t="s">
        <v>8543</v>
      </c>
      <c r="L56" s="696">
        <v>82</v>
      </c>
      <c r="M56" s="170"/>
    </row>
    <row r="57" spans="2:13" x14ac:dyDescent="0.2">
      <c r="B57" s="173"/>
      <c r="C57" s="694">
        <v>1</v>
      </c>
      <c r="D57" s="695" t="s">
        <v>3903</v>
      </c>
      <c r="E57" s="695">
        <v>1</v>
      </c>
      <c r="F57" s="695" t="s">
        <v>3904</v>
      </c>
      <c r="G57" s="695">
        <v>1</v>
      </c>
      <c r="H57" s="695" t="s">
        <v>3904</v>
      </c>
      <c r="I57" s="695">
        <v>53</v>
      </c>
      <c r="J57" s="695" t="s">
        <v>3957</v>
      </c>
      <c r="K57" s="695" t="s">
        <v>8543</v>
      </c>
      <c r="L57" s="696">
        <v>8</v>
      </c>
      <c r="M57" s="170"/>
    </row>
    <row r="58" spans="2:13" x14ac:dyDescent="0.2">
      <c r="B58" s="173"/>
      <c r="C58" s="694">
        <v>1</v>
      </c>
      <c r="D58" s="695" t="s">
        <v>3903</v>
      </c>
      <c r="E58" s="695">
        <v>1</v>
      </c>
      <c r="F58" s="695" t="s">
        <v>3904</v>
      </c>
      <c r="G58" s="695">
        <v>1</v>
      </c>
      <c r="H58" s="695" t="s">
        <v>3904</v>
      </c>
      <c r="I58" s="695">
        <v>54</v>
      </c>
      <c r="J58" s="695" t="s">
        <v>3958</v>
      </c>
      <c r="K58" s="695" t="s">
        <v>8543</v>
      </c>
      <c r="L58" s="696">
        <v>1</v>
      </c>
      <c r="M58" s="170"/>
    </row>
    <row r="59" spans="2:13" x14ac:dyDescent="0.2">
      <c r="B59" s="173"/>
      <c r="C59" s="694">
        <v>1</v>
      </c>
      <c r="D59" s="695" t="s">
        <v>3903</v>
      </c>
      <c r="E59" s="695">
        <v>1</v>
      </c>
      <c r="F59" s="695" t="s">
        <v>3904</v>
      </c>
      <c r="G59" s="695">
        <v>1</v>
      </c>
      <c r="H59" s="695" t="s">
        <v>3904</v>
      </c>
      <c r="I59" s="695">
        <v>55</v>
      </c>
      <c r="J59" s="695" t="s">
        <v>3959</v>
      </c>
      <c r="K59" s="695" t="s">
        <v>8543</v>
      </c>
      <c r="L59" s="696">
        <v>14</v>
      </c>
      <c r="M59" s="170"/>
    </row>
    <row r="60" spans="2:13" x14ac:dyDescent="0.2">
      <c r="B60" s="173"/>
      <c r="C60" s="694">
        <v>1</v>
      </c>
      <c r="D60" s="695" t="s">
        <v>3903</v>
      </c>
      <c r="E60" s="695">
        <v>1</v>
      </c>
      <c r="F60" s="695" t="s">
        <v>3904</v>
      </c>
      <c r="G60" s="695">
        <v>1</v>
      </c>
      <c r="H60" s="695" t="s">
        <v>3904</v>
      </c>
      <c r="I60" s="695">
        <v>56</v>
      </c>
      <c r="J60" s="695" t="s">
        <v>3960</v>
      </c>
      <c r="K60" s="695" t="s">
        <v>8543</v>
      </c>
      <c r="L60" s="696">
        <v>6</v>
      </c>
      <c r="M60" s="170"/>
    </row>
    <row r="61" spans="2:13" x14ac:dyDescent="0.2">
      <c r="B61" s="173"/>
      <c r="C61" s="694">
        <v>1</v>
      </c>
      <c r="D61" s="695" t="s">
        <v>3903</v>
      </c>
      <c r="E61" s="695">
        <v>1</v>
      </c>
      <c r="F61" s="695" t="s">
        <v>3904</v>
      </c>
      <c r="G61" s="695">
        <v>1</v>
      </c>
      <c r="H61" s="695" t="s">
        <v>3904</v>
      </c>
      <c r="I61" s="695">
        <v>57</v>
      </c>
      <c r="J61" s="695" t="s">
        <v>3961</v>
      </c>
      <c r="K61" s="695" t="s">
        <v>8543</v>
      </c>
      <c r="L61" s="696">
        <v>5</v>
      </c>
      <c r="M61" s="170"/>
    </row>
    <row r="62" spans="2:13" x14ac:dyDescent="0.2">
      <c r="B62" s="173"/>
      <c r="C62" s="694">
        <v>1</v>
      </c>
      <c r="D62" s="695" t="s">
        <v>3903</v>
      </c>
      <c r="E62" s="695">
        <v>1</v>
      </c>
      <c r="F62" s="695" t="s">
        <v>3904</v>
      </c>
      <c r="G62" s="695">
        <v>1</v>
      </c>
      <c r="H62" s="695" t="s">
        <v>3904</v>
      </c>
      <c r="I62" s="695">
        <v>58</v>
      </c>
      <c r="J62" s="695" t="s">
        <v>3962</v>
      </c>
      <c r="K62" s="695" t="s">
        <v>8543</v>
      </c>
      <c r="L62" s="696">
        <v>80</v>
      </c>
      <c r="M62" s="170"/>
    </row>
    <row r="63" spans="2:13" x14ac:dyDescent="0.2">
      <c r="B63" s="173"/>
      <c r="C63" s="694">
        <v>1</v>
      </c>
      <c r="D63" s="695" t="s">
        <v>3903</v>
      </c>
      <c r="E63" s="695">
        <v>1</v>
      </c>
      <c r="F63" s="695" t="s">
        <v>3904</v>
      </c>
      <c r="G63" s="695">
        <v>1</v>
      </c>
      <c r="H63" s="695" t="s">
        <v>3904</v>
      </c>
      <c r="I63" s="695">
        <v>59</v>
      </c>
      <c r="J63" s="695" t="s">
        <v>3963</v>
      </c>
      <c r="K63" s="695" t="s">
        <v>8543</v>
      </c>
      <c r="L63" s="696">
        <v>32</v>
      </c>
      <c r="M63" s="170"/>
    </row>
    <row r="64" spans="2:13" x14ac:dyDescent="0.2">
      <c r="B64" s="173"/>
      <c r="C64" s="694">
        <v>1</v>
      </c>
      <c r="D64" s="695" t="s">
        <v>3903</v>
      </c>
      <c r="E64" s="695">
        <v>1</v>
      </c>
      <c r="F64" s="695" t="s">
        <v>3904</v>
      </c>
      <c r="G64" s="695">
        <v>1</v>
      </c>
      <c r="H64" s="695" t="s">
        <v>3904</v>
      </c>
      <c r="I64" s="695">
        <v>60</v>
      </c>
      <c r="J64" s="695" t="s">
        <v>3964</v>
      </c>
      <c r="K64" s="695" t="s">
        <v>8543</v>
      </c>
      <c r="L64" s="696">
        <v>289</v>
      </c>
      <c r="M64" s="170"/>
    </row>
    <row r="65" spans="2:13" x14ac:dyDescent="0.2">
      <c r="B65" s="173"/>
      <c r="C65" s="694">
        <v>1</v>
      </c>
      <c r="D65" s="695" t="s">
        <v>3903</v>
      </c>
      <c r="E65" s="695">
        <v>1</v>
      </c>
      <c r="F65" s="695" t="s">
        <v>3904</v>
      </c>
      <c r="G65" s="695">
        <v>1</v>
      </c>
      <c r="H65" s="695" t="s">
        <v>3904</v>
      </c>
      <c r="I65" s="695">
        <v>61</v>
      </c>
      <c r="J65" s="695" t="s">
        <v>3965</v>
      </c>
      <c r="K65" s="695" t="s">
        <v>8543</v>
      </c>
      <c r="L65" s="696">
        <v>12</v>
      </c>
      <c r="M65" s="170"/>
    </row>
    <row r="66" spans="2:13" x14ac:dyDescent="0.2">
      <c r="B66" s="173"/>
      <c r="C66" s="694">
        <v>1</v>
      </c>
      <c r="D66" s="695" t="s">
        <v>3903</v>
      </c>
      <c r="E66" s="695">
        <v>1</v>
      </c>
      <c r="F66" s="695" t="s">
        <v>3904</v>
      </c>
      <c r="G66" s="695">
        <v>1</v>
      </c>
      <c r="H66" s="695" t="s">
        <v>3904</v>
      </c>
      <c r="I66" s="695">
        <v>62</v>
      </c>
      <c r="J66" s="695" t="s">
        <v>3966</v>
      </c>
      <c r="K66" s="695" t="s">
        <v>8543</v>
      </c>
      <c r="L66" s="696">
        <v>6</v>
      </c>
      <c r="M66" s="170"/>
    </row>
    <row r="67" spans="2:13" x14ac:dyDescent="0.2">
      <c r="B67" s="173"/>
      <c r="C67" s="694">
        <v>1</v>
      </c>
      <c r="D67" s="695" t="s">
        <v>3903</v>
      </c>
      <c r="E67" s="695">
        <v>1</v>
      </c>
      <c r="F67" s="695" t="s">
        <v>3904</v>
      </c>
      <c r="G67" s="695">
        <v>1</v>
      </c>
      <c r="H67" s="695" t="s">
        <v>3904</v>
      </c>
      <c r="I67" s="695">
        <v>63</v>
      </c>
      <c r="J67" s="695" t="s">
        <v>3967</v>
      </c>
      <c r="K67" s="695" t="s">
        <v>8543</v>
      </c>
      <c r="L67" s="696">
        <v>21</v>
      </c>
      <c r="M67" s="170"/>
    </row>
    <row r="68" spans="2:13" x14ac:dyDescent="0.2">
      <c r="B68" s="173"/>
      <c r="C68" s="694">
        <v>1</v>
      </c>
      <c r="D68" s="695" t="s">
        <v>3903</v>
      </c>
      <c r="E68" s="695">
        <v>1</v>
      </c>
      <c r="F68" s="695" t="s">
        <v>3904</v>
      </c>
      <c r="G68" s="695">
        <v>1</v>
      </c>
      <c r="H68" s="695" t="s">
        <v>3904</v>
      </c>
      <c r="I68" s="695">
        <v>64</v>
      </c>
      <c r="J68" s="695" t="s">
        <v>3968</v>
      </c>
      <c r="K68" s="695" t="s">
        <v>8543</v>
      </c>
      <c r="L68" s="696">
        <v>63</v>
      </c>
      <c r="M68" s="170"/>
    </row>
    <row r="69" spans="2:13" x14ac:dyDescent="0.2">
      <c r="B69" s="173"/>
      <c r="C69" s="694">
        <v>1</v>
      </c>
      <c r="D69" s="695" t="s">
        <v>3903</v>
      </c>
      <c r="E69" s="695">
        <v>1</v>
      </c>
      <c r="F69" s="695" t="s">
        <v>3904</v>
      </c>
      <c r="G69" s="695">
        <v>1</v>
      </c>
      <c r="H69" s="695" t="s">
        <v>3904</v>
      </c>
      <c r="I69" s="695">
        <v>65</v>
      </c>
      <c r="J69" s="695" t="s">
        <v>3969</v>
      </c>
      <c r="K69" s="695" t="s">
        <v>8543</v>
      </c>
      <c r="L69" s="696">
        <v>71</v>
      </c>
      <c r="M69" s="170"/>
    </row>
    <row r="70" spans="2:13" x14ac:dyDescent="0.2">
      <c r="B70" s="173"/>
      <c r="C70" s="694">
        <v>1</v>
      </c>
      <c r="D70" s="695" t="s">
        <v>3903</v>
      </c>
      <c r="E70" s="695">
        <v>1</v>
      </c>
      <c r="F70" s="695" t="s">
        <v>3904</v>
      </c>
      <c r="G70" s="695">
        <v>1</v>
      </c>
      <c r="H70" s="695" t="s">
        <v>3904</v>
      </c>
      <c r="I70" s="695">
        <v>66</v>
      </c>
      <c r="J70" s="695" t="s">
        <v>3970</v>
      </c>
      <c r="K70" s="695" t="s">
        <v>8543</v>
      </c>
      <c r="L70" s="696">
        <v>40</v>
      </c>
      <c r="M70" s="170"/>
    </row>
    <row r="71" spans="2:13" x14ac:dyDescent="0.2">
      <c r="B71" s="173"/>
      <c r="C71" s="694">
        <v>1</v>
      </c>
      <c r="D71" s="695" t="s">
        <v>3903</v>
      </c>
      <c r="E71" s="695">
        <v>1</v>
      </c>
      <c r="F71" s="695" t="s">
        <v>3904</v>
      </c>
      <c r="G71" s="695">
        <v>1</v>
      </c>
      <c r="H71" s="695" t="s">
        <v>3904</v>
      </c>
      <c r="I71" s="695">
        <v>67</v>
      </c>
      <c r="J71" s="695" t="s">
        <v>3971</v>
      </c>
      <c r="K71" s="695" t="s">
        <v>8543</v>
      </c>
      <c r="L71" s="696">
        <v>23</v>
      </c>
      <c r="M71" s="170"/>
    </row>
    <row r="72" spans="2:13" x14ac:dyDescent="0.2">
      <c r="B72" s="173"/>
      <c r="C72" s="694">
        <v>1</v>
      </c>
      <c r="D72" s="695" t="s">
        <v>3903</v>
      </c>
      <c r="E72" s="695">
        <v>1</v>
      </c>
      <c r="F72" s="695" t="s">
        <v>3904</v>
      </c>
      <c r="G72" s="695">
        <v>1</v>
      </c>
      <c r="H72" s="695" t="s">
        <v>3904</v>
      </c>
      <c r="I72" s="695">
        <v>68</v>
      </c>
      <c r="J72" s="695" t="s">
        <v>3972</v>
      </c>
      <c r="K72" s="695" t="s">
        <v>8543</v>
      </c>
      <c r="L72" s="696">
        <v>48</v>
      </c>
      <c r="M72" s="170"/>
    </row>
    <row r="73" spans="2:13" x14ac:dyDescent="0.2">
      <c r="B73" s="173"/>
      <c r="C73" s="694">
        <v>1</v>
      </c>
      <c r="D73" s="695" t="s">
        <v>3903</v>
      </c>
      <c r="E73" s="695">
        <v>1</v>
      </c>
      <c r="F73" s="695" t="s">
        <v>3904</v>
      </c>
      <c r="G73" s="695">
        <v>1</v>
      </c>
      <c r="H73" s="695" t="s">
        <v>3904</v>
      </c>
      <c r="I73" s="695">
        <v>69</v>
      </c>
      <c r="J73" s="695" t="s">
        <v>3973</v>
      </c>
      <c r="K73" s="695" t="s">
        <v>8543</v>
      </c>
      <c r="L73" s="696">
        <v>41</v>
      </c>
      <c r="M73" s="170"/>
    </row>
    <row r="74" spans="2:13" x14ac:dyDescent="0.2">
      <c r="B74" s="173"/>
      <c r="C74" s="694">
        <v>1</v>
      </c>
      <c r="D74" s="695" t="s">
        <v>3903</v>
      </c>
      <c r="E74" s="695">
        <v>1</v>
      </c>
      <c r="F74" s="695" t="s">
        <v>3904</v>
      </c>
      <c r="G74" s="695">
        <v>1</v>
      </c>
      <c r="H74" s="695" t="s">
        <v>3904</v>
      </c>
      <c r="I74" s="695">
        <v>70</v>
      </c>
      <c r="J74" s="695" t="s">
        <v>3974</v>
      </c>
      <c r="K74" s="695" t="s">
        <v>8543</v>
      </c>
      <c r="L74" s="696">
        <v>180</v>
      </c>
      <c r="M74" s="170"/>
    </row>
    <row r="75" spans="2:13" x14ac:dyDescent="0.2">
      <c r="B75" s="173"/>
      <c r="C75" s="694">
        <v>1</v>
      </c>
      <c r="D75" s="695" t="s">
        <v>3903</v>
      </c>
      <c r="E75" s="695">
        <v>1</v>
      </c>
      <c r="F75" s="695" t="s">
        <v>3904</v>
      </c>
      <c r="G75" s="695">
        <v>1</v>
      </c>
      <c r="H75" s="695" t="s">
        <v>3904</v>
      </c>
      <c r="I75" s="695">
        <v>71</v>
      </c>
      <c r="J75" s="695" t="s">
        <v>3975</v>
      </c>
      <c r="K75" s="695" t="s">
        <v>8543</v>
      </c>
      <c r="L75" s="696">
        <v>147</v>
      </c>
      <c r="M75" s="170"/>
    </row>
    <row r="76" spans="2:13" x14ac:dyDescent="0.2">
      <c r="B76" s="173"/>
      <c r="C76" s="694">
        <v>1</v>
      </c>
      <c r="D76" s="695" t="s">
        <v>3903</v>
      </c>
      <c r="E76" s="695">
        <v>1</v>
      </c>
      <c r="F76" s="695" t="s">
        <v>3904</v>
      </c>
      <c r="G76" s="695">
        <v>1</v>
      </c>
      <c r="H76" s="695" t="s">
        <v>3904</v>
      </c>
      <c r="I76" s="695">
        <v>72</v>
      </c>
      <c r="J76" s="695" t="s">
        <v>3976</v>
      </c>
      <c r="K76" s="695" t="s">
        <v>8543</v>
      </c>
      <c r="L76" s="696">
        <v>2</v>
      </c>
      <c r="M76" s="170"/>
    </row>
    <row r="77" spans="2:13" x14ac:dyDescent="0.2">
      <c r="B77" s="173"/>
      <c r="C77" s="694">
        <v>1</v>
      </c>
      <c r="D77" s="695" t="s">
        <v>3903</v>
      </c>
      <c r="E77" s="695">
        <v>1</v>
      </c>
      <c r="F77" s="695" t="s">
        <v>3904</v>
      </c>
      <c r="G77" s="695">
        <v>1</v>
      </c>
      <c r="H77" s="695" t="s">
        <v>3904</v>
      </c>
      <c r="I77" s="695">
        <v>73</v>
      </c>
      <c r="J77" s="695" t="s">
        <v>3977</v>
      </c>
      <c r="K77" s="695" t="s">
        <v>8543</v>
      </c>
      <c r="L77" s="696">
        <v>13</v>
      </c>
      <c r="M77" s="170"/>
    </row>
    <row r="78" spans="2:13" x14ac:dyDescent="0.2">
      <c r="B78" s="173"/>
      <c r="C78" s="694">
        <v>1</v>
      </c>
      <c r="D78" s="695" t="s">
        <v>3903</v>
      </c>
      <c r="E78" s="695">
        <v>1</v>
      </c>
      <c r="F78" s="695" t="s">
        <v>3904</v>
      </c>
      <c r="G78" s="695">
        <v>1</v>
      </c>
      <c r="H78" s="695" t="s">
        <v>3904</v>
      </c>
      <c r="I78" s="695">
        <v>74</v>
      </c>
      <c r="J78" s="695" t="s">
        <v>3978</v>
      </c>
      <c r="K78" s="695" t="s">
        <v>8543</v>
      </c>
      <c r="L78" s="696">
        <v>2</v>
      </c>
      <c r="M78" s="170"/>
    </row>
    <row r="79" spans="2:13" x14ac:dyDescent="0.2">
      <c r="B79" s="173"/>
      <c r="C79" s="694">
        <v>1</v>
      </c>
      <c r="D79" s="695" t="s">
        <v>3903</v>
      </c>
      <c r="E79" s="695">
        <v>1</v>
      </c>
      <c r="F79" s="695" t="s">
        <v>3904</v>
      </c>
      <c r="G79" s="695">
        <v>1</v>
      </c>
      <c r="H79" s="695" t="s">
        <v>3904</v>
      </c>
      <c r="I79" s="695">
        <v>75</v>
      </c>
      <c r="J79" s="695" t="s">
        <v>3979</v>
      </c>
      <c r="K79" s="695" t="s">
        <v>8543</v>
      </c>
      <c r="L79" s="696">
        <v>7</v>
      </c>
      <c r="M79" s="170"/>
    </row>
    <row r="80" spans="2:13" x14ac:dyDescent="0.2">
      <c r="B80" s="173"/>
      <c r="C80" s="694">
        <v>1</v>
      </c>
      <c r="D80" s="695" t="s">
        <v>3903</v>
      </c>
      <c r="E80" s="695">
        <v>1</v>
      </c>
      <c r="F80" s="695" t="s">
        <v>3904</v>
      </c>
      <c r="G80" s="695">
        <v>1</v>
      </c>
      <c r="H80" s="695" t="s">
        <v>3904</v>
      </c>
      <c r="I80" s="695">
        <v>76</v>
      </c>
      <c r="J80" s="695" t="s">
        <v>3980</v>
      </c>
      <c r="K80" s="695" t="s">
        <v>8543</v>
      </c>
      <c r="L80" s="696">
        <v>81</v>
      </c>
      <c r="M80" s="170"/>
    </row>
    <row r="81" spans="2:13" x14ac:dyDescent="0.2">
      <c r="B81" s="173"/>
      <c r="C81" s="694">
        <v>1</v>
      </c>
      <c r="D81" s="695" t="s">
        <v>3903</v>
      </c>
      <c r="E81" s="695">
        <v>1</v>
      </c>
      <c r="F81" s="695" t="s">
        <v>3904</v>
      </c>
      <c r="G81" s="695">
        <v>1</v>
      </c>
      <c r="H81" s="695" t="s">
        <v>3904</v>
      </c>
      <c r="I81" s="695">
        <v>77</v>
      </c>
      <c r="J81" s="695" t="s">
        <v>3981</v>
      </c>
      <c r="K81" s="695" t="s">
        <v>8543</v>
      </c>
      <c r="L81" s="696">
        <v>24</v>
      </c>
      <c r="M81" s="170"/>
    </row>
    <row r="82" spans="2:13" x14ac:dyDescent="0.2">
      <c r="B82" s="173"/>
      <c r="C82" s="694">
        <v>1</v>
      </c>
      <c r="D82" s="695" t="s">
        <v>3903</v>
      </c>
      <c r="E82" s="695">
        <v>1</v>
      </c>
      <c r="F82" s="695" t="s">
        <v>3904</v>
      </c>
      <c r="G82" s="695">
        <v>1</v>
      </c>
      <c r="H82" s="695" t="s">
        <v>3904</v>
      </c>
      <c r="I82" s="695">
        <v>78</v>
      </c>
      <c r="J82" s="695" t="s">
        <v>3982</v>
      </c>
      <c r="K82" s="695" t="s">
        <v>3907</v>
      </c>
      <c r="L82" s="696">
        <v>151</v>
      </c>
      <c r="M82" s="170"/>
    </row>
    <row r="83" spans="2:13" x14ac:dyDescent="0.2">
      <c r="B83" s="173"/>
      <c r="C83" s="694">
        <v>1</v>
      </c>
      <c r="D83" s="695" t="s">
        <v>3903</v>
      </c>
      <c r="E83" s="695">
        <v>1</v>
      </c>
      <c r="F83" s="695" t="s">
        <v>3904</v>
      </c>
      <c r="G83" s="695">
        <v>1</v>
      </c>
      <c r="H83" s="695" t="s">
        <v>3904</v>
      </c>
      <c r="I83" s="695">
        <v>79</v>
      </c>
      <c r="J83" s="695" t="s">
        <v>3913</v>
      </c>
      <c r="K83" s="695" t="s">
        <v>3907</v>
      </c>
      <c r="L83" s="696">
        <v>7</v>
      </c>
      <c r="M83" s="170"/>
    </row>
    <row r="84" spans="2:13" x14ac:dyDescent="0.2">
      <c r="B84" s="173"/>
      <c r="C84" s="694">
        <v>1</v>
      </c>
      <c r="D84" s="695" t="s">
        <v>3903</v>
      </c>
      <c r="E84" s="695">
        <v>1</v>
      </c>
      <c r="F84" s="695" t="s">
        <v>3904</v>
      </c>
      <c r="G84" s="695">
        <v>1</v>
      </c>
      <c r="H84" s="695" t="s">
        <v>3904</v>
      </c>
      <c r="I84" s="695">
        <v>80</v>
      </c>
      <c r="J84" s="695" t="s">
        <v>3983</v>
      </c>
      <c r="K84" s="695" t="s">
        <v>3907</v>
      </c>
      <c r="L84" s="696">
        <v>650</v>
      </c>
      <c r="M84" s="170"/>
    </row>
    <row r="85" spans="2:13" x14ac:dyDescent="0.2">
      <c r="B85" s="173"/>
      <c r="C85" s="694">
        <v>1</v>
      </c>
      <c r="D85" s="695" t="s">
        <v>3903</v>
      </c>
      <c r="E85" s="695">
        <v>1</v>
      </c>
      <c r="F85" s="695" t="s">
        <v>3904</v>
      </c>
      <c r="G85" s="695">
        <v>1</v>
      </c>
      <c r="H85" s="695" t="s">
        <v>3904</v>
      </c>
      <c r="I85" s="695">
        <v>81</v>
      </c>
      <c r="J85" s="695" t="s">
        <v>3984</v>
      </c>
      <c r="K85" s="695" t="s">
        <v>3985</v>
      </c>
      <c r="L85" s="696">
        <v>99</v>
      </c>
      <c r="M85" s="170"/>
    </row>
    <row r="86" spans="2:13" x14ac:dyDescent="0.2">
      <c r="B86" s="173"/>
      <c r="C86" s="694">
        <v>1</v>
      </c>
      <c r="D86" s="695" t="s">
        <v>3903</v>
      </c>
      <c r="E86" s="695">
        <v>1</v>
      </c>
      <c r="F86" s="695" t="s">
        <v>3904</v>
      </c>
      <c r="G86" s="695">
        <v>1</v>
      </c>
      <c r="H86" s="695" t="s">
        <v>3904</v>
      </c>
      <c r="I86" s="695">
        <v>82</v>
      </c>
      <c r="J86" s="695" t="s">
        <v>3986</v>
      </c>
      <c r="K86" s="695" t="s">
        <v>3907</v>
      </c>
      <c r="L86" s="696">
        <v>2</v>
      </c>
      <c r="M86" s="170"/>
    </row>
    <row r="87" spans="2:13" x14ac:dyDescent="0.2">
      <c r="B87" s="173"/>
      <c r="C87" s="694">
        <v>1</v>
      </c>
      <c r="D87" s="695" t="s">
        <v>3903</v>
      </c>
      <c r="E87" s="695">
        <v>1</v>
      </c>
      <c r="F87" s="695" t="s">
        <v>3904</v>
      </c>
      <c r="G87" s="695">
        <v>1</v>
      </c>
      <c r="H87" s="695" t="s">
        <v>3904</v>
      </c>
      <c r="I87" s="695">
        <v>83</v>
      </c>
      <c r="J87" s="695" t="s">
        <v>3987</v>
      </c>
      <c r="K87" s="695" t="s">
        <v>3907</v>
      </c>
      <c r="L87" s="696">
        <v>45</v>
      </c>
      <c r="M87" s="170"/>
    </row>
    <row r="88" spans="2:13" x14ac:dyDescent="0.2">
      <c r="B88" s="173"/>
      <c r="C88" s="694">
        <v>1</v>
      </c>
      <c r="D88" s="695" t="s">
        <v>3903</v>
      </c>
      <c r="E88" s="695">
        <v>1</v>
      </c>
      <c r="F88" s="695" t="s">
        <v>3904</v>
      </c>
      <c r="G88" s="695">
        <v>1</v>
      </c>
      <c r="H88" s="695" t="s">
        <v>3904</v>
      </c>
      <c r="I88" s="695">
        <v>84</v>
      </c>
      <c r="J88" s="695" t="s">
        <v>3988</v>
      </c>
      <c r="K88" s="695" t="s">
        <v>3907</v>
      </c>
      <c r="L88" s="696">
        <v>15</v>
      </c>
      <c r="M88" s="170"/>
    </row>
    <row r="89" spans="2:13" x14ac:dyDescent="0.2">
      <c r="B89" s="173"/>
      <c r="C89" s="694">
        <v>1</v>
      </c>
      <c r="D89" s="695" t="s">
        <v>3903</v>
      </c>
      <c r="E89" s="695">
        <v>1</v>
      </c>
      <c r="F89" s="695" t="s">
        <v>3904</v>
      </c>
      <c r="G89" s="695">
        <v>1</v>
      </c>
      <c r="H89" s="695" t="s">
        <v>3904</v>
      </c>
      <c r="I89" s="695">
        <v>85</v>
      </c>
      <c r="J89" s="695" t="s">
        <v>3989</v>
      </c>
      <c r="K89" s="695" t="s">
        <v>3907</v>
      </c>
      <c r="L89" s="696">
        <v>0</v>
      </c>
      <c r="M89" s="170"/>
    </row>
    <row r="90" spans="2:13" x14ac:dyDescent="0.2">
      <c r="B90" s="173"/>
      <c r="C90" s="694">
        <v>1</v>
      </c>
      <c r="D90" s="695" t="s">
        <v>3903</v>
      </c>
      <c r="E90" s="695">
        <v>1</v>
      </c>
      <c r="F90" s="695" t="s">
        <v>3904</v>
      </c>
      <c r="G90" s="695">
        <v>1</v>
      </c>
      <c r="H90" s="695" t="s">
        <v>3904</v>
      </c>
      <c r="I90" s="695">
        <v>86</v>
      </c>
      <c r="J90" s="695" t="s">
        <v>3990</v>
      </c>
      <c r="K90" s="695" t="s">
        <v>3907</v>
      </c>
      <c r="L90" s="696">
        <v>3</v>
      </c>
      <c r="M90" s="170"/>
    </row>
    <row r="91" spans="2:13" x14ac:dyDescent="0.2">
      <c r="B91" s="173"/>
      <c r="C91" s="694">
        <v>1</v>
      </c>
      <c r="D91" s="695" t="s">
        <v>3903</v>
      </c>
      <c r="E91" s="695">
        <v>1</v>
      </c>
      <c r="F91" s="695" t="s">
        <v>3904</v>
      </c>
      <c r="G91" s="695">
        <v>1</v>
      </c>
      <c r="H91" s="695" t="s">
        <v>3904</v>
      </c>
      <c r="I91" s="695">
        <v>87</v>
      </c>
      <c r="J91" s="695" t="s">
        <v>3991</v>
      </c>
      <c r="K91" s="695" t="s">
        <v>3907</v>
      </c>
      <c r="L91" s="696">
        <v>63</v>
      </c>
      <c r="M91" s="170"/>
    </row>
    <row r="92" spans="2:13" x14ac:dyDescent="0.2">
      <c r="B92" s="173"/>
      <c r="C92" s="694">
        <v>1</v>
      </c>
      <c r="D92" s="695" t="s">
        <v>3903</v>
      </c>
      <c r="E92" s="695">
        <v>1</v>
      </c>
      <c r="F92" s="695" t="s">
        <v>3904</v>
      </c>
      <c r="G92" s="695">
        <v>1</v>
      </c>
      <c r="H92" s="695" t="s">
        <v>3904</v>
      </c>
      <c r="I92" s="695">
        <v>88</v>
      </c>
      <c r="J92" s="695" t="s">
        <v>3992</v>
      </c>
      <c r="K92" s="695" t="s">
        <v>3985</v>
      </c>
      <c r="L92" s="696">
        <v>127</v>
      </c>
      <c r="M92" s="170"/>
    </row>
    <row r="93" spans="2:13" x14ac:dyDescent="0.2">
      <c r="B93" s="173"/>
      <c r="C93" s="694">
        <v>1</v>
      </c>
      <c r="D93" s="695" t="s">
        <v>3903</v>
      </c>
      <c r="E93" s="695">
        <v>1</v>
      </c>
      <c r="F93" s="695" t="s">
        <v>3904</v>
      </c>
      <c r="G93" s="695">
        <v>1</v>
      </c>
      <c r="H93" s="695" t="s">
        <v>3904</v>
      </c>
      <c r="I93" s="695">
        <v>89</v>
      </c>
      <c r="J93" s="695" t="s">
        <v>3993</v>
      </c>
      <c r="K93" s="695" t="s">
        <v>8544</v>
      </c>
      <c r="L93" s="696">
        <v>7</v>
      </c>
      <c r="M93" s="170"/>
    </row>
    <row r="94" spans="2:13" x14ac:dyDescent="0.2">
      <c r="B94" s="173"/>
      <c r="C94" s="694">
        <v>1</v>
      </c>
      <c r="D94" s="695" t="s">
        <v>3903</v>
      </c>
      <c r="E94" s="695">
        <v>1</v>
      </c>
      <c r="F94" s="695" t="s">
        <v>3904</v>
      </c>
      <c r="G94" s="695">
        <v>1</v>
      </c>
      <c r="H94" s="695" t="s">
        <v>3904</v>
      </c>
      <c r="I94" s="695">
        <v>90</v>
      </c>
      <c r="J94" s="695" t="s">
        <v>3994</v>
      </c>
      <c r="K94" s="695" t="s">
        <v>8544</v>
      </c>
      <c r="L94" s="696">
        <v>6</v>
      </c>
      <c r="M94" s="170"/>
    </row>
    <row r="95" spans="2:13" x14ac:dyDescent="0.2">
      <c r="B95" s="173"/>
      <c r="C95" s="694">
        <v>1</v>
      </c>
      <c r="D95" s="695" t="s">
        <v>3903</v>
      </c>
      <c r="E95" s="695">
        <v>1</v>
      </c>
      <c r="F95" s="695" t="s">
        <v>3904</v>
      </c>
      <c r="G95" s="695">
        <v>1</v>
      </c>
      <c r="H95" s="695" t="s">
        <v>3904</v>
      </c>
      <c r="I95" s="695">
        <v>91</v>
      </c>
      <c r="J95" s="695" t="s">
        <v>3995</v>
      </c>
      <c r="K95" s="695" t="s">
        <v>3907</v>
      </c>
      <c r="L95" s="696">
        <v>277</v>
      </c>
      <c r="M95" s="170"/>
    </row>
    <row r="96" spans="2:13" x14ac:dyDescent="0.2">
      <c r="B96" s="173"/>
      <c r="C96" s="694">
        <v>1</v>
      </c>
      <c r="D96" s="695" t="s">
        <v>3903</v>
      </c>
      <c r="E96" s="695">
        <v>1</v>
      </c>
      <c r="F96" s="695" t="s">
        <v>3904</v>
      </c>
      <c r="G96" s="695">
        <v>1</v>
      </c>
      <c r="H96" s="695" t="s">
        <v>3904</v>
      </c>
      <c r="I96" s="695">
        <v>92</v>
      </c>
      <c r="J96" s="695" t="s">
        <v>3996</v>
      </c>
      <c r="K96" s="695" t="s">
        <v>3907</v>
      </c>
      <c r="L96" s="696">
        <v>1</v>
      </c>
      <c r="M96" s="170"/>
    </row>
    <row r="97" spans="2:13" x14ac:dyDescent="0.2">
      <c r="B97" s="173"/>
      <c r="C97" s="694">
        <v>1</v>
      </c>
      <c r="D97" s="695" t="s">
        <v>3903</v>
      </c>
      <c r="E97" s="695">
        <v>1</v>
      </c>
      <c r="F97" s="695" t="s">
        <v>3904</v>
      </c>
      <c r="G97" s="695">
        <v>1</v>
      </c>
      <c r="H97" s="695" t="s">
        <v>3904</v>
      </c>
      <c r="I97" s="695">
        <v>93</v>
      </c>
      <c r="J97" s="695" t="s">
        <v>3997</v>
      </c>
      <c r="K97" s="695" t="s">
        <v>3907</v>
      </c>
      <c r="L97" s="696">
        <v>3</v>
      </c>
      <c r="M97" s="170"/>
    </row>
    <row r="98" spans="2:13" x14ac:dyDescent="0.2">
      <c r="B98" s="173"/>
      <c r="C98" s="694">
        <v>1</v>
      </c>
      <c r="D98" s="695" t="s">
        <v>3903</v>
      </c>
      <c r="E98" s="695">
        <v>1</v>
      </c>
      <c r="F98" s="695" t="s">
        <v>3904</v>
      </c>
      <c r="G98" s="695">
        <v>1</v>
      </c>
      <c r="H98" s="695" t="s">
        <v>3904</v>
      </c>
      <c r="I98" s="695">
        <v>94</v>
      </c>
      <c r="J98" s="695" t="s">
        <v>3998</v>
      </c>
      <c r="K98" s="695" t="s">
        <v>3907</v>
      </c>
      <c r="L98" s="696">
        <v>0</v>
      </c>
      <c r="M98" s="170"/>
    </row>
    <row r="99" spans="2:13" x14ac:dyDescent="0.2">
      <c r="B99" s="173"/>
      <c r="C99" s="694">
        <v>1</v>
      </c>
      <c r="D99" s="695" t="s">
        <v>3903</v>
      </c>
      <c r="E99" s="695">
        <v>1</v>
      </c>
      <c r="F99" s="695" t="s">
        <v>3904</v>
      </c>
      <c r="G99" s="695">
        <v>1</v>
      </c>
      <c r="H99" s="695" t="s">
        <v>3904</v>
      </c>
      <c r="I99" s="695">
        <v>95</v>
      </c>
      <c r="J99" s="695" t="s">
        <v>3999</v>
      </c>
      <c r="K99" s="695" t="s">
        <v>3907</v>
      </c>
      <c r="L99" s="696">
        <v>297</v>
      </c>
      <c r="M99" s="170"/>
    </row>
    <row r="100" spans="2:13" x14ac:dyDescent="0.2">
      <c r="B100" s="173"/>
      <c r="C100" s="694">
        <v>1</v>
      </c>
      <c r="D100" s="695" t="s">
        <v>3903</v>
      </c>
      <c r="E100" s="695">
        <v>1</v>
      </c>
      <c r="F100" s="695" t="s">
        <v>3904</v>
      </c>
      <c r="G100" s="695">
        <v>1</v>
      </c>
      <c r="H100" s="695" t="s">
        <v>3904</v>
      </c>
      <c r="I100" s="695">
        <v>96</v>
      </c>
      <c r="J100" s="695" t="s">
        <v>4000</v>
      </c>
      <c r="K100" s="695" t="s">
        <v>3907</v>
      </c>
      <c r="L100" s="696">
        <v>136</v>
      </c>
      <c r="M100" s="170"/>
    </row>
    <row r="101" spans="2:13" x14ac:dyDescent="0.2">
      <c r="B101" s="173"/>
      <c r="C101" s="694">
        <v>1</v>
      </c>
      <c r="D101" s="695" t="s">
        <v>3903</v>
      </c>
      <c r="E101" s="695">
        <v>1</v>
      </c>
      <c r="F101" s="695" t="s">
        <v>3904</v>
      </c>
      <c r="G101" s="695">
        <v>1</v>
      </c>
      <c r="H101" s="695" t="s">
        <v>3904</v>
      </c>
      <c r="I101" s="695">
        <v>97</v>
      </c>
      <c r="J101" s="695" t="s">
        <v>4001</v>
      </c>
      <c r="K101" s="695" t="s">
        <v>3907</v>
      </c>
      <c r="L101" s="696">
        <v>3</v>
      </c>
      <c r="M101" s="170"/>
    </row>
    <row r="102" spans="2:13" x14ac:dyDescent="0.2">
      <c r="B102" s="173"/>
      <c r="C102" s="694">
        <v>1</v>
      </c>
      <c r="D102" s="695" t="s">
        <v>3903</v>
      </c>
      <c r="E102" s="695">
        <v>1</v>
      </c>
      <c r="F102" s="695" t="s">
        <v>3904</v>
      </c>
      <c r="G102" s="695">
        <v>1</v>
      </c>
      <c r="H102" s="695" t="s">
        <v>3904</v>
      </c>
      <c r="I102" s="695">
        <v>98</v>
      </c>
      <c r="J102" s="695" t="s">
        <v>4002</v>
      </c>
      <c r="K102" s="695" t="s">
        <v>3907</v>
      </c>
      <c r="L102" s="696">
        <v>0</v>
      </c>
      <c r="M102" s="170"/>
    </row>
    <row r="103" spans="2:13" x14ac:dyDescent="0.2">
      <c r="B103" s="173"/>
      <c r="C103" s="694">
        <v>1</v>
      </c>
      <c r="D103" s="695" t="s">
        <v>3903</v>
      </c>
      <c r="E103" s="695">
        <v>1</v>
      </c>
      <c r="F103" s="695" t="s">
        <v>3904</v>
      </c>
      <c r="G103" s="695">
        <v>1</v>
      </c>
      <c r="H103" s="695" t="s">
        <v>3904</v>
      </c>
      <c r="I103" s="695">
        <v>99</v>
      </c>
      <c r="J103" s="695" t="s">
        <v>4003</v>
      </c>
      <c r="K103" s="695" t="s">
        <v>3907</v>
      </c>
      <c r="L103" s="696">
        <v>3</v>
      </c>
      <c r="M103" s="170"/>
    </row>
    <row r="104" spans="2:13" x14ac:dyDescent="0.2">
      <c r="B104" s="173"/>
      <c r="C104" s="694">
        <v>1</v>
      </c>
      <c r="D104" s="695" t="s">
        <v>3903</v>
      </c>
      <c r="E104" s="695">
        <v>1</v>
      </c>
      <c r="F104" s="695" t="s">
        <v>3904</v>
      </c>
      <c r="G104" s="695">
        <v>1</v>
      </c>
      <c r="H104" s="695" t="s">
        <v>3904</v>
      </c>
      <c r="I104" s="695">
        <v>100</v>
      </c>
      <c r="J104" s="695" t="s">
        <v>4004</v>
      </c>
      <c r="K104" s="695" t="s">
        <v>3907</v>
      </c>
      <c r="L104" s="696">
        <v>13</v>
      </c>
      <c r="M104" s="170"/>
    </row>
    <row r="105" spans="2:13" x14ac:dyDescent="0.2">
      <c r="B105" s="173"/>
      <c r="C105" s="694">
        <v>1</v>
      </c>
      <c r="D105" s="695" t="s">
        <v>3903</v>
      </c>
      <c r="E105" s="695">
        <v>1</v>
      </c>
      <c r="F105" s="695" t="s">
        <v>3904</v>
      </c>
      <c r="G105" s="695">
        <v>1</v>
      </c>
      <c r="H105" s="695" t="s">
        <v>3904</v>
      </c>
      <c r="I105" s="695">
        <v>101</v>
      </c>
      <c r="J105" s="695" t="s">
        <v>4005</v>
      </c>
      <c r="K105" s="695" t="s">
        <v>8544</v>
      </c>
      <c r="L105" s="696">
        <v>1</v>
      </c>
      <c r="M105" s="170"/>
    </row>
    <row r="106" spans="2:13" x14ac:dyDescent="0.2">
      <c r="B106" s="173"/>
      <c r="C106" s="694">
        <v>1</v>
      </c>
      <c r="D106" s="695" t="s">
        <v>3903</v>
      </c>
      <c r="E106" s="695">
        <v>1</v>
      </c>
      <c r="F106" s="695" t="s">
        <v>3904</v>
      </c>
      <c r="G106" s="695">
        <v>1</v>
      </c>
      <c r="H106" s="695" t="s">
        <v>3904</v>
      </c>
      <c r="I106" s="695">
        <v>102</v>
      </c>
      <c r="J106" s="695" t="s">
        <v>4006</v>
      </c>
      <c r="K106" s="695" t="s">
        <v>8544</v>
      </c>
      <c r="L106" s="696">
        <v>4</v>
      </c>
      <c r="M106" s="170"/>
    </row>
    <row r="107" spans="2:13" x14ac:dyDescent="0.2">
      <c r="B107" s="173"/>
      <c r="C107" s="694">
        <v>1</v>
      </c>
      <c r="D107" s="695" t="s">
        <v>3903</v>
      </c>
      <c r="E107" s="695">
        <v>1</v>
      </c>
      <c r="F107" s="695" t="s">
        <v>3904</v>
      </c>
      <c r="G107" s="695">
        <v>1</v>
      </c>
      <c r="H107" s="695" t="s">
        <v>3904</v>
      </c>
      <c r="I107" s="695">
        <v>103</v>
      </c>
      <c r="J107" s="695" t="s">
        <v>4007</v>
      </c>
      <c r="K107" s="695" t="s">
        <v>8544</v>
      </c>
      <c r="L107" s="696">
        <v>48</v>
      </c>
      <c r="M107" s="170"/>
    </row>
    <row r="108" spans="2:13" x14ac:dyDescent="0.2">
      <c r="B108" s="173"/>
      <c r="C108" s="694">
        <v>1</v>
      </c>
      <c r="D108" s="695" t="s">
        <v>3903</v>
      </c>
      <c r="E108" s="695">
        <v>1</v>
      </c>
      <c r="F108" s="695" t="s">
        <v>3904</v>
      </c>
      <c r="G108" s="695">
        <v>1</v>
      </c>
      <c r="H108" s="695" t="s">
        <v>3904</v>
      </c>
      <c r="I108" s="695">
        <v>104</v>
      </c>
      <c r="J108" s="695" t="s">
        <v>4008</v>
      </c>
      <c r="K108" s="695" t="s">
        <v>4009</v>
      </c>
      <c r="L108" s="696">
        <v>0</v>
      </c>
      <c r="M108" s="170"/>
    </row>
    <row r="109" spans="2:13" x14ac:dyDescent="0.2">
      <c r="B109" s="173"/>
      <c r="C109" s="694">
        <v>1</v>
      </c>
      <c r="D109" s="695" t="s">
        <v>3903</v>
      </c>
      <c r="E109" s="695">
        <v>1</v>
      </c>
      <c r="F109" s="695" t="s">
        <v>3904</v>
      </c>
      <c r="G109" s="695">
        <v>1</v>
      </c>
      <c r="H109" s="695" t="s">
        <v>3904</v>
      </c>
      <c r="I109" s="695">
        <v>105</v>
      </c>
      <c r="J109" s="695" t="s">
        <v>4010</v>
      </c>
      <c r="K109" s="695" t="s">
        <v>4009</v>
      </c>
      <c r="L109" s="696">
        <v>0</v>
      </c>
      <c r="M109" s="170"/>
    </row>
    <row r="110" spans="2:13" x14ac:dyDescent="0.2">
      <c r="B110" s="173"/>
      <c r="C110" s="694">
        <v>1</v>
      </c>
      <c r="D110" s="695" t="s">
        <v>3903</v>
      </c>
      <c r="E110" s="695">
        <v>1</v>
      </c>
      <c r="F110" s="695" t="s">
        <v>3904</v>
      </c>
      <c r="G110" s="695">
        <v>1</v>
      </c>
      <c r="H110" s="695" t="s">
        <v>3904</v>
      </c>
      <c r="I110" s="695">
        <v>106</v>
      </c>
      <c r="J110" s="695" t="s">
        <v>4011</v>
      </c>
      <c r="K110" s="695" t="s">
        <v>8544</v>
      </c>
      <c r="L110" s="696">
        <v>21</v>
      </c>
      <c r="M110" s="170"/>
    </row>
    <row r="111" spans="2:13" x14ac:dyDescent="0.2">
      <c r="B111" s="173"/>
      <c r="C111" s="694">
        <v>1</v>
      </c>
      <c r="D111" s="695" t="s">
        <v>3903</v>
      </c>
      <c r="E111" s="695">
        <v>1</v>
      </c>
      <c r="F111" s="695" t="s">
        <v>3904</v>
      </c>
      <c r="G111" s="695">
        <v>1</v>
      </c>
      <c r="H111" s="695" t="s">
        <v>3904</v>
      </c>
      <c r="I111" s="695">
        <v>107</v>
      </c>
      <c r="J111" s="695" t="s">
        <v>4012</v>
      </c>
      <c r="K111" s="695" t="s">
        <v>8544</v>
      </c>
      <c r="L111" s="696">
        <v>24</v>
      </c>
      <c r="M111" s="170"/>
    </row>
    <row r="112" spans="2:13" x14ac:dyDescent="0.2">
      <c r="B112" s="173"/>
      <c r="C112" s="694">
        <v>1</v>
      </c>
      <c r="D112" s="695" t="s">
        <v>3903</v>
      </c>
      <c r="E112" s="695">
        <v>1</v>
      </c>
      <c r="F112" s="695" t="s">
        <v>3904</v>
      </c>
      <c r="G112" s="695">
        <v>1</v>
      </c>
      <c r="H112" s="695" t="s">
        <v>3904</v>
      </c>
      <c r="I112" s="695">
        <v>108</v>
      </c>
      <c r="J112" s="695" t="s">
        <v>4013</v>
      </c>
      <c r="K112" s="695" t="s">
        <v>8544</v>
      </c>
      <c r="L112" s="696">
        <v>1</v>
      </c>
      <c r="M112" s="170"/>
    </row>
    <row r="113" spans="2:13" x14ac:dyDescent="0.2">
      <c r="B113" s="173"/>
      <c r="C113" s="694">
        <v>1</v>
      </c>
      <c r="D113" s="695" t="s">
        <v>3903</v>
      </c>
      <c r="E113" s="695">
        <v>1</v>
      </c>
      <c r="F113" s="695" t="s">
        <v>3904</v>
      </c>
      <c r="G113" s="695">
        <v>1</v>
      </c>
      <c r="H113" s="695" t="s">
        <v>3904</v>
      </c>
      <c r="I113" s="695">
        <v>109</v>
      </c>
      <c r="J113" s="695" t="s">
        <v>4014</v>
      </c>
      <c r="K113" s="695" t="s">
        <v>4009</v>
      </c>
      <c r="L113" s="696">
        <v>0</v>
      </c>
      <c r="M113" s="170"/>
    </row>
    <row r="114" spans="2:13" x14ac:dyDescent="0.2">
      <c r="B114" s="173"/>
      <c r="C114" s="694">
        <v>1</v>
      </c>
      <c r="D114" s="695" t="s">
        <v>3903</v>
      </c>
      <c r="E114" s="695">
        <v>1</v>
      </c>
      <c r="F114" s="695" t="s">
        <v>3904</v>
      </c>
      <c r="G114" s="695">
        <v>1</v>
      </c>
      <c r="H114" s="695" t="s">
        <v>3904</v>
      </c>
      <c r="I114" s="695">
        <v>110</v>
      </c>
      <c r="J114" s="695" t="s">
        <v>4015</v>
      </c>
      <c r="K114" s="695" t="s">
        <v>8544</v>
      </c>
      <c r="L114" s="696">
        <v>6</v>
      </c>
      <c r="M114" s="170"/>
    </row>
    <row r="115" spans="2:13" x14ac:dyDescent="0.2">
      <c r="B115" s="173"/>
      <c r="C115" s="694">
        <v>1</v>
      </c>
      <c r="D115" s="695" t="s">
        <v>3903</v>
      </c>
      <c r="E115" s="695">
        <v>1</v>
      </c>
      <c r="F115" s="695" t="s">
        <v>3904</v>
      </c>
      <c r="G115" s="695">
        <v>1</v>
      </c>
      <c r="H115" s="695" t="s">
        <v>3904</v>
      </c>
      <c r="I115" s="695">
        <v>111</v>
      </c>
      <c r="J115" s="695" t="s">
        <v>4016</v>
      </c>
      <c r="K115" s="695" t="s">
        <v>4009</v>
      </c>
      <c r="L115" s="696">
        <v>0</v>
      </c>
      <c r="M115" s="170"/>
    </row>
    <row r="116" spans="2:13" x14ac:dyDescent="0.2">
      <c r="B116" s="173"/>
      <c r="C116" s="694">
        <v>1</v>
      </c>
      <c r="D116" s="695" t="s">
        <v>3903</v>
      </c>
      <c r="E116" s="695">
        <v>1</v>
      </c>
      <c r="F116" s="695" t="s">
        <v>3904</v>
      </c>
      <c r="G116" s="695">
        <v>1</v>
      </c>
      <c r="H116" s="695" t="s">
        <v>3904</v>
      </c>
      <c r="I116" s="695">
        <v>112</v>
      </c>
      <c r="J116" s="695" t="s">
        <v>4017</v>
      </c>
      <c r="K116" s="695" t="s">
        <v>4009</v>
      </c>
      <c r="L116" s="696">
        <v>0</v>
      </c>
      <c r="M116" s="170"/>
    </row>
    <row r="117" spans="2:13" x14ac:dyDescent="0.2">
      <c r="B117" s="173"/>
      <c r="C117" s="694">
        <v>1</v>
      </c>
      <c r="D117" s="695" t="s">
        <v>3903</v>
      </c>
      <c r="E117" s="695">
        <v>1</v>
      </c>
      <c r="F117" s="695" t="s">
        <v>3904</v>
      </c>
      <c r="G117" s="695">
        <v>1</v>
      </c>
      <c r="H117" s="695" t="s">
        <v>3904</v>
      </c>
      <c r="I117" s="695">
        <v>113</v>
      </c>
      <c r="J117" s="695" t="s">
        <v>4018</v>
      </c>
      <c r="K117" s="695" t="s">
        <v>4009</v>
      </c>
      <c r="L117" s="696">
        <v>0</v>
      </c>
      <c r="M117" s="170"/>
    </row>
    <row r="118" spans="2:13" x14ac:dyDescent="0.2">
      <c r="B118" s="173"/>
      <c r="C118" s="694">
        <v>1</v>
      </c>
      <c r="D118" s="695" t="s">
        <v>3903</v>
      </c>
      <c r="E118" s="695">
        <v>1</v>
      </c>
      <c r="F118" s="695" t="s">
        <v>3904</v>
      </c>
      <c r="G118" s="695">
        <v>1</v>
      </c>
      <c r="H118" s="695" t="s">
        <v>3904</v>
      </c>
      <c r="I118" s="695">
        <v>114</v>
      </c>
      <c r="J118" s="695" t="s">
        <v>4019</v>
      </c>
      <c r="K118" s="695" t="s">
        <v>4009</v>
      </c>
      <c r="L118" s="696">
        <v>0</v>
      </c>
      <c r="M118" s="170"/>
    </row>
    <row r="119" spans="2:13" x14ac:dyDescent="0.2">
      <c r="B119" s="173"/>
      <c r="C119" s="694">
        <v>1</v>
      </c>
      <c r="D119" s="695" t="s">
        <v>3903</v>
      </c>
      <c r="E119" s="695">
        <v>1</v>
      </c>
      <c r="F119" s="695" t="s">
        <v>3904</v>
      </c>
      <c r="G119" s="695">
        <v>1</v>
      </c>
      <c r="H119" s="695" t="s">
        <v>3904</v>
      </c>
      <c r="I119" s="695">
        <v>115</v>
      </c>
      <c r="J119" s="695" t="s">
        <v>4020</v>
      </c>
      <c r="K119" s="695" t="s">
        <v>4009</v>
      </c>
      <c r="L119" s="696">
        <v>0</v>
      </c>
      <c r="M119" s="170"/>
    </row>
    <row r="120" spans="2:13" x14ac:dyDescent="0.2">
      <c r="B120" s="173"/>
      <c r="C120" s="694">
        <v>1</v>
      </c>
      <c r="D120" s="695" t="s">
        <v>3903</v>
      </c>
      <c r="E120" s="695">
        <v>1</v>
      </c>
      <c r="F120" s="695" t="s">
        <v>3904</v>
      </c>
      <c r="G120" s="695">
        <v>1</v>
      </c>
      <c r="H120" s="695" t="s">
        <v>3904</v>
      </c>
      <c r="I120" s="695">
        <v>116</v>
      </c>
      <c r="J120" s="695" t="s">
        <v>4021</v>
      </c>
      <c r="K120" s="695" t="s">
        <v>4009</v>
      </c>
      <c r="L120" s="696">
        <v>0</v>
      </c>
      <c r="M120" s="170"/>
    </row>
    <row r="121" spans="2:13" x14ac:dyDescent="0.2">
      <c r="B121" s="173"/>
      <c r="C121" s="694">
        <v>1</v>
      </c>
      <c r="D121" s="695" t="s">
        <v>3903</v>
      </c>
      <c r="E121" s="695">
        <v>1</v>
      </c>
      <c r="F121" s="695" t="s">
        <v>3904</v>
      </c>
      <c r="G121" s="695">
        <v>1</v>
      </c>
      <c r="H121" s="695" t="s">
        <v>3904</v>
      </c>
      <c r="I121" s="695">
        <v>117</v>
      </c>
      <c r="J121" s="695" t="s">
        <v>8545</v>
      </c>
      <c r="K121" s="695" t="s">
        <v>3907</v>
      </c>
      <c r="L121" s="696">
        <v>11</v>
      </c>
      <c r="M121" s="170"/>
    </row>
    <row r="122" spans="2:13" x14ac:dyDescent="0.2">
      <c r="B122" s="173"/>
      <c r="C122" s="694">
        <v>1</v>
      </c>
      <c r="D122" s="695" t="s">
        <v>3903</v>
      </c>
      <c r="E122" s="695">
        <v>1</v>
      </c>
      <c r="F122" s="695" t="s">
        <v>3904</v>
      </c>
      <c r="G122" s="695">
        <v>1</v>
      </c>
      <c r="H122" s="695" t="s">
        <v>3904</v>
      </c>
      <c r="I122" s="695">
        <v>118</v>
      </c>
      <c r="J122" s="695" t="s">
        <v>4022</v>
      </c>
      <c r="K122" s="695" t="s">
        <v>8544</v>
      </c>
      <c r="L122" s="696">
        <v>4</v>
      </c>
      <c r="M122" s="170"/>
    </row>
    <row r="123" spans="2:13" x14ac:dyDescent="0.2">
      <c r="B123" s="173"/>
      <c r="C123" s="694">
        <v>1</v>
      </c>
      <c r="D123" s="695" t="s">
        <v>3903</v>
      </c>
      <c r="E123" s="695">
        <v>1</v>
      </c>
      <c r="F123" s="695" t="s">
        <v>3904</v>
      </c>
      <c r="G123" s="695">
        <v>1</v>
      </c>
      <c r="H123" s="695" t="s">
        <v>3904</v>
      </c>
      <c r="I123" s="695">
        <v>119</v>
      </c>
      <c r="J123" s="695" t="s">
        <v>4023</v>
      </c>
      <c r="K123" s="695" t="s">
        <v>8544</v>
      </c>
      <c r="L123" s="696">
        <v>12</v>
      </c>
      <c r="M123" s="170"/>
    </row>
    <row r="124" spans="2:13" x14ac:dyDescent="0.2">
      <c r="B124" s="173"/>
      <c r="C124" s="694">
        <v>1</v>
      </c>
      <c r="D124" s="695" t="s">
        <v>3903</v>
      </c>
      <c r="E124" s="695">
        <v>1</v>
      </c>
      <c r="F124" s="695" t="s">
        <v>3904</v>
      </c>
      <c r="G124" s="695">
        <v>1</v>
      </c>
      <c r="H124" s="695" t="s">
        <v>3904</v>
      </c>
      <c r="I124" s="695">
        <v>120</v>
      </c>
      <c r="J124" s="695" t="s">
        <v>4024</v>
      </c>
      <c r="K124" s="695" t="s">
        <v>8544</v>
      </c>
      <c r="L124" s="696">
        <v>18</v>
      </c>
      <c r="M124" s="170"/>
    </row>
    <row r="125" spans="2:13" x14ac:dyDescent="0.2">
      <c r="B125" s="173"/>
      <c r="C125" s="694">
        <v>1</v>
      </c>
      <c r="D125" s="695" t="s">
        <v>3903</v>
      </c>
      <c r="E125" s="695">
        <v>1</v>
      </c>
      <c r="F125" s="695" t="s">
        <v>3904</v>
      </c>
      <c r="G125" s="695">
        <v>1</v>
      </c>
      <c r="H125" s="695" t="s">
        <v>3904</v>
      </c>
      <c r="I125" s="695">
        <v>121</v>
      </c>
      <c r="J125" s="695" t="s">
        <v>4025</v>
      </c>
      <c r="K125" s="695" t="s">
        <v>8544</v>
      </c>
      <c r="L125" s="696">
        <v>3</v>
      </c>
      <c r="M125" s="170"/>
    </row>
    <row r="126" spans="2:13" x14ac:dyDescent="0.2">
      <c r="B126" s="173"/>
      <c r="C126" s="694">
        <v>1</v>
      </c>
      <c r="D126" s="695" t="s">
        <v>3903</v>
      </c>
      <c r="E126" s="695">
        <v>1</v>
      </c>
      <c r="F126" s="695" t="s">
        <v>3904</v>
      </c>
      <c r="G126" s="695">
        <v>1</v>
      </c>
      <c r="H126" s="695" t="s">
        <v>3904</v>
      </c>
      <c r="I126" s="695">
        <v>122</v>
      </c>
      <c r="J126" s="695" t="s">
        <v>4026</v>
      </c>
      <c r="K126" s="695" t="s">
        <v>8544</v>
      </c>
      <c r="L126" s="696">
        <v>11</v>
      </c>
      <c r="M126" s="170"/>
    </row>
    <row r="127" spans="2:13" x14ac:dyDescent="0.2">
      <c r="B127" s="173"/>
      <c r="C127" s="694">
        <v>1</v>
      </c>
      <c r="D127" s="695" t="s">
        <v>3903</v>
      </c>
      <c r="E127" s="695">
        <v>1</v>
      </c>
      <c r="F127" s="695" t="s">
        <v>3904</v>
      </c>
      <c r="G127" s="695">
        <v>1</v>
      </c>
      <c r="H127" s="695" t="s">
        <v>3904</v>
      </c>
      <c r="I127" s="695">
        <v>123</v>
      </c>
      <c r="J127" s="695" t="s">
        <v>4027</v>
      </c>
      <c r="K127" s="695" t="s">
        <v>8544</v>
      </c>
      <c r="L127" s="696">
        <v>0</v>
      </c>
      <c r="M127" s="170"/>
    </row>
    <row r="128" spans="2:13" x14ac:dyDescent="0.2">
      <c r="B128" s="173"/>
      <c r="C128" s="694">
        <v>1</v>
      </c>
      <c r="D128" s="695" t="s">
        <v>3903</v>
      </c>
      <c r="E128" s="695">
        <v>1</v>
      </c>
      <c r="F128" s="695" t="s">
        <v>3904</v>
      </c>
      <c r="G128" s="695">
        <v>1</v>
      </c>
      <c r="H128" s="695" t="s">
        <v>3904</v>
      </c>
      <c r="I128" s="695">
        <v>124</v>
      </c>
      <c r="J128" s="695" t="s">
        <v>4028</v>
      </c>
      <c r="K128" s="695" t="s">
        <v>8544</v>
      </c>
      <c r="L128" s="696">
        <v>18</v>
      </c>
      <c r="M128" s="170"/>
    </row>
    <row r="129" spans="2:13" x14ac:dyDescent="0.2">
      <c r="B129" s="173"/>
      <c r="C129" s="694">
        <v>1</v>
      </c>
      <c r="D129" s="695" t="s">
        <v>3903</v>
      </c>
      <c r="E129" s="695">
        <v>1</v>
      </c>
      <c r="F129" s="695" t="s">
        <v>3904</v>
      </c>
      <c r="G129" s="695">
        <v>1</v>
      </c>
      <c r="H129" s="695" t="s">
        <v>3904</v>
      </c>
      <c r="I129" s="695">
        <v>125</v>
      </c>
      <c r="J129" s="695" t="s">
        <v>4029</v>
      </c>
      <c r="K129" s="695" t="s">
        <v>8544</v>
      </c>
      <c r="L129" s="696">
        <v>22</v>
      </c>
      <c r="M129" s="170"/>
    </row>
    <row r="130" spans="2:13" x14ac:dyDescent="0.2">
      <c r="B130" s="173"/>
      <c r="C130" s="694">
        <v>1</v>
      </c>
      <c r="D130" s="695" t="s">
        <v>3903</v>
      </c>
      <c r="E130" s="695">
        <v>1</v>
      </c>
      <c r="F130" s="695" t="s">
        <v>3904</v>
      </c>
      <c r="G130" s="695">
        <v>1</v>
      </c>
      <c r="H130" s="695" t="s">
        <v>3904</v>
      </c>
      <c r="I130" s="695">
        <v>126</v>
      </c>
      <c r="J130" s="695" t="s">
        <v>4030</v>
      </c>
      <c r="K130" s="695" t="s">
        <v>8544</v>
      </c>
      <c r="L130" s="696">
        <v>2</v>
      </c>
      <c r="M130" s="170"/>
    </row>
    <row r="131" spans="2:13" x14ac:dyDescent="0.2">
      <c r="B131" s="173"/>
      <c r="C131" s="694">
        <v>1</v>
      </c>
      <c r="D131" s="695" t="s">
        <v>3903</v>
      </c>
      <c r="E131" s="695">
        <v>1</v>
      </c>
      <c r="F131" s="695" t="s">
        <v>3904</v>
      </c>
      <c r="G131" s="695">
        <v>1</v>
      </c>
      <c r="H131" s="695" t="s">
        <v>3904</v>
      </c>
      <c r="I131" s="695">
        <v>127</v>
      </c>
      <c r="J131" s="695" t="s">
        <v>4031</v>
      </c>
      <c r="K131" s="695" t="s">
        <v>8544</v>
      </c>
      <c r="L131" s="696">
        <v>0</v>
      </c>
      <c r="M131" s="170"/>
    </row>
    <row r="132" spans="2:13" x14ac:dyDescent="0.2">
      <c r="B132" s="173"/>
      <c r="C132" s="694">
        <v>1</v>
      </c>
      <c r="D132" s="695" t="s">
        <v>3903</v>
      </c>
      <c r="E132" s="695">
        <v>1</v>
      </c>
      <c r="F132" s="695" t="s">
        <v>3904</v>
      </c>
      <c r="G132" s="695">
        <v>1</v>
      </c>
      <c r="H132" s="695" t="s">
        <v>3904</v>
      </c>
      <c r="I132" s="695">
        <v>128</v>
      </c>
      <c r="J132" s="695" t="s">
        <v>4032</v>
      </c>
      <c r="K132" s="695" t="s">
        <v>8544</v>
      </c>
      <c r="L132" s="696">
        <v>5</v>
      </c>
      <c r="M132" s="170"/>
    </row>
    <row r="133" spans="2:13" x14ac:dyDescent="0.2">
      <c r="B133" s="173"/>
      <c r="C133" s="694">
        <v>1</v>
      </c>
      <c r="D133" s="695" t="s">
        <v>3903</v>
      </c>
      <c r="E133" s="695">
        <v>1</v>
      </c>
      <c r="F133" s="695" t="s">
        <v>3904</v>
      </c>
      <c r="G133" s="695">
        <v>1</v>
      </c>
      <c r="H133" s="695" t="s">
        <v>3904</v>
      </c>
      <c r="I133" s="695">
        <v>129</v>
      </c>
      <c r="J133" s="695" t="s">
        <v>4033</v>
      </c>
      <c r="K133" s="695" t="s">
        <v>8544</v>
      </c>
      <c r="L133" s="696">
        <v>33</v>
      </c>
      <c r="M133" s="170"/>
    </row>
    <row r="134" spans="2:13" x14ac:dyDescent="0.2">
      <c r="B134" s="173"/>
      <c r="C134" s="694">
        <v>1</v>
      </c>
      <c r="D134" s="695" t="s">
        <v>3903</v>
      </c>
      <c r="E134" s="695">
        <v>1</v>
      </c>
      <c r="F134" s="695" t="s">
        <v>3904</v>
      </c>
      <c r="G134" s="695">
        <v>1</v>
      </c>
      <c r="H134" s="695" t="s">
        <v>3904</v>
      </c>
      <c r="I134" s="695">
        <v>130</v>
      </c>
      <c r="J134" s="695" t="s">
        <v>4034</v>
      </c>
      <c r="K134" s="695" t="s">
        <v>3985</v>
      </c>
      <c r="L134" s="696">
        <v>40</v>
      </c>
      <c r="M134" s="170"/>
    </row>
    <row r="135" spans="2:13" x14ac:dyDescent="0.2">
      <c r="B135" s="173"/>
      <c r="C135" s="694">
        <v>1</v>
      </c>
      <c r="D135" s="695" t="s">
        <v>3903</v>
      </c>
      <c r="E135" s="695">
        <v>1</v>
      </c>
      <c r="F135" s="695" t="s">
        <v>3904</v>
      </c>
      <c r="G135" s="695">
        <v>1</v>
      </c>
      <c r="H135" s="695" t="s">
        <v>3904</v>
      </c>
      <c r="I135" s="695">
        <v>131</v>
      </c>
      <c r="J135" s="695" t="s">
        <v>4035</v>
      </c>
      <c r="K135" s="695" t="s">
        <v>8544</v>
      </c>
      <c r="L135" s="696">
        <v>30</v>
      </c>
      <c r="M135" s="170"/>
    </row>
    <row r="136" spans="2:13" x14ac:dyDescent="0.2">
      <c r="B136" s="173"/>
      <c r="C136" s="694">
        <v>1</v>
      </c>
      <c r="D136" s="695" t="s">
        <v>3903</v>
      </c>
      <c r="E136" s="695">
        <v>1</v>
      </c>
      <c r="F136" s="695" t="s">
        <v>3904</v>
      </c>
      <c r="G136" s="695">
        <v>1</v>
      </c>
      <c r="H136" s="695" t="s">
        <v>3904</v>
      </c>
      <c r="I136" s="695">
        <v>132</v>
      </c>
      <c r="J136" s="695" t="s">
        <v>4036</v>
      </c>
      <c r="K136" s="695" t="s">
        <v>8544</v>
      </c>
      <c r="L136" s="696">
        <v>4</v>
      </c>
      <c r="M136" s="170"/>
    </row>
    <row r="137" spans="2:13" x14ac:dyDescent="0.2">
      <c r="B137" s="173"/>
      <c r="C137" s="694">
        <v>1</v>
      </c>
      <c r="D137" s="695" t="s">
        <v>3903</v>
      </c>
      <c r="E137" s="695">
        <v>1</v>
      </c>
      <c r="F137" s="695" t="s">
        <v>3904</v>
      </c>
      <c r="G137" s="695">
        <v>1</v>
      </c>
      <c r="H137" s="695" t="s">
        <v>3904</v>
      </c>
      <c r="I137" s="695">
        <v>133</v>
      </c>
      <c r="J137" s="695" t="s">
        <v>4037</v>
      </c>
      <c r="K137" s="695" t="s">
        <v>8544</v>
      </c>
      <c r="L137" s="696">
        <v>2</v>
      </c>
      <c r="M137" s="170"/>
    </row>
    <row r="138" spans="2:13" x14ac:dyDescent="0.2">
      <c r="B138" s="173"/>
      <c r="C138" s="694">
        <v>1</v>
      </c>
      <c r="D138" s="695" t="s">
        <v>3903</v>
      </c>
      <c r="E138" s="695">
        <v>1</v>
      </c>
      <c r="F138" s="695" t="s">
        <v>3904</v>
      </c>
      <c r="G138" s="695">
        <v>1</v>
      </c>
      <c r="H138" s="695" t="s">
        <v>3904</v>
      </c>
      <c r="I138" s="695">
        <v>134</v>
      </c>
      <c r="J138" s="695" t="s">
        <v>4038</v>
      </c>
      <c r="K138" s="695" t="s">
        <v>8544</v>
      </c>
      <c r="L138" s="696">
        <v>6</v>
      </c>
      <c r="M138" s="170"/>
    </row>
    <row r="139" spans="2:13" x14ac:dyDescent="0.2">
      <c r="B139" s="173"/>
      <c r="C139" s="694">
        <v>1</v>
      </c>
      <c r="D139" s="695" t="s">
        <v>3903</v>
      </c>
      <c r="E139" s="695">
        <v>1</v>
      </c>
      <c r="F139" s="695" t="s">
        <v>3904</v>
      </c>
      <c r="G139" s="695">
        <v>1</v>
      </c>
      <c r="H139" s="695" t="s">
        <v>3904</v>
      </c>
      <c r="I139" s="695">
        <v>135</v>
      </c>
      <c r="J139" s="695" t="s">
        <v>4039</v>
      </c>
      <c r="K139" s="695" t="s">
        <v>8544</v>
      </c>
      <c r="L139" s="696">
        <v>3</v>
      </c>
      <c r="M139" s="170"/>
    </row>
    <row r="140" spans="2:13" x14ac:dyDescent="0.2">
      <c r="B140" s="173"/>
      <c r="C140" s="694">
        <v>1</v>
      </c>
      <c r="D140" s="695" t="s">
        <v>3903</v>
      </c>
      <c r="E140" s="695">
        <v>1</v>
      </c>
      <c r="F140" s="695" t="s">
        <v>3904</v>
      </c>
      <c r="G140" s="695">
        <v>1</v>
      </c>
      <c r="H140" s="695" t="s">
        <v>3904</v>
      </c>
      <c r="I140" s="695">
        <v>136</v>
      </c>
      <c r="J140" s="695" t="s">
        <v>4040</v>
      </c>
      <c r="K140" s="695" t="s">
        <v>8544</v>
      </c>
      <c r="L140" s="696">
        <v>2</v>
      </c>
      <c r="M140" s="170"/>
    </row>
    <row r="141" spans="2:13" x14ac:dyDescent="0.2">
      <c r="B141" s="173"/>
      <c r="C141" s="694">
        <v>1</v>
      </c>
      <c r="D141" s="695" t="s">
        <v>3903</v>
      </c>
      <c r="E141" s="695">
        <v>1</v>
      </c>
      <c r="F141" s="695" t="s">
        <v>3904</v>
      </c>
      <c r="G141" s="695">
        <v>1</v>
      </c>
      <c r="H141" s="695" t="s">
        <v>3904</v>
      </c>
      <c r="I141" s="695">
        <v>137</v>
      </c>
      <c r="J141" s="695" t="s">
        <v>4041</v>
      </c>
      <c r="K141" s="695" t="s">
        <v>8544</v>
      </c>
      <c r="L141" s="696">
        <v>0</v>
      </c>
      <c r="M141" s="170"/>
    </row>
    <row r="142" spans="2:13" x14ac:dyDescent="0.2">
      <c r="B142" s="173"/>
      <c r="C142" s="694">
        <v>1</v>
      </c>
      <c r="D142" s="695" t="s">
        <v>3903</v>
      </c>
      <c r="E142" s="695">
        <v>1</v>
      </c>
      <c r="F142" s="695" t="s">
        <v>3904</v>
      </c>
      <c r="G142" s="695">
        <v>1</v>
      </c>
      <c r="H142" s="695" t="s">
        <v>3904</v>
      </c>
      <c r="I142" s="695">
        <v>138</v>
      </c>
      <c r="J142" s="695" t="s">
        <v>4042</v>
      </c>
      <c r="K142" s="695" t="s">
        <v>8544</v>
      </c>
      <c r="L142" s="696">
        <v>256</v>
      </c>
      <c r="M142" s="170"/>
    </row>
    <row r="143" spans="2:13" x14ac:dyDescent="0.2">
      <c r="B143" s="173"/>
      <c r="C143" s="694">
        <v>1</v>
      </c>
      <c r="D143" s="695" t="s">
        <v>3903</v>
      </c>
      <c r="E143" s="695">
        <v>1</v>
      </c>
      <c r="F143" s="695" t="s">
        <v>3904</v>
      </c>
      <c r="G143" s="695">
        <v>1</v>
      </c>
      <c r="H143" s="695" t="s">
        <v>3904</v>
      </c>
      <c r="I143" s="695">
        <v>139</v>
      </c>
      <c r="J143" s="695" t="s">
        <v>4043</v>
      </c>
      <c r="K143" s="695" t="s">
        <v>8544</v>
      </c>
      <c r="L143" s="696">
        <v>105</v>
      </c>
      <c r="M143" s="170"/>
    </row>
    <row r="144" spans="2:13" x14ac:dyDescent="0.2">
      <c r="B144" s="173"/>
      <c r="C144" s="694">
        <v>1</v>
      </c>
      <c r="D144" s="695" t="s">
        <v>3903</v>
      </c>
      <c r="E144" s="695">
        <v>1</v>
      </c>
      <c r="F144" s="695" t="s">
        <v>3904</v>
      </c>
      <c r="G144" s="695">
        <v>1</v>
      </c>
      <c r="H144" s="695" t="s">
        <v>3904</v>
      </c>
      <c r="I144" s="695">
        <v>140</v>
      </c>
      <c r="J144" s="695" t="s">
        <v>4044</v>
      </c>
      <c r="K144" s="695" t="s">
        <v>4045</v>
      </c>
      <c r="L144" s="696">
        <v>732</v>
      </c>
      <c r="M144" s="170"/>
    </row>
    <row r="145" spans="2:13" x14ac:dyDescent="0.2">
      <c r="B145" s="173"/>
      <c r="C145" s="694">
        <v>1</v>
      </c>
      <c r="D145" s="695" t="s">
        <v>3903</v>
      </c>
      <c r="E145" s="695">
        <v>1</v>
      </c>
      <c r="F145" s="695" t="s">
        <v>3904</v>
      </c>
      <c r="G145" s="695">
        <v>1</v>
      </c>
      <c r="H145" s="695" t="s">
        <v>3904</v>
      </c>
      <c r="I145" s="695">
        <v>141</v>
      </c>
      <c r="J145" s="695" t="s">
        <v>4046</v>
      </c>
      <c r="K145" s="695" t="s">
        <v>8544</v>
      </c>
      <c r="L145" s="696">
        <v>84</v>
      </c>
      <c r="M145" s="170"/>
    </row>
    <row r="146" spans="2:13" x14ac:dyDescent="0.2">
      <c r="B146" s="173"/>
      <c r="C146" s="694">
        <v>1</v>
      </c>
      <c r="D146" s="695" t="s">
        <v>3903</v>
      </c>
      <c r="E146" s="695">
        <v>1</v>
      </c>
      <c r="F146" s="695" t="s">
        <v>3904</v>
      </c>
      <c r="G146" s="695">
        <v>1</v>
      </c>
      <c r="H146" s="695" t="s">
        <v>3904</v>
      </c>
      <c r="I146" s="695">
        <v>142</v>
      </c>
      <c r="J146" s="695" t="s">
        <v>4047</v>
      </c>
      <c r="K146" s="695" t="s">
        <v>8543</v>
      </c>
      <c r="L146" s="696">
        <v>9</v>
      </c>
      <c r="M146" s="170"/>
    </row>
    <row r="147" spans="2:13" x14ac:dyDescent="0.2">
      <c r="B147" s="173"/>
      <c r="C147" s="694">
        <v>1</v>
      </c>
      <c r="D147" s="695" t="s">
        <v>3903</v>
      </c>
      <c r="E147" s="695">
        <v>1</v>
      </c>
      <c r="F147" s="695" t="s">
        <v>3904</v>
      </c>
      <c r="G147" s="695">
        <v>1</v>
      </c>
      <c r="H147" s="695" t="s">
        <v>3904</v>
      </c>
      <c r="I147" s="695">
        <v>143</v>
      </c>
      <c r="J147" s="695" t="s">
        <v>4048</v>
      </c>
      <c r="K147" s="695" t="s">
        <v>8544</v>
      </c>
      <c r="L147" s="696">
        <v>74</v>
      </c>
      <c r="M147" s="170"/>
    </row>
    <row r="148" spans="2:13" x14ac:dyDescent="0.2">
      <c r="B148" s="173"/>
      <c r="C148" s="694">
        <v>1</v>
      </c>
      <c r="D148" s="695" t="s">
        <v>3903</v>
      </c>
      <c r="E148" s="695">
        <v>1</v>
      </c>
      <c r="F148" s="695" t="s">
        <v>3904</v>
      </c>
      <c r="G148" s="695">
        <v>1</v>
      </c>
      <c r="H148" s="695" t="s">
        <v>3904</v>
      </c>
      <c r="I148" s="695">
        <v>144</v>
      </c>
      <c r="J148" s="695" t="s">
        <v>4049</v>
      </c>
      <c r="K148" s="695" t="s">
        <v>4009</v>
      </c>
      <c r="L148" s="696">
        <v>9</v>
      </c>
      <c r="M148" s="170"/>
    </row>
    <row r="149" spans="2:13" x14ac:dyDescent="0.2">
      <c r="B149" s="173"/>
      <c r="C149" s="694">
        <v>1</v>
      </c>
      <c r="D149" s="695" t="s">
        <v>3903</v>
      </c>
      <c r="E149" s="695">
        <v>1</v>
      </c>
      <c r="F149" s="695" t="s">
        <v>3904</v>
      </c>
      <c r="G149" s="695">
        <v>1</v>
      </c>
      <c r="H149" s="695" t="s">
        <v>3904</v>
      </c>
      <c r="I149" s="695">
        <v>145</v>
      </c>
      <c r="J149" s="695" t="s">
        <v>4050</v>
      </c>
      <c r="K149" s="695" t="s">
        <v>8544</v>
      </c>
      <c r="L149" s="696">
        <v>12</v>
      </c>
      <c r="M149" s="170"/>
    </row>
    <row r="150" spans="2:13" x14ac:dyDescent="0.2">
      <c r="B150" s="173"/>
      <c r="C150" s="694">
        <v>1</v>
      </c>
      <c r="D150" s="695" t="s">
        <v>3903</v>
      </c>
      <c r="E150" s="695">
        <v>1</v>
      </c>
      <c r="F150" s="695" t="s">
        <v>3904</v>
      </c>
      <c r="G150" s="695">
        <v>1</v>
      </c>
      <c r="H150" s="695" t="s">
        <v>3904</v>
      </c>
      <c r="I150" s="695">
        <v>146</v>
      </c>
      <c r="J150" s="695" t="s">
        <v>4051</v>
      </c>
      <c r="K150" s="695" t="s">
        <v>8544</v>
      </c>
      <c r="L150" s="696">
        <v>11</v>
      </c>
      <c r="M150" s="170"/>
    </row>
    <row r="151" spans="2:13" x14ac:dyDescent="0.2">
      <c r="B151" s="173"/>
      <c r="C151" s="694">
        <v>1</v>
      </c>
      <c r="D151" s="695" t="s">
        <v>3903</v>
      </c>
      <c r="E151" s="695">
        <v>1</v>
      </c>
      <c r="F151" s="695" t="s">
        <v>3904</v>
      </c>
      <c r="G151" s="695">
        <v>1</v>
      </c>
      <c r="H151" s="695" t="s">
        <v>3904</v>
      </c>
      <c r="I151" s="695">
        <v>147</v>
      </c>
      <c r="J151" s="695" t="s">
        <v>4052</v>
      </c>
      <c r="K151" s="695" t="s">
        <v>8544</v>
      </c>
      <c r="L151" s="696">
        <v>87</v>
      </c>
      <c r="M151" s="170"/>
    </row>
    <row r="152" spans="2:13" x14ac:dyDescent="0.2">
      <c r="B152" s="173"/>
      <c r="C152" s="694">
        <v>1</v>
      </c>
      <c r="D152" s="695" t="s">
        <v>3903</v>
      </c>
      <c r="E152" s="695">
        <v>1</v>
      </c>
      <c r="F152" s="695" t="s">
        <v>3904</v>
      </c>
      <c r="G152" s="695">
        <v>1</v>
      </c>
      <c r="H152" s="695" t="s">
        <v>3904</v>
      </c>
      <c r="I152" s="695">
        <v>148</v>
      </c>
      <c r="J152" s="695" t="s">
        <v>4053</v>
      </c>
      <c r="K152" s="695" t="s">
        <v>8544</v>
      </c>
      <c r="L152" s="696">
        <v>4</v>
      </c>
      <c r="M152" s="170"/>
    </row>
    <row r="153" spans="2:13" x14ac:dyDescent="0.2">
      <c r="B153" s="173"/>
      <c r="C153" s="694">
        <v>1</v>
      </c>
      <c r="D153" s="695" t="s">
        <v>3903</v>
      </c>
      <c r="E153" s="695">
        <v>1</v>
      </c>
      <c r="F153" s="695" t="s">
        <v>3904</v>
      </c>
      <c r="G153" s="695">
        <v>1</v>
      </c>
      <c r="H153" s="695" t="s">
        <v>3904</v>
      </c>
      <c r="I153" s="695">
        <v>149</v>
      </c>
      <c r="J153" s="695" t="s">
        <v>4054</v>
      </c>
      <c r="K153" s="695" t="s">
        <v>8544</v>
      </c>
      <c r="L153" s="696">
        <v>143</v>
      </c>
      <c r="M153" s="170"/>
    </row>
    <row r="154" spans="2:13" x14ac:dyDescent="0.2">
      <c r="B154" s="173"/>
      <c r="C154" s="694">
        <v>1</v>
      </c>
      <c r="D154" s="695" t="s">
        <v>3903</v>
      </c>
      <c r="E154" s="695">
        <v>1</v>
      </c>
      <c r="F154" s="695" t="s">
        <v>3904</v>
      </c>
      <c r="G154" s="695">
        <v>1</v>
      </c>
      <c r="H154" s="695" t="s">
        <v>3904</v>
      </c>
      <c r="I154" s="695">
        <v>150</v>
      </c>
      <c r="J154" s="695" t="s">
        <v>4055</v>
      </c>
      <c r="K154" s="695" t="s">
        <v>8544</v>
      </c>
      <c r="L154" s="696">
        <v>157</v>
      </c>
      <c r="M154" s="170"/>
    </row>
    <row r="155" spans="2:13" x14ac:dyDescent="0.2">
      <c r="B155" s="173"/>
      <c r="C155" s="694">
        <v>1</v>
      </c>
      <c r="D155" s="695" t="s">
        <v>3903</v>
      </c>
      <c r="E155" s="695">
        <v>1</v>
      </c>
      <c r="F155" s="695" t="s">
        <v>3904</v>
      </c>
      <c r="G155" s="695">
        <v>1</v>
      </c>
      <c r="H155" s="695" t="s">
        <v>3904</v>
      </c>
      <c r="I155" s="695">
        <v>151</v>
      </c>
      <c r="J155" s="695" t="s">
        <v>4056</v>
      </c>
      <c r="K155" s="695" t="s">
        <v>4057</v>
      </c>
      <c r="L155" s="696">
        <v>106</v>
      </c>
      <c r="M155" s="170"/>
    </row>
    <row r="156" spans="2:13" x14ac:dyDescent="0.2">
      <c r="B156" s="173"/>
      <c r="C156" s="694">
        <v>1</v>
      </c>
      <c r="D156" s="695" t="s">
        <v>3903</v>
      </c>
      <c r="E156" s="695">
        <v>1</v>
      </c>
      <c r="F156" s="695" t="s">
        <v>3904</v>
      </c>
      <c r="G156" s="695">
        <v>1</v>
      </c>
      <c r="H156" s="695" t="s">
        <v>3904</v>
      </c>
      <c r="I156" s="695">
        <v>152</v>
      </c>
      <c r="J156" s="695" t="s">
        <v>4058</v>
      </c>
      <c r="K156" s="695" t="s">
        <v>8544</v>
      </c>
      <c r="L156" s="696">
        <v>6</v>
      </c>
      <c r="M156" s="170"/>
    </row>
    <row r="157" spans="2:13" x14ac:dyDescent="0.2">
      <c r="B157" s="173"/>
      <c r="C157" s="694">
        <v>1</v>
      </c>
      <c r="D157" s="695" t="s">
        <v>3903</v>
      </c>
      <c r="E157" s="695">
        <v>1</v>
      </c>
      <c r="F157" s="695" t="s">
        <v>3904</v>
      </c>
      <c r="G157" s="695">
        <v>1</v>
      </c>
      <c r="H157" s="695" t="s">
        <v>3904</v>
      </c>
      <c r="I157" s="695">
        <v>153</v>
      </c>
      <c r="J157" s="695" t="s">
        <v>4059</v>
      </c>
      <c r="K157" s="695" t="s">
        <v>8544</v>
      </c>
      <c r="L157" s="696">
        <v>7</v>
      </c>
      <c r="M157" s="170"/>
    </row>
    <row r="158" spans="2:13" x14ac:dyDescent="0.2">
      <c r="B158" s="173"/>
      <c r="C158" s="694">
        <v>1</v>
      </c>
      <c r="D158" s="695" t="s">
        <v>3903</v>
      </c>
      <c r="E158" s="695">
        <v>1</v>
      </c>
      <c r="F158" s="695" t="s">
        <v>3904</v>
      </c>
      <c r="G158" s="695">
        <v>1</v>
      </c>
      <c r="H158" s="695" t="s">
        <v>3904</v>
      </c>
      <c r="I158" s="695">
        <v>154</v>
      </c>
      <c r="J158" s="695" t="s">
        <v>4060</v>
      </c>
      <c r="K158" s="695" t="s">
        <v>8544</v>
      </c>
      <c r="L158" s="696">
        <v>29</v>
      </c>
      <c r="M158" s="170"/>
    </row>
    <row r="159" spans="2:13" x14ac:dyDescent="0.2">
      <c r="B159" s="173"/>
      <c r="C159" s="694">
        <v>1</v>
      </c>
      <c r="D159" s="695" t="s">
        <v>3903</v>
      </c>
      <c r="E159" s="695">
        <v>1</v>
      </c>
      <c r="F159" s="695" t="s">
        <v>3904</v>
      </c>
      <c r="G159" s="695">
        <v>1</v>
      </c>
      <c r="H159" s="695" t="s">
        <v>3904</v>
      </c>
      <c r="I159" s="695">
        <v>155</v>
      </c>
      <c r="J159" s="695" t="s">
        <v>4061</v>
      </c>
      <c r="K159" s="695" t="s">
        <v>8544</v>
      </c>
      <c r="L159" s="696">
        <v>30</v>
      </c>
      <c r="M159" s="170"/>
    </row>
    <row r="160" spans="2:13" x14ac:dyDescent="0.2">
      <c r="B160" s="173"/>
      <c r="C160" s="694">
        <v>1</v>
      </c>
      <c r="D160" s="695" t="s">
        <v>3903</v>
      </c>
      <c r="E160" s="695">
        <v>1</v>
      </c>
      <c r="F160" s="695" t="s">
        <v>3904</v>
      </c>
      <c r="G160" s="695">
        <v>1</v>
      </c>
      <c r="H160" s="695" t="s">
        <v>3904</v>
      </c>
      <c r="I160" s="695">
        <v>156</v>
      </c>
      <c r="J160" s="695" t="s">
        <v>4062</v>
      </c>
      <c r="K160" s="695" t="s">
        <v>8544</v>
      </c>
      <c r="L160" s="696">
        <v>41</v>
      </c>
      <c r="M160" s="170"/>
    </row>
    <row r="161" spans="2:13" x14ac:dyDescent="0.2">
      <c r="B161" s="173"/>
      <c r="C161" s="694">
        <v>1</v>
      </c>
      <c r="D161" s="695" t="s">
        <v>3903</v>
      </c>
      <c r="E161" s="695">
        <v>1</v>
      </c>
      <c r="F161" s="695" t="s">
        <v>3904</v>
      </c>
      <c r="G161" s="695">
        <v>1</v>
      </c>
      <c r="H161" s="695" t="s">
        <v>3904</v>
      </c>
      <c r="I161" s="695">
        <v>157</v>
      </c>
      <c r="J161" s="695" t="s">
        <v>4063</v>
      </c>
      <c r="K161" s="695" t="s">
        <v>3985</v>
      </c>
      <c r="L161" s="696">
        <v>43</v>
      </c>
      <c r="M161" s="170"/>
    </row>
    <row r="162" spans="2:13" x14ac:dyDescent="0.2">
      <c r="B162" s="173"/>
      <c r="C162" s="694">
        <v>1</v>
      </c>
      <c r="D162" s="695" t="s">
        <v>3903</v>
      </c>
      <c r="E162" s="695">
        <v>1</v>
      </c>
      <c r="F162" s="695" t="s">
        <v>3904</v>
      </c>
      <c r="G162" s="695">
        <v>1</v>
      </c>
      <c r="H162" s="695" t="s">
        <v>3904</v>
      </c>
      <c r="I162" s="695">
        <v>158</v>
      </c>
      <c r="J162" s="695" t="s">
        <v>4064</v>
      </c>
      <c r="K162" s="695" t="s">
        <v>4009</v>
      </c>
      <c r="L162" s="696">
        <v>4</v>
      </c>
      <c r="M162" s="170"/>
    </row>
    <row r="163" spans="2:13" x14ac:dyDescent="0.2">
      <c r="B163" s="173"/>
      <c r="C163" s="694">
        <v>1</v>
      </c>
      <c r="D163" s="695" t="s">
        <v>3903</v>
      </c>
      <c r="E163" s="695">
        <v>1</v>
      </c>
      <c r="F163" s="695" t="s">
        <v>3904</v>
      </c>
      <c r="G163" s="695">
        <v>1</v>
      </c>
      <c r="H163" s="695" t="s">
        <v>3904</v>
      </c>
      <c r="I163" s="695">
        <v>159</v>
      </c>
      <c r="J163" s="695" t="s">
        <v>4065</v>
      </c>
      <c r="K163" s="695" t="s">
        <v>8544</v>
      </c>
      <c r="L163" s="696">
        <v>15</v>
      </c>
      <c r="M163" s="170"/>
    </row>
    <row r="164" spans="2:13" x14ac:dyDescent="0.2">
      <c r="B164" s="173"/>
      <c r="C164" s="694">
        <v>1</v>
      </c>
      <c r="D164" s="695" t="s">
        <v>3903</v>
      </c>
      <c r="E164" s="695">
        <v>1</v>
      </c>
      <c r="F164" s="695" t="s">
        <v>3904</v>
      </c>
      <c r="G164" s="695">
        <v>1</v>
      </c>
      <c r="H164" s="695" t="s">
        <v>3904</v>
      </c>
      <c r="I164" s="695">
        <v>160</v>
      </c>
      <c r="J164" s="695" t="s">
        <v>4066</v>
      </c>
      <c r="K164" s="695" t="s">
        <v>8543</v>
      </c>
      <c r="L164" s="696">
        <v>12</v>
      </c>
      <c r="M164" s="170"/>
    </row>
    <row r="165" spans="2:13" x14ac:dyDescent="0.2">
      <c r="B165" s="173"/>
      <c r="C165" s="694">
        <v>1</v>
      </c>
      <c r="D165" s="695" t="s">
        <v>3903</v>
      </c>
      <c r="E165" s="695">
        <v>1</v>
      </c>
      <c r="F165" s="695" t="s">
        <v>3904</v>
      </c>
      <c r="G165" s="695">
        <v>1</v>
      </c>
      <c r="H165" s="695" t="s">
        <v>3904</v>
      </c>
      <c r="I165" s="695">
        <v>161</v>
      </c>
      <c r="J165" s="695" t="s">
        <v>4067</v>
      </c>
      <c r="K165" s="695" t="s">
        <v>8544</v>
      </c>
      <c r="L165" s="696">
        <v>75</v>
      </c>
      <c r="M165" s="170"/>
    </row>
    <row r="166" spans="2:13" x14ac:dyDescent="0.2">
      <c r="B166" s="173"/>
      <c r="C166" s="694">
        <v>1</v>
      </c>
      <c r="D166" s="695" t="s">
        <v>3903</v>
      </c>
      <c r="E166" s="695">
        <v>1</v>
      </c>
      <c r="F166" s="695" t="s">
        <v>3904</v>
      </c>
      <c r="G166" s="695">
        <v>1</v>
      </c>
      <c r="H166" s="695" t="s">
        <v>3904</v>
      </c>
      <c r="I166" s="695">
        <v>162</v>
      </c>
      <c r="J166" s="695" t="s">
        <v>4068</v>
      </c>
      <c r="K166" s="695" t="s">
        <v>8544</v>
      </c>
      <c r="L166" s="696">
        <v>42</v>
      </c>
      <c r="M166" s="170"/>
    </row>
    <row r="167" spans="2:13" x14ac:dyDescent="0.2">
      <c r="B167" s="173"/>
      <c r="C167" s="694">
        <v>1</v>
      </c>
      <c r="D167" s="695" t="s">
        <v>3903</v>
      </c>
      <c r="E167" s="695">
        <v>1</v>
      </c>
      <c r="F167" s="695" t="s">
        <v>3904</v>
      </c>
      <c r="G167" s="695">
        <v>1</v>
      </c>
      <c r="H167" s="695" t="s">
        <v>3904</v>
      </c>
      <c r="I167" s="695">
        <v>163</v>
      </c>
      <c r="J167" s="695" t="s">
        <v>4069</v>
      </c>
      <c r="K167" s="695" t="s">
        <v>3985</v>
      </c>
      <c r="L167" s="696">
        <v>20</v>
      </c>
      <c r="M167" s="170"/>
    </row>
    <row r="168" spans="2:13" x14ac:dyDescent="0.2">
      <c r="B168" s="173"/>
      <c r="C168" s="694">
        <v>1</v>
      </c>
      <c r="D168" s="695" t="s">
        <v>3903</v>
      </c>
      <c r="E168" s="695">
        <v>1</v>
      </c>
      <c r="F168" s="695" t="s">
        <v>3904</v>
      </c>
      <c r="G168" s="695">
        <v>1</v>
      </c>
      <c r="H168" s="695" t="s">
        <v>3904</v>
      </c>
      <c r="I168" s="695">
        <v>164</v>
      </c>
      <c r="J168" s="695" t="s">
        <v>4070</v>
      </c>
      <c r="K168" s="695" t="s">
        <v>8544</v>
      </c>
      <c r="L168" s="696">
        <v>14</v>
      </c>
      <c r="M168" s="170"/>
    </row>
    <row r="169" spans="2:13" x14ac:dyDescent="0.2">
      <c r="B169" s="173"/>
      <c r="C169" s="694">
        <v>1</v>
      </c>
      <c r="D169" s="695" t="s">
        <v>3903</v>
      </c>
      <c r="E169" s="695">
        <v>1</v>
      </c>
      <c r="F169" s="695" t="s">
        <v>3904</v>
      </c>
      <c r="G169" s="695">
        <v>1</v>
      </c>
      <c r="H169" s="695" t="s">
        <v>3904</v>
      </c>
      <c r="I169" s="695">
        <v>165</v>
      </c>
      <c r="J169" s="695" t="s">
        <v>4071</v>
      </c>
      <c r="K169" s="695" t="s">
        <v>8544</v>
      </c>
      <c r="L169" s="696">
        <v>47</v>
      </c>
      <c r="M169" s="170"/>
    </row>
    <row r="170" spans="2:13" x14ac:dyDescent="0.2">
      <c r="B170" s="173"/>
      <c r="C170" s="694">
        <v>1</v>
      </c>
      <c r="D170" s="695" t="s">
        <v>3903</v>
      </c>
      <c r="E170" s="695">
        <v>1</v>
      </c>
      <c r="F170" s="695" t="s">
        <v>3904</v>
      </c>
      <c r="G170" s="695">
        <v>1</v>
      </c>
      <c r="H170" s="695" t="s">
        <v>3904</v>
      </c>
      <c r="I170" s="695">
        <v>166</v>
      </c>
      <c r="J170" s="695" t="s">
        <v>4072</v>
      </c>
      <c r="K170" s="695" t="s">
        <v>8544</v>
      </c>
      <c r="L170" s="696">
        <v>6</v>
      </c>
      <c r="M170" s="170"/>
    </row>
    <row r="171" spans="2:13" x14ac:dyDescent="0.2">
      <c r="B171" s="173"/>
      <c r="C171" s="694">
        <v>1</v>
      </c>
      <c r="D171" s="695" t="s">
        <v>3903</v>
      </c>
      <c r="E171" s="695">
        <v>1</v>
      </c>
      <c r="F171" s="695" t="s">
        <v>3904</v>
      </c>
      <c r="G171" s="695">
        <v>1</v>
      </c>
      <c r="H171" s="695" t="s">
        <v>3904</v>
      </c>
      <c r="I171" s="695">
        <v>167</v>
      </c>
      <c r="J171" s="695" t="s">
        <v>4073</v>
      </c>
      <c r="K171" s="695" t="s">
        <v>8544</v>
      </c>
      <c r="L171" s="696">
        <v>17</v>
      </c>
      <c r="M171" s="170"/>
    </row>
    <row r="172" spans="2:13" x14ac:dyDescent="0.2">
      <c r="B172" s="173"/>
      <c r="C172" s="694">
        <v>1</v>
      </c>
      <c r="D172" s="695" t="s">
        <v>3903</v>
      </c>
      <c r="E172" s="695">
        <v>1</v>
      </c>
      <c r="F172" s="695" t="s">
        <v>3904</v>
      </c>
      <c r="G172" s="695">
        <v>1</v>
      </c>
      <c r="H172" s="695" t="s">
        <v>3904</v>
      </c>
      <c r="I172" s="695">
        <v>168</v>
      </c>
      <c r="J172" s="695" t="s">
        <v>4074</v>
      </c>
      <c r="K172" s="695" t="s">
        <v>8544</v>
      </c>
      <c r="L172" s="696">
        <v>14</v>
      </c>
      <c r="M172" s="170"/>
    </row>
    <row r="173" spans="2:13" x14ac:dyDescent="0.2">
      <c r="B173" s="173"/>
      <c r="C173" s="694">
        <v>1</v>
      </c>
      <c r="D173" s="695" t="s">
        <v>3903</v>
      </c>
      <c r="E173" s="695">
        <v>1</v>
      </c>
      <c r="F173" s="695" t="s">
        <v>3904</v>
      </c>
      <c r="G173" s="695">
        <v>1</v>
      </c>
      <c r="H173" s="695" t="s">
        <v>3904</v>
      </c>
      <c r="I173" s="695">
        <v>169</v>
      </c>
      <c r="J173" s="695" t="s">
        <v>4074</v>
      </c>
      <c r="K173" s="695" t="s">
        <v>3985</v>
      </c>
      <c r="L173" s="696">
        <v>2</v>
      </c>
      <c r="M173" s="170"/>
    </row>
    <row r="174" spans="2:13" x14ac:dyDescent="0.2">
      <c r="B174" s="173"/>
      <c r="C174" s="694">
        <v>1</v>
      </c>
      <c r="D174" s="695" t="s">
        <v>3903</v>
      </c>
      <c r="E174" s="695">
        <v>1</v>
      </c>
      <c r="F174" s="695" t="s">
        <v>3904</v>
      </c>
      <c r="G174" s="695">
        <v>1</v>
      </c>
      <c r="H174" s="695" t="s">
        <v>3904</v>
      </c>
      <c r="I174" s="695">
        <v>170</v>
      </c>
      <c r="J174" s="695" t="s">
        <v>4075</v>
      </c>
      <c r="K174" s="695" t="s">
        <v>8544</v>
      </c>
      <c r="L174" s="696">
        <v>8</v>
      </c>
      <c r="M174" s="170"/>
    </row>
    <row r="175" spans="2:13" x14ac:dyDescent="0.2">
      <c r="B175" s="173"/>
      <c r="C175" s="694">
        <v>1</v>
      </c>
      <c r="D175" s="695" t="s">
        <v>3903</v>
      </c>
      <c r="E175" s="695">
        <v>1</v>
      </c>
      <c r="F175" s="695" t="s">
        <v>3904</v>
      </c>
      <c r="G175" s="695">
        <v>1</v>
      </c>
      <c r="H175" s="695" t="s">
        <v>3904</v>
      </c>
      <c r="I175" s="695">
        <v>171</v>
      </c>
      <c r="J175" s="695" t="s">
        <v>4076</v>
      </c>
      <c r="K175" s="695" t="s">
        <v>8543</v>
      </c>
      <c r="L175" s="696">
        <v>61</v>
      </c>
      <c r="M175" s="170"/>
    </row>
    <row r="176" spans="2:13" x14ac:dyDescent="0.2">
      <c r="B176" s="173"/>
      <c r="C176" s="694">
        <v>1</v>
      </c>
      <c r="D176" s="695" t="s">
        <v>3903</v>
      </c>
      <c r="E176" s="695">
        <v>1</v>
      </c>
      <c r="F176" s="695" t="s">
        <v>3904</v>
      </c>
      <c r="G176" s="695">
        <v>1</v>
      </c>
      <c r="H176" s="695" t="s">
        <v>3904</v>
      </c>
      <c r="I176" s="695">
        <v>172</v>
      </c>
      <c r="J176" s="695" t="s">
        <v>4077</v>
      </c>
      <c r="K176" s="695" t="s">
        <v>8543</v>
      </c>
      <c r="L176" s="696">
        <v>15</v>
      </c>
      <c r="M176" s="170"/>
    </row>
    <row r="177" spans="2:13" x14ac:dyDescent="0.2">
      <c r="B177" s="173"/>
      <c r="C177" s="694">
        <v>1</v>
      </c>
      <c r="D177" s="695" t="s">
        <v>3903</v>
      </c>
      <c r="E177" s="695">
        <v>1</v>
      </c>
      <c r="F177" s="695" t="s">
        <v>3904</v>
      </c>
      <c r="G177" s="695">
        <v>1</v>
      </c>
      <c r="H177" s="695" t="s">
        <v>3904</v>
      </c>
      <c r="I177" s="695">
        <v>173</v>
      </c>
      <c r="J177" s="695" t="s">
        <v>4078</v>
      </c>
      <c r="K177" s="695" t="s">
        <v>8544</v>
      </c>
      <c r="L177" s="696">
        <v>116</v>
      </c>
      <c r="M177" s="170"/>
    </row>
    <row r="178" spans="2:13" x14ac:dyDescent="0.2">
      <c r="B178" s="173"/>
      <c r="C178" s="694">
        <v>1</v>
      </c>
      <c r="D178" s="695" t="s">
        <v>3903</v>
      </c>
      <c r="E178" s="695">
        <v>1</v>
      </c>
      <c r="F178" s="695" t="s">
        <v>3904</v>
      </c>
      <c r="G178" s="695">
        <v>1</v>
      </c>
      <c r="H178" s="695" t="s">
        <v>3904</v>
      </c>
      <c r="I178" s="695">
        <v>174</v>
      </c>
      <c r="J178" s="695" t="s">
        <v>4079</v>
      </c>
      <c r="K178" s="695" t="s">
        <v>8544</v>
      </c>
      <c r="L178" s="696">
        <v>71</v>
      </c>
      <c r="M178" s="170"/>
    </row>
    <row r="179" spans="2:13" x14ac:dyDescent="0.2">
      <c r="B179" s="173"/>
      <c r="C179" s="694">
        <v>1</v>
      </c>
      <c r="D179" s="695" t="s">
        <v>3903</v>
      </c>
      <c r="E179" s="695">
        <v>1</v>
      </c>
      <c r="F179" s="695" t="s">
        <v>3904</v>
      </c>
      <c r="G179" s="695">
        <v>1</v>
      </c>
      <c r="H179" s="695" t="s">
        <v>3904</v>
      </c>
      <c r="I179" s="695">
        <v>175</v>
      </c>
      <c r="J179" s="695" t="s">
        <v>4080</v>
      </c>
      <c r="K179" s="695" t="s">
        <v>3985</v>
      </c>
      <c r="L179" s="696">
        <v>17</v>
      </c>
      <c r="M179" s="170"/>
    </row>
    <row r="180" spans="2:13" x14ac:dyDescent="0.2">
      <c r="B180" s="173"/>
      <c r="C180" s="694">
        <v>1</v>
      </c>
      <c r="D180" s="695" t="s">
        <v>3903</v>
      </c>
      <c r="E180" s="695">
        <v>1</v>
      </c>
      <c r="F180" s="695" t="s">
        <v>3904</v>
      </c>
      <c r="G180" s="695">
        <v>1</v>
      </c>
      <c r="H180" s="695" t="s">
        <v>3904</v>
      </c>
      <c r="I180" s="695">
        <v>176</v>
      </c>
      <c r="J180" s="695" t="s">
        <v>8546</v>
      </c>
      <c r="K180" s="695" t="s">
        <v>8544</v>
      </c>
      <c r="L180" s="696">
        <v>34</v>
      </c>
      <c r="M180" s="170"/>
    </row>
    <row r="181" spans="2:13" x14ac:dyDescent="0.2">
      <c r="B181" s="173"/>
      <c r="C181" s="694">
        <v>1</v>
      </c>
      <c r="D181" s="695" t="s">
        <v>3903</v>
      </c>
      <c r="E181" s="695">
        <v>1</v>
      </c>
      <c r="F181" s="695" t="s">
        <v>3904</v>
      </c>
      <c r="G181" s="695">
        <v>1</v>
      </c>
      <c r="H181" s="695" t="s">
        <v>3904</v>
      </c>
      <c r="I181" s="695">
        <v>177</v>
      </c>
      <c r="J181" s="695" t="s">
        <v>4081</v>
      </c>
      <c r="K181" s="695" t="s">
        <v>8544</v>
      </c>
      <c r="L181" s="696">
        <v>2</v>
      </c>
      <c r="M181" s="170"/>
    </row>
    <row r="182" spans="2:13" x14ac:dyDescent="0.2">
      <c r="B182" s="173"/>
      <c r="C182" s="694">
        <v>1</v>
      </c>
      <c r="D182" s="695" t="s">
        <v>3903</v>
      </c>
      <c r="E182" s="695">
        <v>1</v>
      </c>
      <c r="F182" s="695" t="s">
        <v>3904</v>
      </c>
      <c r="G182" s="695">
        <v>1</v>
      </c>
      <c r="H182" s="695" t="s">
        <v>3904</v>
      </c>
      <c r="I182" s="695">
        <v>178</v>
      </c>
      <c r="J182" s="695" t="s">
        <v>4082</v>
      </c>
      <c r="K182" s="695" t="s">
        <v>8544</v>
      </c>
      <c r="L182" s="696">
        <v>32</v>
      </c>
      <c r="M182" s="170"/>
    </row>
    <row r="183" spans="2:13" x14ac:dyDescent="0.2">
      <c r="B183" s="173"/>
      <c r="C183" s="694">
        <v>1</v>
      </c>
      <c r="D183" s="695" t="s">
        <v>3903</v>
      </c>
      <c r="E183" s="695">
        <v>1</v>
      </c>
      <c r="F183" s="695" t="s">
        <v>3904</v>
      </c>
      <c r="G183" s="695">
        <v>1</v>
      </c>
      <c r="H183" s="695" t="s">
        <v>3904</v>
      </c>
      <c r="I183" s="695">
        <v>179</v>
      </c>
      <c r="J183" s="695" t="s">
        <v>4083</v>
      </c>
      <c r="K183" s="695" t="s">
        <v>3907</v>
      </c>
      <c r="L183" s="696">
        <v>5</v>
      </c>
      <c r="M183" s="170"/>
    </row>
    <row r="184" spans="2:13" x14ac:dyDescent="0.2">
      <c r="B184" s="173"/>
      <c r="C184" s="694">
        <v>1</v>
      </c>
      <c r="D184" s="695" t="s">
        <v>3903</v>
      </c>
      <c r="E184" s="695">
        <v>1</v>
      </c>
      <c r="F184" s="695" t="s">
        <v>3904</v>
      </c>
      <c r="G184" s="695">
        <v>1</v>
      </c>
      <c r="H184" s="695" t="s">
        <v>3904</v>
      </c>
      <c r="I184" s="695">
        <v>180</v>
      </c>
      <c r="J184" s="695" t="s">
        <v>4084</v>
      </c>
      <c r="K184" s="695" t="s">
        <v>4085</v>
      </c>
      <c r="L184" s="696">
        <v>5</v>
      </c>
      <c r="M184" s="170"/>
    </row>
    <row r="185" spans="2:13" x14ac:dyDescent="0.2">
      <c r="B185" s="173"/>
      <c r="C185" s="694">
        <v>1</v>
      </c>
      <c r="D185" s="695" t="s">
        <v>3903</v>
      </c>
      <c r="E185" s="695">
        <v>1</v>
      </c>
      <c r="F185" s="695" t="s">
        <v>3904</v>
      </c>
      <c r="G185" s="695">
        <v>1</v>
      </c>
      <c r="H185" s="695" t="s">
        <v>3904</v>
      </c>
      <c r="I185" s="695">
        <v>181</v>
      </c>
      <c r="J185" s="695" t="s">
        <v>4086</v>
      </c>
      <c r="K185" s="695" t="s">
        <v>3985</v>
      </c>
      <c r="L185" s="696">
        <v>8730</v>
      </c>
      <c r="M185" s="170"/>
    </row>
    <row r="186" spans="2:13" x14ac:dyDescent="0.2">
      <c r="B186" s="173"/>
      <c r="C186" s="694">
        <v>1</v>
      </c>
      <c r="D186" s="695" t="s">
        <v>3903</v>
      </c>
      <c r="E186" s="695">
        <v>1</v>
      </c>
      <c r="F186" s="695" t="s">
        <v>3904</v>
      </c>
      <c r="G186" s="695">
        <v>1</v>
      </c>
      <c r="H186" s="695" t="s">
        <v>3904</v>
      </c>
      <c r="I186" s="695">
        <v>182</v>
      </c>
      <c r="J186" s="695" t="s">
        <v>4087</v>
      </c>
      <c r="K186" s="695" t="s">
        <v>3985</v>
      </c>
      <c r="L186" s="696">
        <v>20</v>
      </c>
      <c r="M186" s="170"/>
    </row>
    <row r="187" spans="2:13" x14ac:dyDescent="0.2">
      <c r="B187" s="173"/>
      <c r="C187" s="694">
        <v>1</v>
      </c>
      <c r="D187" s="695" t="s">
        <v>3903</v>
      </c>
      <c r="E187" s="695">
        <v>1</v>
      </c>
      <c r="F187" s="695" t="s">
        <v>3904</v>
      </c>
      <c r="G187" s="695">
        <v>1</v>
      </c>
      <c r="H187" s="695" t="s">
        <v>3904</v>
      </c>
      <c r="I187" s="695">
        <v>183</v>
      </c>
      <c r="J187" s="695" t="s">
        <v>4088</v>
      </c>
      <c r="K187" s="695" t="s">
        <v>8544</v>
      </c>
      <c r="L187" s="696">
        <v>35</v>
      </c>
      <c r="M187" s="170"/>
    </row>
    <row r="188" spans="2:13" x14ac:dyDescent="0.2">
      <c r="B188" s="173"/>
      <c r="C188" s="694">
        <v>1</v>
      </c>
      <c r="D188" s="695" t="s">
        <v>3903</v>
      </c>
      <c r="E188" s="695">
        <v>1</v>
      </c>
      <c r="F188" s="695" t="s">
        <v>3904</v>
      </c>
      <c r="G188" s="695">
        <v>1</v>
      </c>
      <c r="H188" s="695" t="s">
        <v>3904</v>
      </c>
      <c r="I188" s="695">
        <v>184</v>
      </c>
      <c r="J188" s="695" t="s">
        <v>4089</v>
      </c>
      <c r="K188" s="695" t="s">
        <v>3907</v>
      </c>
      <c r="L188" s="696">
        <v>29</v>
      </c>
      <c r="M188" s="170"/>
    </row>
    <row r="189" spans="2:13" x14ac:dyDescent="0.2">
      <c r="B189" s="173"/>
      <c r="C189" s="694">
        <v>1</v>
      </c>
      <c r="D189" s="695" t="s">
        <v>3903</v>
      </c>
      <c r="E189" s="695">
        <v>1</v>
      </c>
      <c r="F189" s="695" t="s">
        <v>3904</v>
      </c>
      <c r="G189" s="695">
        <v>1</v>
      </c>
      <c r="H189" s="695" t="s">
        <v>3904</v>
      </c>
      <c r="I189" s="695">
        <v>185</v>
      </c>
      <c r="J189" s="695" t="s">
        <v>4090</v>
      </c>
      <c r="K189" s="695" t="s">
        <v>8544</v>
      </c>
      <c r="L189" s="696">
        <v>22</v>
      </c>
      <c r="M189" s="170"/>
    </row>
    <row r="190" spans="2:13" x14ac:dyDescent="0.2">
      <c r="B190" s="173"/>
      <c r="C190" s="694">
        <v>1</v>
      </c>
      <c r="D190" s="695" t="s">
        <v>3903</v>
      </c>
      <c r="E190" s="695">
        <v>1</v>
      </c>
      <c r="F190" s="695" t="s">
        <v>3904</v>
      </c>
      <c r="G190" s="695">
        <v>1</v>
      </c>
      <c r="H190" s="695" t="s">
        <v>3904</v>
      </c>
      <c r="I190" s="695">
        <v>186</v>
      </c>
      <c r="J190" s="695" t="s">
        <v>4071</v>
      </c>
      <c r="K190" s="695" t="s">
        <v>8544</v>
      </c>
      <c r="L190" s="696">
        <v>5</v>
      </c>
      <c r="M190" s="170"/>
    </row>
    <row r="191" spans="2:13" x14ac:dyDescent="0.2">
      <c r="B191" s="173"/>
      <c r="C191" s="694">
        <v>1</v>
      </c>
      <c r="D191" s="695" t="s">
        <v>3903</v>
      </c>
      <c r="E191" s="695">
        <v>1</v>
      </c>
      <c r="F191" s="695" t="s">
        <v>3904</v>
      </c>
      <c r="G191" s="695">
        <v>1</v>
      </c>
      <c r="H191" s="695" t="s">
        <v>3904</v>
      </c>
      <c r="I191" s="695">
        <v>187</v>
      </c>
      <c r="J191" s="695" t="s">
        <v>4091</v>
      </c>
      <c r="K191" s="695" t="s">
        <v>8544</v>
      </c>
      <c r="L191" s="696">
        <v>7</v>
      </c>
      <c r="M191" s="170"/>
    </row>
    <row r="192" spans="2:13" x14ac:dyDescent="0.2">
      <c r="B192" s="173"/>
      <c r="C192" s="694">
        <v>1</v>
      </c>
      <c r="D192" s="695" t="s">
        <v>3903</v>
      </c>
      <c r="E192" s="695">
        <v>1</v>
      </c>
      <c r="F192" s="695" t="s">
        <v>3904</v>
      </c>
      <c r="G192" s="695">
        <v>1</v>
      </c>
      <c r="H192" s="695" t="s">
        <v>3904</v>
      </c>
      <c r="I192" s="695">
        <v>188</v>
      </c>
      <c r="J192" s="695" t="s">
        <v>4092</v>
      </c>
      <c r="K192" s="695" t="s">
        <v>8544</v>
      </c>
      <c r="L192" s="696">
        <v>20</v>
      </c>
      <c r="M192" s="170"/>
    </row>
    <row r="193" spans="2:13" x14ac:dyDescent="0.2">
      <c r="B193" s="173"/>
      <c r="C193" s="694">
        <v>1</v>
      </c>
      <c r="D193" s="695" t="s">
        <v>3903</v>
      </c>
      <c r="E193" s="695">
        <v>1</v>
      </c>
      <c r="F193" s="695" t="s">
        <v>3904</v>
      </c>
      <c r="G193" s="695">
        <v>1</v>
      </c>
      <c r="H193" s="695" t="s">
        <v>3904</v>
      </c>
      <c r="I193" s="695">
        <v>189</v>
      </c>
      <c r="J193" s="695" t="s">
        <v>4093</v>
      </c>
      <c r="K193" s="695" t="s">
        <v>4094</v>
      </c>
      <c r="L193" s="696">
        <v>10</v>
      </c>
      <c r="M193" s="170"/>
    </row>
    <row r="194" spans="2:13" x14ac:dyDescent="0.2">
      <c r="B194" s="173"/>
      <c r="C194" s="694">
        <v>1</v>
      </c>
      <c r="D194" s="695" t="s">
        <v>3903</v>
      </c>
      <c r="E194" s="695">
        <v>1</v>
      </c>
      <c r="F194" s="695" t="s">
        <v>3904</v>
      </c>
      <c r="G194" s="695">
        <v>1</v>
      </c>
      <c r="H194" s="695" t="s">
        <v>3904</v>
      </c>
      <c r="I194" s="695">
        <v>190</v>
      </c>
      <c r="J194" s="695" t="s">
        <v>4095</v>
      </c>
      <c r="K194" s="695" t="s">
        <v>8544</v>
      </c>
      <c r="L194" s="696">
        <v>6</v>
      </c>
      <c r="M194" s="170"/>
    </row>
    <row r="195" spans="2:13" x14ac:dyDescent="0.2">
      <c r="B195" s="173"/>
      <c r="C195" s="694">
        <v>1</v>
      </c>
      <c r="D195" s="695" t="s">
        <v>3903</v>
      </c>
      <c r="E195" s="695">
        <v>1</v>
      </c>
      <c r="F195" s="695" t="s">
        <v>3904</v>
      </c>
      <c r="G195" s="695">
        <v>1</v>
      </c>
      <c r="H195" s="695" t="s">
        <v>3904</v>
      </c>
      <c r="I195" s="695">
        <v>191</v>
      </c>
      <c r="J195" s="695" t="s">
        <v>4096</v>
      </c>
      <c r="K195" s="695" t="s">
        <v>3985</v>
      </c>
      <c r="L195" s="696">
        <v>32</v>
      </c>
      <c r="M195" s="170"/>
    </row>
    <row r="196" spans="2:13" x14ac:dyDescent="0.2">
      <c r="B196" s="173"/>
      <c r="C196" s="694">
        <v>1</v>
      </c>
      <c r="D196" s="695" t="s">
        <v>3903</v>
      </c>
      <c r="E196" s="695">
        <v>1</v>
      </c>
      <c r="F196" s="695" t="s">
        <v>3904</v>
      </c>
      <c r="G196" s="695">
        <v>1</v>
      </c>
      <c r="H196" s="695" t="s">
        <v>3904</v>
      </c>
      <c r="I196" s="695">
        <v>192</v>
      </c>
      <c r="J196" s="695" t="s">
        <v>4097</v>
      </c>
      <c r="K196" s="695" t="s">
        <v>8544</v>
      </c>
      <c r="L196" s="696">
        <v>13</v>
      </c>
      <c r="M196" s="170"/>
    </row>
    <row r="197" spans="2:13" x14ac:dyDescent="0.2">
      <c r="B197" s="173"/>
      <c r="C197" s="694">
        <v>1</v>
      </c>
      <c r="D197" s="695" t="s">
        <v>3903</v>
      </c>
      <c r="E197" s="695">
        <v>1</v>
      </c>
      <c r="F197" s="695" t="s">
        <v>3904</v>
      </c>
      <c r="G197" s="695">
        <v>1</v>
      </c>
      <c r="H197" s="695" t="s">
        <v>3904</v>
      </c>
      <c r="I197" s="695">
        <v>193</v>
      </c>
      <c r="J197" s="695" t="s">
        <v>4098</v>
      </c>
      <c r="K197" s="695" t="s">
        <v>8544</v>
      </c>
      <c r="L197" s="696">
        <v>37</v>
      </c>
      <c r="M197" s="170"/>
    </row>
    <row r="198" spans="2:13" x14ac:dyDescent="0.2">
      <c r="B198" s="173"/>
      <c r="C198" s="694">
        <v>1</v>
      </c>
      <c r="D198" s="695" t="s">
        <v>3903</v>
      </c>
      <c r="E198" s="695">
        <v>1</v>
      </c>
      <c r="F198" s="695" t="s">
        <v>3904</v>
      </c>
      <c r="G198" s="695">
        <v>1</v>
      </c>
      <c r="H198" s="695" t="s">
        <v>3904</v>
      </c>
      <c r="I198" s="695">
        <v>194</v>
      </c>
      <c r="J198" s="695" t="s">
        <v>4099</v>
      </c>
      <c r="K198" s="695" t="s">
        <v>8544</v>
      </c>
      <c r="L198" s="696">
        <v>13</v>
      </c>
      <c r="M198" s="170"/>
    </row>
    <row r="199" spans="2:13" x14ac:dyDescent="0.2">
      <c r="B199" s="173"/>
      <c r="C199" s="694">
        <v>1</v>
      </c>
      <c r="D199" s="695" t="s">
        <v>3903</v>
      </c>
      <c r="E199" s="695">
        <v>1</v>
      </c>
      <c r="F199" s="695" t="s">
        <v>3904</v>
      </c>
      <c r="G199" s="695">
        <v>1</v>
      </c>
      <c r="H199" s="695" t="s">
        <v>3904</v>
      </c>
      <c r="I199" s="695">
        <v>195</v>
      </c>
      <c r="J199" s="695" t="s">
        <v>4100</v>
      </c>
      <c r="K199" s="695" t="s">
        <v>3985</v>
      </c>
      <c r="L199" s="696">
        <v>66</v>
      </c>
      <c r="M199" s="170"/>
    </row>
    <row r="200" spans="2:13" x14ac:dyDescent="0.2">
      <c r="B200" s="173"/>
      <c r="C200" s="694">
        <v>1</v>
      </c>
      <c r="D200" s="695" t="s">
        <v>3903</v>
      </c>
      <c r="E200" s="695">
        <v>1</v>
      </c>
      <c r="F200" s="695" t="s">
        <v>3904</v>
      </c>
      <c r="G200" s="695">
        <v>1</v>
      </c>
      <c r="H200" s="695" t="s">
        <v>3904</v>
      </c>
      <c r="I200" s="695">
        <v>196</v>
      </c>
      <c r="J200" s="695" t="s">
        <v>4101</v>
      </c>
      <c r="K200" s="695" t="s">
        <v>4009</v>
      </c>
      <c r="L200" s="696">
        <v>18</v>
      </c>
      <c r="M200" s="170"/>
    </row>
    <row r="201" spans="2:13" x14ac:dyDescent="0.2">
      <c r="B201" s="173"/>
      <c r="C201" s="694">
        <v>1</v>
      </c>
      <c r="D201" s="695" t="s">
        <v>3903</v>
      </c>
      <c r="E201" s="695">
        <v>1</v>
      </c>
      <c r="F201" s="695" t="s">
        <v>3904</v>
      </c>
      <c r="G201" s="695">
        <v>1</v>
      </c>
      <c r="H201" s="695" t="s">
        <v>3904</v>
      </c>
      <c r="I201" s="695">
        <v>197</v>
      </c>
      <c r="J201" s="695" t="s">
        <v>4102</v>
      </c>
      <c r="K201" s="695" t="s">
        <v>8544</v>
      </c>
      <c r="L201" s="696">
        <v>39</v>
      </c>
      <c r="M201" s="170"/>
    </row>
    <row r="202" spans="2:13" x14ac:dyDescent="0.2">
      <c r="B202" s="173"/>
      <c r="C202" s="694">
        <v>1</v>
      </c>
      <c r="D202" s="695" t="s">
        <v>3903</v>
      </c>
      <c r="E202" s="695">
        <v>1</v>
      </c>
      <c r="F202" s="695" t="s">
        <v>3904</v>
      </c>
      <c r="G202" s="695">
        <v>1</v>
      </c>
      <c r="H202" s="695" t="s">
        <v>3904</v>
      </c>
      <c r="I202" s="695">
        <v>198</v>
      </c>
      <c r="J202" s="695" t="s">
        <v>4103</v>
      </c>
      <c r="K202" s="695" t="s">
        <v>8544</v>
      </c>
      <c r="L202" s="696">
        <v>53</v>
      </c>
      <c r="M202" s="170"/>
    </row>
    <row r="203" spans="2:13" x14ac:dyDescent="0.2">
      <c r="B203" s="173"/>
      <c r="C203" s="694">
        <v>1</v>
      </c>
      <c r="D203" s="695" t="s">
        <v>3903</v>
      </c>
      <c r="E203" s="695">
        <v>1</v>
      </c>
      <c r="F203" s="695" t="s">
        <v>3904</v>
      </c>
      <c r="G203" s="695">
        <v>1</v>
      </c>
      <c r="H203" s="695" t="s">
        <v>3904</v>
      </c>
      <c r="I203" s="695">
        <v>199</v>
      </c>
      <c r="J203" s="695" t="s">
        <v>4104</v>
      </c>
      <c r="K203" s="695" t="s">
        <v>8544</v>
      </c>
      <c r="L203" s="696">
        <v>26</v>
      </c>
      <c r="M203" s="170"/>
    </row>
    <row r="204" spans="2:13" x14ac:dyDescent="0.2">
      <c r="B204" s="173"/>
      <c r="C204" s="694">
        <v>1</v>
      </c>
      <c r="D204" s="695" t="s">
        <v>3903</v>
      </c>
      <c r="E204" s="695">
        <v>1</v>
      </c>
      <c r="F204" s="695" t="s">
        <v>3904</v>
      </c>
      <c r="G204" s="695">
        <v>1</v>
      </c>
      <c r="H204" s="695" t="s">
        <v>3904</v>
      </c>
      <c r="I204" s="695">
        <v>200</v>
      </c>
      <c r="J204" s="695" t="s">
        <v>4105</v>
      </c>
      <c r="K204" s="695" t="s">
        <v>8544</v>
      </c>
      <c r="L204" s="696">
        <v>41</v>
      </c>
      <c r="M204" s="170"/>
    </row>
    <row r="205" spans="2:13" x14ac:dyDescent="0.2">
      <c r="B205" s="173"/>
      <c r="C205" s="694">
        <v>1</v>
      </c>
      <c r="D205" s="695" t="s">
        <v>3903</v>
      </c>
      <c r="E205" s="695">
        <v>1</v>
      </c>
      <c r="F205" s="695" t="s">
        <v>3904</v>
      </c>
      <c r="G205" s="695">
        <v>1</v>
      </c>
      <c r="H205" s="695" t="s">
        <v>3904</v>
      </c>
      <c r="I205" s="695">
        <v>201</v>
      </c>
      <c r="J205" s="695" t="s">
        <v>4106</v>
      </c>
      <c r="K205" s="695" t="s">
        <v>8544</v>
      </c>
      <c r="L205" s="696">
        <v>1</v>
      </c>
      <c r="M205" s="170"/>
    </row>
    <row r="206" spans="2:13" x14ac:dyDescent="0.2">
      <c r="B206" s="173"/>
      <c r="C206" s="694">
        <v>1</v>
      </c>
      <c r="D206" s="695" t="s">
        <v>3903</v>
      </c>
      <c r="E206" s="695">
        <v>1</v>
      </c>
      <c r="F206" s="695" t="s">
        <v>3904</v>
      </c>
      <c r="G206" s="695">
        <v>1</v>
      </c>
      <c r="H206" s="695" t="s">
        <v>3904</v>
      </c>
      <c r="I206" s="695">
        <v>202</v>
      </c>
      <c r="J206" s="695" t="s">
        <v>4107</v>
      </c>
      <c r="K206" s="695" t="s">
        <v>8544</v>
      </c>
      <c r="L206" s="696">
        <v>60</v>
      </c>
      <c r="M206" s="170"/>
    </row>
    <row r="207" spans="2:13" x14ac:dyDescent="0.2">
      <c r="B207" s="173"/>
      <c r="C207" s="694">
        <v>1</v>
      </c>
      <c r="D207" s="695" t="s">
        <v>3903</v>
      </c>
      <c r="E207" s="695">
        <v>1</v>
      </c>
      <c r="F207" s="695" t="s">
        <v>3904</v>
      </c>
      <c r="G207" s="695">
        <v>1</v>
      </c>
      <c r="H207" s="695" t="s">
        <v>3904</v>
      </c>
      <c r="I207" s="695">
        <v>203</v>
      </c>
      <c r="J207" s="695" t="s">
        <v>4108</v>
      </c>
      <c r="K207" s="695" t="s">
        <v>8544</v>
      </c>
      <c r="L207" s="696">
        <v>5</v>
      </c>
      <c r="M207" s="170"/>
    </row>
    <row r="208" spans="2:13" x14ac:dyDescent="0.2">
      <c r="B208" s="173"/>
      <c r="C208" s="694">
        <v>1</v>
      </c>
      <c r="D208" s="695" t="s">
        <v>3903</v>
      </c>
      <c r="E208" s="695">
        <v>1</v>
      </c>
      <c r="F208" s="695" t="s">
        <v>3904</v>
      </c>
      <c r="G208" s="695">
        <v>1</v>
      </c>
      <c r="H208" s="695" t="s">
        <v>3904</v>
      </c>
      <c r="I208" s="695">
        <v>204</v>
      </c>
      <c r="J208" s="695" t="s">
        <v>4109</v>
      </c>
      <c r="K208" s="695" t="s">
        <v>8544</v>
      </c>
      <c r="L208" s="696">
        <v>25</v>
      </c>
      <c r="M208" s="170"/>
    </row>
    <row r="209" spans="2:13" x14ac:dyDescent="0.2">
      <c r="B209" s="173"/>
      <c r="C209" s="694">
        <v>1</v>
      </c>
      <c r="D209" s="695" t="s">
        <v>3903</v>
      </c>
      <c r="E209" s="695">
        <v>1</v>
      </c>
      <c r="F209" s="695" t="s">
        <v>3904</v>
      </c>
      <c r="G209" s="695">
        <v>1</v>
      </c>
      <c r="H209" s="695" t="s">
        <v>3904</v>
      </c>
      <c r="I209" s="695">
        <v>205</v>
      </c>
      <c r="J209" s="695" t="s">
        <v>4110</v>
      </c>
      <c r="K209" s="695" t="s">
        <v>8544</v>
      </c>
      <c r="L209" s="696">
        <v>3</v>
      </c>
      <c r="M209" s="170"/>
    </row>
    <row r="210" spans="2:13" x14ac:dyDescent="0.2">
      <c r="B210" s="173"/>
      <c r="C210" s="694">
        <v>1</v>
      </c>
      <c r="D210" s="695" t="s">
        <v>3903</v>
      </c>
      <c r="E210" s="695">
        <v>1</v>
      </c>
      <c r="F210" s="695" t="s">
        <v>3904</v>
      </c>
      <c r="G210" s="695">
        <v>1</v>
      </c>
      <c r="H210" s="695" t="s">
        <v>3904</v>
      </c>
      <c r="I210" s="695">
        <v>206</v>
      </c>
      <c r="J210" s="695" t="s">
        <v>4111</v>
      </c>
      <c r="K210" s="695" t="s">
        <v>8544</v>
      </c>
      <c r="L210" s="696">
        <v>55</v>
      </c>
      <c r="M210" s="170"/>
    </row>
    <row r="211" spans="2:13" x14ac:dyDescent="0.2">
      <c r="B211" s="173"/>
      <c r="C211" s="694">
        <v>1</v>
      </c>
      <c r="D211" s="695" t="s">
        <v>3903</v>
      </c>
      <c r="E211" s="695">
        <v>1</v>
      </c>
      <c r="F211" s="695" t="s">
        <v>3904</v>
      </c>
      <c r="G211" s="695">
        <v>1</v>
      </c>
      <c r="H211" s="695" t="s">
        <v>3904</v>
      </c>
      <c r="I211" s="695">
        <v>207</v>
      </c>
      <c r="J211" s="695" t="s">
        <v>4112</v>
      </c>
      <c r="K211" s="695" t="s">
        <v>8544</v>
      </c>
      <c r="L211" s="696">
        <v>31</v>
      </c>
      <c r="M211" s="170"/>
    </row>
    <row r="212" spans="2:13" x14ac:dyDescent="0.2">
      <c r="B212" s="173"/>
      <c r="C212" s="694">
        <v>1</v>
      </c>
      <c r="D212" s="695" t="s">
        <v>3903</v>
      </c>
      <c r="E212" s="695">
        <v>1</v>
      </c>
      <c r="F212" s="695" t="s">
        <v>3904</v>
      </c>
      <c r="G212" s="695">
        <v>1</v>
      </c>
      <c r="H212" s="695" t="s">
        <v>3904</v>
      </c>
      <c r="I212" s="695">
        <v>208</v>
      </c>
      <c r="J212" s="695" t="s">
        <v>4113</v>
      </c>
      <c r="K212" s="695" t="s">
        <v>8544</v>
      </c>
      <c r="L212" s="696">
        <v>7</v>
      </c>
      <c r="M212" s="170"/>
    </row>
    <row r="213" spans="2:13" x14ac:dyDescent="0.2">
      <c r="B213" s="173"/>
      <c r="C213" s="694">
        <v>1</v>
      </c>
      <c r="D213" s="695" t="s">
        <v>3903</v>
      </c>
      <c r="E213" s="695">
        <v>1</v>
      </c>
      <c r="F213" s="695" t="s">
        <v>3904</v>
      </c>
      <c r="G213" s="695">
        <v>1</v>
      </c>
      <c r="H213" s="695" t="s">
        <v>3904</v>
      </c>
      <c r="I213" s="695">
        <v>209</v>
      </c>
      <c r="J213" s="695" t="s">
        <v>4114</v>
      </c>
      <c r="K213" s="695" t="s">
        <v>8544</v>
      </c>
      <c r="L213" s="696">
        <v>267</v>
      </c>
      <c r="M213" s="170"/>
    </row>
    <row r="214" spans="2:13" x14ac:dyDescent="0.2">
      <c r="B214" s="173"/>
      <c r="C214" s="694">
        <v>1</v>
      </c>
      <c r="D214" s="695" t="s">
        <v>3903</v>
      </c>
      <c r="E214" s="695">
        <v>1</v>
      </c>
      <c r="F214" s="695" t="s">
        <v>3904</v>
      </c>
      <c r="G214" s="695">
        <v>1</v>
      </c>
      <c r="H214" s="695" t="s">
        <v>3904</v>
      </c>
      <c r="I214" s="695">
        <v>210</v>
      </c>
      <c r="J214" s="695" t="s">
        <v>4115</v>
      </c>
      <c r="K214" s="695" t="s">
        <v>8544</v>
      </c>
      <c r="L214" s="696">
        <v>60</v>
      </c>
      <c r="M214" s="170"/>
    </row>
    <row r="215" spans="2:13" x14ac:dyDescent="0.2">
      <c r="B215" s="173"/>
      <c r="C215" s="694">
        <v>1</v>
      </c>
      <c r="D215" s="695" t="s">
        <v>3903</v>
      </c>
      <c r="E215" s="695">
        <v>1</v>
      </c>
      <c r="F215" s="695" t="s">
        <v>3904</v>
      </c>
      <c r="G215" s="695">
        <v>1</v>
      </c>
      <c r="H215" s="695" t="s">
        <v>3904</v>
      </c>
      <c r="I215" s="695">
        <v>211</v>
      </c>
      <c r="J215" s="695" t="s">
        <v>4076</v>
      </c>
      <c r="K215" s="695" t="s">
        <v>8544</v>
      </c>
      <c r="L215" s="696">
        <v>20</v>
      </c>
      <c r="M215" s="170"/>
    </row>
    <row r="216" spans="2:13" x14ac:dyDescent="0.2">
      <c r="B216" s="173"/>
      <c r="C216" s="694">
        <v>1</v>
      </c>
      <c r="D216" s="695" t="s">
        <v>3903</v>
      </c>
      <c r="E216" s="695">
        <v>1</v>
      </c>
      <c r="F216" s="695" t="s">
        <v>3904</v>
      </c>
      <c r="G216" s="695">
        <v>1</v>
      </c>
      <c r="H216" s="695" t="s">
        <v>3904</v>
      </c>
      <c r="I216" s="695">
        <v>212</v>
      </c>
      <c r="J216" s="695" t="s">
        <v>4116</v>
      </c>
      <c r="K216" s="695" t="s">
        <v>4117</v>
      </c>
      <c r="L216" s="696">
        <v>12</v>
      </c>
      <c r="M216" s="170"/>
    </row>
    <row r="217" spans="2:13" x14ac:dyDescent="0.2">
      <c r="B217" s="173"/>
      <c r="C217" s="694">
        <v>1</v>
      </c>
      <c r="D217" s="695" t="s">
        <v>3903</v>
      </c>
      <c r="E217" s="695">
        <v>1</v>
      </c>
      <c r="F217" s="695" t="s">
        <v>3904</v>
      </c>
      <c r="G217" s="695">
        <v>1</v>
      </c>
      <c r="H217" s="695" t="s">
        <v>3904</v>
      </c>
      <c r="I217" s="695">
        <v>213</v>
      </c>
      <c r="J217" s="695" t="s">
        <v>4118</v>
      </c>
      <c r="K217" s="695" t="s">
        <v>8544</v>
      </c>
      <c r="L217" s="696">
        <v>48</v>
      </c>
      <c r="M217" s="170"/>
    </row>
    <row r="218" spans="2:13" x14ac:dyDescent="0.2">
      <c r="B218" s="173"/>
      <c r="C218" s="694">
        <v>1</v>
      </c>
      <c r="D218" s="695" t="s">
        <v>3903</v>
      </c>
      <c r="E218" s="695">
        <v>1</v>
      </c>
      <c r="F218" s="695" t="s">
        <v>3904</v>
      </c>
      <c r="G218" s="695">
        <v>1</v>
      </c>
      <c r="H218" s="695" t="s">
        <v>3904</v>
      </c>
      <c r="I218" s="695">
        <v>214</v>
      </c>
      <c r="J218" s="695" t="s">
        <v>4119</v>
      </c>
      <c r="K218" s="695" t="s">
        <v>8543</v>
      </c>
      <c r="L218" s="696">
        <v>38</v>
      </c>
      <c r="M218" s="170"/>
    </row>
    <row r="219" spans="2:13" x14ac:dyDescent="0.2">
      <c r="B219" s="173"/>
      <c r="C219" s="694">
        <v>1</v>
      </c>
      <c r="D219" s="695" t="s">
        <v>3903</v>
      </c>
      <c r="E219" s="695">
        <v>1</v>
      </c>
      <c r="F219" s="695" t="s">
        <v>3904</v>
      </c>
      <c r="G219" s="695">
        <v>1</v>
      </c>
      <c r="H219" s="695" t="s">
        <v>3904</v>
      </c>
      <c r="I219" s="695">
        <v>215</v>
      </c>
      <c r="J219" s="695" t="s">
        <v>4120</v>
      </c>
      <c r="K219" s="695" t="s">
        <v>3907</v>
      </c>
      <c r="L219" s="696">
        <v>38</v>
      </c>
      <c r="M219" s="170"/>
    </row>
    <row r="220" spans="2:13" x14ac:dyDescent="0.2">
      <c r="B220" s="173"/>
      <c r="C220" s="694">
        <v>1</v>
      </c>
      <c r="D220" s="695" t="s">
        <v>3903</v>
      </c>
      <c r="E220" s="695">
        <v>1</v>
      </c>
      <c r="F220" s="695" t="s">
        <v>3904</v>
      </c>
      <c r="G220" s="695">
        <v>1</v>
      </c>
      <c r="H220" s="695" t="s">
        <v>3904</v>
      </c>
      <c r="I220" s="695">
        <v>216</v>
      </c>
      <c r="J220" s="695" t="s">
        <v>4121</v>
      </c>
      <c r="K220" s="695" t="s">
        <v>8544</v>
      </c>
      <c r="L220" s="696">
        <v>3</v>
      </c>
      <c r="M220" s="170"/>
    </row>
    <row r="221" spans="2:13" x14ac:dyDescent="0.2">
      <c r="B221" s="173"/>
      <c r="C221" s="694">
        <v>1</v>
      </c>
      <c r="D221" s="695" t="s">
        <v>3903</v>
      </c>
      <c r="E221" s="695">
        <v>1</v>
      </c>
      <c r="F221" s="695" t="s">
        <v>3904</v>
      </c>
      <c r="G221" s="695">
        <v>1</v>
      </c>
      <c r="H221" s="695" t="s">
        <v>3904</v>
      </c>
      <c r="I221" s="695">
        <v>217</v>
      </c>
      <c r="J221" s="695" t="s">
        <v>4122</v>
      </c>
      <c r="K221" s="695" t="s">
        <v>8544</v>
      </c>
      <c r="L221" s="696">
        <v>5</v>
      </c>
      <c r="M221" s="170"/>
    </row>
    <row r="222" spans="2:13" x14ac:dyDescent="0.2">
      <c r="B222" s="173"/>
      <c r="C222" s="694">
        <v>1</v>
      </c>
      <c r="D222" s="695" t="s">
        <v>3903</v>
      </c>
      <c r="E222" s="695">
        <v>1</v>
      </c>
      <c r="F222" s="695" t="s">
        <v>3904</v>
      </c>
      <c r="G222" s="695">
        <v>1</v>
      </c>
      <c r="H222" s="695" t="s">
        <v>3904</v>
      </c>
      <c r="I222" s="695">
        <v>218</v>
      </c>
      <c r="J222" s="695" t="s">
        <v>4123</v>
      </c>
      <c r="K222" s="695" t="s">
        <v>3985</v>
      </c>
      <c r="L222" s="696">
        <v>30</v>
      </c>
      <c r="M222" s="170"/>
    </row>
    <row r="223" spans="2:13" x14ac:dyDescent="0.2">
      <c r="B223" s="173"/>
      <c r="C223" s="694">
        <v>1</v>
      </c>
      <c r="D223" s="695" t="s">
        <v>3903</v>
      </c>
      <c r="E223" s="695">
        <v>1</v>
      </c>
      <c r="F223" s="695" t="s">
        <v>3904</v>
      </c>
      <c r="G223" s="695">
        <v>1</v>
      </c>
      <c r="H223" s="695" t="s">
        <v>3904</v>
      </c>
      <c r="I223" s="695">
        <v>219</v>
      </c>
      <c r="J223" s="695" t="s">
        <v>4124</v>
      </c>
      <c r="K223" s="695" t="s">
        <v>8543</v>
      </c>
      <c r="L223" s="696">
        <v>3</v>
      </c>
      <c r="M223" s="170"/>
    </row>
    <row r="224" spans="2:13" x14ac:dyDescent="0.2">
      <c r="B224" s="173"/>
      <c r="C224" s="694">
        <v>1</v>
      </c>
      <c r="D224" s="695" t="s">
        <v>3903</v>
      </c>
      <c r="E224" s="695">
        <v>1</v>
      </c>
      <c r="F224" s="695" t="s">
        <v>3904</v>
      </c>
      <c r="G224" s="695">
        <v>1</v>
      </c>
      <c r="H224" s="695" t="s">
        <v>3904</v>
      </c>
      <c r="I224" s="695">
        <v>220</v>
      </c>
      <c r="J224" s="695" t="s">
        <v>4125</v>
      </c>
      <c r="K224" s="695" t="s">
        <v>3907</v>
      </c>
      <c r="L224" s="696">
        <v>965</v>
      </c>
      <c r="M224" s="170"/>
    </row>
    <row r="225" spans="2:13" x14ac:dyDescent="0.2">
      <c r="B225" s="173"/>
      <c r="C225" s="694">
        <v>1</v>
      </c>
      <c r="D225" s="695" t="s">
        <v>3903</v>
      </c>
      <c r="E225" s="695">
        <v>1</v>
      </c>
      <c r="F225" s="695" t="s">
        <v>3904</v>
      </c>
      <c r="G225" s="695">
        <v>1</v>
      </c>
      <c r="H225" s="695" t="s">
        <v>3904</v>
      </c>
      <c r="I225" s="695">
        <v>221</v>
      </c>
      <c r="J225" s="695" t="s">
        <v>4126</v>
      </c>
      <c r="K225" s="695" t="s">
        <v>8544</v>
      </c>
      <c r="L225" s="696">
        <v>7</v>
      </c>
      <c r="M225" s="170"/>
    </row>
    <row r="226" spans="2:13" x14ac:dyDescent="0.2">
      <c r="B226" s="173"/>
      <c r="C226" s="694">
        <v>1</v>
      </c>
      <c r="D226" s="695" t="s">
        <v>3903</v>
      </c>
      <c r="E226" s="695">
        <v>1</v>
      </c>
      <c r="F226" s="695" t="s">
        <v>3904</v>
      </c>
      <c r="G226" s="695">
        <v>1</v>
      </c>
      <c r="H226" s="695" t="s">
        <v>3904</v>
      </c>
      <c r="I226" s="695">
        <v>222</v>
      </c>
      <c r="J226" s="695" t="s">
        <v>4127</v>
      </c>
      <c r="K226" s="695" t="s">
        <v>8544</v>
      </c>
      <c r="L226" s="696">
        <v>20</v>
      </c>
      <c r="M226" s="170"/>
    </row>
    <row r="227" spans="2:13" x14ac:dyDescent="0.2">
      <c r="B227" s="173"/>
      <c r="C227" s="694">
        <v>1</v>
      </c>
      <c r="D227" s="695" t="s">
        <v>3903</v>
      </c>
      <c r="E227" s="695">
        <v>1</v>
      </c>
      <c r="F227" s="695" t="s">
        <v>3904</v>
      </c>
      <c r="G227" s="695">
        <v>1</v>
      </c>
      <c r="H227" s="695" t="s">
        <v>3904</v>
      </c>
      <c r="I227" s="695">
        <v>223</v>
      </c>
      <c r="J227" s="695" t="s">
        <v>4128</v>
      </c>
      <c r="K227" s="695" t="s">
        <v>8544</v>
      </c>
      <c r="L227" s="696">
        <v>6</v>
      </c>
      <c r="M227" s="170"/>
    </row>
    <row r="228" spans="2:13" x14ac:dyDescent="0.2">
      <c r="B228" s="173"/>
      <c r="C228" s="694">
        <v>1</v>
      </c>
      <c r="D228" s="695" t="s">
        <v>3903</v>
      </c>
      <c r="E228" s="695">
        <v>1</v>
      </c>
      <c r="F228" s="695" t="s">
        <v>3904</v>
      </c>
      <c r="G228" s="695">
        <v>1</v>
      </c>
      <c r="H228" s="695" t="s">
        <v>3904</v>
      </c>
      <c r="I228" s="695">
        <v>224</v>
      </c>
      <c r="J228" s="695" t="s">
        <v>4129</v>
      </c>
      <c r="K228" s="695" t="s">
        <v>8544</v>
      </c>
      <c r="L228" s="696">
        <v>1</v>
      </c>
      <c r="M228" s="170"/>
    </row>
    <row r="229" spans="2:13" x14ac:dyDescent="0.2">
      <c r="B229" s="173"/>
      <c r="C229" s="694">
        <v>1</v>
      </c>
      <c r="D229" s="695" t="s">
        <v>3903</v>
      </c>
      <c r="E229" s="695">
        <v>1</v>
      </c>
      <c r="F229" s="695" t="s">
        <v>3904</v>
      </c>
      <c r="G229" s="695">
        <v>1</v>
      </c>
      <c r="H229" s="695" t="s">
        <v>3904</v>
      </c>
      <c r="I229" s="695">
        <v>226</v>
      </c>
      <c r="J229" s="695" t="s">
        <v>4130</v>
      </c>
      <c r="K229" s="695" t="s">
        <v>8544</v>
      </c>
      <c r="L229" s="696">
        <v>63</v>
      </c>
      <c r="M229" s="170"/>
    </row>
    <row r="230" spans="2:13" x14ac:dyDescent="0.2">
      <c r="B230" s="173"/>
      <c r="C230" s="694">
        <v>1</v>
      </c>
      <c r="D230" s="695" t="s">
        <v>3903</v>
      </c>
      <c r="E230" s="695">
        <v>1</v>
      </c>
      <c r="F230" s="695" t="s">
        <v>3904</v>
      </c>
      <c r="G230" s="695">
        <v>1</v>
      </c>
      <c r="H230" s="695" t="s">
        <v>3904</v>
      </c>
      <c r="I230" s="695">
        <v>227</v>
      </c>
      <c r="J230" s="695" t="s">
        <v>4131</v>
      </c>
      <c r="K230" s="695" t="s">
        <v>8544</v>
      </c>
      <c r="L230" s="696">
        <v>2</v>
      </c>
      <c r="M230" s="170"/>
    </row>
    <row r="231" spans="2:13" x14ac:dyDescent="0.2">
      <c r="B231" s="173"/>
      <c r="C231" s="694">
        <v>1</v>
      </c>
      <c r="D231" s="695" t="s">
        <v>3903</v>
      </c>
      <c r="E231" s="695">
        <v>1</v>
      </c>
      <c r="F231" s="695" t="s">
        <v>3904</v>
      </c>
      <c r="G231" s="695">
        <v>1</v>
      </c>
      <c r="H231" s="695" t="s">
        <v>3904</v>
      </c>
      <c r="I231" s="695">
        <v>228</v>
      </c>
      <c r="J231" s="695" t="s">
        <v>4132</v>
      </c>
      <c r="K231" s="695" t="s">
        <v>8544</v>
      </c>
      <c r="L231" s="696">
        <v>0</v>
      </c>
      <c r="M231" s="170"/>
    </row>
    <row r="232" spans="2:13" x14ac:dyDescent="0.2">
      <c r="B232" s="173"/>
      <c r="C232" s="694">
        <v>1</v>
      </c>
      <c r="D232" s="695" t="s">
        <v>3903</v>
      </c>
      <c r="E232" s="695">
        <v>1</v>
      </c>
      <c r="F232" s="695" t="s">
        <v>3904</v>
      </c>
      <c r="G232" s="695">
        <v>1</v>
      </c>
      <c r="H232" s="695" t="s">
        <v>3904</v>
      </c>
      <c r="I232" s="695">
        <v>229</v>
      </c>
      <c r="J232" s="695" t="s">
        <v>4133</v>
      </c>
      <c r="K232" s="695" t="s">
        <v>8544</v>
      </c>
      <c r="L232" s="696">
        <v>4</v>
      </c>
      <c r="M232" s="170"/>
    </row>
    <row r="233" spans="2:13" x14ac:dyDescent="0.2">
      <c r="B233" s="173"/>
      <c r="C233" s="694">
        <v>1</v>
      </c>
      <c r="D233" s="695" t="s">
        <v>3903</v>
      </c>
      <c r="E233" s="695">
        <v>1</v>
      </c>
      <c r="F233" s="695" t="s">
        <v>3904</v>
      </c>
      <c r="G233" s="695">
        <v>1</v>
      </c>
      <c r="H233" s="695" t="s">
        <v>3904</v>
      </c>
      <c r="I233" s="695">
        <v>230</v>
      </c>
      <c r="J233" s="695" t="s">
        <v>4134</v>
      </c>
      <c r="K233" s="695" t="s">
        <v>8544</v>
      </c>
      <c r="L233" s="696">
        <v>63</v>
      </c>
      <c r="M233" s="170"/>
    </row>
    <row r="234" spans="2:13" x14ac:dyDescent="0.2">
      <c r="B234" s="173"/>
      <c r="C234" s="694">
        <v>1</v>
      </c>
      <c r="D234" s="695" t="s">
        <v>3903</v>
      </c>
      <c r="E234" s="695">
        <v>1</v>
      </c>
      <c r="F234" s="695" t="s">
        <v>3904</v>
      </c>
      <c r="G234" s="695">
        <v>1</v>
      </c>
      <c r="H234" s="695" t="s">
        <v>3904</v>
      </c>
      <c r="I234" s="695">
        <v>231</v>
      </c>
      <c r="J234" s="695" t="s">
        <v>4135</v>
      </c>
      <c r="K234" s="695" t="s">
        <v>8544</v>
      </c>
      <c r="L234" s="696">
        <v>51</v>
      </c>
      <c r="M234" s="170"/>
    </row>
    <row r="235" spans="2:13" x14ac:dyDescent="0.2">
      <c r="B235" s="173"/>
      <c r="C235" s="694">
        <v>1</v>
      </c>
      <c r="D235" s="695" t="s">
        <v>3903</v>
      </c>
      <c r="E235" s="695">
        <v>1</v>
      </c>
      <c r="F235" s="695" t="s">
        <v>3904</v>
      </c>
      <c r="G235" s="695">
        <v>1</v>
      </c>
      <c r="H235" s="695" t="s">
        <v>3904</v>
      </c>
      <c r="I235" s="695">
        <v>232</v>
      </c>
      <c r="J235" s="695" t="s">
        <v>3906</v>
      </c>
      <c r="K235" s="695" t="s">
        <v>8544</v>
      </c>
      <c r="L235" s="696">
        <v>175</v>
      </c>
      <c r="M235" s="170"/>
    </row>
    <row r="236" spans="2:13" x14ac:dyDescent="0.2">
      <c r="B236" s="173"/>
      <c r="C236" s="694">
        <v>1</v>
      </c>
      <c r="D236" s="695" t="s">
        <v>3903</v>
      </c>
      <c r="E236" s="695">
        <v>1</v>
      </c>
      <c r="F236" s="695" t="s">
        <v>3904</v>
      </c>
      <c r="G236" s="695">
        <v>1</v>
      </c>
      <c r="H236" s="695" t="s">
        <v>3904</v>
      </c>
      <c r="I236" s="695">
        <v>233</v>
      </c>
      <c r="J236" s="695" t="s">
        <v>4136</v>
      </c>
      <c r="K236" s="695" t="s">
        <v>8544</v>
      </c>
      <c r="L236" s="696">
        <v>6</v>
      </c>
      <c r="M236" s="170"/>
    </row>
    <row r="237" spans="2:13" x14ac:dyDescent="0.2">
      <c r="B237" s="173"/>
      <c r="C237" s="694">
        <v>1</v>
      </c>
      <c r="D237" s="695" t="s">
        <v>3903</v>
      </c>
      <c r="E237" s="695">
        <v>1</v>
      </c>
      <c r="F237" s="695" t="s">
        <v>3904</v>
      </c>
      <c r="G237" s="695">
        <v>1</v>
      </c>
      <c r="H237" s="695" t="s">
        <v>3904</v>
      </c>
      <c r="I237" s="695">
        <v>234</v>
      </c>
      <c r="J237" s="695" t="s">
        <v>4137</v>
      </c>
      <c r="K237" s="695" t="s">
        <v>8544</v>
      </c>
      <c r="L237" s="696">
        <v>3</v>
      </c>
      <c r="M237" s="170"/>
    </row>
    <row r="238" spans="2:13" x14ac:dyDescent="0.2">
      <c r="B238" s="173"/>
      <c r="C238" s="694">
        <v>1</v>
      </c>
      <c r="D238" s="695" t="s">
        <v>3903</v>
      </c>
      <c r="E238" s="695">
        <v>1</v>
      </c>
      <c r="F238" s="695" t="s">
        <v>3904</v>
      </c>
      <c r="G238" s="695">
        <v>1</v>
      </c>
      <c r="H238" s="695" t="s">
        <v>3904</v>
      </c>
      <c r="I238" s="695">
        <v>235</v>
      </c>
      <c r="J238" s="695" t="s">
        <v>4138</v>
      </c>
      <c r="K238" s="695" t="s">
        <v>8544</v>
      </c>
      <c r="L238" s="696">
        <v>0</v>
      </c>
      <c r="M238" s="170"/>
    </row>
    <row r="239" spans="2:13" x14ac:dyDescent="0.2">
      <c r="B239" s="173"/>
      <c r="C239" s="694">
        <v>1</v>
      </c>
      <c r="D239" s="695" t="s">
        <v>3903</v>
      </c>
      <c r="E239" s="695">
        <v>1</v>
      </c>
      <c r="F239" s="695" t="s">
        <v>3904</v>
      </c>
      <c r="G239" s="695">
        <v>1</v>
      </c>
      <c r="H239" s="695" t="s">
        <v>3904</v>
      </c>
      <c r="I239" s="695">
        <v>236</v>
      </c>
      <c r="J239" s="695" t="s">
        <v>4139</v>
      </c>
      <c r="K239" s="695" t="s">
        <v>8544</v>
      </c>
      <c r="L239" s="696">
        <v>30</v>
      </c>
      <c r="M239" s="170"/>
    </row>
    <row r="240" spans="2:13" x14ac:dyDescent="0.2">
      <c r="B240" s="173"/>
      <c r="C240" s="694">
        <v>1</v>
      </c>
      <c r="D240" s="695" t="s">
        <v>3903</v>
      </c>
      <c r="E240" s="695">
        <v>1</v>
      </c>
      <c r="F240" s="695" t="s">
        <v>3904</v>
      </c>
      <c r="G240" s="695">
        <v>1</v>
      </c>
      <c r="H240" s="695" t="s">
        <v>3904</v>
      </c>
      <c r="I240" s="695">
        <v>237</v>
      </c>
      <c r="J240" s="695" t="s">
        <v>4140</v>
      </c>
      <c r="K240" s="695" t="s">
        <v>8544</v>
      </c>
      <c r="L240" s="696">
        <v>5</v>
      </c>
      <c r="M240" s="170"/>
    </row>
    <row r="241" spans="2:13" x14ac:dyDescent="0.2">
      <c r="B241" s="173"/>
      <c r="C241" s="694">
        <v>1</v>
      </c>
      <c r="D241" s="695" t="s">
        <v>3903</v>
      </c>
      <c r="E241" s="695">
        <v>1</v>
      </c>
      <c r="F241" s="695" t="s">
        <v>3904</v>
      </c>
      <c r="G241" s="695">
        <v>1</v>
      </c>
      <c r="H241" s="695" t="s">
        <v>3904</v>
      </c>
      <c r="I241" s="695">
        <v>238</v>
      </c>
      <c r="J241" s="695" t="s">
        <v>3975</v>
      </c>
      <c r="K241" s="695" t="s">
        <v>8544</v>
      </c>
      <c r="L241" s="696">
        <v>42</v>
      </c>
      <c r="M241" s="170"/>
    </row>
    <row r="242" spans="2:13" x14ac:dyDescent="0.2">
      <c r="B242" s="173"/>
      <c r="C242" s="694">
        <v>1</v>
      </c>
      <c r="D242" s="695" t="s">
        <v>3903</v>
      </c>
      <c r="E242" s="695">
        <v>1</v>
      </c>
      <c r="F242" s="695" t="s">
        <v>3904</v>
      </c>
      <c r="G242" s="695">
        <v>1</v>
      </c>
      <c r="H242" s="695" t="s">
        <v>3904</v>
      </c>
      <c r="I242" s="695">
        <v>239</v>
      </c>
      <c r="J242" s="695" t="s">
        <v>4141</v>
      </c>
      <c r="K242" s="695" t="s">
        <v>8544</v>
      </c>
      <c r="L242" s="696">
        <v>12</v>
      </c>
      <c r="M242" s="170"/>
    </row>
    <row r="243" spans="2:13" x14ac:dyDescent="0.2">
      <c r="B243" s="173"/>
      <c r="C243" s="694">
        <v>1</v>
      </c>
      <c r="D243" s="695" t="s">
        <v>3903</v>
      </c>
      <c r="E243" s="695">
        <v>1</v>
      </c>
      <c r="F243" s="695" t="s">
        <v>3904</v>
      </c>
      <c r="G243" s="695">
        <v>1</v>
      </c>
      <c r="H243" s="695" t="s">
        <v>3904</v>
      </c>
      <c r="I243" s="695">
        <v>240</v>
      </c>
      <c r="J243" s="695" t="s">
        <v>4142</v>
      </c>
      <c r="K243" s="695" t="s">
        <v>8544</v>
      </c>
      <c r="L243" s="696">
        <v>13</v>
      </c>
      <c r="M243" s="170"/>
    </row>
    <row r="244" spans="2:13" x14ac:dyDescent="0.2">
      <c r="B244" s="173"/>
      <c r="C244" s="694">
        <v>1</v>
      </c>
      <c r="D244" s="695" t="s">
        <v>3903</v>
      </c>
      <c r="E244" s="695">
        <v>1</v>
      </c>
      <c r="F244" s="695" t="s">
        <v>3904</v>
      </c>
      <c r="G244" s="695">
        <v>1</v>
      </c>
      <c r="H244" s="695" t="s">
        <v>3904</v>
      </c>
      <c r="I244" s="695">
        <v>241</v>
      </c>
      <c r="J244" s="695" t="s">
        <v>4143</v>
      </c>
      <c r="K244" s="695" t="s">
        <v>8544</v>
      </c>
      <c r="L244" s="696">
        <v>16</v>
      </c>
      <c r="M244" s="170"/>
    </row>
    <row r="245" spans="2:13" x14ac:dyDescent="0.2">
      <c r="B245" s="173"/>
      <c r="C245" s="694">
        <v>1</v>
      </c>
      <c r="D245" s="695" t="s">
        <v>3903</v>
      </c>
      <c r="E245" s="695">
        <v>1</v>
      </c>
      <c r="F245" s="695" t="s">
        <v>3904</v>
      </c>
      <c r="G245" s="695">
        <v>1</v>
      </c>
      <c r="H245" s="695" t="s">
        <v>3904</v>
      </c>
      <c r="I245" s="695">
        <v>242</v>
      </c>
      <c r="J245" s="695" t="s">
        <v>4144</v>
      </c>
      <c r="K245" s="695" t="s">
        <v>8544</v>
      </c>
      <c r="L245" s="696">
        <v>5</v>
      </c>
      <c r="M245" s="170"/>
    </row>
    <row r="246" spans="2:13" x14ac:dyDescent="0.2">
      <c r="B246" s="173"/>
      <c r="C246" s="694">
        <v>1</v>
      </c>
      <c r="D246" s="695" t="s">
        <v>3903</v>
      </c>
      <c r="E246" s="695">
        <v>1</v>
      </c>
      <c r="F246" s="695" t="s">
        <v>3904</v>
      </c>
      <c r="G246" s="695">
        <v>1</v>
      </c>
      <c r="H246" s="695" t="s">
        <v>3904</v>
      </c>
      <c r="I246" s="695">
        <v>243</v>
      </c>
      <c r="J246" s="695" t="s">
        <v>4145</v>
      </c>
      <c r="K246" s="695" t="s">
        <v>8544</v>
      </c>
      <c r="L246" s="696">
        <v>0</v>
      </c>
      <c r="M246" s="170"/>
    </row>
    <row r="247" spans="2:13" x14ac:dyDescent="0.2">
      <c r="B247" s="173"/>
      <c r="C247" s="694">
        <v>1</v>
      </c>
      <c r="D247" s="695" t="s">
        <v>3903</v>
      </c>
      <c r="E247" s="695">
        <v>1</v>
      </c>
      <c r="F247" s="695" t="s">
        <v>3904</v>
      </c>
      <c r="G247" s="695">
        <v>1</v>
      </c>
      <c r="H247" s="695" t="s">
        <v>3904</v>
      </c>
      <c r="I247" s="695">
        <v>244</v>
      </c>
      <c r="J247" s="695" t="s">
        <v>4146</v>
      </c>
      <c r="K247" s="695" t="s">
        <v>8544</v>
      </c>
      <c r="L247" s="696">
        <v>0</v>
      </c>
      <c r="M247" s="170"/>
    </row>
    <row r="248" spans="2:13" x14ac:dyDescent="0.2">
      <c r="B248" s="173"/>
      <c r="C248" s="694">
        <v>1</v>
      </c>
      <c r="D248" s="695" t="s">
        <v>3903</v>
      </c>
      <c r="E248" s="695">
        <v>1</v>
      </c>
      <c r="F248" s="695" t="s">
        <v>3904</v>
      </c>
      <c r="G248" s="695">
        <v>1</v>
      </c>
      <c r="H248" s="695" t="s">
        <v>3904</v>
      </c>
      <c r="I248" s="695">
        <v>245</v>
      </c>
      <c r="J248" s="695" t="s">
        <v>4147</v>
      </c>
      <c r="K248" s="695" t="s">
        <v>8544</v>
      </c>
      <c r="L248" s="696">
        <v>3</v>
      </c>
      <c r="M248" s="170"/>
    </row>
    <row r="249" spans="2:13" x14ac:dyDescent="0.2">
      <c r="B249" s="173"/>
      <c r="C249" s="694">
        <v>1</v>
      </c>
      <c r="D249" s="695" t="s">
        <v>3903</v>
      </c>
      <c r="E249" s="695">
        <v>1</v>
      </c>
      <c r="F249" s="695" t="s">
        <v>3904</v>
      </c>
      <c r="G249" s="695">
        <v>1</v>
      </c>
      <c r="H249" s="695" t="s">
        <v>3904</v>
      </c>
      <c r="I249" s="695">
        <v>246</v>
      </c>
      <c r="J249" s="695" t="s">
        <v>4148</v>
      </c>
      <c r="K249" s="695" t="s">
        <v>8544</v>
      </c>
      <c r="L249" s="696">
        <v>9</v>
      </c>
      <c r="M249" s="170"/>
    </row>
    <row r="250" spans="2:13" x14ac:dyDescent="0.2">
      <c r="B250" s="173"/>
      <c r="C250" s="694">
        <v>1</v>
      </c>
      <c r="D250" s="695" t="s">
        <v>3903</v>
      </c>
      <c r="E250" s="695">
        <v>1</v>
      </c>
      <c r="F250" s="695" t="s">
        <v>3904</v>
      </c>
      <c r="G250" s="695">
        <v>1</v>
      </c>
      <c r="H250" s="695" t="s">
        <v>3904</v>
      </c>
      <c r="I250" s="695">
        <v>247</v>
      </c>
      <c r="J250" s="695" t="s">
        <v>4149</v>
      </c>
      <c r="K250" s="695" t="s">
        <v>8544</v>
      </c>
      <c r="L250" s="696">
        <v>13</v>
      </c>
      <c r="M250" s="170"/>
    </row>
    <row r="251" spans="2:13" x14ac:dyDescent="0.2">
      <c r="B251" s="173"/>
      <c r="C251" s="694">
        <v>1</v>
      </c>
      <c r="D251" s="695" t="s">
        <v>3903</v>
      </c>
      <c r="E251" s="695">
        <v>1</v>
      </c>
      <c r="F251" s="695" t="s">
        <v>3904</v>
      </c>
      <c r="G251" s="695">
        <v>1</v>
      </c>
      <c r="H251" s="695" t="s">
        <v>3904</v>
      </c>
      <c r="I251" s="695">
        <v>248</v>
      </c>
      <c r="J251" s="695" t="s">
        <v>4150</v>
      </c>
      <c r="K251" s="695" t="s">
        <v>8544</v>
      </c>
      <c r="L251" s="696">
        <v>76</v>
      </c>
      <c r="M251" s="170"/>
    </row>
    <row r="252" spans="2:13" x14ac:dyDescent="0.2">
      <c r="B252" s="173"/>
      <c r="C252" s="694">
        <v>1</v>
      </c>
      <c r="D252" s="695" t="s">
        <v>3903</v>
      </c>
      <c r="E252" s="695">
        <v>1</v>
      </c>
      <c r="F252" s="695" t="s">
        <v>3904</v>
      </c>
      <c r="G252" s="695">
        <v>1</v>
      </c>
      <c r="H252" s="695" t="s">
        <v>3904</v>
      </c>
      <c r="I252" s="695">
        <v>249</v>
      </c>
      <c r="J252" s="695" t="s">
        <v>4151</v>
      </c>
      <c r="K252" s="695" t="s">
        <v>8544</v>
      </c>
      <c r="L252" s="696">
        <v>46</v>
      </c>
      <c r="M252" s="170"/>
    </row>
    <row r="253" spans="2:13" x14ac:dyDescent="0.2">
      <c r="B253" s="173"/>
      <c r="C253" s="694">
        <v>1</v>
      </c>
      <c r="D253" s="695" t="s">
        <v>3903</v>
      </c>
      <c r="E253" s="695">
        <v>1</v>
      </c>
      <c r="F253" s="695" t="s">
        <v>3904</v>
      </c>
      <c r="G253" s="695">
        <v>1</v>
      </c>
      <c r="H253" s="695" t="s">
        <v>3904</v>
      </c>
      <c r="I253" s="695">
        <v>250</v>
      </c>
      <c r="J253" s="695" t="s">
        <v>4152</v>
      </c>
      <c r="K253" s="695" t="s">
        <v>8544</v>
      </c>
      <c r="L253" s="696">
        <v>14</v>
      </c>
      <c r="M253" s="170"/>
    </row>
    <row r="254" spans="2:13" x14ac:dyDescent="0.2">
      <c r="B254" s="173"/>
      <c r="C254" s="694">
        <v>1</v>
      </c>
      <c r="D254" s="695" t="s">
        <v>3903</v>
      </c>
      <c r="E254" s="695">
        <v>1</v>
      </c>
      <c r="F254" s="695" t="s">
        <v>3904</v>
      </c>
      <c r="G254" s="695">
        <v>1</v>
      </c>
      <c r="H254" s="695" t="s">
        <v>3904</v>
      </c>
      <c r="I254" s="695">
        <v>251</v>
      </c>
      <c r="J254" s="695" t="s">
        <v>4153</v>
      </c>
      <c r="K254" s="695" t="s">
        <v>8544</v>
      </c>
      <c r="L254" s="696">
        <v>6</v>
      </c>
      <c r="M254" s="170"/>
    </row>
    <row r="255" spans="2:13" x14ac:dyDescent="0.2">
      <c r="B255" s="173"/>
      <c r="C255" s="694">
        <v>1</v>
      </c>
      <c r="D255" s="695" t="s">
        <v>3903</v>
      </c>
      <c r="E255" s="695">
        <v>1</v>
      </c>
      <c r="F255" s="695" t="s">
        <v>3904</v>
      </c>
      <c r="G255" s="695">
        <v>1</v>
      </c>
      <c r="H255" s="695" t="s">
        <v>3904</v>
      </c>
      <c r="I255" s="695">
        <v>252</v>
      </c>
      <c r="J255" s="695" t="s">
        <v>4154</v>
      </c>
      <c r="K255" s="695" t="s">
        <v>8544</v>
      </c>
      <c r="L255" s="696">
        <v>11</v>
      </c>
      <c r="M255" s="170"/>
    </row>
    <row r="256" spans="2:13" x14ac:dyDescent="0.2">
      <c r="B256" s="173"/>
      <c r="C256" s="694">
        <v>1</v>
      </c>
      <c r="D256" s="695" t="s">
        <v>3903</v>
      </c>
      <c r="E256" s="695">
        <v>1</v>
      </c>
      <c r="F256" s="695" t="s">
        <v>3904</v>
      </c>
      <c r="G256" s="695">
        <v>1</v>
      </c>
      <c r="H256" s="695" t="s">
        <v>3904</v>
      </c>
      <c r="I256" s="695">
        <v>253</v>
      </c>
      <c r="J256" s="695" t="s">
        <v>4155</v>
      </c>
      <c r="K256" s="695" t="s">
        <v>8544</v>
      </c>
      <c r="L256" s="696">
        <v>7</v>
      </c>
      <c r="M256" s="170"/>
    </row>
    <row r="257" spans="2:13" x14ac:dyDescent="0.2">
      <c r="B257" s="173"/>
      <c r="C257" s="694">
        <v>1</v>
      </c>
      <c r="D257" s="695" t="s">
        <v>3903</v>
      </c>
      <c r="E257" s="695">
        <v>1</v>
      </c>
      <c r="F257" s="695" t="s">
        <v>3904</v>
      </c>
      <c r="G257" s="695">
        <v>1</v>
      </c>
      <c r="H257" s="695" t="s">
        <v>3904</v>
      </c>
      <c r="I257" s="695">
        <v>254</v>
      </c>
      <c r="J257" s="695" t="s">
        <v>4156</v>
      </c>
      <c r="K257" s="695" t="s">
        <v>8544</v>
      </c>
      <c r="L257" s="696">
        <v>49</v>
      </c>
      <c r="M257" s="170"/>
    </row>
    <row r="258" spans="2:13" x14ac:dyDescent="0.2">
      <c r="B258" s="173"/>
      <c r="C258" s="694">
        <v>1</v>
      </c>
      <c r="D258" s="695" t="s">
        <v>3903</v>
      </c>
      <c r="E258" s="695">
        <v>1</v>
      </c>
      <c r="F258" s="695" t="s">
        <v>3904</v>
      </c>
      <c r="G258" s="695">
        <v>1</v>
      </c>
      <c r="H258" s="695" t="s">
        <v>3904</v>
      </c>
      <c r="I258" s="695">
        <v>255</v>
      </c>
      <c r="J258" s="695" t="s">
        <v>4157</v>
      </c>
      <c r="K258" s="695" t="s">
        <v>8544</v>
      </c>
      <c r="L258" s="696">
        <v>144</v>
      </c>
      <c r="M258" s="170"/>
    </row>
    <row r="259" spans="2:13" x14ac:dyDescent="0.2">
      <c r="B259" s="173"/>
      <c r="C259" s="694">
        <v>1</v>
      </c>
      <c r="D259" s="695" t="s">
        <v>3903</v>
      </c>
      <c r="E259" s="695">
        <v>1</v>
      </c>
      <c r="F259" s="695" t="s">
        <v>3904</v>
      </c>
      <c r="G259" s="695">
        <v>1</v>
      </c>
      <c r="H259" s="695" t="s">
        <v>3904</v>
      </c>
      <c r="I259" s="695">
        <v>256</v>
      </c>
      <c r="J259" s="695" t="s">
        <v>4158</v>
      </c>
      <c r="K259" s="695" t="s">
        <v>8544</v>
      </c>
      <c r="L259" s="696">
        <v>8</v>
      </c>
      <c r="M259" s="170"/>
    </row>
    <row r="260" spans="2:13" x14ac:dyDescent="0.2">
      <c r="B260" s="173"/>
      <c r="C260" s="694">
        <v>1</v>
      </c>
      <c r="D260" s="695" t="s">
        <v>3903</v>
      </c>
      <c r="E260" s="695">
        <v>1</v>
      </c>
      <c r="F260" s="695" t="s">
        <v>3904</v>
      </c>
      <c r="G260" s="695">
        <v>1</v>
      </c>
      <c r="H260" s="695" t="s">
        <v>3904</v>
      </c>
      <c r="I260" s="695">
        <v>257</v>
      </c>
      <c r="J260" s="695" t="s">
        <v>4159</v>
      </c>
      <c r="K260" s="695" t="s">
        <v>8544</v>
      </c>
      <c r="L260" s="696">
        <v>51</v>
      </c>
      <c r="M260" s="170"/>
    </row>
    <row r="261" spans="2:13" x14ac:dyDescent="0.2">
      <c r="B261" s="173"/>
      <c r="C261" s="694">
        <v>1</v>
      </c>
      <c r="D261" s="695" t="s">
        <v>3903</v>
      </c>
      <c r="E261" s="695">
        <v>1</v>
      </c>
      <c r="F261" s="695" t="s">
        <v>3904</v>
      </c>
      <c r="G261" s="695">
        <v>1</v>
      </c>
      <c r="H261" s="695" t="s">
        <v>3904</v>
      </c>
      <c r="I261" s="695">
        <v>258</v>
      </c>
      <c r="J261" s="695" t="s">
        <v>4109</v>
      </c>
      <c r="K261" s="695" t="s">
        <v>8544</v>
      </c>
      <c r="L261" s="696">
        <v>34</v>
      </c>
      <c r="M261" s="170"/>
    </row>
    <row r="262" spans="2:13" x14ac:dyDescent="0.2">
      <c r="B262" s="173"/>
      <c r="C262" s="694">
        <v>1</v>
      </c>
      <c r="D262" s="695" t="s">
        <v>3903</v>
      </c>
      <c r="E262" s="695">
        <v>1</v>
      </c>
      <c r="F262" s="695" t="s">
        <v>3904</v>
      </c>
      <c r="G262" s="695">
        <v>1</v>
      </c>
      <c r="H262" s="695" t="s">
        <v>3904</v>
      </c>
      <c r="I262" s="695">
        <v>259</v>
      </c>
      <c r="J262" s="695" t="s">
        <v>4160</v>
      </c>
      <c r="K262" s="695" t="s">
        <v>8544</v>
      </c>
      <c r="L262" s="696">
        <v>2</v>
      </c>
      <c r="M262" s="170"/>
    </row>
    <row r="263" spans="2:13" x14ac:dyDescent="0.2">
      <c r="B263" s="173"/>
      <c r="C263" s="694">
        <v>1</v>
      </c>
      <c r="D263" s="695" t="s">
        <v>3903</v>
      </c>
      <c r="E263" s="695">
        <v>1</v>
      </c>
      <c r="F263" s="695" t="s">
        <v>3904</v>
      </c>
      <c r="G263" s="695">
        <v>1</v>
      </c>
      <c r="H263" s="695" t="s">
        <v>3904</v>
      </c>
      <c r="I263" s="695">
        <v>260</v>
      </c>
      <c r="J263" s="695" t="s">
        <v>4161</v>
      </c>
      <c r="K263" s="695" t="s">
        <v>8544</v>
      </c>
      <c r="L263" s="696">
        <v>10</v>
      </c>
      <c r="M263" s="170"/>
    </row>
    <row r="264" spans="2:13" x14ac:dyDescent="0.2">
      <c r="B264" s="173"/>
      <c r="C264" s="694">
        <v>1</v>
      </c>
      <c r="D264" s="695" t="s">
        <v>3903</v>
      </c>
      <c r="E264" s="695">
        <v>1</v>
      </c>
      <c r="F264" s="695" t="s">
        <v>3904</v>
      </c>
      <c r="G264" s="695">
        <v>1</v>
      </c>
      <c r="H264" s="695" t="s">
        <v>3904</v>
      </c>
      <c r="I264" s="695">
        <v>261</v>
      </c>
      <c r="J264" s="695" t="s">
        <v>4162</v>
      </c>
      <c r="K264" s="695" t="s">
        <v>8544</v>
      </c>
      <c r="L264" s="696">
        <v>18</v>
      </c>
      <c r="M264" s="170"/>
    </row>
    <row r="265" spans="2:13" x14ac:dyDescent="0.2">
      <c r="B265" s="173"/>
      <c r="C265" s="694">
        <v>1</v>
      </c>
      <c r="D265" s="695" t="s">
        <v>3903</v>
      </c>
      <c r="E265" s="695">
        <v>1</v>
      </c>
      <c r="F265" s="695" t="s">
        <v>3904</v>
      </c>
      <c r="G265" s="695">
        <v>1</v>
      </c>
      <c r="H265" s="695" t="s">
        <v>3904</v>
      </c>
      <c r="I265" s="695">
        <v>262</v>
      </c>
      <c r="J265" s="695" t="s">
        <v>4163</v>
      </c>
      <c r="K265" s="695" t="s">
        <v>8544</v>
      </c>
      <c r="L265" s="696">
        <v>47</v>
      </c>
      <c r="M265" s="170"/>
    </row>
    <row r="266" spans="2:13" x14ac:dyDescent="0.2">
      <c r="B266" s="173"/>
      <c r="C266" s="694">
        <v>1</v>
      </c>
      <c r="D266" s="695" t="s">
        <v>3903</v>
      </c>
      <c r="E266" s="695">
        <v>1</v>
      </c>
      <c r="F266" s="695" t="s">
        <v>3904</v>
      </c>
      <c r="G266" s="695">
        <v>1</v>
      </c>
      <c r="H266" s="695" t="s">
        <v>3904</v>
      </c>
      <c r="I266" s="695">
        <v>263</v>
      </c>
      <c r="J266" s="695" t="s">
        <v>4164</v>
      </c>
      <c r="K266" s="695" t="s">
        <v>8544</v>
      </c>
      <c r="L266" s="696">
        <v>8</v>
      </c>
      <c r="M266" s="170"/>
    </row>
    <row r="267" spans="2:13" x14ac:dyDescent="0.2">
      <c r="B267" s="173"/>
      <c r="C267" s="694">
        <v>1</v>
      </c>
      <c r="D267" s="695" t="s">
        <v>3903</v>
      </c>
      <c r="E267" s="695">
        <v>1</v>
      </c>
      <c r="F267" s="695" t="s">
        <v>3904</v>
      </c>
      <c r="G267" s="695">
        <v>1</v>
      </c>
      <c r="H267" s="695" t="s">
        <v>3904</v>
      </c>
      <c r="I267" s="695">
        <v>264</v>
      </c>
      <c r="J267" s="695" t="s">
        <v>4165</v>
      </c>
      <c r="K267" s="695" t="s">
        <v>8544</v>
      </c>
      <c r="L267" s="696">
        <v>13</v>
      </c>
      <c r="M267" s="170"/>
    </row>
    <row r="268" spans="2:13" x14ac:dyDescent="0.2">
      <c r="B268" s="173"/>
      <c r="C268" s="694">
        <v>1</v>
      </c>
      <c r="D268" s="695" t="s">
        <v>3903</v>
      </c>
      <c r="E268" s="695">
        <v>1</v>
      </c>
      <c r="F268" s="695" t="s">
        <v>3904</v>
      </c>
      <c r="G268" s="695">
        <v>1</v>
      </c>
      <c r="H268" s="695" t="s">
        <v>3904</v>
      </c>
      <c r="I268" s="695">
        <v>265</v>
      </c>
      <c r="J268" s="695" t="s">
        <v>4166</v>
      </c>
      <c r="K268" s="695" t="s">
        <v>8544</v>
      </c>
      <c r="L268" s="696">
        <v>15</v>
      </c>
      <c r="M268" s="170"/>
    </row>
    <row r="269" spans="2:13" x14ac:dyDescent="0.2">
      <c r="B269" s="173"/>
      <c r="C269" s="694">
        <v>1</v>
      </c>
      <c r="D269" s="695" t="s">
        <v>3903</v>
      </c>
      <c r="E269" s="695">
        <v>1</v>
      </c>
      <c r="F269" s="695" t="s">
        <v>3904</v>
      </c>
      <c r="G269" s="695">
        <v>1</v>
      </c>
      <c r="H269" s="695" t="s">
        <v>3904</v>
      </c>
      <c r="I269" s="695">
        <v>266</v>
      </c>
      <c r="J269" s="695" t="s">
        <v>4167</v>
      </c>
      <c r="K269" s="695" t="s">
        <v>8544</v>
      </c>
      <c r="L269" s="696">
        <v>1</v>
      </c>
      <c r="M269" s="170"/>
    </row>
    <row r="270" spans="2:13" x14ac:dyDescent="0.2">
      <c r="B270" s="173"/>
      <c r="C270" s="694">
        <v>1</v>
      </c>
      <c r="D270" s="695" t="s">
        <v>3903</v>
      </c>
      <c r="E270" s="695">
        <v>1</v>
      </c>
      <c r="F270" s="695" t="s">
        <v>3904</v>
      </c>
      <c r="G270" s="695">
        <v>1</v>
      </c>
      <c r="H270" s="695" t="s">
        <v>3904</v>
      </c>
      <c r="I270" s="695">
        <v>267</v>
      </c>
      <c r="J270" s="695" t="s">
        <v>4168</v>
      </c>
      <c r="K270" s="695" t="s">
        <v>8544</v>
      </c>
      <c r="L270" s="696">
        <v>1</v>
      </c>
      <c r="M270" s="170"/>
    </row>
    <row r="271" spans="2:13" x14ac:dyDescent="0.2">
      <c r="B271" s="173"/>
      <c r="C271" s="694">
        <v>1</v>
      </c>
      <c r="D271" s="695" t="s">
        <v>3903</v>
      </c>
      <c r="E271" s="695">
        <v>1</v>
      </c>
      <c r="F271" s="695" t="s">
        <v>3904</v>
      </c>
      <c r="G271" s="695">
        <v>1</v>
      </c>
      <c r="H271" s="695" t="s">
        <v>3904</v>
      </c>
      <c r="I271" s="695">
        <v>268</v>
      </c>
      <c r="J271" s="695" t="s">
        <v>4169</v>
      </c>
      <c r="K271" s="695" t="s">
        <v>8544</v>
      </c>
      <c r="L271" s="696">
        <v>10</v>
      </c>
      <c r="M271" s="170"/>
    </row>
    <row r="272" spans="2:13" x14ac:dyDescent="0.2">
      <c r="B272" s="173"/>
      <c r="C272" s="694">
        <v>1</v>
      </c>
      <c r="D272" s="695" t="s">
        <v>3903</v>
      </c>
      <c r="E272" s="695">
        <v>1</v>
      </c>
      <c r="F272" s="695" t="s">
        <v>3904</v>
      </c>
      <c r="G272" s="695">
        <v>1</v>
      </c>
      <c r="H272" s="695" t="s">
        <v>3904</v>
      </c>
      <c r="I272" s="695">
        <v>269</v>
      </c>
      <c r="J272" s="695" t="s">
        <v>4170</v>
      </c>
      <c r="K272" s="695" t="s">
        <v>8544</v>
      </c>
      <c r="L272" s="696">
        <v>5</v>
      </c>
      <c r="M272" s="170"/>
    </row>
    <row r="273" spans="2:13" x14ac:dyDescent="0.2">
      <c r="B273" s="173"/>
      <c r="C273" s="694">
        <v>1</v>
      </c>
      <c r="D273" s="695" t="s">
        <v>3903</v>
      </c>
      <c r="E273" s="695">
        <v>1</v>
      </c>
      <c r="F273" s="695" t="s">
        <v>3904</v>
      </c>
      <c r="G273" s="695">
        <v>1</v>
      </c>
      <c r="H273" s="695" t="s">
        <v>3904</v>
      </c>
      <c r="I273" s="695">
        <v>270</v>
      </c>
      <c r="J273" s="695" t="s">
        <v>4171</v>
      </c>
      <c r="K273" s="695" t="s">
        <v>8543</v>
      </c>
      <c r="L273" s="696">
        <v>11</v>
      </c>
      <c r="M273" s="170"/>
    </row>
    <row r="274" spans="2:13" x14ac:dyDescent="0.2">
      <c r="B274" s="173"/>
      <c r="C274" s="694">
        <v>1</v>
      </c>
      <c r="D274" s="695" t="s">
        <v>3903</v>
      </c>
      <c r="E274" s="695">
        <v>1</v>
      </c>
      <c r="F274" s="695" t="s">
        <v>3904</v>
      </c>
      <c r="G274" s="695">
        <v>1</v>
      </c>
      <c r="H274" s="695" t="s">
        <v>3904</v>
      </c>
      <c r="I274" s="695">
        <v>271</v>
      </c>
      <c r="J274" s="695" t="s">
        <v>4172</v>
      </c>
      <c r="K274" s="695" t="s">
        <v>8543</v>
      </c>
      <c r="L274" s="696">
        <v>121</v>
      </c>
      <c r="M274" s="170"/>
    </row>
    <row r="275" spans="2:13" x14ac:dyDescent="0.2">
      <c r="B275" s="173"/>
      <c r="C275" s="694">
        <v>1</v>
      </c>
      <c r="D275" s="695" t="s">
        <v>3903</v>
      </c>
      <c r="E275" s="695">
        <v>1</v>
      </c>
      <c r="F275" s="695" t="s">
        <v>3904</v>
      </c>
      <c r="G275" s="695">
        <v>1</v>
      </c>
      <c r="H275" s="695" t="s">
        <v>3904</v>
      </c>
      <c r="I275" s="695">
        <v>272</v>
      </c>
      <c r="J275" s="695" t="s">
        <v>4173</v>
      </c>
      <c r="K275" s="695" t="s">
        <v>8544</v>
      </c>
      <c r="L275" s="696">
        <v>13</v>
      </c>
      <c r="M275" s="170"/>
    </row>
    <row r="276" spans="2:13" x14ac:dyDescent="0.2">
      <c r="B276" s="173"/>
      <c r="C276" s="694">
        <v>1</v>
      </c>
      <c r="D276" s="695" t="s">
        <v>3903</v>
      </c>
      <c r="E276" s="695">
        <v>1</v>
      </c>
      <c r="F276" s="695" t="s">
        <v>3904</v>
      </c>
      <c r="G276" s="695">
        <v>1</v>
      </c>
      <c r="H276" s="695" t="s">
        <v>3904</v>
      </c>
      <c r="I276" s="695">
        <v>273</v>
      </c>
      <c r="J276" s="695" t="s">
        <v>4174</v>
      </c>
      <c r="K276" s="695" t="s">
        <v>8544</v>
      </c>
      <c r="L276" s="696">
        <v>10</v>
      </c>
      <c r="M276" s="170"/>
    </row>
    <row r="277" spans="2:13" x14ac:dyDescent="0.2">
      <c r="B277" s="173"/>
      <c r="C277" s="694">
        <v>1</v>
      </c>
      <c r="D277" s="695" t="s">
        <v>3903</v>
      </c>
      <c r="E277" s="695">
        <v>1</v>
      </c>
      <c r="F277" s="695" t="s">
        <v>3904</v>
      </c>
      <c r="G277" s="695">
        <v>1</v>
      </c>
      <c r="H277" s="695" t="s">
        <v>3904</v>
      </c>
      <c r="I277" s="695">
        <v>274</v>
      </c>
      <c r="J277" s="695" t="s">
        <v>4175</v>
      </c>
      <c r="K277" s="695" t="s">
        <v>8544</v>
      </c>
      <c r="L277" s="696">
        <v>20</v>
      </c>
      <c r="M277" s="170"/>
    </row>
    <row r="278" spans="2:13" x14ac:dyDescent="0.2">
      <c r="B278" s="173"/>
      <c r="C278" s="694">
        <v>1</v>
      </c>
      <c r="D278" s="695" t="s">
        <v>3903</v>
      </c>
      <c r="E278" s="695">
        <v>1</v>
      </c>
      <c r="F278" s="695" t="s">
        <v>3904</v>
      </c>
      <c r="G278" s="695">
        <v>1</v>
      </c>
      <c r="H278" s="695" t="s">
        <v>3904</v>
      </c>
      <c r="I278" s="695">
        <v>275</v>
      </c>
      <c r="J278" s="695" t="s">
        <v>4176</v>
      </c>
      <c r="K278" s="695" t="s">
        <v>4009</v>
      </c>
      <c r="L278" s="696">
        <v>21</v>
      </c>
      <c r="M278" s="170"/>
    </row>
    <row r="279" spans="2:13" x14ac:dyDescent="0.2">
      <c r="B279" s="173"/>
      <c r="C279" s="694">
        <v>1</v>
      </c>
      <c r="D279" s="695" t="s">
        <v>3903</v>
      </c>
      <c r="E279" s="695">
        <v>1</v>
      </c>
      <c r="F279" s="695" t="s">
        <v>3904</v>
      </c>
      <c r="G279" s="695">
        <v>1</v>
      </c>
      <c r="H279" s="695" t="s">
        <v>3904</v>
      </c>
      <c r="I279" s="695">
        <v>276</v>
      </c>
      <c r="J279" s="695" t="s">
        <v>4177</v>
      </c>
      <c r="K279" s="695" t="s">
        <v>8544</v>
      </c>
      <c r="L279" s="696">
        <v>6</v>
      </c>
      <c r="M279" s="170"/>
    </row>
    <row r="280" spans="2:13" x14ac:dyDescent="0.2">
      <c r="B280" s="173"/>
      <c r="C280" s="694">
        <v>1</v>
      </c>
      <c r="D280" s="695" t="s">
        <v>3903</v>
      </c>
      <c r="E280" s="695">
        <v>1</v>
      </c>
      <c r="F280" s="695" t="s">
        <v>3904</v>
      </c>
      <c r="G280" s="695">
        <v>1</v>
      </c>
      <c r="H280" s="695" t="s">
        <v>3904</v>
      </c>
      <c r="I280" s="695">
        <v>277</v>
      </c>
      <c r="J280" s="695" t="s">
        <v>4178</v>
      </c>
      <c r="K280" s="695" t="s">
        <v>8544</v>
      </c>
      <c r="L280" s="696">
        <v>3611</v>
      </c>
      <c r="M280" s="170"/>
    </row>
    <row r="281" spans="2:13" x14ac:dyDescent="0.2">
      <c r="B281" s="173"/>
      <c r="C281" s="694">
        <v>1</v>
      </c>
      <c r="D281" s="695" t="s">
        <v>3903</v>
      </c>
      <c r="E281" s="695">
        <v>1</v>
      </c>
      <c r="F281" s="695" t="s">
        <v>3904</v>
      </c>
      <c r="G281" s="695">
        <v>1</v>
      </c>
      <c r="H281" s="695" t="s">
        <v>3904</v>
      </c>
      <c r="I281" s="695">
        <v>278</v>
      </c>
      <c r="J281" s="695" t="s">
        <v>4179</v>
      </c>
      <c r="K281" s="695" t="s">
        <v>8544</v>
      </c>
      <c r="L281" s="696">
        <v>2</v>
      </c>
      <c r="M281" s="170"/>
    </row>
    <row r="282" spans="2:13" x14ac:dyDescent="0.2">
      <c r="B282" s="173"/>
      <c r="C282" s="694">
        <v>1</v>
      </c>
      <c r="D282" s="695" t="s">
        <v>3903</v>
      </c>
      <c r="E282" s="695">
        <v>1</v>
      </c>
      <c r="F282" s="695" t="s">
        <v>3904</v>
      </c>
      <c r="G282" s="695">
        <v>1</v>
      </c>
      <c r="H282" s="695" t="s">
        <v>3904</v>
      </c>
      <c r="I282" s="695">
        <v>279</v>
      </c>
      <c r="J282" s="695" t="s">
        <v>4157</v>
      </c>
      <c r="K282" s="695" t="s">
        <v>3907</v>
      </c>
      <c r="L282" s="696">
        <v>94</v>
      </c>
      <c r="M282" s="170"/>
    </row>
    <row r="283" spans="2:13" x14ac:dyDescent="0.2">
      <c r="B283" s="173"/>
      <c r="C283" s="694">
        <v>1</v>
      </c>
      <c r="D283" s="695" t="s">
        <v>3903</v>
      </c>
      <c r="E283" s="695">
        <v>1</v>
      </c>
      <c r="F283" s="695" t="s">
        <v>3904</v>
      </c>
      <c r="G283" s="695">
        <v>1</v>
      </c>
      <c r="H283" s="695" t="s">
        <v>3904</v>
      </c>
      <c r="I283" s="695">
        <v>280</v>
      </c>
      <c r="J283" s="695" t="s">
        <v>4180</v>
      </c>
      <c r="K283" s="695" t="s">
        <v>8544</v>
      </c>
      <c r="L283" s="696">
        <v>30</v>
      </c>
      <c r="M283" s="170"/>
    </row>
    <row r="284" spans="2:13" x14ac:dyDescent="0.2">
      <c r="B284" s="173"/>
      <c r="C284" s="694">
        <v>1</v>
      </c>
      <c r="D284" s="695" t="s">
        <v>3903</v>
      </c>
      <c r="E284" s="695">
        <v>1</v>
      </c>
      <c r="F284" s="695" t="s">
        <v>3904</v>
      </c>
      <c r="G284" s="695">
        <v>1</v>
      </c>
      <c r="H284" s="695" t="s">
        <v>3904</v>
      </c>
      <c r="I284" s="695">
        <v>281</v>
      </c>
      <c r="J284" s="695" t="s">
        <v>4181</v>
      </c>
      <c r="K284" s="695" t="s">
        <v>8544</v>
      </c>
      <c r="L284" s="696">
        <v>5</v>
      </c>
      <c r="M284" s="170"/>
    </row>
    <row r="285" spans="2:13" x14ac:dyDescent="0.2">
      <c r="B285" s="173"/>
      <c r="C285" s="694">
        <v>1</v>
      </c>
      <c r="D285" s="695" t="s">
        <v>3903</v>
      </c>
      <c r="E285" s="695">
        <v>1</v>
      </c>
      <c r="F285" s="695" t="s">
        <v>3904</v>
      </c>
      <c r="G285" s="695">
        <v>1</v>
      </c>
      <c r="H285" s="695" t="s">
        <v>3904</v>
      </c>
      <c r="I285" s="695">
        <v>282</v>
      </c>
      <c r="J285" s="695" t="s">
        <v>4182</v>
      </c>
      <c r="K285" s="695" t="s">
        <v>8544</v>
      </c>
      <c r="L285" s="696">
        <v>4</v>
      </c>
      <c r="M285" s="170"/>
    </row>
    <row r="286" spans="2:13" x14ac:dyDescent="0.2">
      <c r="B286" s="173"/>
      <c r="C286" s="694">
        <v>1</v>
      </c>
      <c r="D286" s="695" t="s">
        <v>3903</v>
      </c>
      <c r="E286" s="695">
        <v>1</v>
      </c>
      <c r="F286" s="695" t="s">
        <v>3904</v>
      </c>
      <c r="G286" s="695">
        <v>1</v>
      </c>
      <c r="H286" s="695" t="s">
        <v>3904</v>
      </c>
      <c r="I286" s="695">
        <v>283</v>
      </c>
      <c r="J286" s="695" t="s">
        <v>4183</v>
      </c>
      <c r="K286" s="695" t="s">
        <v>8544</v>
      </c>
      <c r="L286" s="696">
        <v>78</v>
      </c>
      <c r="M286" s="170"/>
    </row>
    <row r="287" spans="2:13" x14ac:dyDescent="0.2">
      <c r="B287" s="173"/>
      <c r="C287" s="694">
        <v>1</v>
      </c>
      <c r="D287" s="695" t="s">
        <v>3903</v>
      </c>
      <c r="E287" s="695">
        <v>1</v>
      </c>
      <c r="F287" s="695" t="s">
        <v>3904</v>
      </c>
      <c r="G287" s="695">
        <v>1</v>
      </c>
      <c r="H287" s="695" t="s">
        <v>3904</v>
      </c>
      <c r="I287" s="695">
        <v>284</v>
      </c>
      <c r="J287" s="695" t="s">
        <v>4184</v>
      </c>
      <c r="K287" s="695" t="s">
        <v>8544</v>
      </c>
      <c r="L287" s="696">
        <v>6</v>
      </c>
      <c r="M287" s="170"/>
    </row>
    <row r="288" spans="2:13" x14ac:dyDescent="0.2">
      <c r="B288" s="173"/>
      <c r="C288" s="694">
        <v>1</v>
      </c>
      <c r="D288" s="695" t="s">
        <v>3903</v>
      </c>
      <c r="E288" s="695">
        <v>1</v>
      </c>
      <c r="F288" s="695" t="s">
        <v>3904</v>
      </c>
      <c r="G288" s="695">
        <v>1</v>
      </c>
      <c r="H288" s="695" t="s">
        <v>3904</v>
      </c>
      <c r="I288" s="695">
        <v>285</v>
      </c>
      <c r="J288" s="695" t="s">
        <v>4185</v>
      </c>
      <c r="K288" s="695" t="s">
        <v>8544</v>
      </c>
      <c r="L288" s="696">
        <v>1</v>
      </c>
      <c r="M288" s="170"/>
    </row>
    <row r="289" spans="2:13" x14ac:dyDescent="0.2">
      <c r="B289" s="173"/>
      <c r="C289" s="694">
        <v>1</v>
      </c>
      <c r="D289" s="695" t="s">
        <v>3903</v>
      </c>
      <c r="E289" s="695">
        <v>1</v>
      </c>
      <c r="F289" s="695" t="s">
        <v>3904</v>
      </c>
      <c r="G289" s="695">
        <v>1</v>
      </c>
      <c r="H289" s="695" t="s">
        <v>3904</v>
      </c>
      <c r="I289" s="695">
        <v>287</v>
      </c>
      <c r="J289" s="695" t="s">
        <v>4186</v>
      </c>
      <c r="K289" s="695" t="s">
        <v>4085</v>
      </c>
      <c r="L289" s="696">
        <v>4</v>
      </c>
      <c r="M289" s="170"/>
    </row>
    <row r="290" spans="2:13" x14ac:dyDescent="0.2">
      <c r="B290" s="173"/>
      <c r="C290" s="694">
        <v>1</v>
      </c>
      <c r="D290" s="695" t="s">
        <v>3903</v>
      </c>
      <c r="E290" s="695">
        <v>1</v>
      </c>
      <c r="F290" s="695" t="s">
        <v>3904</v>
      </c>
      <c r="G290" s="695">
        <v>1</v>
      </c>
      <c r="H290" s="695" t="s">
        <v>3904</v>
      </c>
      <c r="I290" s="695">
        <v>288</v>
      </c>
      <c r="J290" s="695" t="s">
        <v>4187</v>
      </c>
      <c r="K290" s="695" t="s">
        <v>8544</v>
      </c>
      <c r="L290" s="696">
        <v>11</v>
      </c>
      <c r="M290" s="170"/>
    </row>
    <row r="291" spans="2:13" x14ac:dyDescent="0.2">
      <c r="B291" s="173"/>
      <c r="C291" s="694">
        <v>1</v>
      </c>
      <c r="D291" s="695" t="s">
        <v>3903</v>
      </c>
      <c r="E291" s="695">
        <v>1</v>
      </c>
      <c r="F291" s="695" t="s">
        <v>3904</v>
      </c>
      <c r="G291" s="695">
        <v>1</v>
      </c>
      <c r="H291" s="695" t="s">
        <v>3904</v>
      </c>
      <c r="I291" s="695">
        <v>289</v>
      </c>
      <c r="J291" s="695" t="s">
        <v>4188</v>
      </c>
      <c r="K291" s="695" t="s">
        <v>8544</v>
      </c>
      <c r="L291" s="696">
        <v>9</v>
      </c>
      <c r="M291" s="170"/>
    </row>
    <row r="292" spans="2:13" x14ac:dyDescent="0.2">
      <c r="B292" s="173"/>
      <c r="C292" s="694">
        <v>1</v>
      </c>
      <c r="D292" s="695" t="s">
        <v>3903</v>
      </c>
      <c r="E292" s="695">
        <v>1</v>
      </c>
      <c r="F292" s="695" t="s">
        <v>3904</v>
      </c>
      <c r="G292" s="695">
        <v>1</v>
      </c>
      <c r="H292" s="695" t="s">
        <v>3904</v>
      </c>
      <c r="I292" s="695">
        <v>290</v>
      </c>
      <c r="J292" s="695" t="s">
        <v>4189</v>
      </c>
      <c r="K292" s="695" t="s">
        <v>8544</v>
      </c>
      <c r="L292" s="696">
        <v>3</v>
      </c>
      <c r="M292" s="170"/>
    </row>
    <row r="293" spans="2:13" x14ac:dyDescent="0.2">
      <c r="B293" s="173"/>
      <c r="C293" s="694">
        <v>1</v>
      </c>
      <c r="D293" s="695" t="s">
        <v>3903</v>
      </c>
      <c r="E293" s="695">
        <v>1</v>
      </c>
      <c r="F293" s="695" t="s">
        <v>3904</v>
      </c>
      <c r="G293" s="695">
        <v>1</v>
      </c>
      <c r="H293" s="695" t="s">
        <v>3904</v>
      </c>
      <c r="I293" s="695">
        <v>291</v>
      </c>
      <c r="J293" s="695" t="s">
        <v>4190</v>
      </c>
      <c r="K293" s="695" t="s">
        <v>8544</v>
      </c>
      <c r="L293" s="696">
        <v>17</v>
      </c>
      <c r="M293" s="170"/>
    </row>
    <row r="294" spans="2:13" x14ac:dyDescent="0.2">
      <c r="B294" s="173"/>
      <c r="C294" s="694">
        <v>1</v>
      </c>
      <c r="D294" s="695" t="s">
        <v>3903</v>
      </c>
      <c r="E294" s="695">
        <v>1</v>
      </c>
      <c r="F294" s="695" t="s">
        <v>3904</v>
      </c>
      <c r="G294" s="695">
        <v>1</v>
      </c>
      <c r="H294" s="695" t="s">
        <v>3904</v>
      </c>
      <c r="I294" s="695">
        <v>292</v>
      </c>
      <c r="J294" s="695" t="s">
        <v>4191</v>
      </c>
      <c r="K294" s="695" t="s">
        <v>8544</v>
      </c>
      <c r="L294" s="696">
        <v>3</v>
      </c>
      <c r="M294" s="170"/>
    </row>
    <row r="295" spans="2:13" x14ac:dyDescent="0.2">
      <c r="B295" s="173"/>
      <c r="C295" s="694">
        <v>1</v>
      </c>
      <c r="D295" s="695" t="s">
        <v>3903</v>
      </c>
      <c r="E295" s="695">
        <v>1</v>
      </c>
      <c r="F295" s="695" t="s">
        <v>3904</v>
      </c>
      <c r="G295" s="695">
        <v>1</v>
      </c>
      <c r="H295" s="695" t="s">
        <v>3904</v>
      </c>
      <c r="I295" s="695">
        <v>293</v>
      </c>
      <c r="J295" s="695" t="s">
        <v>4192</v>
      </c>
      <c r="K295" s="695" t="s">
        <v>8544</v>
      </c>
      <c r="L295" s="696">
        <v>10</v>
      </c>
      <c r="M295" s="170"/>
    </row>
    <row r="296" spans="2:13" x14ac:dyDescent="0.2">
      <c r="B296" s="173"/>
      <c r="C296" s="694">
        <v>1</v>
      </c>
      <c r="D296" s="695" t="s">
        <v>3903</v>
      </c>
      <c r="E296" s="695">
        <v>1</v>
      </c>
      <c r="F296" s="695" t="s">
        <v>3904</v>
      </c>
      <c r="G296" s="695">
        <v>1</v>
      </c>
      <c r="H296" s="695" t="s">
        <v>3904</v>
      </c>
      <c r="I296" s="695">
        <v>294</v>
      </c>
      <c r="J296" s="695" t="s">
        <v>4193</v>
      </c>
      <c r="K296" s="695" t="s">
        <v>8544</v>
      </c>
      <c r="L296" s="696">
        <v>22</v>
      </c>
      <c r="M296" s="170"/>
    </row>
    <row r="297" spans="2:13" x14ac:dyDescent="0.2">
      <c r="B297" s="173"/>
      <c r="C297" s="694">
        <v>1</v>
      </c>
      <c r="D297" s="695" t="s">
        <v>3903</v>
      </c>
      <c r="E297" s="695">
        <v>1</v>
      </c>
      <c r="F297" s="695" t="s">
        <v>3904</v>
      </c>
      <c r="G297" s="695">
        <v>1</v>
      </c>
      <c r="H297" s="695" t="s">
        <v>3904</v>
      </c>
      <c r="I297" s="695">
        <v>295</v>
      </c>
      <c r="J297" s="695" t="s">
        <v>4194</v>
      </c>
      <c r="K297" s="695" t="s">
        <v>8544</v>
      </c>
      <c r="L297" s="696">
        <v>1</v>
      </c>
      <c r="M297" s="170"/>
    </row>
    <row r="298" spans="2:13" x14ac:dyDescent="0.2">
      <c r="B298" s="173"/>
      <c r="C298" s="694">
        <v>1</v>
      </c>
      <c r="D298" s="695" t="s">
        <v>3903</v>
      </c>
      <c r="E298" s="695">
        <v>1</v>
      </c>
      <c r="F298" s="695" t="s">
        <v>3904</v>
      </c>
      <c r="G298" s="695">
        <v>1</v>
      </c>
      <c r="H298" s="695" t="s">
        <v>3904</v>
      </c>
      <c r="I298" s="695">
        <v>296</v>
      </c>
      <c r="J298" s="695" t="s">
        <v>4195</v>
      </c>
      <c r="K298" s="695" t="s">
        <v>8544</v>
      </c>
      <c r="L298" s="696">
        <v>16</v>
      </c>
      <c r="M298" s="170"/>
    </row>
    <row r="299" spans="2:13" x14ac:dyDescent="0.2">
      <c r="B299" s="173"/>
      <c r="C299" s="694">
        <v>1</v>
      </c>
      <c r="D299" s="695" t="s">
        <v>3903</v>
      </c>
      <c r="E299" s="695">
        <v>1</v>
      </c>
      <c r="F299" s="695" t="s">
        <v>3904</v>
      </c>
      <c r="G299" s="695">
        <v>1</v>
      </c>
      <c r="H299" s="695" t="s">
        <v>3904</v>
      </c>
      <c r="I299" s="695">
        <v>297</v>
      </c>
      <c r="J299" s="695" t="s">
        <v>4196</v>
      </c>
      <c r="K299" s="695" t="s">
        <v>8544</v>
      </c>
      <c r="L299" s="696">
        <v>21</v>
      </c>
      <c r="M299" s="170"/>
    </row>
    <row r="300" spans="2:13" x14ac:dyDescent="0.2">
      <c r="B300" s="173"/>
      <c r="C300" s="694">
        <v>1</v>
      </c>
      <c r="D300" s="695" t="s">
        <v>3903</v>
      </c>
      <c r="E300" s="695">
        <v>1</v>
      </c>
      <c r="F300" s="695" t="s">
        <v>3904</v>
      </c>
      <c r="G300" s="695">
        <v>1</v>
      </c>
      <c r="H300" s="695" t="s">
        <v>3904</v>
      </c>
      <c r="I300" s="695">
        <v>298</v>
      </c>
      <c r="J300" s="695" t="s">
        <v>4197</v>
      </c>
      <c r="K300" s="695" t="s">
        <v>8544</v>
      </c>
      <c r="L300" s="696">
        <v>30</v>
      </c>
      <c r="M300" s="170"/>
    </row>
    <row r="301" spans="2:13" x14ac:dyDescent="0.2">
      <c r="B301" s="173"/>
      <c r="C301" s="694">
        <v>1</v>
      </c>
      <c r="D301" s="695" t="s">
        <v>3903</v>
      </c>
      <c r="E301" s="695">
        <v>1</v>
      </c>
      <c r="F301" s="695" t="s">
        <v>3904</v>
      </c>
      <c r="G301" s="695">
        <v>1</v>
      </c>
      <c r="H301" s="695" t="s">
        <v>3904</v>
      </c>
      <c r="I301" s="695">
        <v>299</v>
      </c>
      <c r="J301" s="695" t="s">
        <v>4198</v>
      </c>
      <c r="K301" s="695" t="s">
        <v>8544</v>
      </c>
      <c r="L301" s="696">
        <v>38</v>
      </c>
      <c r="M301" s="170"/>
    </row>
    <row r="302" spans="2:13" x14ac:dyDescent="0.2">
      <c r="B302" s="173"/>
      <c r="C302" s="694">
        <v>1</v>
      </c>
      <c r="D302" s="695" t="s">
        <v>3903</v>
      </c>
      <c r="E302" s="695">
        <v>1</v>
      </c>
      <c r="F302" s="695" t="s">
        <v>3904</v>
      </c>
      <c r="G302" s="695">
        <v>1</v>
      </c>
      <c r="H302" s="695" t="s">
        <v>3904</v>
      </c>
      <c r="I302" s="695">
        <v>300</v>
      </c>
      <c r="J302" s="695" t="s">
        <v>4199</v>
      </c>
      <c r="K302" s="695" t="s">
        <v>8544</v>
      </c>
      <c r="L302" s="696">
        <v>12</v>
      </c>
      <c r="M302" s="170"/>
    </row>
    <row r="303" spans="2:13" x14ac:dyDescent="0.2">
      <c r="B303" s="173"/>
      <c r="C303" s="694">
        <v>1</v>
      </c>
      <c r="D303" s="695" t="s">
        <v>3903</v>
      </c>
      <c r="E303" s="695">
        <v>1</v>
      </c>
      <c r="F303" s="695" t="s">
        <v>3904</v>
      </c>
      <c r="G303" s="695">
        <v>1</v>
      </c>
      <c r="H303" s="695" t="s">
        <v>3904</v>
      </c>
      <c r="I303" s="695">
        <v>301</v>
      </c>
      <c r="J303" s="695" t="s">
        <v>4200</v>
      </c>
      <c r="K303" s="695" t="s">
        <v>8544</v>
      </c>
      <c r="L303" s="696">
        <v>4</v>
      </c>
      <c r="M303" s="170"/>
    </row>
    <row r="304" spans="2:13" x14ac:dyDescent="0.2">
      <c r="B304" s="173"/>
      <c r="C304" s="694">
        <v>1</v>
      </c>
      <c r="D304" s="695" t="s">
        <v>3903</v>
      </c>
      <c r="E304" s="695">
        <v>1</v>
      </c>
      <c r="F304" s="695" t="s">
        <v>3904</v>
      </c>
      <c r="G304" s="695">
        <v>1</v>
      </c>
      <c r="H304" s="695" t="s">
        <v>3904</v>
      </c>
      <c r="I304" s="695">
        <v>302</v>
      </c>
      <c r="J304" s="695" t="s">
        <v>4201</v>
      </c>
      <c r="K304" s="695" t="s">
        <v>8544</v>
      </c>
      <c r="L304" s="696">
        <v>8</v>
      </c>
      <c r="M304" s="170"/>
    </row>
    <row r="305" spans="2:13" x14ac:dyDescent="0.2">
      <c r="B305" s="173"/>
      <c r="C305" s="694">
        <v>1</v>
      </c>
      <c r="D305" s="695" t="s">
        <v>3903</v>
      </c>
      <c r="E305" s="695">
        <v>1</v>
      </c>
      <c r="F305" s="695" t="s">
        <v>3904</v>
      </c>
      <c r="G305" s="695">
        <v>1</v>
      </c>
      <c r="H305" s="695" t="s">
        <v>3904</v>
      </c>
      <c r="I305" s="695">
        <v>303</v>
      </c>
      <c r="J305" s="695" t="s">
        <v>4202</v>
      </c>
      <c r="K305" s="695" t="s">
        <v>8544</v>
      </c>
      <c r="L305" s="696">
        <v>5</v>
      </c>
      <c r="M305" s="170"/>
    </row>
    <row r="306" spans="2:13" x14ac:dyDescent="0.2">
      <c r="B306" s="173"/>
      <c r="C306" s="694">
        <v>1</v>
      </c>
      <c r="D306" s="695" t="s">
        <v>3903</v>
      </c>
      <c r="E306" s="695">
        <v>1</v>
      </c>
      <c r="F306" s="695" t="s">
        <v>3904</v>
      </c>
      <c r="G306" s="695">
        <v>1</v>
      </c>
      <c r="H306" s="695" t="s">
        <v>3904</v>
      </c>
      <c r="I306" s="695">
        <v>304</v>
      </c>
      <c r="J306" s="695" t="s">
        <v>4203</v>
      </c>
      <c r="K306" s="695" t="s">
        <v>8544</v>
      </c>
      <c r="L306" s="696">
        <v>17</v>
      </c>
      <c r="M306" s="170"/>
    </row>
    <row r="307" spans="2:13" x14ac:dyDescent="0.2">
      <c r="B307" s="173"/>
      <c r="C307" s="694">
        <v>1</v>
      </c>
      <c r="D307" s="695" t="s">
        <v>3903</v>
      </c>
      <c r="E307" s="695">
        <v>1</v>
      </c>
      <c r="F307" s="695" t="s">
        <v>3904</v>
      </c>
      <c r="G307" s="695">
        <v>1</v>
      </c>
      <c r="H307" s="695" t="s">
        <v>3904</v>
      </c>
      <c r="I307" s="695">
        <v>305</v>
      </c>
      <c r="J307" s="695" t="s">
        <v>4204</v>
      </c>
      <c r="K307" s="695" t="s">
        <v>8544</v>
      </c>
      <c r="L307" s="696">
        <v>7</v>
      </c>
      <c r="M307" s="170"/>
    </row>
    <row r="308" spans="2:13" x14ac:dyDescent="0.2">
      <c r="B308" s="173"/>
      <c r="C308" s="694">
        <v>1</v>
      </c>
      <c r="D308" s="695" t="s">
        <v>3903</v>
      </c>
      <c r="E308" s="695">
        <v>1</v>
      </c>
      <c r="F308" s="695" t="s">
        <v>3904</v>
      </c>
      <c r="G308" s="695">
        <v>1</v>
      </c>
      <c r="H308" s="695" t="s">
        <v>3904</v>
      </c>
      <c r="I308" s="695">
        <v>306</v>
      </c>
      <c r="J308" s="695" t="s">
        <v>4205</v>
      </c>
      <c r="K308" s="695" t="s">
        <v>8544</v>
      </c>
      <c r="L308" s="696">
        <v>20</v>
      </c>
      <c r="M308" s="170"/>
    </row>
    <row r="309" spans="2:13" x14ac:dyDescent="0.2">
      <c r="B309" s="173"/>
      <c r="C309" s="694">
        <v>1</v>
      </c>
      <c r="D309" s="695" t="s">
        <v>3903</v>
      </c>
      <c r="E309" s="695">
        <v>1</v>
      </c>
      <c r="F309" s="695" t="s">
        <v>3904</v>
      </c>
      <c r="G309" s="695">
        <v>1</v>
      </c>
      <c r="H309" s="695" t="s">
        <v>3904</v>
      </c>
      <c r="I309" s="695">
        <v>307</v>
      </c>
      <c r="J309" s="695" t="s">
        <v>4206</v>
      </c>
      <c r="K309" s="695" t="s">
        <v>8544</v>
      </c>
      <c r="L309" s="696">
        <v>4</v>
      </c>
      <c r="M309" s="170"/>
    </row>
    <row r="310" spans="2:13" x14ac:dyDescent="0.2">
      <c r="B310" s="173"/>
      <c r="C310" s="694">
        <v>1</v>
      </c>
      <c r="D310" s="695" t="s">
        <v>3903</v>
      </c>
      <c r="E310" s="695">
        <v>1</v>
      </c>
      <c r="F310" s="695" t="s">
        <v>3904</v>
      </c>
      <c r="G310" s="695">
        <v>1</v>
      </c>
      <c r="H310" s="695" t="s">
        <v>3904</v>
      </c>
      <c r="I310" s="695">
        <v>308</v>
      </c>
      <c r="J310" s="695" t="s">
        <v>4207</v>
      </c>
      <c r="K310" s="695" t="s">
        <v>8544</v>
      </c>
      <c r="L310" s="696">
        <v>4</v>
      </c>
      <c r="M310" s="170"/>
    </row>
    <row r="311" spans="2:13" x14ac:dyDescent="0.2">
      <c r="B311" s="173"/>
      <c r="C311" s="694">
        <v>1</v>
      </c>
      <c r="D311" s="695" t="s">
        <v>3903</v>
      </c>
      <c r="E311" s="695">
        <v>1</v>
      </c>
      <c r="F311" s="695" t="s">
        <v>3904</v>
      </c>
      <c r="G311" s="695">
        <v>1</v>
      </c>
      <c r="H311" s="695" t="s">
        <v>3904</v>
      </c>
      <c r="I311" s="695">
        <v>309</v>
      </c>
      <c r="J311" s="695" t="s">
        <v>4208</v>
      </c>
      <c r="K311" s="695" t="s">
        <v>3985</v>
      </c>
      <c r="L311" s="696">
        <v>24</v>
      </c>
      <c r="M311" s="170"/>
    </row>
    <row r="312" spans="2:13" x14ac:dyDescent="0.2">
      <c r="B312" s="173"/>
      <c r="C312" s="694">
        <v>1</v>
      </c>
      <c r="D312" s="695" t="s">
        <v>3903</v>
      </c>
      <c r="E312" s="695">
        <v>1</v>
      </c>
      <c r="F312" s="695" t="s">
        <v>3904</v>
      </c>
      <c r="G312" s="695">
        <v>1</v>
      </c>
      <c r="H312" s="695" t="s">
        <v>3904</v>
      </c>
      <c r="I312" s="695">
        <v>310</v>
      </c>
      <c r="J312" s="695" t="s">
        <v>4209</v>
      </c>
      <c r="K312" s="695" t="s">
        <v>3985</v>
      </c>
      <c r="L312" s="696">
        <v>9</v>
      </c>
      <c r="M312" s="170"/>
    </row>
    <row r="313" spans="2:13" x14ac:dyDescent="0.2">
      <c r="B313" s="173"/>
      <c r="C313" s="694">
        <v>1</v>
      </c>
      <c r="D313" s="695" t="s">
        <v>3903</v>
      </c>
      <c r="E313" s="695">
        <v>1</v>
      </c>
      <c r="F313" s="695" t="s">
        <v>3904</v>
      </c>
      <c r="G313" s="695">
        <v>1</v>
      </c>
      <c r="H313" s="695" t="s">
        <v>3904</v>
      </c>
      <c r="I313" s="695">
        <v>311</v>
      </c>
      <c r="J313" s="695" t="s">
        <v>4210</v>
      </c>
      <c r="K313" s="695" t="s">
        <v>8544</v>
      </c>
      <c r="L313" s="696">
        <v>15</v>
      </c>
      <c r="M313" s="170"/>
    </row>
    <row r="314" spans="2:13" x14ac:dyDescent="0.2">
      <c r="B314" s="173"/>
      <c r="C314" s="694">
        <v>1</v>
      </c>
      <c r="D314" s="695" t="s">
        <v>3903</v>
      </c>
      <c r="E314" s="695">
        <v>1</v>
      </c>
      <c r="F314" s="695" t="s">
        <v>3904</v>
      </c>
      <c r="G314" s="695">
        <v>1</v>
      </c>
      <c r="H314" s="695" t="s">
        <v>3904</v>
      </c>
      <c r="I314" s="695">
        <v>312</v>
      </c>
      <c r="J314" s="695" t="s">
        <v>4211</v>
      </c>
      <c r="K314" s="695" t="s">
        <v>3985</v>
      </c>
      <c r="L314" s="696">
        <v>7</v>
      </c>
      <c r="M314" s="170"/>
    </row>
    <row r="315" spans="2:13" x14ac:dyDescent="0.2">
      <c r="B315" s="173"/>
      <c r="C315" s="694">
        <v>1</v>
      </c>
      <c r="D315" s="695" t="s">
        <v>3903</v>
      </c>
      <c r="E315" s="695">
        <v>1</v>
      </c>
      <c r="F315" s="695" t="s">
        <v>3904</v>
      </c>
      <c r="G315" s="695">
        <v>1</v>
      </c>
      <c r="H315" s="695" t="s">
        <v>3904</v>
      </c>
      <c r="I315" s="695">
        <v>313</v>
      </c>
      <c r="J315" s="695" t="s">
        <v>4212</v>
      </c>
      <c r="K315" s="695" t="s">
        <v>3985</v>
      </c>
      <c r="L315" s="696">
        <v>31</v>
      </c>
      <c r="M315" s="170"/>
    </row>
    <row r="316" spans="2:13" x14ac:dyDescent="0.2">
      <c r="B316" s="173"/>
      <c r="C316" s="694">
        <v>1</v>
      </c>
      <c r="D316" s="695" t="s">
        <v>3903</v>
      </c>
      <c r="E316" s="695">
        <v>1</v>
      </c>
      <c r="F316" s="695" t="s">
        <v>3904</v>
      </c>
      <c r="G316" s="695">
        <v>1</v>
      </c>
      <c r="H316" s="695" t="s">
        <v>3904</v>
      </c>
      <c r="I316" s="695">
        <v>314</v>
      </c>
      <c r="J316" s="695" t="s">
        <v>4213</v>
      </c>
      <c r="K316" s="695" t="s">
        <v>4214</v>
      </c>
      <c r="L316" s="696">
        <v>1619</v>
      </c>
      <c r="M316" s="170"/>
    </row>
    <row r="317" spans="2:13" x14ac:dyDescent="0.2">
      <c r="B317" s="173"/>
      <c r="C317" s="694">
        <v>1</v>
      </c>
      <c r="D317" s="695" t="s">
        <v>3903</v>
      </c>
      <c r="E317" s="695">
        <v>1</v>
      </c>
      <c r="F317" s="695" t="s">
        <v>3904</v>
      </c>
      <c r="G317" s="695">
        <v>1</v>
      </c>
      <c r="H317" s="695" t="s">
        <v>3904</v>
      </c>
      <c r="I317" s="695">
        <v>315</v>
      </c>
      <c r="J317" s="695" t="s">
        <v>4159</v>
      </c>
      <c r="K317" s="695" t="s">
        <v>8544</v>
      </c>
      <c r="L317" s="696">
        <v>12</v>
      </c>
      <c r="M317" s="170"/>
    </row>
    <row r="318" spans="2:13" x14ac:dyDescent="0.2">
      <c r="B318" s="173"/>
      <c r="C318" s="694">
        <v>1</v>
      </c>
      <c r="D318" s="695" t="s">
        <v>3903</v>
      </c>
      <c r="E318" s="695">
        <v>1</v>
      </c>
      <c r="F318" s="695" t="s">
        <v>3904</v>
      </c>
      <c r="G318" s="695">
        <v>1</v>
      </c>
      <c r="H318" s="695" t="s">
        <v>3904</v>
      </c>
      <c r="I318" s="695">
        <v>316</v>
      </c>
      <c r="J318" s="695" t="s">
        <v>4215</v>
      </c>
      <c r="K318" s="695" t="s">
        <v>8544</v>
      </c>
      <c r="L318" s="696">
        <v>4</v>
      </c>
      <c r="M318" s="170"/>
    </row>
    <row r="319" spans="2:13" x14ac:dyDescent="0.2">
      <c r="B319" s="173"/>
      <c r="C319" s="694">
        <v>1</v>
      </c>
      <c r="D319" s="695" t="s">
        <v>3903</v>
      </c>
      <c r="E319" s="695">
        <v>1</v>
      </c>
      <c r="F319" s="695" t="s">
        <v>3904</v>
      </c>
      <c r="G319" s="695">
        <v>1</v>
      </c>
      <c r="H319" s="695" t="s">
        <v>3904</v>
      </c>
      <c r="I319" s="695">
        <v>317</v>
      </c>
      <c r="J319" s="695" t="s">
        <v>4216</v>
      </c>
      <c r="K319" s="695" t="s">
        <v>8544</v>
      </c>
      <c r="L319" s="696">
        <v>13</v>
      </c>
      <c r="M319" s="170"/>
    </row>
    <row r="320" spans="2:13" x14ac:dyDescent="0.2">
      <c r="B320" s="173"/>
      <c r="C320" s="694">
        <v>1</v>
      </c>
      <c r="D320" s="695" t="s">
        <v>3903</v>
      </c>
      <c r="E320" s="695">
        <v>1</v>
      </c>
      <c r="F320" s="695" t="s">
        <v>3904</v>
      </c>
      <c r="G320" s="695">
        <v>1</v>
      </c>
      <c r="H320" s="695" t="s">
        <v>3904</v>
      </c>
      <c r="I320" s="695">
        <v>318</v>
      </c>
      <c r="J320" s="695" t="s">
        <v>4217</v>
      </c>
      <c r="K320" s="695" t="s">
        <v>8543</v>
      </c>
      <c r="L320" s="696">
        <v>8</v>
      </c>
      <c r="M320" s="170"/>
    </row>
    <row r="321" spans="2:13" x14ac:dyDescent="0.2">
      <c r="B321" s="173"/>
      <c r="C321" s="694">
        <v>1</v>
      </c>
      <c r="D321" s="695" t="s">
        <v>3903</v>
      </c>
      <c r="E321" s="695">
        <v>1</v>
      </c>
      <c r="F321" s="695" t="s">
        <v>3904</v>
      </c>
      <c r="G321" s="695">
        <v>1</v>
      </c>
      <c r="H321" s="695" t="s">
        <v>3904</v>
      </c>
      <c r="I321" s="695">
        <v>319</v>
      </c>
      <c r="J321" s="695" t="s">
        <v>4218</v>
      </c>
      <c r="K321" s="695" t="s">
        <v>8544</v>
      </c>
      <c r="L321" s="696">
        <v>4</v>
      </c>
      <c r="M321" s="170"/>
    </row>
    <row r="322" spans="2:13" x14ac:dyDescent="0.2">
      <c r="B322" s="173"/>
      <c r="C322" s="694">
        <v>1</v>
      </c>
      <c r="D322" s="695" t="s">
        <v>3903</v>
      </c>
      <c r="E322" s="695">
        <v>1</v>
      </c>
      <c r="F322" s="695" t="s">
        <v>3904</v>
      </c>
      <c r="G322" s="695">
        <v>1</v>
      </c>
      <c r="H322" s="695" t="s">
        <v>3904</v>
      </c>
      <c r="I322" s="695">
        <v>320</v>
      </c>
      <c r="J322" s="695" t="s">
        <v>4219</v>
      </c>
      <c r="K322" s="695" t="s">
        <v>8544</v>
      </c>
      <c r="L322" s="696">
        <v>2</v>
      </c>
      <c r="M322" s="170"/>
    </row>
    <row r="323" spans="2:13" x14ac:dyDescent="0.2">
      <c r="B323" s="173"/>
      <c r="C323" s="694">
        <v>1</v>
      </c>
      <c r="D323" s="695" t="s">
        <v>3903</v>
      </c>
      <c r="E323" s="695">
        <v>1</v>
      </c>
      <c r="F323" s="695" t="s">
        <v>3904</v>
      </c>
      <c r="G323" s="695">
        <v>1</v>
      </c>
      <c r="H323" s="695" t="s">
        <v>3904</v>
      </c>
      <c r="I323" s="695">
        <v>321</v>
      </c>
      <c r="J323" s="695" t="s">
        <v>4220</v>
      </c>
      <c r="K323" s="695" t="s">
        <v>4045</v>
      </c>
      <c r="L323" s="696">
        <v>390</v>
      </c>
      <c r="M323" s="170"/>
    </row>
    <row r="324" spans="2:13" x14ac:dyDescent="0.2">
      <c r="B324" s="173"/>
      <c r="C324" s="694">
        <v>1</v>
      </c>
      <c r="D324" s="695" t="s">
        <v>3903</v>
      </c>
      <c r="E324" s="695">
        <v>1</v>
      </c>
      <c r="F324" s="695" t="s">
        <v>3904</v>
      </c>
      <c r="G324" s="695">
        <v>1</v>
      </c>
      <c r="H324" s="695" t="s">
        <v>3904</v>
      </c>
      <c r="I324" s="695">
        <v>322</v>
      </c>
      <c r="J324" s="695" t="s">
        <v>4221</v>
      </c>
      <c r="K324" s="695" t="s">
        <v>4045</v>
      </c>
      <c r="L324" s="696">
        <v>190</v>
      </c>
      <c r="M324" s="170"/>
    </row>
    <row r="325" spans="2:13" x14ac:dyDescent="0.2">
      <c r="B325" s="173"/>
      <c r="C325" s="694">
        <v>1</v>
      </c>
      <c r="D325" s="695" t="s">
        <v>3903</v>
      </c>
      <c r="E325" s="695">
        <v>1</v>
      </c>
      <c r="F325" s="695" t="s">
        <v>3904</v>
      </c>
      <c r="G325" s="695">
        <v>1</v>
      </c>
      <c r="H325" s="695" t="s">
        <v>3904</v>
      </c>
      <c r="I325" s="695">
        <v>323</v>
      </c>
      <c r="J325" s="695" t="s">
        <v>4222</v>
      </c>
      <c r="K325" s="695" t="s">
        <v>3907</v>
      </c>
      <c r="L325" s="696">
        <v>40</v>
      </c>
      <c r="M325" s="170"/>
    </row>
    <row r="326" spans="2:13" x14ac:dyDescent="0.2">
      <c r="B326" s="173"/>
      <c r="C326" s="694">
        <v>1</v>
      </c>
      <c r="D326" s="695" t="s">
        <v>3903</v>
      </c>
      <c r="E326" s="695">
        <v>1</v>
      </c>
      <c r="F326" s="695" t="s">
        <v>3904</v>
      </c>
      <c r="G326" s="695">
        <v>1</v>
      </c>
      <c r="H326" s="695" t="s">
        <v>3904</v>
      </c>
      <c r="I326" s="695">
        <v>324</v>
      </c>
      <c r="J326" s="695" t="s">
        <v>4223</v>
      </c>
      <c r="K326" s="695" t="s">
        <v>4045</v>
      </c>
      <c r="L326" s="696">
        <v>552</v>
      </c>
      <c r="M326" s="170"/>
    </row>
    <row r="327" spans="2:13" x14ac:dyDescent="0.2">
      <c r="B327" s="173"/>
      <c r="C327" s="694">
        <v>1</v>
      </c>
      <c r="D327" s="695" t="s">
        <v>3903</v>
      </c>
      <c r="E327" s="695">
        <v>1</v>
      </c>
      <c r="F327" s="695" t="s">
        <v>3904</v>
      </c>
      <c r="G327" s="695">
        <v>1</v>
      </c>
      <c r="H327" s="695" t="s">
        <v>3904</v>
      </c>
      <c r="I327" s="695">
        <v>325</v>
      </c>
      <c r="J327" s="695" t="s">
        <v>4224</v>
      </c>
      <c r="K327" s="695" t="s">
        <v>8544</v>
      </c>
      <c r="L327" s="696">
        <v>5</v>
      </c>
      <c r="M327" s="170"/>
    </row>
    <row r="328" spans="2:13" x14ac:dyDescent="0.2">
      <c r="B328" s="173"/>
      <c r="C328" s="694">
        <v>1</v>
      </c>
      <c r="D328" s="695" t="s">
        <v>3903</v>
      </c>
      <c r="E328" s="695">
        <v>1</v>
      </c>
      <c r="F328" s="695" t="s">
        <v>3904</v>
      </c>
      <c r="G328" s="695">
        <v>1</v>
      </c>
      <c r="H328" s="695" t="s">
        <v>3904</v>
      </c>
      <c r="I328" s="695">
        <v>326</v>
      </c>
      <c r="J328" s="695" t="s">
        <v>4225</v>
      </c>
      <c r="K328" s="695" t="s">
        <v>8544</v>
      </c>
      <c r="L328" s="696">
        <v>7</v>
      </c>
      <c r="M328" s="170"/>
    </row>
    <row r="329" spans="2:13" x14ac:dyDescent="0.2">
      <c r="B329" s="173"/>
      <c r="C329" s="694">
        <v>1</v>
      </c>
      <c r="D329" s="695" t="s">
        <v>3903</v>
      </c>
      <c r="E329" s="695">
        <v>1</v>
      </c>
      <c r="F329" s="695" t="s">
        <v>3904</v>
      </c>
      <c r="G329" s="695">
        <v>1</v>
      </c>
      <c r="H329" s="695" t="s">
        <v>3904</v>
      </c>
      <c r="I329" s="695">
        <v>327</v>
      </c>
      <c r="J329" s="695" t="s">
        <v>4226</v>
      </c>
      <c r="K329" s="695" t="s">
        <v>8544</v>
      </c>
      <c r="L329" s="696">
        <v>3</v>
      </c>
      <c r="M329" s="170"/>
    </row>
    <row r="330" spans="2:13" x14ac:dyDescent="0.2">
      <c r="B330" s="173"/>
      <c r="C330" s="694">
        <v>1</v>
      </c>
      <c r="D330" s="695" t="s">
        <v>3903</v>
      </c>
      <c r="E330" s="695">
        <v>1</v>
      </c>
      <c r="F330" s="695" t="s">
        <v>3904</v>
      </c>
      <c r="G330" s="695">
        <v>1</v>
      </c>
      <c r="H330" s="695" t="s">
        <v>3904</v>
      </c>
      <c r="I330" s="695">
        <v>328</v>
      </c>
      <c r="J330" s="695" t="s">
        <v>4227</v>
      </c>
      <c r="K330" s="695" t="s">
        <v>8544</v>
      </c>
      <c r="L330" s="696">
        <v>5</v>
      </c>
      <c r="M330" s="170"/>
    </row>
    <row r="331" spans="2:13" x14ac:dyDescent="0.2">
      <c r="B331" s="173"/>
      <c r="C331" s="694">
        <v>1</v>
      </c>
      <c r="D331" s="695" t="s">
        <v>3903</v>
      </c>
      <c r="E331" s="695">
        <v>1</v>
      </c>
      <c r="F331" s="695" t="s">
        <v>3904</v>
      </c>
      <c r="G331" s="695">
        <v>1</v>
      </c>
      <c r="H331" s="695" t="s">
        <v>3904</v>
      </c>
      <c r="I331" s="695">
        <v>329</v>
      </c>
      <c r="J331" s="695" t="s">
        <v>4228</v>
      </c>
      <c r="K331" s="695" t="s">
        <v>8544</v>
      </c>
      <c r="L331" s="696">
        <v>22</v>
      </c>
      <c r="M331" s="170"/>
    </row>
    <row r="332" spans="2:13" x14ac:dyDescent="0.2">
      <c r="B332" s="173"/>
      <c r="C332" s="694">
        <v>1</v>
      </c>
      <c r="D332" s="695" t="s">
        <v>3903</v>
      </c>
      <c r="E332" s="695">
        <v>1</v>
      </c>
      <c r="F332" s="695" t="s">
        <v>3904</v>
      </c>
      <c r="G332" s="695">
        <v>1</v>
      </c>
      <c r="H332" s="695" t="s">
        <v>3904</v>
      </c>
      <c r="I332" s="695">
        <v>330</v>
      </c>
      <c r="J332" s="695" t="s">
        <v>4229</v>
      </c>
      <c r="K332" s="695" t="s">
        <v>8544</v>
      </c>
      <c r="L332" s="696">
        <v>53</v>
      </c>
      <c r="M332" s="170"/>
    </row>
    <row r="333" spans="2:13" x14ac:dyDescent="0.2">
      <c r="B333" s="173"/>
      <c r="C333" s="694">
        <v>1</v>
      </c>
      <c r="D333" s="695" t="s">
        <v>3903</v>
      </c>
      <c r="E333" s="695">
        <v>1</v>
      </c>
      <c r="F333" s="695" t="s">
        <v>3904</v>
      </c>
      <c r="G333" s="695">
        <v>1</v>
      </c>
      <c r="H333" s="695" t="s">
        <v>3904</v>
      </c>
      <c r="I333" s="695">
        <v>331</v>
      </c>
      <c r="J333" s="695" t="s">
        <v>4230</v>
      </c>
      <c r="K333" s="695" t="s">
        <v>8544</v>
      </c>
      <c r="L333" s="696">
        <v>5</v>
      </c>
      <c r="M333" s="170"/>
    </row>
    <row r="334" spans="2:13" x14ac:dyDescent="0.2">
      <c r="B334" s="173"/>
      <c r="C334" s="694">
        <v>1</v>
      </c>
      <c r="D334" s="695" t="s">
        <v>3903</v>
      </c>
      <c r="E334" s="695">
        <v>1</v>
      </c>
      <c r="F334" s="695" t="s">
        <v>3904</v>
      </c>
      <c r="G334" s="695">
        <v>1</v>
      </c>
      <c r="H334" s="695" t="s">
        <v>3904</v>
      </c>
      <c r="I334" s="695">
        <v>332</v>
      </c>
      <c r="J334" s="695" t="s">
        <v>4231</v>
      </c>
      <c r="K334" s="695" t="s">
        <v>8544</v>
      </c>
      <c r="L334" s="696">
        <v>4</v>
      </c>
      <c r="M334" s="170"/>
    </row>
    <row r="335" spans="2:13" x14ac:dyDescent="0.2">
      <c r="B335" s="173"/>
      <c r="C335" s="694">
        <v>1</v>
      </c>
      <c r="D335" s="695" t="s">
        <v>3903</v>
      </c>
      <c r="E335" s="695">
        <v>1</v>
      </c>
      <c r="F335" s="695" t="s">
        <v>3904</v>
      </c>
      <c r="G335" s="695">
        <v>1</v>
      </c>
      <c r="H335" s="695" t="s">
        <v>3904</v>
      </c>
      <c r="I335" s="695">
        <v>333</v>
      </c>
      <c r="J335" s="695" t="s">
        <v>4232</v>
      </c>
      <c r="K335" s="695" t="s">
        <v>8544</v>
      </c>
      <c r="L335" s="696">
        <v>10</v>
      </c>
      <c r="M335" s="170"/>
    </row>
    <row r="336" spans="2:13" x14ac:dyDescent="0.2">
      <c r="B336" s="173"/>
      <c r="C336" s="694">
        <v>1</v>
      </c>
      <c r="D336" s="695" t="s">
        <v>3903</v>
      </c>
      <c r="E336" s="695">
        <v>1</v>
      </c>
      <c r="F336" s="695" t="s">
        <v>3904</v>
      </c>
      <c r="G336" s="695">
        <v>1</v>
      </c>
      <c r="H336" s="695" t="s">
        <v>3904</v>
      </c>
      <c r="I336" s="695">
        <v>334</v>
      </c>
      <c r="J336" s="695" t="s">
        <v>4233</v>
      </c>
      <c r="K336" s="695" t="s">
        <v>8544</v>
      </c>
      <c r="L336" s="696">
        <v>6</v>
      </c>
      <c r="M336" s="170"/>
    </row>
    <row r="337" spans="2:13" x14ac:dyDescent="0.2">
      <c r="B337" s="173"/>
      <c r="C337" s="694">
        <v>1</v>
      </c>
      <c r="D337" s="695" t="s">
        <v>3903</v>
      </c>
      <c r="E337" s="695">
        <v>1</v>
      </c>
      <c r="F337" s="695" t="s">
        <v>3904</v>
      </c>
      <c r="G337" s="695">
        <v>1</v>
      </c>
      <c r="H337" s="695" t="s">
        <v>3904</v>
      </c>
      <c r="I337" s="695">
        <v>335</v>
      </c>
      <c r="J337" s="695" t="s">
        <v>4234</v>
      </c>
      <c r="K337" s="695" t="s">
        <v>8544</v>
      </c>
      <c r="L337" s="696">
        <v>1</v>
      </c>
      <c r="M337" s="170"/>
    </row>
    <row r="338" spans="2:13" x14ac:dyDescent="0.2">
      <c r="B338" s="173"/>
      <c r="C338" s="694">
        <v>1</v>
      </c>
      <c r="D338" s="695" t="s">
        <v>3903</v>
      </c>
      <c r="E338" s="695">
        <v>1</v>
      </c>
      <c r="F338" s="695" t="s">
        <v>3904</v>
      </c>
      <c r="G338" s="695">
        <v>1</v>
      </c>
      <c r="H338" s="695" t="s">
        <v>3904</v>
      </c>
      <c r="I338" s="695">
        <v>336</v>
      </c>
      <c r="J338" s="695" t="s">
        <v>4235</v>
      </c>
      <c r="K338" s="695" t="s">
        <v>8544</v>
      </c>
      <c r="L338" s="696">
        <v>37</v>
      </c>
      <c r="M338" s="170"/>
    </row>
    <row r="339" spans="2:13" x14ac:dyDescent="0.2">
      <c r="B339" s="173"/>
      <c r="C339" s="694">
        <v>1</v>
      </c>
      <c r="D339" s="695" t="s">
        <v>3903</v>
      </c>
      <c r="E339" s="695">
        <v>1</v>
      </c>
      <c r="F339" s="695" t="s">
        <v>3904</v>
      </c>
      <c r="G339" s="695">
        <v>1</v>
      </c>
      <c r="H339" s="695" t="s">
        <v>3904</v>
      </c>
      <c r="I339" s="695">
        <v>337</v>
      </c>
      <c r="J339" s="695" t="s">
        <v>4236</v>
      </c>
      <c r="K339" s="695" t="s">
        <v>8544</v>
      </c>
      <c r="L339" s="696">
        <v>3</v>
      </c>
      <c r="M339" s="170"/>
    </row>
    <row r="340" spans="2:13" x14ac:dyDescent="0.2">
      <c r="B340" s="173"/>
      <c r="C340" s="694">
        <v>1</v>
      </c>
      <c r="D340" s="695" t="s">
        <v>3903</v>
      </c>
      <c r="E340" s="695">
        <v>1</v>
      </c>
      <c r="F340" s="695" t="s">
        <v>3904</v>
      </c>
      <c r="G340" s="695">
        <v>1</v>
      </c>
      <c r="H340" s="695" t="s">
        <v>3904</v>
      </c>
      <c r="I340" s="695">
        <v>338</v>
      </c>
      <c r="J340" s="695" t="s">
        <v>4187</v>
      </c>
      <c r="K340" s="695" t="s">
        <v>8544</v>
      </c>
      <c r="L340" s="696">
        <v>0</v>
      </c>
      <c r="M340" s="170"/>
    </row>
    <row r="341" spans="2:13" x14ac:dyDescent="0.2">
      <c r="B341" s="173"/>
      <c r="C341" s="694">
        <v>1</v>
      </c>
      <c r="D341" s="695" t="s">
        <v>3903</v>
      </c>
      <c r="E341" s="695">
        <v>1</v>
      </c>
      <c r="F341" s="695" t="s">
        <v>3904</v>
      </c>
      <c r="G341" s="695">
        <v>1</v>
      </c>
      <c r="H341" s="695" t="s">
        <v>3904</v>
      </c>
      <c r="I341" s="695">
        <v>339</v>
      </c>
      <c r="J341" s="695" t="s">
        <v>4237</v>
      </c>
      <c r="K341" s="695" t="s">
        <v>8544</v>
      </c>
      <c r="L341" s="696">
        <v>3</v>
      </c>
      <c r="M341" s="170"/>
    </row>
    <row r="342" spans="2:13" x14ac:dyDescent="0.2">
      <c r="B342" s="173"/>
      <c r="C342" s="694">
        <v>1</v>
      </c>
      <c r="D342" s="695" t="s">
        <v>3903</v>
      </c>
      <c r="E342" s="695">
        <v>1</v>
      </c>
      <c r="F342" s="695" t="s">
        <v>3904</v>
      </c>
      <c r="G342" s="695">
        <v>1</v>
      </c>
      <c r="H342" s="695" t="s">
        <v>3904</v>
      </c>
      <c r="I342" s="695">
        <v>340</v>
      </c>
      <c r="J342" s="695" t="s">
        <v>4238</v>
      </c>
      <c r="K342" s="695" t="s">
        <v>8544</v>
      </c>
      <c r="L342" s="696">
        <v>15</v>
      </c>
      <c r="M342" s="170"/>
    </row>
    <row r="343" spans="2:13" x14ac:dyDescent="0.2">
      <c r="B343" s="173"/>
      <c r="C343" s="694">
        <v>1</v>
      </c>
      <c r="D343" s="695" t="s">
        <v>3903</v>
      </c>
      <c r="E343" s="695">
        <v>1</v>
      </c>
      <c r="F343" s="695" t="s">
        <v>3904</v>
      </c>
      <c r="G343" s="695">
        <v>1</v>
      </c>
      <c r="H343" s="695" t="s">
        <v>3904</v>
      </c>
      <c r="I343" s="695">
        <v>341</v>
      </c>
      <c r="J343" s="695" t="s">
        <v>4239</v>
      </c>
      <c r="K343" s="695" t="s">
        <v>8544</v>
      </c>
      <c r="L343" s="696">
        <v>3</v>
      </c>
      <c r="M343" s="170"/>
    </row>
    <row r="344" spans="2:13" x14ac:dyDescent="0.2">
      <c r="B344" s="173"/>
      <c r="C344" s="694">
        <v>1</v>
      </c>
      <c r="D344" s="695" t="s">
        <v>3903</v>
      </c>
      <c r="E344" s="695">
        <v>1</v>
      </c>
      <c r="F344" s="695" t="s">
        <v>3904</v>
      </c>
      <c r="G344" s="695">
        <v>1</v>
      </c>
      <c r="H344" s="695" t="s">
        <v>3904</v>
      </c>
      <c r="I344" s="695">
        <v>342</v>
      </c>
      <c r="J344" s="695" t="s">
        <v>4240</v>
      </c>
      <c r="K344" s="695" t="s">
        <v>8544</v>
      </c>
      <c r="L344" s="696">
        <v>1</v>
      </c>
      <c r="M344" s="170"/>
    </row>
    <row r="345" spans="2:13" x14ac:dyDescent="0.2">
      <c r="B345" s="173"/>
      <c r="C345" s="694">
        <v>1</v>
      </c>
      <c r="D345" s="695" t="s">
        <v>3903</v>
      </c>
      <c r="E345" s="695">
        <v>1</v>
      </c>
      <c r="F345" s="695" t="s">
        <v>3904</v>
      </c>
      <c r="G345" s="695">
        <v>1</v>
      </c>
      <c r="H345" s="695" t="s">
        <v>3904</v>
      </c>
      <c r="I345" s="695">
        <v>343</v>
      </c>
      <c r="J345" s="695" t="s">
        <v>4241</v>
      </c>
      <c r="K345" s="695" t="s">
        <v>8544</v>
      </c>
      <c r="L345" s="696">
        <v>3</v>
      </c>
      <c r="M345" s="170"/>
    </row>
    <row r="346" spans="2:13" x14ac:dyDescent="0.2">
      <c r="B346" s="173"/>
      <c r="C346" s="694">
        <v>1</v>
      </c>
      <c r="D346" s="695" t="s">
        <v>3903</v>
      </c>
      <c r="E346" s="695">
        <v>1</v>
      </c>
      <c r="F346" s="695" t="s">
        <v>3904</v>
      </c>
      <c r="G346" s="695">
        <v>1</v>
      </c>
      <c r="H346" s="695" t="s">
        <v>3904</v>
      </c>
      <c r="I346" s="695">
        <v>344</v>
      </c>
      <c r="J346" s="695" t="s">
        <v>4242</v>
      </c>
      <c r="K346" s="695" t="s">
        <v>8544</v>
      </c>
      <c r="L346" s="696">
        <v>16</v>
      </c>
      <c r="M346" s="170"/>
    </row>
    <row r="347" spans="2:13" x14ac:dyDescent="0.2">
      <c r="B347" s="173"/>
      <c r="C347" s="694">
        <v>1</v>
      </c>
      <c r="D347" s="695" t="s">
        <v>3903</v>
      </c>
      <c r="E347" s="695">
        <v>1</v>
      </c>
      <c r="F347" s="695" t="s">
        <v>3904</v>
      </c>
      <c r="G347" s="695">
        <v>1</v>
      </c>
      <c r="H347" s="695" t="s">
        <v>3904</v>
      </c>
      <c r="I347" s="695">
        <v>345</v>
      </c>
      <c r="J347" s="695" t="s">
        <v>4243</v>
      </c>
      <c r="K347" s="695" t="s">
        <v>8544</v>
      </c>
      <c r="L347" s="696">
        <v>26</v>
      </c>
      <c r="M347" s="170"/>
    </row>
    <row r="348" spans="2:13" x14ac:dyDescent="0.2">
      <c r="B348" s="173"/>
      <c r="C348" s="694">
        <v>1</v>
      </c>
      <c r="D348" s="695" t="s">
        <v>3903</v>
      </c>
      <c r="E348" s="695">
        <v>1</v>
      </c>
      <c r="F348" s="695" t="s">
        <v>3904</v>
      </c>
      <c r="G348" s="695">
        <v>1</v>
      </c>
      <c r="H348" s="695" t="s">
        <v>3904</v>
      </c>
      <c r="I348" s="695">
        <v>346</v>
      </c>
      <c r="J348" s="695" t="s">
        <v>4244</v>
      </c>
      <c r="K348" s="695" t="s">
        <v>8544</v>
      </c>
      <c r="L348" s="696">
        <v>1</v>
      </c>
      <c r="M348" s="170"/>
    </row>
    <row r="349" spans="2:13" x14ac:dyDescent="0.2">
      <c r="B349" s="173"/>
      <c r="C349" s="694">
        <v>1</v>
      </c>
      <c r="D349" s="695" t="s">
        <v>3903</v>
      </c>
      <c r="E349" s="695">
        <v>1</v>
      </c>
      <c r="F349" s="695" t="s">
        <v>3904</v>
      </c>
      <c r="G349" s="695">
        <v>1</v>
      </c>
      <c r="H349" s="695" t="s">
        <v>3904</v>
      </c>
      <c r="I349" s="695">
        <v>347</v>
      </c>
      <c r="J349" s="695" t="s">
        <v>4245</v>
      </c>
      <c r="K349" s="695" t="s">
        <v>8544</v>
      </c>
      <c r="L349" s="696">
        <v>2</v>
      </c>
      <c r="M349" s="170"/>
    </row>
    <row r="350" spans="2:13" x14ac:dyDescent="0.2">
      <c r="B350" s="173"/>
      <c r="C350" s="694">
        <v>1</v>
      </c>
      <c r="D350" s="695" t="s">
        <v>3903</v>
      </c>
      <c r="E350" s="695">
        <v>1</v>
      </c>
      <c r="F350" s="695" t="s">
        <v>3904</v>
      </c>
      <c r="G350" s="695">
        <v>1</v>
      </c>
      <c r="H350" s="695" t="s">
        <v>3904</v>
      </c>
      <c r="I350" s="695">
        <v>348</v>
      </c>
      <c r="J350" s="695" t="s">
        <v>4246</v>
      </c>
      <c r="K350" s="695" t="s">
        <v>8544</v>
      </c>
      <c r="L350" s="696">
        <v>9</v>
      </c>
      <c r="M350" s="170"/>
    </row>
    <row r="351" spans="2:13" x14ac:dyDescent="0.2">
      <c r="B351" s="173"/>
      <c r="C351" s="694">
        <v>1</v>
      </c>
      <c r="D351" s="695" t="s">
        <v>3903</v>
      </c>
      <c r="E351" s="695">
        <v>1</v>
      </c>
      <c r="F351" s="695" t="s">
        <v>3904</v>
      </c>
      <c r="G351" s="695">
        <v>1</v>
      </c>
      <c r="H351" s="695" t="s">
        <v>3904</v>
      </c>
      <c r="I351" s="695">
        <v>349</v>
      </c>
      <c r="J351" s="695" t="s">
        <v>4247</v>
      </c>
      <c r="K351" s="695" t="s">
        <v>8544</v>
      </c>
      <c r="L351" s="696">
        <v>92</v>
      </c>
      <c r="M351" s="170"/>
    </row>
    <row r="352" spans="2:13" x14ac:dyDescent="0.2">
      <c r="B352" s="173"/>
      <c r="C352" s="694">
        <v>1</v>
      </c>
      <c r="D352" s="695" t="s">
        <v>3903</v>
      </c>
      <c r="E352" s="695">
        <v>1</v>
      </c>
      <c r="F352" s="695" t="s">
        <v>3904</v>
      </c>
      <c r="G352" s="695">
        <v>1</v>
      </c>
      <c r="H352" s="695" t="s">
        <v>3904</v>
      </c>
      <c r="I352" s="695">
        <v>350</v>
      </c>
      <c r="J352" s="695" t="s">
        <v>4248</v>
      </c>
      <c r="K352" s="695" t="s">
        <v>8544</v>
      </c>
      <c r="L352" s="696">
        <v>26</v>
      </c>
      <c r="M352" s="170"/>
    </row>
    <row r="353" spans="2:13" x14ac:dyDescent="0.2">
      <c r="B353" s="173"/>
      <c r="C353" s="694">
        <v>1</v>
      </c>
      <c r="D353" s="695" t="s">
        <v>3903</v>
      </c>
      <c r="E353" s="695">
        <v>1</v>
      </c>
      <c r="F353" s="695" t="s">
        <v>3904</v>
      </c>
      <c r="G353" s="695">
        <v>1</v>
      </c>
      <c r="H353" s="695" t="s">
        <v>3904</v>
      </c>
      <c r="I353" s="695">
        <v>351</v>
      </c>
      <c r="J353" s="695" t="s">
        <v>4249</v>
      </c>
      <c r="K353" s="695" t="s">
        <v>8544</v>
      </c>
      <c r="L353" s="696">
        <v>11</v>
      </c>
      <c r="M353" s="170"/>
    </row>
    <row r="354" spans="2:13" x14ac:dyDescent="0.2">
      <c r="B354" s="173"/>
      <c r="C354" s="694">
        <v>1</v>
      </c>
      <c r="D354" s="695" t="s">
        <v>3903</v>
      </c>
      <c r="E354" s="695">
        <v>1</v>
      </c>
      <c r="F354" s="695" t="s">
        <v>3904</v>
      </c>
      <c r="G354" s="695">
        <v>1</v>
      </c>
      <c r="H354" s="695" t="s">
        <v>3904</v>
      </c>
      <c r="I354" s="695">
        <v>352</v>
      </c>
      <c r="J354" s="695" t="s">
        <v>4250</v>
      </c>
      <c r="K354" s="695" t="s">
        <v>8544</v>
      </c>
      <c r="L354" s="696">
        <v>7</v>
      </c>
      <c r="M354" s="170"/>
    </row>
    <row r="355" spans="2:13" x14ac:dyDescent="0.2">
      <c r="B355" s="173"/>
      <c r="C355" s="694">
        <v>1</v>
      </c>
      <c r="D355" s="695" t="s">
        <v>3903</v>
      </c>
      <c r="E355" s="695">
        <v>1</v>
      </c>
      <c r="F355" s="695" t="s">
        <v>3904</v>
      </c>
      <c r="G355" s="695">
        <v>1</v>
      </c>
      <c r="H355" s="695" t="s">
        <v>3904</v>
      </c>
      <c r="I355" s="695">
        <v>353</v>
      </c>
      <c r="J355" s="695" t="s">
        <v>4251</v>
      </c>
      <c r="K355" s="695" t="s">
        <v>8544</v>
      </c>
      <c r="L355" s="696">
        <v>22</v>
      </c>
      <c r="M355" s="170"/>
    </row>
    <row r="356" spans="2:13" x14ac:dyDescent="0.2">
      <c r="B356" s="173"/>
      <c r="C356" s="694">
        <v>1</v>
      </c>
      <c r="D356" s="695" t="s">
        <v>3903</v>
      </c>
      <c r="E356" s="695">
        <v>1</v>
      </c>
      <c r="F356" s="695" t="s">
        <v>3904</v>
      </c>
      <c r="G356" s="695">
        <v>1</v>
      </c>
      <c r="H356" s="695" t="s">
        <v>3904</v>
      </c>
      <c r="I356" s="695">
        <v>354</v>
      </c>
      <c r="J356" s="695" t="s">
        <v>4252</v>
      </c>
      <c r="K356" s="695" t="s">
        <v>8544</v>
      </c>
      <c r="L356" s="696">
        <v>49</v>
      </c>
      <c r="M356" s="170"/>
    </row>
    <row r="357" spans="2:13" x14ac:dyDescent="0.2">
      <c r="B357" s="173"/>
      <c r="C357" s="694">
        <v>1</v>
      </c>
      <c r="D357" s="695" t="s">
        <v>3903</v>
      </c>
      <c r="E357" s="695">
        <v>1</v>
      </c>
      <c r="F357" s="695" t="s">
        <v>3904</v>
      </c>
      <c r="G357" s="695">
        <v>1</v>
      </c>
      <c r="H357" s="695" t="s">
        <v>3904</v>
      </c>
      <c r="I357" s="695">
        <v>355</v>
      </c>
      <c r="J357" s="695" t="s">
        <v>4253</v>
      </c>
      <c r="K357" s="695" t="s">
        <v>8544</v>
      </c>
      <c r="L357" s="696">
        <v>6</v>
      </c>
      <c r="M357" s="170"/>
    </row>
    <row r="358" spans="2:13" x14ac:dyDescent="0.2">
      <c r="B358" s="173"/>
      <c r="C358" s="694">
        <v>1</v>
      </c>
      <c r="D358" s="695" t="s">
        <v>3903</v>
      </c>
      <c r="E358" s="695">
        <v>1</v>
      </c>
      <c r="F358" s="695" t="s">
        <v>3904</v>
      </c>
      <c r="G358" s="695">
        <v>1</v>
      </c>
      <c r="H358" s="695" t="s">
        <v>3904</v>
      </c>
      <c r="I358" s="695">
        <v>356</v>
      </c>
      <c r="J358" s="695" t="s">
        <v>4254</v>
      </c>
      <c r="K358" s="695" t="s">
        <v>8544</v>
      </c>
      <c r="L358" s="696">
        <v>3</v>
      </c>
      <c r="M358" s="170"/>
    </row>
    <row r="359" spans="2:13" x14ac:dyDescent="0.2">
      <c r="B359" s="173"/>
      <c r="C359" s="694">
        <v>1</v>
      </c>
      <c r="D359" s="695" t="s">
        <v>3903</v>
      </c>
      <c r="E359" s="695">
        <v>1</v>
      </c>
      <c r="F359" s="695" t="s">
        <v>3904</v>
      </c>
      <c r="G359" s="695">
        <v>1</v>
      </c>
      <c r="H359" s="695" t="s">
        <v>3904</v>
      </c>
      <c r="I359" s="695">
        <v>357</v>
      </c>
      <c r="J359" s="695" t="s">
        <v>4255</v>
      </c>
      <c r="K359" s="695" t="s">
        <v>8544</v>
      </c>
      <c r="L359" s="696">
        <v>2</v>
      </c>
      <c r="M359" s="170"/>
    </row>
    <row r="360" spans="2:13" x14ac:dyDescent="0.2">
      <c r="B360" s="173"/>
      <c r="C360" s="694">
        <v>1</v>
      </c>
      <c r="D360" s="695" t="s">
        <v>3903</v>
      </c>
      <c r="E360" s="695">
        <v>1</v>
      </c>
      <c r="F360" s="695" t="s">
        <v>3904</v>
      </c>
      <c r="G360" s="695">
        <v>1</v>
      </c>
      <c r="H360" s="695" t="s">
        <v>3904</v>
      </c>
      <c r="I360" s="695">
        <v>358</v>
      </c>
      <c r="J360" s="695" t="s">
        <v>4256</v>
      </c>
      <c r="K360" s="695" t="s">
        <v>8544</v>
      </c>
      <c r="L360" s="696">
        <v>13</v>
      </c>
      <c r="M360" s="170"/>
    </row>
    <row r="361" spans="2:13" x14ac:dyDescent="0.2">
      <c r="B361" s="173"/>
      <c r="C361" s="694">
        <v>1</v>
      </c>
      <c r="D361" s="695" t="s">
        <v>3903</v>
      </c>
      <c r="E361" s="695">
        <v>1</v>
      </c>
      <c r="F361" s="695" t="s">
        <v>3904</v>
      </c>
      <c r="G361" s="695">
        <v>1</v>
      </c>
      <c r="H361" s="695" t="s">
        <v>3904</v>
      </c>
      <c r="I361" s="695">
        <v>359</v>
      </c>
      <c r="J361" s="695" t="s">
        <v>4257</v>
      </c>
      <c r="K361" s="695" t="s">
        <v>8543</v>
      </c>
      <c r="L361" s="696">
        <v>0</v>
      </c>
      <c r="M361" s="170"/>
    </row>
    <row r="362" spans="2:13" x14ac:dyDescent="0.2">
      <c r="B362" s="173"/>
      <c r="C362" s="694">
        <v>1</v>
      </c>
      <c r="D362" s="695" t="s">
        <v>3903</v>
      </c>
      <c r="E362" s="695">
        <v>1</v>
      </c>
      <c r="F362" s="695" t="s">
        <v>3904</v>
      </c>
      <c r="G362" s="695">
        <v>1</v>
      </c>
      <c r="H362" s="695" t="s">
        <v>3904</v>
      </c>
      <c r="I362" s="695">
        <v>360</v>
      </c>
      <c r="J362" s="695" t="s">
        <v>4258</v>
      </c>
      <c r="K362" s="695" t="s">
        <v>8543</v>
      </c>
      <c r="L362" s="696">
        <v>3</v>
      </c>
      <c r="M362" s="170"/>
    </row>
    <row r="363" spans="2:13" x14ac:dyDescent="0.2">
      <c r="B363" s="173"/>
      <c r="C363" s="694">
        <v>1</v>
      </c>
      <c r="D363" s="695" t="s">
        <v>3903</v>
      </c>
      <c r="E363" s="695">
        <v>1</v>
      </c>
      <c r="F363" s="695" t="s">
        <v>3904</v>
      </c>
      <c r="G363" s="695">
        <v>1</v>
      </c>
      <c r="H363" s="695" t="s">
        <v>3904</v>
      </c>
      <c r="I363" s="695">
        <v>361</v>
      </c>
      <c r="J363" s="695" t="s">
        <v>4259</v>
      </c>
      <c r="K363" s="695" t="s">
        <v>3985</v>
      </c>
      <c r="L363" s="696">
        <v>6</v>
      </c>
      <c r="M363" s="170"/>
    </row>
    <row r="364" spans="2:13" x14ac:dyDescent="0.2">
      <c r="B364" s="173"/>
      <c r="C364" s="694">
        <v>1</v>
      </c>
      <c r="D364" s="695" t="s">
        <v>3903</v>
      </c>
      <c r="E364" s="695">
        <v>1</v>
      </c>
      <c r="F364" s="695" t="s">
        <v>3904</v>
      </c>
      <c r="G364" s="695">
        <v>1</v>
      </c>
      <c r="H364" s="695" t="s">
        <v>3904</v>
      </c>
      <c r="I364" s="695">
        <v>362</v>
      </c>
      <c r="J364" s="695" t="s">
        <v>4260</v>
      </c>
      <c r="K364" s="695" t="s">
        <v>3985</v>
      </c>
      <c r="L364" s="696">
        <v>6</v>
      </c>
      <c r="M364" s="170"/>
    </row>
    <row r="365" spans="2:13" x14ac:dyDescent="0.2">
      <c r="B365" s="173"/>
      <c r="C365" s="694">
        <v>1</v>
      </c>
      <c r="D365" s="695" t="s">
        <v>3903</v>
      </c>
      <c r="E365" s="695">
        <v>1</v>
      </c>
      <c r="F365" s="695" t="s">
        <v>3904</v>
      </c>
      <c r="G365" s="695">
        <v>1</v>
      </c>
      <c r="H365" s="695" t="s">
        <v>3904</v>
      </c>
      <c r="I365" s="695">
        <v>363</v>
      </c>
      <c r="J365" s="695" t="s">
        <v>4261</v>
      </c>
      <c r="K365" s="695" t="s">
        <v>4009</v>
      </c>
      <c r="L365" s="696">
        <v>7</v>
      </c>
      <c r="M365" s="170"/>
    </row>
    <row r="366" spans="2:13" x14ac:dyDescent="0.2">
      <c r="B366" s="173"/>
      <c r="C366" s="694">
        <v>1</v>
      </c>
      <c r="D366" s="695" t="s">
        <v>3903</v>
      </c>
      <c r="E366" s="695">
        <v>1</v>
      </c>
      <c r="F366" s="695" t="s">
        <v>3904</v>
      </c>
      <c r="G366" s="695">
        <v>1</v>
      </c>
      <c r="H366" s="695" t="s">
        <v>3904</v>
      </c>
      <c r="I366" s="695">
        <v>364</v>
      </c>
      <c r="J366" s="695" t="s">
        <v>4262</v>
      </c>
      <c r="K366" s="695" t="s">
        <v>4009</v>
      </c>
      <c r="L366" s="696">
        <v>0</v>
      </c>
      <c r="M366" s="170"/>
    </row>
    <row r="367" spans="2:13" x14ac:dyDescent="0.2">
      <c r="B367" s="173"/>
      <c r="C367" s="694">
        <v>1</v>
      </c>
      <c r="D367" s="695" t="s">
        <v>3903</v>
      </c>
      <c r="E367" s="695">
        <v>1</v>
      </c>
      <c r="F367" s="695" t="s">
        <v>3904</v>
      </c>
      <c r="G367" s="695">
        <v>1</v>
      </c>
      <c r="H367" s="695" t="s">
        <v>3904</v>
      </c>
      <c r="I367" s="695">
        <v>365</v>
      </c>
      <c r="J367" s="695" t="s">
        <v>4263</v>
      </c>
      <c r="K367" s="695" t="s">
        <v>8544</v>
      </c>
      <c r="L367" s="696">
        <v>20</v>
      </c>
      <c r="M367" s="170"/>
    </row>
    <row r="368" spans="2:13" x14ac:dyDescent="0.2">
      <c r="B368" s="173"/>
      <c r="C368" s="694">
        <v>1</v>
      </c>
      <c r="D368" s="695" t="s">
        <v>3903</v>
      </c>
      <c r="E368" s="695">
        <v>1</v>
      </c>
      <c r="F368" s="695" t="s">
        <v>3904</v>
      </c>
      <c r="G368" s="695">
        <v>1</v>
      </c>
      <c r="H368" s="695" t="s">
        <v>3904</v>
      </c>
      <c r="I368" s="695">
        <v>366</v>
      </c>
      <c r="J368" s="695" t="s">
        <v>4264</v>
      </c>
      <c r="K368" s="695" t="s">
        <v>8544</v>
      </c>
      <c r="L368" s="696">
        <v>1</v>
      </c>
      <c r="M368" s="170"/>
    </row>
    <row r="369" spans="2:13" x14ac:dyDescent="0.2">
      <c r="B369" s="173"/>
      <c r="C369" s="694">
        <v>1</v>
      </c>
      <c r="D369" s="695" t="s">
        <v>3903</v>
      </c>
      <c r="E369" s="695">
        <v>1</v>
      </c>
      <c r="F369" s="695" t="s">
        <v>3904</v>
      </c>
      <c r="G369" s="695">
        <v>1</v>
      </c>
      <c r="H369" s="695" t="s">
        <v>3904</v>
      </c>
      <c r="I369" s="695">
        <v>367</v>
      </c>
      <c r="J369" s="695" t="s">
        <v>4265</v>
      </c>
      <c r="K369" s="695" t="s">
        <v>8544</v>
      </c>
      <c r="L369" s="696">
        <v>6</v>
      </c>
      <c r="M369" s="170"/>
    </row>
    <row r="370" spans="2:13" x14ac:dyDescent="0.2">
      <c r="B370" s="173"/>
      <c r="C370" s="694">
        <v>1</v>
      </c>
      <c r="D370" s="695" t="s">
        <v>3903</v>
      </c>
      <c r="E370" s="695">
        <v>1</v>
      </c>
      <c r="F370" s="695" t="s">
        <v>3904</v>
      </c>
      <c r="G370" s="695">
        <v>1</v>
      </c>
      <c r="H370" s="695" t="s">
        <v>3904</v>
      </c>
      <c r="I370" s="695">
        <v>368</v>
      </c>
      <c r="J370" s="695" t="s">
        <v>4266</v>
      </c>
      <c r="K370" s="695" t="s">
        <v>8544</v>
      </c>
      <c r="L370" s="696">
        <v>0</v>
      </c>
      <c r="M370" s="170"/>
    </row>
    <row r="371" spans="2:13" x14ac:dyDescent="0.2">
      <c r="B371" s="173"/>
      <c r="C371" s="694">
        <v>1</v>
      </c>
      <c r="D371" s="695" t="s">
        <v>3903</v>
      </c>
      <c r="E371" s="695">
        <v>1</v>
      </c>
      <c r="F371" s="695" t="s">
        <v>3904</v>
      </c>
      <c r="G371" s="695">
        <v>1</v>
      </c>
      <c r="H371" s="695" t="s">
        <v>3904</v>
      </c>
      <c r="I371" s="695">
        <v>369</v>
      </c>
      <c r="J371" s="695" t="s">
        <v>4267</v>
      </c>
      <c r="K371" s="695" t="s">
        <v>8544</v>
      </c>
      <c r="L371" s="696">
        <v>1</v>
      </c>
      <c r="M371" s="170"/>
    </row>
    <row r="372" spans="2:13" x14ac:dyDescent="0.2">
      <c r="B372" s="173"/>
      <c r="C372" s="694">
        <v>1</v>
      </c>
      <c r="D372" s="695" t="s">
        <v>3903</v>
      </c>
      <c r="E372" s="695">
        <v>1</v>
      </c>
      <c r="F372" s="695" t="s">
        <v>3904</v>
      </c>
      <c r="G372" s="695">
        <v>1</v>
      </c>
      <c r="H372" s="695" t="s">
        <v>3904</v>
      </c>
      <c r="I372" s="695">
        <v>370</v>
      </c>
      <c r="J372" s="695" t="s">
        <v>4268</v>
      </c>
      <c r="K372" s="695" t="s">
        <v>8544</v>
      </c>
      <c r="L372" s="696">
        <v>10</v>
      </c>
      <c r="M372" s="170"/>
    </row>
    <row r="373" spans="2:13" x14ac:dyDescent="0.2">
      <c r="B373" s="173"/>
      <c r="C373" s="694">
        <v>1</v>
      </c>
      <c r="D373" s="695" t="s">
        <v>3903</v>
      </c>
      <c r="E373" s="695">
        <v>1</v>
      </c>
      <c r="F373" s="695" t="s">
        <v>3904</v>
      </c>
      <c r="G373" s="695">
        <v>1</v>
      </c>
      <c r="H373" s="695" t="s">
        <v>3904</v>
      </c>
      <c r="I373" s="695">
        <v>371</v>
      </c>
      <c r="J373" s="695" t="s">
        <v>4269</v>
      </c>
      <c r="K373" s="695" t="s">
        <v>8544</v>
      </c>
      <c r="L373" s="696">
        <v>7</v>
      </c>
      <c r="M373" s="170"/>
    </row>
    <row r="374" spans="2:13" x14ac:dyDescent="0.2">
      <c r="B374" s="173"/>
      <c r="C374" s="694">
        <v>1</v>
      </c>
      <c r="D374" s="695" t="s">
        <v>3903</v>
      </c>
      <c r="E374" s="695">
        <v>1</v>
      </c>
      <c r="F374" s="695" t="s">
        <v>3904</v>
      </c>
      <c r="G374" s="695">
        <v>1</v>
      </c>
      <c r="H374" s="695" t="s">
        <v>3904</v>
      </c>
      <c r="I374" s="695">
        <v>372</v>
      </c>
      <c r="J374" s="695" t="s">
        <v>4270</v>
      </c>
      <c r="K374" s="695" t="s">
        <v>8544</v>
      </c>
      <c r="L374" s="696">
        <v>25</v>
      </c>
      <c r="M374" s="170"/>
    </row>
    <row r="375" spans="2:13" x14ac:dyDescent="0.2">
      <c r="B375" s="173"/>
      <c r="C375" s="694">
        <v>1</v>
      </c>
      <c r="D375" s="695" t="s">
        <v>3903</v>
      </c>
      <c r="E375" s="695">
        <v>1</v>
      </c>
      <c r="F375" s="695" t="s">
        <v>3904</v>
      </c>
      <c r="G375" s="695">
        <v>1</v>
      </c>
      <c r="H375" s="695" t="s">
        <v>3904</v>
      </c>
      <c r="I375" s="695">
        <v>373</v>
      </c>
      <c r="J375" s="695" t="s">
        <v>4271</v>
      </c>
      <c r="K375" s="695" t="s">
        <v>8544</v>
      </c>
      <c r="L375" s="696">
        <v>4</v>
      </c>
      <c r="M375" s="170"/>
    </row>
    <row r="376" spans="2:13" x14ac:dyDescent="0.2">
      <c r="B376" s="173"/>
      <c r="C376" s="694">
        <v>1</v>
      </c>
      <c r="D376" s="695" t="s">
        <v>3903</v>
      </c>
      <c r="E376" s="695">
        <v>1</v>
      </c>
      <c r="F376" s="695" t="s">
        <v>3904</v>
      </c>
      <c r="G376" s="695">
        <v>1</v>
      </c>
      <c r="H376" s="695" t="s">
        <v>3904</v>
      </c>
      <c r="I376" s="695">
        <v>374</v>
      </c>
      <c r="J376" s="695" t="s">
        <v>4272</v>
      </c>
      <c r="K376" s="695" t="s">
        <v>8544</v>
      </c>
      <c r="L376" s="696">
        <v>139</v>
      </c>
      <c r="M376" s="170"/>
    </row>
    <row r="377" spans="2:13" x14ac:dyDescent="0.2">
      <c r="B377" s="173"/>
      <c r="C377" s="694">
        <v>1</v>
      </c>
      <c r="D377" s="695" t="s">
        <v>3903</v>
      </c>
      <c r="E377" s="695">
        <v>1</v>
      </c>
      <c r="F377" s="695" t="s">
        <v>3904</v>
      </c>
      <c r="G377" s="695">
        <v>1</v>
      </c>
      <c r="H377" s="695" t="s">
        <v>3904</v>
      </c>
      <c r="I377" s="695">
        <v>375</v>
      </c>
      <c r="J377" s="695" t="s">
        <v>4273</v>
      </c>
      <c r="K377" s="695" t="s">
        <v>3985</v>
      </c>
      <c r="L377" s="696">
        <v>14</v>
      </c>
      <c r="M377" s="170"/>
    </row>
    <row r="378" spans="2:13" x14ac:dyDescent="0.2">
      <c r="B378" s="173"/>
      <c r="C378" s="694">
        <v>1</v>
      </c>
      <c r="D378" s="695" t="s">
        <v>3903</v>
      </c>
      <c r="E378" s="695">
        <v>1</v>
      </c>
      <c r="F378" s="695" t="s">
        <v>3904</v>
      </c>
      <c r="G378" s="695">
        <v>1</v>
      </c>
      <c r="H378" s="695" t="s">
        <v>3904</v>
      </c>
      <c r="I378" s="695">
        <v>376</v>
      </c>
      <c r="J378" s="695" t="s">
        <v>4274</v>
      </c>
      <c r="K378" s="695" t="s">
        <v>8544</v>
      </c>
      <c r="L378" s="696">
        <v>10</v>
      </c>
      <c r="M378" s="170"/>
    </row>
    <row r="379" spans="2:13" x14ac:dyDescent="0.2">
      <c r="B379" s="173"/>
      <c r="C379" s="694">
        <v>1</v>
      </c>
      <c r="D379" s="695" t="s">
        <v>3903</v>
      </c>
      <c r="E379" s="695">
        <v>1</v>
      </c>
      <c r="F379" s="695" t="s">
        <v>3904</v>
      </c>
      <c r="G379" s="695">
        <v>1</v>
      </c>
      <c r="H379" s="695" t="s">
        <v>3904</v>
      </c>
      <c r="I379" s="695">
        <v>377</v>
      </c>
      <c r="J379" s="695" t="s">
        <v>4275</v>
      </c>
      <c r="K379" s="695" t="s">
        <v>8544</v>
      </c>
      <c r="L379" s="696">
        <v>8</v>
      </c>
      <c r="M379" s="170"/>
    </row>
    <row r="380" spans="2:13" x14ac:dyDescent="0.2">
      <c r="B380" s="173"/>
      <c r="C380" s="694">
        <v>1</v>
      </c>
      <c r="D380" s="695" t="s">
        <v>3903</v>
      </c>
      <c r="E380" s="695">
        <v>1</v>
      </c>
      <c r="F380" s="695" t="s">
        <v>3904</v>
      </c>
      <c r="G380" s="695">
        <v>1</v>
      </c>
      <c r="H380" s="695" t="s">
        <v>3904</v>
      </c>
      <c r="I380" s="695">
        <v>378</v>
      </c>
      <c r="J380" s="695" t="s">
        <v>4276</v>
      </c>
      <c r="K380" s="695" t="s">
        <v>8544</v>
      </c>
      <c r="L380" s="696">
        <v>5</v>
      </c>
      <c r="M380" s="170"/>
    </row>
    <row r="381" spans="2:13" x14ac:dyDescent="0.2">
      <c r="B381" s="173"/>
      <c r="C381" s="694">
        <v>1</v>
      </c>
      <c r="D381" s="695" t="s">
        <v>3903</v>
      </c>
      <c r="E381" s="695">
        <v>1</v>
      </c>
      <c r="F381" s="695" t="s">
        <v>3904</v>
      </c>
      <c r="G381" s="695">
        <v>1</v>
      </c>
      <c r="H381" s="695" t="s">
        <v>3904</v>
      </c>
      <c r="I381" s="695">
        <v>379</v>
      </c>
      <c r="J381" s="695" t="s">
        <v>4277</v>
      </c>
      <c r="K381" s="695" t="s">
        <v>8544</v>
      </c>
      <c r="L381" s="696">
        <v>8</v>
      </c>
      <c r="M381" s="170"/>
    </row>
    <row r="382" spans="2:13" x14ac:dyDescent="0.2">
      <c r="B382" s="173"/>
      <c r="C382" s="694">
        <v>1</v>
      </c>
      <c r="D382" s="695" t="s">
        <v>3903</v>
      </c>
      <c r="E382" s="695">
        <v>1</v>
      </c>
      <c r="F382" s="695" t="s">
        <v>3904</v>
      </c>
      <c r="G382" s="695">
        <v>1</v>
      </c>
      <c r="H382" s="695" t="s">
        <v>3904</v>
      </c>
      <c r="I382" s="695">
        <v>380</v>
      </c>
      <c r="J382" s="695" t="s">
        <v>4278</v>
      </c>
      <c r="K382" s="695" t="s">
        <v>8544</v>
      </c>
      <c r="L382" s="696">
        <v>1</v>
      </c>
      <c r="M382" s="170"/>
    </row>
    <row r="383" spans="2:13" x14ac:dyDescent="0.2">
      <c r="B383" s="173"/>
      <c r="C383" s="694">
        <v>1</v>
      </c>
      <c r="D383" s="695" t="s">
        <v>3903</v>
      </c>
      <c r="E383" s="695">
        <v>1</v>
      </c>
      <c r="F383" s="695" t="s">
        <v>3904</v>
      </c>
      <c r="G383" s="695">
        <v>1</v>
      </c>
      <c r="H383" s="695" t="s">
        <v>3904</v>
      </c>
      <c r="I383" s="695">
        <v>381</v>
      </c>
      <c r="J383" s="695" t="s">
        <v>4279</v>
      </c>
      <c r="K383" s="695" t="s">
        <v>8544</v>
      </c>
      <c r="L383" s="696">
        <v>38</v>
      </c>
      <c r="M383" s="170"/>
    </row>
    <row r="384" spans="2:13" x14ac:dyDescent="0.2">
      <c r="B384" s="173"/>
      <c r="C384" s="694">
        <v>1</v>
      </c>
      <c r="D384" s="695" t="s">
        <v>3903</v>
      </c>
      <c r="E384" s="695">
        <v>1</v>
      </c>
      <c r="F384" s="695" t="s">
        <v>3904</v>
      </c>
      <c r="G384" s="695">
        <v>1</v>
      </c>
      <c r="H384" s="695" t="s">
        <v>3904</v>
      </c>
      <c r="I384" s="695">
        <v>382</v>
      </c>
      <c r="J384" s="695" t="s">
        <v>4280</v>
      </c>
      <c r="K384" s="695" t="s">
        <v>8544</v>
      </c>
      <c r="L384" s="696">
        <v>5</v>
      </c>
      <c r="M384" s="170"/>
    </row>
    <row r="385" spans="2:13" x14ac:dyDescent="0.2">
      <c r="B385" s="173"/>
      <c r="C385" s="694">
        <v>1</v>
      </c>
      <c r="D385" s="695" t="s">
        <v>3903</v>
      </c>
      <c r="E385" s="695">
        <v>1</v>
      </c>
      <c r="F385" s="695" t="s">
        <v>3904</v>
      </c>
      <c r="G385" s="695">
        <v>1</v>
      </c>
      <c r="H385" s="695" t="s">
        <v>3904</v>
      </c>
      <c r="I385" s="695">
        <v>383</v>
      </c>
      <c r="J385" s="695" t="s">
        <v>4281</v>
      </c>
      <c r="K385" s="695" t="s">
        <v>8543</v>
      </c>
      <c r="L385" s="696">
        <v>5</v>
      </c>
      <c r="M385" s="170"/>
    </row>
    <row r="386" spans="2:13" x14ac:dyDescent="0.2">
      <c r="B386" s="173"/>
      <c r="C386" s="694">
        <v>1</v>
      </c>
      <c r="D386" s="695" t="s">
        <v>3903</v>
      </c>
      <c r="E386" s="695">
        <v>1</v>
      </c>
      <c r="F386" s="695" t="s">
        <v>3904</v>
      </c>
      <c r="G386" s="695">
        <v>1</v>
      </c>
      <c r="H386" s="695" t="s">
        <v>3904</v>
      </c>
      <c r="I386" s="695">
        <v>384</v>
      </c>
      <c r="J386" s="695" t="s">
        <v>4282</v>
      </c>
      <c r="K386" s="695" t="s">
        <v>3985</v>
      </c>
      <c r="L386" s="696">
        <v>1</v>
      </c>
      <c r="M386" s="170"/>
    </row>
    <row r="387" spans="2:13" x14ac:dyDescent="0.2">
      <c r="B387" s="173"/>
      <c r="C387" s="694">
        <v>1</v>
      </c>
      <c r="D387" s="695" t="s">
        <v>3903</v>
      </c>
      <c r="E387" s="695">
        <v>1</v>
      </c>
      <c r="F387" s="695" t="s">
        <v>3904</v>
      </c>
      <c r="G387" s="695">
        <v>1</v>
      </c>
      <c r="H387" s="695" t="s">
        <v>3904</v>
      </c>
      <c r="I387" s="695">
        <v>385</v>
      </c>
      <c r="J387" s="695" t="s">
        <v>4283</v>
      </c>
      <c r="K387" s="695" t="s">
        <v>3907</v>
      </c>
      <c r="L387" s="696">
        <v>15</v>
      </c>
      <c r="M387" s="170"/>
    </row>
    <row r="388" spans="2:13" x14ac:dyDescent="0.2">
      <c r="B388" s="173"/>
      <c r="C388" s="694">
        <v>1</v>
      </c>
      <c r="D388" s="695" t="s">
        <v>3903</v>
      </c>
      <c r="E388" s="695">
        <v>1</v>
      </c>
      <c r="F388" s="695" t="s">
        <v>3904</v>
      </c>
      <c r="G388" s="695">
        <v>1</v>
      </c>
      <c r="H388" s="695" t="s">
        <v>3904</v>
      </c>
      <c r="I388" s="695">
        <v>386</v>
      </c>
      <c r="J388" s="695" t="s">
        <v>4284</v>
      </c>
      <c r="K388" s="695" t="s">
        <v>8544</v>
      </c>
      <c r="L388" s="696">
        <v>4</v>
      </c>
      <c r="M388" s="170"/>
    </row>
    <row r="389" spans="2:13" x14ac:dyDescent="0.2">
      <c r="B389" s="173"/>
      <c r="C389" s="694">
        <v>1</v>
      </c>
      <c r="D389" s="695" t="s">
        <v>3903</v>
      </c>
      <c r="E389" s="695">
        <v>1</v>
      </c>
      <c r="F389" s="695" t="s">
        <v>3904</v>
      </c>
      <c r="G389" s="695">
        <v>1</v>
      </c>
      <c r="H389" s="695" t="s">
        <v>3904</v>
      </c>
      <c r="I389" s="695">
        <v>387</v>
      </c>
      <c r="J389" s="695" t="s">
        <v>4285</v>
      </c>
      <c r="K389" s="695" t="s">
        <v>4009</v>
      </c>
      <c r="L389" s="696">
        <v>2</v>
      </c>
      <c r="M389" s="170"/>
    </row>
    <row r="390" spans="2:13" x14ac:dyDescent="0.2">
      <c r="B390" s="173"/>
      <c r="C390" s="694">
        <v>1</v>
      </c>
      <c r="D390" s="695" t="s">
        <v>3903</v>
      </c>
      <c r="E390" s="695">
        <v>1</v>
      </c>
      <c r="F390" s="695" t="s">
        <v>3904</v>
      </c>
      <c r="G390" s="695">
        <v>1</v>
      </c>
      <c r="H390" s="695" t="s">
        <v>3904</v>
      </c>
      <c r="I390" s="695">
        <v>388</v>
      </c>
      <c r="J390" s="695" t="s">
        <v>4286</v>
      </c>
      <c r="K390" s="695" t="s">
        <v>8544</v>
      </c>
      <c r="L390" s="696">
        <v>2</v>
      </c>
      <c r="M390" s="170"/>
    </row>
    <row r="391" spans="2:13" x14ac:dyDescent="0.2">
      <c r="B391" s="173"/>
      <c r="C391" s="694">
        <v>1</v>
      </c>
      <c r="D391" s="695" t="s">
        <v>3903</v>
      </c>
      <c r="E391" s="695">
        <v>1</v>
      </c>
      <c r="F391" s="695" t="s">
        <v>3904</v>
      </c>
      <c r="G391" s="695">
        <v>1</v>
      </c>
      <c r="H391" s="695" t="s">
        <v>3904</v>
      </c>
      <c r="I391" s="695">
        <v>389</v>
      </c>
      <c r="J391" s="695" t="s">
        <v>4287</v>
      </c>
      <c r="K391" s="695" t="s">
        <v>8544</v>
      </c>
      <c r="L391" s="696">
        <v>5</v>
      </c>
      <c r="M391" s="170"/>
    </row>
    <row r="392" spans="2:13" x14ac:dyDescent="0.2">
      <c r="B392" s="173"/>
      <c r="C392" s="694">
        <v>1</v>
      </c>
      <c r="D392" s="695" t="s">
        <v>3903</v>
      </c>
      <c r="E392" s="695">
        <v>1</v>
      </c>
      <c r="F392" s="695" t="s">
        <v>3904</v>
      </c>
      <c r="G392" s="695">
        <v>1</v>
      </c>
      <c r="H392" s="695" t="s">
        <v>3904</v>
      </c>
      <c r="I392" s="695">
        <v>391</v>
      </c>
      <c r="J392" s="695" t="s">
        <v>4288</v>
      </c>
      <c r="K392" s="695" t="s">
        <v>8544</v>
      </c>
      <c r="L392" s="696">
        <v>3</v>
      </c>
      <c r="M392" s="170"/>
    </row>
    <row r="393" spans="2:13" x14ac:dyDescent="0.2">
      <c r="B393" s="173"/>
      <c r="C393" s="694">
        <v>1</v>
      </c>
      <c r="D393" s="695" t="s">
        <v>3903</v>
      </c>
      <c r="E393" s="695">
        <v>1</v>
      </c>
      <c r="F393" s="695" t="s">
        <v>3904</v>
      </c>
      <c r="G393" s="695">
        <v>1</v>
      </c>
      <c r="H393" s="695" t="s">
        <v>3904</v>
      </c>
      <c r="I393" s="695">
        <v>392</v>
      </c>
      <c r="J393" s="695" t="s">
        <v>4289</v>
      </c>
      <c r="K393" s="695" t="s">
        <v>8544</v>
      </c>
      <c r="L393" s="696">
        <v>4</v>
      </c>
      <c r="M393" s="170"/>
    </row>
    <row r="394" spans="2:13" x14ac:dyDescent="0.2">
      <c r="B394" s="173"/>
      <c r="C394" s="694">
        <v>1</v>
      </c>
      <c r="D394" s="695" t="s">
        <v>3903</v>
      </c>
      <c r="E394" s="695">
        <v>1</v>
      </c>
      <c r="F394" s="695" t="s">
        <v>3904</v>
      </c>
      <c r="G394" s="695">
        <v>1</v>
      </c>
      <c r="H394" s="695" t="s">
        <v>3904</v>
      </c>
      <c r="I394" s="695">
        <v>393</v>
      </c>
      <c r="J394" s="695" t="s">
        <v>4290</v>
      </c>
      <c r="K394" s="695" t="s">
        <v>8544</v>
      </c>
      <c r="L394" s="696">
        <v>1</v>
      </c>
      <c r="M394" s="170"/>
    </row>
    <row r="395" spans="2:13" x14ac:dyDescent="0.2">
      <c r="B395" s="173"/>
      <c r="C395" s="694">
        <v>1</v>
      </c>
      <c r="D395" s="695" t="s">
        <v>3903</v>
      </c>
      <c r="E395" s="695">
        <v>1</v>
      </c>
      <c r="F395" s="695" t="s">
        <v>3904</v>
      </c>
      <c r="G395" s="695">
        <v>1</v>
      </c>
      <c r="H395" s="695" t="s">
        <v>3904</v>
      </c>
      <c r="I395" s="695">
        <v>394</v>
      </c>
      <c r="J395" s="695" t="s">
        <v>4291</v>
      </c>
      <c r="K395" s="695" t="s">
        <v>8544</v>
      </c>
      <c r="L395" s="696">
        <v>3</v>
      </c>
      <c r="M395" s="170"/>
    </row>
    <row r="396" spans="2:13" x14ac:dyDescent="0.2">
      <c r="B396" s="173"/>
      <c r="C396" s="694">
        <v>1</v>
      </c>
      <c r="D396" s="695" t="s">
        <v>3903</v>
      </c>
      <c r="E396" s="695">
        <v>1</v>
      </c>
      <c r="F396" s="695" t="s">
        <v>3904</v>
      </c>
      <c r="G396" s="695">
        <v>1</v>
      </c>
      <c r="H396" s="695" t="s">
        <v>3904</v>
      </c>
      <c r="I396" s="695">
        <v>395</v>
      </c>
      <c r="J396" s="695" t="s">
        <v>4292</v>
      </c>
      <c r="K396" s="695" t="s">
        <v>8544</v>
      </c>
      <c r="L396" s="696">
        <v>8</v>
      </c>
      <c r="M396" s="170"/>
    </row>
    <row r="397" spans="2:13" x14ac:dyDescent="0.2">
      <c r="B397" s="173"/>
      <c r="C397" s="694">
        <v>1</v>
      </c>
      <c r="D397" s="695" t="s">
        <v>3903</v>
      </c>
      <c r="E397" s="695">
        <v>1</v>
      </c>
      <c r="F397" s="695" t="s">
        <v>3904</v>
      </c>
      <c r="G397" s="695">
        <v>1</v>
      </c>
      <c r="H397" s="695" t="s">
        <v>3904</v>
      </c>
      <c r="I397" s="695">
        <v>396</v>
      </c>
      <c r="J397" s="695" t="s">
        <v>4076</v>
      </c>
      <c r="K397" s="695" t="s">
        <v>8544</v>
      </c>
      <c r="L397" s="696">
        <v>5</v>
      </c>
      <c r="M397" s="170"/>
    </row>
    <row r="398" spans="2:13" x14ac:dyDescent="0.2">
      <c r="B398" s="173"/>
      <c r="C398" s="694">
        <v>1</v>
      </c>
      <c r="D398" s="695" t="s">
        <v>3903</v>
      </c>
      <c r="E398" s="695">
        <v>1</v>
      </c>
      <c r="F398" s="695" t="s">
        <v>3904</v>
      </c>
      <c r="G398" s="695">
        <v>1</v>
      </c>
      <c r="H398" s="695" t="s">
        <v>3904</v>
      </c>
      <c r="I398" s="695">
        <v>397</v>
      </c>
      <c r="J398" s="695" t="s">
        <v>4293</v>
      </c>
      <c r="K398" s="695" t="s">
        <v>8544</v>
      </c>
      <c r="L398" s="696">
        <v>1</v>
      </c>
      <c r="M398" s="170"/>
    </row>
    <row r="399" spans="2:13" x14ac:dyDescent="0.2">
      <c r="B399" s="173"/>
      <c r="C399" s="694">
        <v>1</v>
      </c>
      <c r="D399" s="695" t="s">
        <v>3903</v>
      </c>
      <c r="E399" s="695">
        <v>1</v>
      </c>
      <c r="F399" s="695" t="s">
        <v>3904</v>
      </c>
      <c r="G399" s="695">
        <v>1</v>
      </c>
      <c r="H399" s="695" t="s">
        <v>3904</v>
      </c>
      <c r="I399" s="695">
        <v>398</v>
      </c>
      <c r="J399" s="695" t="s">
        <v>4294</v>
      </c>
      <c r="K399" s="695" t="s">
        <v>8544</v>
      </c>
      <c r="L399" s="696">
        <v>2</v>
      </c>
      <c r="M399" s="170"/>
    </row>
    <row r="400" spans="2:13" x14ac:dyDescent="0.2">
      <c r="B400" s="173"/>
      <c r="C400" s="694">
        <v>1</v>
      </c>
      <c r="D400" s="695" t="s">
        <v>3903</v>
      </c>
      <c r="E400" s="695">
        <v>1</v>
      </c>
      <c r="F400" s="695" t="s">
        <v>3904</v>
      </c>
      <c r="G400" s="695">
        <v>1</v>
      </c>
      <c r="H400" s="695" t="s">
        <v>3904</v>
      </c>
      <c r="I400" s="695">
        <v>399</v>
      </c>
      <c r="J400" s="695" t="s">
        <v>4295</v>
      </c>
      <c r="K400" s="695" t="s">
        <v>8544</v>
      </c>
      <c r="L400" s="696">
        <v>4</v>
      </c>
      <c r="M400" s="170"/>
    </row>
    <row r="401" spans="2:13" x14ac:dyDescent="0.2">
      <c r="B401" s="173"/>
      <c r="C401" s="694">
        <v>1</v>
      </c>
      <c r="D401" s="695" t="s">
        <v>3903</v>
      </c>
      <c r="E401" s="695">
        <v>1</v>
      </c>
      <c r="F401" s="695" t="s">
        <v>3904</v>
      </c>
      <c r="G401" s="695">
        <v>1</v>
      </c>
      <c r="H401" s="695" t="s">
        <v>3904</v>
      </c>
      <c r="I401" s="695">
        <v>400</v>
      </c>
      <c r="J401" s="695" t="s">
        <v>4296</v>
      </c>
      <c r="K401" s="695" t="s">
        <v>8544</v>
      </c>
      <c r="L401" s="696">
        <v>6</v>
      </c>
      <c r="M401" s="170"/>
    </row>
    <row r="402" spans="2:13" x14ac:dyDescent="0.2">
      <c r="B402" s="173"/>
      <c r="C402" s="694">
        <v>1</v>
      </c>
      <c r="D402" s="695" t="s">
        <v>3903</v>
      </c>
      <c r="E402" s="695">
        <v>1</v>
      </c>
      <c r="F402" s="695" t="s">
        <v>3904</v>
      </c>
      <c r="G402" s="695">
        <v>1</v>
      </c>
      <c r="H402" s="695" t="s">
        <v>3904</v>
      </c>
      <c r="I402" s="695">
        <v>401</v>
      </c>
      <c r="J402" s="695" t="s">
        <v>4297</v>
      </c>
      <c r="K402" s="695" t="s">
        <v>8544</v>
      </c>
      <c r="L402" s="696">
        <v>20</v>
      </c>
      <c r="M402" s="170"/>
    </row>
    <row r="403" spans="2:13" x14ac:dyDescent="0.2">
      <c r="B403" s="173"/>
      <c r="C403" s="694">
        <v>1</v>
      </c>
      <c r="D403" s="695" t="s">
        <v>3903</v>
      </c>
      <c r="E403" s="695">
        <v>1</v>
      </c>
      <c r="F403" s="695" t="s">
        <v>3904</v>
      </c>
      <c r="G403" s="695">
        <v>1</v>
      </c>
      <c r="H403" s="695" t="s">
        <v>3904</v>
      </c>
      <c r="I403" s="695">
        <v>402</v>
      </c>
      <c r="J403" s="695" t="s">
        <v>4298</v>
      </c>
      <c r="K403" s="695" t="s">
        <v>8544</v>
      </c>
      <c r="L403" s="696">
        <v>4</v>
      </c>
      <c r="M403" s="170"/>
    </row>
    <row r="404" spans="2:13" x14ac:dyDescent="0.2">
      <c r="B404" s="173"/>
      <c r="C404" s="694">
        <v>1</v>
      </c>
      <c r="D404" s="695" t="s">
        <v>3903</v>
      </c>
      <c r="E404" s="695">
        <v>1</v>
      </c>
      <c r="F404" s="695" t="s">
        <v>3904</v>
      </c>
      <c r="G404" s="695">
        <v>1</v>
      </c>
      <c r="H404" s="695" t="s">
        <v>3904</v>
      </c>
      <c r="I404" s="695">
        <v>403</v>
      </c>
      <c r="J404" s="695" t="s">
        <v>4299</v>
      </c>
      <c r="K404" s="695" t="s">
        <v>8544</v>
      </c>
      <c r="L404" s="696">
        <v>1</v>
      </c>
      <c r="M404" s="170"/>
    </row>
    <row r="405" spans="2:13" x14ac:dyDescent="0.2">
      <c r="B405" s="173"/>
      <c r="C405" s="694">
        <v>1</v>
      </c>
      <c r="D405" s="695" t="s">
        <v>3903</v>
      </c>
      <c r="E405" s="695">
        <v>1</v>
      </c>
      <c r="F405" s="695" t="s">
        <v>3904</v>
      </c>
      <c r="G405" s="695">
        <v>1</v>
      </c>
      <c r="H405" s="695" t="s">
        <v>3904</v>
      </c>
      <c r="I405" s="695">
        <v>404</v>
      </c>
      <c r="J405" s="695" t="s">
        <v>4300</v>
      </c>
      <c r="K405" s="695" t="s">
        <v>8544</v>
      </c>
      <c r="L405" s="696">
        <v>16</v>
      </c>
      <c r="M405" s="170"/>
    </row>
    <row r="406" spans="2:13" x14ac:dyDescent="0.2">
      <c r="B406" s="173"/>
      <c r="C406" s="694">
        <v>1</v>
      </c>
      <c r="D406" s="695" t="s">
        <v>3903</v>
      </c>
      <c r="E406" s="695">
        <v>1</v>
      </c>
      <c r="F406" s="695" t="s">
        <v>3904</v>
      </c>
      <c r="G406" s="695">
        <v>1</v>
      </c>
      <c r="H406" s="695" t="s">
        <v>3904</v>
      </c>
      <c r="I406" s="695">
        <v>405</v>
      </c>
      <c r="J406" s="695" t="s">
        <v>4301</v>
      </c>
      <c r="K406" s="695" t="s">
        <v>8544</v>
      </c>
      <c r="L406" s="696">
        <v>6</v>
      </c>
      <c r="M406" s="170"/>
    </row>
    <row r="407" spans="2:13" x14ac:dyDescent="0.2">
      <c r="B407" s="173"/>
      <c r="C407" s="694">
        <v>1</v>
      </c>
      <c r="D407" s="695" t="s">
        <v>3903</v>
      </c>
      <c r="E407" s="695">
        <v>1</v>
      </c>
      <c r="F407" s="695" t="s">
        <v>3904</v>
      </c>
      <c r="G407" s="695">
        <v>1</v>
      </c>
      <c r="H407" s="695" t="s">
        <v>3904</v>
      </c>
      <c r="I407" s="695">
        <v>406</v>
      </c>
      <c r="J407" s="695" t="s">
        <v>4302</v>
      </c>
      <c r="K407" s="695" t="s">
        <v>8544</v>
      </c>
      <c r="L407" s="696">
        <v>8</v>
      </c>
      <c r="M407" s="170"/>
    </row>
    <row r="408" spans="2:13" x14ac:dyDescent="0.2">
      <c r="B408" s="173"/>
      <c r="C408" s="694">
        <v>1</v>
      </c>
      <c r="D408" s="695" t="s">
        <v>3903</v>
      </c>
      <c r="E408" s="695">
        <v>1</v>
      </c>
      <c r="F408" s="695" t="s">
        <v>3904</v>
      </c>
      <c r="G408" s="695">
        <v>1</v>
      </c>
      <c r="H408" s="695" t="s">
        <v>3904</v>
      </c>
      <c r="I408" s="695">
        <v>407</v>
      </c>
      <c r="J408" s="695" t="s">
        <v>4303</v>
      </c>
      <c r="K408" s="695" t="s">
        <v>8544</v>
      </c>
      <c r="L408" s="696">
        <v>2</v>
      </c>
      <c r="M408" s="170"/>
    </row>
    <row r="409" spans="2:13" x14ac:dyDescent="0.2">
      <c r="B409" s="173"/>
      <c r="C409" s="694">
        <v>1</v>
      </c>
      <c r="D409" s="695" t="s">
        <v>3903</v>
      </c>
      <c r="E409" s="695">
        <v>1</v>
      </c>
      <c r="F409" s="695" t="s">
        <v>3904</v>
      </c>
      <c r="G409" s="695">
        <v>1</v>
      </c>
      <c r="H409" s="695" t="s">
        <v>3904</v>
      </c>
      <c r="I409" s="695">
        <v>408</v>
      </c>
      <c r="J409" s="695" t="s">
        <v>4304</v>
      </c>
      <c r="K409" s="695" t="s">
        <v>8544</v>
      </c>
      <c r="L409" s="696">
        <v>5</v>
      </c>
      <c r="M409" s="170"/>
    </row>
    <row r="410" spans="2:13" x14ac:dyDescent="0.2">
      <c r="B410" s="173"/>
      <c r="C410" s="694">
        <v>1</v>
      </c>
      <c r="D410" s="695" t="s">
        <v>3903</v>
      </c>
      <c r="E410" s="695">
        <v>1</v>
      </c>
      <c r="F410" s="695" t="s">
        <v>3904</v>
      </c>
      <c r="G410" s="695">
        <v>1</v>
      </c>
      <c r="H410" s="695" t="s">
        <v>3904</v>
      </c>
      <c r="I410" s="695">
        <v>409</v>
      </c>
      <c r="J410" s="695" t="s">
        <v>4305</v>
      </c>
      <c r="K410" s="695" t="s">
        <v>8544</v>
      </c>
      <c r="L410" s="696">
        <v>4</v>
      </c>
      <c r="M410" s="170"/>
    </row>
    <row r="411" spans="2:13" x14ac:dyDescent="0.2">
      <c r="B411" s="173"/>
      <c r="C411" s="694">
        <v>1</v>
      </c>
      <c r="D411" s="695" t="s">
        <v>3903</v>
      </c>
      <c r="E411" s="695">
        <v>1</v>
      </c>
      <c r="F411" s="695" t="s">
        <v>3904</v>
      </c>
      <c r="G411" s="695">
        <v>1</v>
      </c>
      <c r="H411" s="695" t="s">
        <v>3904</v>
      </c>
      <c r="I411" s="695">
        <v>410</v>
      </c>
      <c r="J411" s="695" t="s">
        <v>4306</v>
      </c>
      <c r="K411" s="695" t="s">
        <v>8543</v>
      </c>
      <c r="L411" s="696">
        <v>1</v>
      </c>
      <c r="M411" s="170"/>
    </row>
    <row r="412" spans="2:13" x14ac:dyDescent="0.2">
      <c r="B412" s="173"/>
      <c r="C412" s="694">
        <v>1</v>
      </c>
      <c r="D412" s="695" t="s">
        <v>3903</v>
      </c>
      <c r="E412" s="695">
        <v>1</v>
      </c>
      <c r="F412" s="695" t="s">
        <v>3904</v>
      </c>
      <c r="G412" s="695">
        <v>1</v>
      </c>
      <c r="H412" s="695" t="s">
        <v>3904</v>
      </c>
      <c r="I412" s="695">
        <v>411</v>
      </c>
      <c r="J412" s="695" t="s">
        <v>4307</v>
      </c>
      <c r="K412" s="695" t="s">
        <v>8544</v>
      </c>
      <c r="L412" s="696">
        <v>19</v>
      </c>
      <c r="M412" s="170"/>
    </row>
    <row r="413" spans="2:13" x14ac:dyDescent="0.2">
      <c r="B413" s="173"/>
      <c r="C413" s="694">
        <v>1</v>
      </c>
      <c r="D413" s="695" t="s">
        <v>3903</v>
      </c>
      <c r="E413" s="695">
        <v>1</v>
      </c>
      <c r="F413" s="695" t="s">
        <v>3904</v>
      </c>
      <c r="G413" s="695">
        <v>1</v>
      </c>
      <c r="H413" s="695" t="s">
        <v>3904</v>
      </c>
      <c r="I413" s="695">
        <v>412</v>
      </c>
      <c r="J413" s="695" t="s">
        <v>4308</v>
      </c>
      <c r="K413" s="695" t="s">
        <v>8544</v>
      </c>
      <c r="L413" s="696">
        <v>7</v>
      </c>
      <c r="M413" s="170"/>
    </row>
    <row r="414" spans="2:13" x14ac:dyDescent="0.2">
      <c r="B414" s="173"/>
      <c r="C414" s="694">
        <v>1</v>
      </c>
      <c r="D414" s="695" t="s">
        <v>3903</v>
      </c>
      <c r="E414" s="695">
        <v>1</v>
      </c>
      <c r="F414" s="695" t="s">
        <v>3904</v>
      </c>
      <c r="G414" s="695">
        <v>1</v>
      </c>
      <c r="H414" s="695" t="s">
        <v>3904</v>
      </c>
      <c r="I414" s="695">
        <v>413</v>
      </c>
      <c r="J414" s="695" t="s">
        <v>4309</v>
      </c>
      <c r="K414" s="695" t="s">
        <v>8544</v>
      </c>
      <c r="L414" s="696">
        <v>2</v>
      </c>
      <c r="M414" s="170"/>
    </row>
    <row r="415" spans="2:13" x14ac:dyDescent="0.2">
      <c r="B415" s="173"/>
      <c r="C415" s="694">
        <v>1</v>
      </c>
      <c r="D415" s="695" t="s">
        <v>3903</v>
      </c>
      <c r="E415" s="695">
        <v>1</v>
      </c>
      <c r="F415" s="695" t="s">
        <v>3904</v>
      </c>
      <c r="G415" s="695">
        <v>1</v>
      </c>
      <c r="H415" s="695" t="s">
        <v>3904</v>
      </c>
      <c r="I415" s="695">
        <v>414</v>
      </c>
      <c r="J415" s="695" t="s">
        <v>4310</v>
      </c>
      <c r="K415" s="695" t="s">
        <v>3985</v>
      </c>
      <c r="L415" s="696">
        <v>7</v>
      </c>
      <c r="M415" s="170"/>
    </row>
    <row r="416" spans="2:13" x14ac:dyDescent="0.2">
      <c r="B416" s="173"/>
      <c r="C416" s="694">
        <v>1</v>
      </c>
      <c r="D416" s="695" t="s">
        <v>3903</v>
      </c>
      <c r="E416" s="695">
        <v>1</v>
      </c>
      <c r="F416" s="695" t="s">
        <v>3904</v>
      </c>
      <c r="G416" s="695">
        <v>1</v>
      </c>
      <c r="H416" s="695" t="s">
        <v>3904</v>
      </c>
      <c r="I416" s="695">
        <v>415</v>
      </c>
      <c r="J416" s="695" t="s">
        <v>4311</v>
      </c>
      <c r="K416" s="695" t="s">
        <v>8544</v>
      </c>
      <c r="L416" s="696">
        <v>29</v>
      </c>
      <c r="M416" s="170"/>
    </row>
    <row r="417" spans="2:13" x14ac:dyDescent="0.2">
      <c r="B417" s="173"/>
      <c r="C417" s="694">
        <v>1</v>
      </c>
      <c r="D417" s="695" t="s">
        <v>3903</v>
      </c>
      <c r="E417" s="695">
        <v>1</v>
      </c>
      <c r="F417" s="695" t="s">
        <v>3904</v>
      </c>
      <c r="G417" s="695">
        <v>1</v>
      </c>
      <c r="H417" s="695" t="s">
        <v>3904</v>
      </c>
      <c r="I417" s="695">
        <v>416</v>
      </c>
      <c r="J417" s="695" t="s">
        <v>4312</v>
      </c>
      <c r="K417" s="695" t="s">
        <v>3907</v>
      </c>
      <c r="L417" s="696">
        <v>11</v>
      </c>
      <c r="M417" s="170"/>
    </row>
    <row r="418" spans="2:13" x14ac:dyDescent="0.2">
      <c r="B418" s="173"/>
      <c r="C418" s="694">
        <v>1</v>
      </c>
      <c r="D418" s="695" t="s">
        <v>3903</v>
      </c>
      <c r="E418" s="695">
        <v>1</v>
      </c>
      <c r="F418" s="695" t="s">
        <v>3904</v>
      </c>
      <c r="G418" s="695">
        <v>1</v>
      </c>
      <c r="H418" s="695" t="s">
        <v>3904</v>
      </c>
      <c r="I418" s="695">
        <v>417</v>
      </c>
      <c r="J418" s="695" t="s">
        <v>4313</v>
      </c>
      <c r="K418" s="695" t="s">
        <v>8544</v>
      </c>
      <c r="L418" s="696">
        <v>5</v>
      </c>
      <c r="M418" s="170"/>
    </row>
    <row r="419" spans="2:13" x14ac:dyDescent="0.2">
      <c r="B419" s="173"/>
      <c r="C419" s="694">
        <v>1</v>
      </c>
      <c r="D419" s="695" t="s">
        <v>3903</v>
      </c>
      <c r="E419" s="695">
        <v>1</v>
      </c>
      <c r="F419" s="695" t="s">
        <v>3904</v>
      </c>
      <c r="G419" s="695">
        <v>1</v>
      </c>
      <c r="H419" s="695" t="s">
        <v>3904</v>
      </c>
      <c r="I419" s="695">
        <v>418</v>
      </c>
      <c r="J419" s="695" t="s">
        <v>4314</v>
      </c>
      <c r="K419" s="695" t="s">
        <v>8544</v>
      </c>
      <c r="L419" s="696">
        <v>11</v>
      </c>
      <c r="M419" s="170"/>
    </row>
    <row r="420" spans="2:13" x14ac:dyDescent="0.2">
      <c r="B420" s="173"/>
      <c r="C420" s="694">
        <v>1</v>
      </c>
      <c r="D420" s="695" t="s">
        <v>3903</v>
      </c>
      <c r="E420" s="695">
        <v>1</v>
      </c>
      <c r="F420" s="695" t="s">
        <v>3904</v>
      </c>
      <c r="G420" s="695">
        <v>1</v>
      </c>
      <c r="H420" s="695" t="s">
        <v>3904</v>
      </c>
      <c r="I420" s="695">
        <v>419</v>
      </c>
      <c r="J420" s="695" t="s">
        <v>4315</v>
      </c>
      <c r="K420" s="695" t="s">
        <v>8544</v>
      </c>
      <c r="L420" s="696">
        <v>5</v>
      </c>
      <c r="M420" s="170"/>
    </row>
    <row r="421" spans="2:13" x14ac:dyDescent="0.2">
      <c r="B421" s="173"/>
      <c r="C421" s="694">
        <v>1</v>
      </c>
      <c r="D421" s="695" t="s">
        <v>3903</v>
      </c>
      <c r="E421" s="695">
        <v>1</v>
      </c>
      <c r="F421" s="695" t="s">
        <v>3904</v>
      </c>
      <c r="G421" s="695">
        <v>1</v>
      </c>
      <c r="H421" s="695" t="s">
        <v>3904</v>
      </c>
      <c r="I421" s="695">
        <v>420</v>
      </c>
      <c r="J421" s="695" t="s">
        <v>4316</v>
      </c>
      <c r="K421" s="695" t="s">
        <v>8544</v>
      </c>
      <c r="L421" s="696">
        <v>4</v>
      </c>
      <c r="M421" s="170"/>
    </row>
    <row r="422" spans="2:13" x14ac:dyDescent="0.2">
      <c r="B422" s="173"/>
      <c r="C422" s="694">
        <v>1</v>
      </c>
      <c r="D422" s="695" t="s">
        <v>3903</v>
      </c>
      <c r="E422" s="695">
        <v>1</v>
      </c>
      <c r="F422" s="695" t="s">
        <v>3904</v>
      </c>
      <c r="G422" s="695">
        <v>1</v>
      </c>
      <c r="H422" s="695" t="s">
        <v>3904</v>
      </c>
      <c r="I422" s="695">
        <v>421</v>
      </c>
      <c r="J422" s="695" t="s">
        <v>4317</v>
      </c>
      <c r="K422" s="695" t="s">
        <v>8544</v>
      </c>
      <c r="L422" s="696">
        <v>2</v>
      </c>
      <c r="M422" s="170"/>
    </row>
    <row r="423" spans="2:13" x14ac:dyDescent="0.2">
      <c r="B423" s="173"/>
      <c r="C423" s="694">
        <v>1</v>
      </c>
      <c r="D423" s="695" t="s">
        <v>3903</v>
      </c>
      <c r="E423" s="695">
        <v>1</v>
      </c>
      <c r="F423" s="695" t="s">
        <v>3904</v>
      </c>
      <c r="G423" s="695">
        <v>1</v>
      </c>
      <c r="H423" s="695" t="s">
        <v>3904</v>
      </c>
      <c r="I423" s="695">
        <v>422</v>
      </c>
      <c r="J423" s="695" t="s">
        <v>4318</v>
      </c>
      <c r="K423" s="695" t="s">
        <v>8544</v>
      </c>
      <c r="L423" s="696">
        <v>13</v>
      </c>
      <c r="M423" s="170"/>
    </row>
    <row r="424" spans="2:13" x14ac:dyDescent="0.2">
      <c r="B424" s="173"/>
      <c r="C424" s="694">
        <v>1</v>
      </c>
      <c r="D424" s="695" t="s">
        <v>3903</v>
      </c>
      <c r="E424" s="695">
        <v>1</v>
      </c>
      <c r="F424" s="695" t="s">
        <v>3904</v>
      </c>
      <c r="G424" s="695">
        <v>1</v>
      </c>
      <c r="H424" s="695" t="s">
        <v>3904</v>
      </c>
      <c r="I424" s="695">
        <v>423</v>
      </c>
      <c r="J424" s="695" t="s">
        <v>4319</v>
      </c>
      <c r="K424" s="695" t="s">
        <v>8544</v>
      </c>
      <c r="L424" s="696">
        <v>2</v>
      </c>
      <c r="M424" s="170"/>
    </row>
    <row r="425" spans="2:13" x14ac:dyDescent="0.2">
      <c r="B425" s="173"/>
      <c r="C425" s="694">
        <v>1</v>
      </c>
      <c r="D425" s="695" t="s">
        <v>3903</v>
      </c>
      <c r="E425" s="695">
        <v>1</v>
      </c>
      <c r="F425" s="695" t="s">
        <v>3904</v>
      </c>
      <c r="G425" s="695">
        <v>1</v>
      </c>
      <c r="H425" s="695" t="s">
        <v>3904</v>
      </c>
      <c r="I425" s="695">
        <v>424</v>
      </c>
      <c r="J425" s="695" t="s">
        <v>4320</v>
      </c>
      <c r="K425" s="695" t="s">
        <v>8544</v>
      </c>
      <c r="L425" s="696">
        <v>5</v>
      </c>
      <c r="M425" s="170"/>
    </row>
    <row r="426" spans="2:13" x14ac:dyDescent="0.2">
      <c r="B426" s="173"/>
      <c r="C426" s="694">
        <v>1</v>
      </c>
      <c r="D426" s="695" t="s">
        <v>3903</v>
      </c>
      <c r="E426" s="695">
        <v>1</v>
      </c>
      <c r="F426" s="695" t="s">
        <v>3904</v>
      </c>
      <c r="G426" s="695">
        <v>1</v>
      </c>
      <c r="H426" s="695" t="s">
        <v>3904</v>
      </c>
      <c r="I426" s="695">
        <v>425</v>
      </c>
      <c r="J426" s="695" t="s">
        <v>4312</v>
      </c>
      <c r="K426" s="695" t="s">
        <v>8544</v>
      </c>
      <c r="L426" s="696">
        <v>11</v>
      </c>
      <c r="M426" s="170"/>
    </row>
    <row r="427" spans="2:13" x14ac:dyDescent="0.2">
      <c r="B427" s="173"/>
      <c r="C427" s="694">
        <v>1</v>
      </c>
      <c r="D427" s="695" t="s">
        <v>3903</v>
      </c>
      <c r="E427" s="695">
        <v>1</v>
      </c>
      <c r="F427" s="695" t="s">
        <v>3904</v>
      </c>
      <c r="G427" s="695">
        <v>1</v>
      </c>
      <c r="H427" s="695" t="s">
        <v>3904</v>
      </c>
      <c r="I427" s="695">
        <v>426</v>
      </c>
      <c r="J427" s="695" t="s">
        <v>4321</v>
      </c>
      <c r="K427" s="695" t="s">
        <v>8544</v>
      </c>
      <c r="L427" s="696">
        <v>13</v>
      </c>
      <c r="M427" s="170"/>
    </row>
    <row r="428" spans="2:13" x14ac:dyDescent="0.2">
      <c r="B428" s="173"/>
      <c r="C428" s="694">
        <v>1</v>
      </c>
      <c r="D428" s="695" t="s">
        <v>3903</v>
      </c>
      <c r="E428" s="695">
        <v>1</v>
      </c>
      <c r="F428" s="695" t="s">
        <v>3904</v>
      </c>
      <c r="G428" s="695">
        <v>1</v>
      </c>
      <c r="H428" s="695" t="s">
        <v>3904</v>
      </c>
      <c r="I428" s="695">
        <v>427</v>
      </c>
      <c r="J428" s="695" t="s">
        <v>4322</v>
      </c>
      <c r="K428" s="695" t="s">
        <v>8544</v>
      </c>
      <c r="L428" s="696">
        <v>3</v>
      </c>
      <c r="M428" s="170"/>
    </row>
    <row r="429" spans="2:13" x14ac:dyDescent="0.2">
      <c r="B429" s="173"/>
      <c r="C429" s="694">
        <v>1</v>
      </c>
      <c r="D429" s="695" t="s">
        <v>3903</v>
      </c>
      <c r="E429" s="695">
        <v>1</v>
      </c>
      <c r="F429" s="695" t="s">
        <v>3904</v>
      </c>
      <c r="G429" s="695">
        <v>1</v>
      </c>
      <c r="H429" s="695" t="s">
        <v>3904</v>
      </c>
      <c r="I429" s="695">
        <v>428</v>
      </c>
      <c r="J429" s="695" t="s">
        <v>4323</v>
      </c>
      <c r="K429" s="695" t="s">
        <v>8544</v>
      </c>
      <c r="L429" s="696">
        <v>4</v>
      </c>
      <c r="M429" s="170"/>
    </row>
    <row r="430" spans="2:13" x14ac:dyDescent="0.2">
      <c r="B430" s="173"/>
      <c r="C430" s="694">
        <v>1</v>
      </c>
      <c r="D430" s="695" t="s">
        <v>3903</v>
      </c>
      <c r="E430" s="695">
        <v>1</v>
      </c>
      <c r="F430" s="695" t="s">
        <v>3904</v>
      </c>
      <c r="G430" s="695">
        <v>1</v>
      </c>
      <c r="H430" s="695" t="s">
        <v>3904</v>
      </c>
      <c r="I430" s="695">
        <v>429</v>
      </c>
      <c r="J430" s="695" t="s">
        <v>4324</v>
      </c>
      <c r="K430" s="695" t="s">
        <v>8544</v>
      </c>
      <c r="L430" s="696">
        <v>6</v>
      </c>
      <c r="M430" s="170"/>
    </row>
    <row r="431" spans="2:13" x14ac:dyDescent="0.2">
      <c r="B431" s="173"/>
      <c r="C431" s="694">
        <v>1</v>
      </c>
      <c r="D431" s="695" t="s">
        <v>3903</v>
      </c>
      <c r="E431" s="695">
        <v>1</v>
      </c>
      <c r="F431" s="695" t="s">
        <v>3904</v>
      </c>
      <c r="G431" s="695">
        <v>1</v>
      </c>
      <c r="H431" s="695" t="s">
        <v>3904</v>
      </c>
      <c r="I431" s="695">
        <v>430</v>
      </c>
      <c r="J431" s="695" t="s">
        <v>4325</v>
      </c>
      <c r="K431" s="695" t="s">
        <v>8544</v>
      </c>
      <c r="L431" s="696">
        <v>3</v>
      </c>
      <c r="M431" s="170"/>
    </row>
    <row r="432" spans="2:13" x14ac:dyDescent="0.2">
      <c r="B432" s="173"/>
      <c r="C432" s="694">
        <v>1</v>
      </c>
      <c r="D432" s="695" t="s">
        <v>3903</v>
      </c>
      <c r="E432" s="695">
        <v>1</v>
      </c>
      <c r="F432" s="695" t="s">
        <v>3904</v>
      </c>
      <c r="G432" s="695">
        <v>1</v>
      </c>
      <c r="H432" s="695" t="s">
        <v>3904</v>
      </c>
      <c r="I432" s="695">
        <v>431</v>
      </c>
      <c r="J432" s="695" t="s">
        <v>4326</v>
      </c>
      <c r="K432" s="695" t="s">
        <v>8544</v>
      </c>
      <c r="L432" s="696">
        <v>4</v>
      </c>
      <c r="M432" s="170"/>
    </row>
    <row r="433" spans="2:13" x14ac:dyDescent="0.2">
      <c r="B433" s="173"/>
      <c r="C433" s="694">
        <v>1</v>
      </c>
      <c r="D433" s="695" t="s">
        <v>3903</v>
      </c>
      <c r="E433" s="695">
        <v>1</v>
      </c>
      <c r="F433" s="695" t="s">
        <v>3904</v>
      </c>
      <c r="G433" s="695">
        <v>1</v>
      </c>
      <c r="H433" s="695" t="s">
        <v>3904</v>
      </c>
      <c r="I433" s="695">
        <v>432</v>
      </c>
      <c r="J433" s="695" t="s">
        <v>4327</v>
      </c>
      <c r="K433" s="695" t="s">
        <v>8544</v>
      </c>
      <c r="L433" s="696">
        <v>0</v>
      </c>
      <c r="M433" s="170"/>
    </row>
    <row r="434" spans="2:13" x14ac:dyDescent="0.2">
      <c r="B434" s="173"/>
      <c r="C434" s="694">
        <v>1</v>
      </c>
      <c r="D434" s="695" t="s">
        <v>3903</v>
      </c>
      <c r="E434" s="695">
        <v>1</v>
      </c>
      <c r="F434" s="695" t="s">
        <v>3904</v>
      </c>
      <c r="G434" s="695">
        <v>1</v>
      </c>
      <c r="H434" s="695" t="s">
        <v>3904</v>
      </c>
      <c r="I434" s="695">
        <v>433</v>
      </c>
      <c r="J434" s="695" t="s">
        <v>4328</v>
      </c>
      <c r="K434" s="695" t="s">
        <v>8544</v>
      </c>
      <c r="L434" s="696">
        <v>3</v>
      </c>
      <c r="M434" s="170"/>
    </row>
    <row r="435" spans="2:13" x14ac:dyDescent="0.2">
      <c r="B435" s="173"/>
      <c r="C435" s="694">
        <v>1</v>
      </c>
      <c r="D435" s="695" t="s">
        <v>3903</v>
      </c>
      <c r="E435" s="695">
        <v>1</v>
      </c>
      <c r="F435" s="695" t="s">
        <v>3904</v>
      </c>
      <c r="G435" s="695">
        <v>1</v>
      </c>
      <c r="H435" s="695" t="s">
        <v>3904</v>
      </c>
      <c r="I435" s="695">
        <v>434</v>
      </c>
      <c r="J435" s="695" t="s">
        <v>4329</v>
      </c>
      <c r="K435" s="695" t="s">
        <v>8544</v>
      </c>
      <c r="L435" s="696">
        <v>3</v>
      </c>
      <c r="M435" s="170"/>
    </row>
    <row r="436" spans="2:13" x14ac:dyDescent="0.2">
      <c r="B436" s="173"/>
      <c r="C436" s="694">
        <v>1</v>
      </c>
      <c r="D436" s="695" t="s">
        <v>3903</v>
      </c>
      <c r="E436" s="695">
        <v>1</v>
      </c>
      <c r="F436" s="695" t="s">
        <v>3904</v>
      </c>
      <c r="G436" s="695">
        <v>1</v>
      </c>
      <c r="H436" s="695" t="s">
        <v>3904</v>
      </c>
      <c r="I436" s="695">
        <v>435</v>
      </c>
      <c r="J436" s="695" t="s">
        <v>4330</v>
      </c>
      <c r="K436" s="695" t="s">
        <v>8544</v>
      </c>
      <c r="L436" s="696">
        <v>7</v>
      </c>
      <c r="M436" s="170"/>
    </row>
    <row r="437" spans="2:13" x14ac:dyDescent="0.2">
      <c r="B437" s="173"/>
      <c r="C437" s="694">
        <v>1</v>
      </c>
      <c r="D437" s="695" t="s">
        <v>3903</v>
      </c>
      <c r="E437" s="695">
        <v>1</v>
      </c>
      <c r="F437" s="695" t="s">
        <v>3904</v>
      </c>
      <c r="G437" s="695">
        <v>1</v>
      </c>
      <c r="H437" s="695" t="s">
        <v>3904</v>
      </c>
      <c r="I437" s="695">
        <v>436</v>
      </c>
      <c r="J437" s="695" t="s">
        <v>4331</v>
      </c>
      <c r="K437" s="695" t="s">
        <v>8544</v>
      </c>
      <c r="L437" s="696">
        <v>7</v>
      </c>
      <c r="M437" s="170"/>
    </row>
    <row r="438" spans="2:13" x14ac:dyDescent="0.2">
      <c r="B438" s="173"/>
      <c r="C438" s="694">
        <v>1</v>
      </c>
      <c r="D438" s="695" t="s">
        <v>3903</v>
      </c>
      <c r="E438" s="695">
        <v>1</v>
      </c>
      <c r="F438" s="695" t="s">
        <v>3904</v>
      </c>
      <c r="G438" s="695">
        <v>1</v>
      </c>
      <c r="H438" s="695" t="s">
        <v>3904</v>
      </c>
      <c r="I438" s="695">
        <v>437</v>
      </c>
      <c r="J438" s="695" t="s">
        <v>4332</v>
      </c>
      <c r="K438" s="695" t="s">
        <v>8544</v>
      </c>
      <c r="L438" s="696">
        <v>8</v>
      </c>
      <c r="M438" s="170"/>
    </row>
    <row r="439" spans="2:13" x14ac:dyDescent="0.2">
      <c r="B439" s="173"/>
      <c r="C439" s="694">
        <v>1</v>
      </c>
      <c r="D439" s="695" t="s">
        <v>3903</v>
      </c>
      <c r="E439" s="695">
        <v>1</v>
      </c>
      <c r="F439" s="695" t="s">
        <v>3904</v>
      </c>
      <c r="G439" s="695">
        <v>1</v>
      </c>
      <c r="H439" s="695" t="s">
        <v>3904</v>
      </c>
      <c r="I439" s="695">
        <v>438</v>
      </c>
      <c r="J439" s="695" t="s">
        <v>4333</v>
      </c>
      <c r="K439" s="695" t="s">
        <v>8544</v>
      </c>
      <c r="L439" s="696">
        <v>3</v>
      </c>
      <c r="M439" s="170"/>
    </row>
    <row r="440" spans="2:13" x14ac:dyDescent="0.2">
      <c r="B440" s="173"/>
      <c r="C440" s="694">
        <v>1</v>
      </c>
      <c r="D440" s="695" t="s">
        <v>3903</v>
      </c>
      <c r="E440" s="695">
        <v>1</v>
      </c>
      <c r="F440" s="695" t="s">
        <v>3904</v>
      </c>
      <c r="G440" s="695">
        <v>1</v>
      </c>
      <c r="H440" s="695" t="s">
        <v>3904</v>
      </c>
      <c r="I440" s="695">
        <v>439</v>
      </c>
      <c r="J440" s="695" t="s">
        <v>4334</v>
      </c>
      <c r="K440" s="695" t="s">
        <v>8544</v>
      </c>
      <c r="L440" s="696">
        <v>2</v>
      </c>
      <c r="M440" s="170"/>
    </row>
    <row r="441" spans="2:13" x14ac:dyDescent="0.2">
      <c r="B441" s="173"/>
      <c r="C441" s="694">
        <v>1</v>
      </c>
      <c r="D441" s="695" t="s">
        <v>3903</v>
      </c>
      <c r="E441" s="695">
        <v>1</v>
      </c>
      <c r="F441" s="695" t="s">
        <v>3904</v>
      </c>
      <c r="G441" s="695">
        <v>1</v>
      </c>
      <c r="H441" s="695" t="s">
        <v>3904</v>
      </c>
      <c r="I441" s="695">
        <v>440</v>
      </c>
      <c r="J441" s="695" t="s">
        <v>4335</v>
      </c>
      <c r="K441" s="695" t="s">
        <v>8544</v>
      </c>
      <c r="L441" s="696">
        <v>15</v>
      </c>
      <c r="M441" s="170"/>
    </row>
    <row r="442" spans="2:13" x14ac:dyDescent="0.2">
      <c r="B442" s="173"/>
      <c r="C442" s="694">
        <v>1</v>
      </c>
      <c r="D442" s="695" t="s">
        <v>3903</v>
      </c>
      <c r="E442" s="695">
        <v>1</v>
      </c>
      <c r="F442" s="695" t="s">
        <v>3904</v>
      </c>
      <c r="G442" s="695">
        <v>1</v>
      </c>
      <c r="H442" s="695" t="s">
        <v>3904</v>
      </c>
      <c r="I442" s="695">
        <v>441</v>
      </c>
      <c r="J442" s="695" t="s">
        <v>4336</v>
      </c>
      <c r="K442" s="695" t="s">
        <v>8544</v>
      </c>
      <c r="L442" s="696">
        <v>6</v>
      </c>
      <c r="M442" s="170"/>
    </row>
    <row r="443" spans="2:13" x14ac:dyDescent="0.2">
      <c r="B443" s="173"/>
      <c r="C443" s="694">
        <v>1</v>
      </c>
      <c r="D443" s="695" t="s">
        <v>3903</v>
      </c>
      <c r="E443" s="695">
        <v>1</v>
      </c>
      <c r="F443" s="695" t="s">
        <v>3904</v>
      </c>
      <c r="G443" s="695">
        <v>1</v>
      </c>
      <c r="H443" s="695" t="s">
        <v>3904</v>
      </c>
      <c r="I443" s="695">
        <v>442</v>
      </c>
      <c r="J443" s="695" t="s">
        <v>4337</v>
      </c>
      <c r="K443" s="695" t="s">
        <v>8544</v>
      </c>
      <c r="L443" s="696">
        <v>16</v>
      </c>
      <c r="M443" s="170"/>
    </row>
    <row r="444" spans="2:13" x14ac:dyDescent="0.2">
      <c r="B444" s="173"/>
      <c r="C444" s="694">
        <v>1</v>
      </c>
      <c r="D444" s="695" t="s">
        <v>3903</v>
      </c>
      <c r="E444" s="695">
        <v>1</v>
      </c>
      <c r="F444" s="695" t="s">
        <v>3904</v>
      </c>
      <c r="G444" s="695">
        <v>1</v>
      </c>
      <c r="H444" s="695" t="s">
        <v>3904</v>
      </c>
      <c r="I444" s="695">
        <v>443</v>
      </c>
      <c r="J444" s="695" t="s">
        <v>4331</v>
      </c>
      <c r="K444" s="695" t="s">
        <v>8544</v>
      </c>
      <c r="L444" s="696">
        <v>8</v>
      </c>
      <c r="M444" s="170"/>
    </row>
    <row r="445" spans="2:13" x14ac:dyDescent="0.2">
      <c r="B445" s="173"/>
      <c r="C445" s="694">
        <v>1</v>
      </c>
      <c r="D445" s="695" t="s">
        <v>3903</v>
      </c>
      <c r="E445" s="695">
        <v>1</v>
      </c>
      <c r="F445" s="695" t="s">
        <v>3904</v>
      </c>
      <c r="G445" s="695">
        <v>1</v>
      </c>
      <c r="H445" s="695" t="s">
        <v>3904</v>
      </c>
      <c r="I445" s="695">
        <v>444</v>
      </c>
      <c r="J445" s="695" t="s">
        <v>4338</v>
      </c>
      <c r="K445" s="695" t="s">
        <v>8544</v>
      </c>
      <c r="L445" s="696">
        <v>2</v>
      </c>
      <c r="M445" s="170"/>
    </row>
    <row r="446" spans="2:13" x14ac:dyDescent="0.2">
      <c r="B446" s="173"/>
      <c r="C446" s="694">
        <v>1</v>
      </c>
      <c r="D446" s="695" t="s">
        <v>3903</v>
      </c>
      <c r="E446" s="695">
        <v>1</v>
      </c>
      <c r="F446" s="695" t="s">
        <v>3904</v>
      </c>
      <c r="G446" s="695">
        <v>1</v>
      </c>
      <c r="H446" s="695" t="s">
        <v>3904</v>
      </c>
      <c r="I446" s="695">
        <v>445</v>
      </c>
      <c r="J446" s="695" t="s">
        <v>4339</v>
      </c>
      <c r="K446" s="695" t="s">
        <v>8544</v>
      </c>
      <c r="L446" s="696">
        <v>1</v>
      </c>
      <c r="M446" s="170"/>
    </row>
    <row r="447" spans="2:13" x14ac:dyDescent="0.2">
      <c r="B447" s="173"/>
      <c r="C447" s="694">
        <v>1</v>
      </c>
      <c r="D447" s="695" t="s">
        <v>3903</v>
      </c>
      <c r="E447" s="695">
        <v>1</v>
      </c>
      <c r="F447" s="695" t="s">
        <v>3904</v>
      </c>
      <c r="G447" s="695">
        <v>1</v>
      </c>
      <c r="H447" s="695" t="s">
        <v>3904</v>
      </c>
      <c r="I447" s="695">
        <v>446</v>
      </c>
      <c r="J447" s="695" t="s">
        <v>4340</v>
      </c>
      <c r="K447" s="695" t="s">
        <v>8544</v>
      </c>
      <c r="L447" s="696">
        <v>3</v>
      </c>
      <c r="M447" s="170"/>
    </row>
    <row r="448" spans="2:13" x14ac:dyDescent="0.2">
      <c r="B448" s="173"/>
      <c r="C448" s="694">
        <v>1</v>
      </c>
      <c r="D448" s="695" t="s">
        <v>3903</v>
      </c>
      <c r="E448" s="695">
        <v>1</v>
      </c>
      <c r="F448" s="695" t="s">
        <v>3904</v>
      </c>
      <c r="G448" s="695">
        <v>1</v>
      </c>
      <c r="H448" s="695" t="s">
        <v>3904</v>
      </c>
      <c r="I448" s="695">
        <v>447</v>
      </c>
      <c r="J448" s="695" t="s">
        <v>4341</v>
      </c>
      <c r="K448" s="695" t="s">
        <v>8544</v>
      </c>
      <c r="L448" s="696">
        <v>4</v>
      </c>
      <c r="M448" s="170"/>
    </row>
    <row r="449" spans="2:13" x14ac:dyDescent="0.2">
      <c r="B449" s="173"/>
      <c r="C449" s="694">
        <v>1</v>
      </c>
      <c r="D449" s="695" t="s">
        <v>3903</v>
      </c>
      <c r="E449" s="695">
        <v>1</v>
      </c>
      <c r="F449" s="695" t="s">
        <v>3904</v>
      </c>
      <c r="G449" s="695">
        <v>1</v>
      </c>
      <c r="H449" s="695" t="s">
        <v>3904</v>
      </c>
      <c r="I449" s="695">
        <v>448</v>
      </c>
      <c r="J449" s="695" t="s">
        <v>4342</v>
      </c>
      <c r="K449" s="695" t="s">
        <v>8544</v>
      </c>
      <c r="L449" s="696">
        <v>10</v>
      </c>
      <c r="M449" s="170"/>
    </row>
    <row r="450" spans="2:13" x14ac:dyDescent="0.2">
      <c r="B450" s="173"/>
      <c r="C450" s="694">
        <v>1</v>
      </c>
      <c r="D450" s="695" t="s">
        <v>3903</v>
      </c>
      <c r="E450" s="695">
        <v>1</v>
      </c>
      <c r="F450" s="695" t="s">
        <v>3904</v>
      </c>
      <c r="G450" s="695">
        <v>1</v>
      </c>
      <c r="H450" s="695" t="s">
        <v>3904</v>
      </c>
      <c r="I450" s="695">
        <v>449</v>
      </c>
      <c r="J450" s="695" t="s">
        <v>4343</v>
      </c>
      <c r="K450" s="695" t="s">
        <v>8544</v>
      </c>
      <c r="L450" s="696">
        <v>1</v>
      </c>
      <c r="M450" s="170"/>
    </row>
    <row r="451" spans="2:13" x14ac:dyDescent="0.2">
      <c r="B451" s="173"/>
      <c r="C451" s="694">
        <v>1</v>
      </c>
      <c r="D451" s="695" t="s">
        <v>3903</v>
      </c>
      <c r="E451" s="695">
        <v>1</v>
      </c>
      <c r="F451" s="695" t="s">
        <v>3904</v>
      </c>
      <c r="G451" s="695">
        <v>1</v>
      </c>
      <c r="H451" s="695" t="s">
        <v>3904</v>
      </c>
      <c r="I451" s="695">
        <v>450</v>
      </c>
      <c r="J451" s="695" t="s">
        <v>4344</v>
      </c>
      <c r="K451" s="695" t="s">
        <v>8544</v>
      </c>
      <c r="L451" s="696">
        <v>8</v>
      </c>
      <c r="M451" s="170"/>
    </row>
    <row r="452" spans="2:13" x14ac:dyDescent="0.2">
      <c r="B452" s="173"/>
      <c r="C452" s="694">
        <v>1</v>
      </c>
      <c r="D452" s="695" t="s">
        <v>3903</v>
      </c>
      <c r="E452" s="695">
        <v>1</v>
      </c>
      <c r="F452" s="695" t="s">
        <v>3904</v>
      </c>
      <c r="G452" s="695">
        <v>1</v>
      </c>
      <c r="H452" s="695" t="s">
        <v>3904</v>
      </c>
      <c r="I452" s="695">
        <v>451</v>
      </c>
      <c r="J452" s="695" t="s">
        <v>4345</v>
      </c>
      <c r="K452" s="695" t="s">
        <v>8544</v>
      </c>
      <c r="L452" s="696">
        <v>7</v>
      </c>
      <c r="M452" s="170"/>
    </row>
    <row r="453" spans="2:13" x14ac:dyDescent="0.2">
      <c r="B453" s="173"/>
      <c r="C453" s="694">
        <v>1</v>
      </c>
      <c r="D453" s="695" t="s">
        <v>3903</v>
      </c>
      <c r="E453" s="695">
        <v>1</v>
      </c>
      <c r="F453" s="695" t="s">
        <v>3904</v>
      </c>
      <c r="G453" s="695">
        <v>1</v>
      </c>
      <c r="H453" s="695" t="s">
        <v>3904</v>
      </c>
      <c r="I453" s="695">
        <v>452</v>
      </c>
      <c r="J453" s="695" t="s">
        <v>4346</v>
      </c>
      <c r="K453" s="695" t="s">
        <v>8544</v>
      </c>
      <c r="L453" s="696">
        <v>9</v>
      </c>
      <c r="M453" s="170"/>
    </row>
    <row r="454" spans="2:13" x14ac:dyDescent="0.2">
      <c r="B454" s="173"/>
      <c r="C454" s="694">
        <v>1</v>
      </c>
      <c r="D454" s="695" t="s">
        <v>3903</v>
      </c>
      <c r="E454" s="695">
        <v>1</v>
      </c>
      <c r="F454" s="695" t="s">
        <v>3904</v>
      </c>
      <c r="G454" s="695">
        <v>1</v>
      </c>
      <c r="H454" s="695" t="s">
        <v>3904</v>
      </c>
      <c r="I454" s="695">
        <v>453</v>
      </c>
      <c r="J454" s="695" t="s">
        <v>4347</v>
      </c>
      <c r="K454" s="695" t="s">
        <v>8544</v>
      </c>
      <c r="L454" s="696">
        <v>2</v>
      </c>
      <c r="M454" s="170"/>
    </row>
    <row r="455" spans="2:13" x14ac:dyDescent="0.2">
      <c r="B455" s="173"/>
      <c r="C455" s="694">
        <v>1</v>
      </c>
      <c r="D455" s="695" t="s">
        <v>3903</v>
      </c>
      <c r="E455" s="695">
        <v>1</v>
      </c>
      <c r="F455" s="695" t="s">
        <v>3904</v>
      </c>
      <c r="G455" s="695">
        <v>1</v>
      </c>
      <c r="H455" s="695" t="s">
        <v>3904</v>
      </c>
      <c r="I455" s="695">
        <v>454</v>
      </c>
      <c r="J455" s="695" t="s">
        <v>4348</v>
      </c>
      <c r="K455" s="695" t="s">
        <v>8544</v>
      </c>
      <c r="L455" s="696">
        <v>3</v>
      </c>
      <c r="M455" s="170"/>
    </row>
    <row r="456" spans="2:13" x14ac:dyDescent="0.2">
      <c r="B456" s="173"/>
      <c r="C456" s="694">
        <v>1</v>
      </c>
      <c r="D456" s="695" t="s">
        <v>3903</v>
      </c>
      <c r="E456" s="695">
        <v>1</v>
      </c>
      <c r="F456" s="695" t="s">
        <v>3904</v>
      </c>
      <c r="G456" s="695">
        <v>1</v>
      </c>
      <c r="H456" s="695" t="s">
        <v>3904</v>
      </c>
      <c r="I456" s="695">
        <v>455</v>
      </c>
      <c r="J456" s="695" t="s">
        <v>4349</v>
      </c>
      <c r="K456" s="695" t="s">
        <v>8544</v>
      </c>
      <c r="L456" s="696">
        <v>1</v>
      </c>
      <c r="M456" s="170"/>
    </row>
    <row r="457" spans="2:13" x14ac:dyDescent="0.2">
      <c r="B457" s="173"/>
      <c r="C457" s="694">
        <v>1</v>
      </c>
      <c r="D457" s="695" t="s">
        <v>3903</v>
      </c>
      <c r="E457" s="695">
        <v>1</v>
      </c>
      <c r="F457" s="695" t="s">
        <v>3904</v>
      </c>
      <c r="G457" s="695">
        <v>1</v>
      </c>
      <c r="H457" s="695" t="s">
        <v>3904</v>
      </c>
      <c r="I457" s="695">
        <v>456</v>
      </c>
      <c r="J457" s="695" t="s">
        <v>4350</v>
      </c>
      <c r="K457" s="695" t="s">
        <v>8544</v>
      </c>
      <c r="L457" s="696">
        <v>5</v>
      </c>
      <c r="M457" s="170"/>
    </row>
    <row r="458" spans="2:13" x14ac:dyDescent="0.2">
      <c r="B458" s="173"/>
      <c r="C458" s="694">
        <v>1</v>
      </c>
      <c r="D458" s="695" t="s">
        <v>3903</v>
      </c>
      <c r="E458" s="695">
        <v>1</v>
      </c>
      <c r="F458" s="695" t="s">
        <v>3904</v>
      </c>
      <c r="G458" s="695">
        <v>1</v>
      </c>
      <c r="H458" s="695" t="s">
        <v>3904</v>
      </c>
      <c r="I458" s="695">
        <v>457</v>
      </c>
      <c r="J458" s="695" t="s">
        <v>4351</v>
      </c>
      <c r="K458" s="695" t="s">
        <v>8544</v>
      </c>
      <c r="L458" s="696">
        <v>4</v>
      </c>
      <c r="M458" s="170"/>
    </row>
    <row r="459" spans="2:13" x14ac:dyDescent="0.2">
      <c r="B459" s="173"/>
      <c r="C459" s="694">
        <v>1</v>
      </c>
      <c r="D459" s="695" t="s">
        <v>3903</v>
      </c>
      <c r="E459" s="695">
        <v>1</v>
      </c>
      <c r="F459" s="695" t="s">
        <v>3904</v>
      </c>
      <c r="G459" s="695">
        <v>1</v>
      </c>
      <c r="H459" s="695" t="s">
        <v>3904</v>
      </c>
      <c r="I459" s="695">
        <v>458</v>
      </c>
      <c r="J459" s="695" t="s">
        <v>4352</v>
      </c>
      <c r="K459" s="695" t="s">
        <v>8544</v>
      </c>
      <c r="L459" s="696">
        <v>7</v>
      </c>
      <c r="M459" s="170"/>
    </row>
    <row r="460" spans="2:13" x14ac:dyDescent="0.2">
      <c r="B460" s="173"/>
      <c r="C460" s="694">
        <v>1</v>
      </c>
      <c r="D460" s="695" t="s">
        <v>3903</v>
      </c>
      <c r="E460" s="695">
        <v>1</v>
      </c>
      <c r="F460" s="695" t="s">
        <v>3904</v>
      </c>
      <c r="G460" s="695">
        <v>1</v>
      </c>
      <c r="H460" s="695" t="s">
        <v>3904</v>
      </c>
      <c r="I460" s="695">
        <v>459</v>
      </c>
      <c r="J460" s="695" t="s">
        <v>4353</v>
      </c>
      <c r="K460" s="695" t="s">
        <v>8544</v>
      </c>
      <c r="L460" s="696">
        <v>5</v>
      </c>
      <c r="M460" s="170"/>
    </row>
    <row r="461" spans="2:13" x14ac:dyDescent="0.2">
      <c r="B461" s="173"/>
      <c r="C461" s="694">
        <v>1</v>
      </c>
      <c r="D461" s="695" t="s">
        <v>3903</v>
      </c>
      <c r="E461" s="695">
        <v>1</v>
      </c>
      <c r="F461" s="695" t="s">
        <v>3904</v>
      </c>
      <c r="G461" s="695">
        <v>1</v>
      </c>
      <c r="H461" s="695" t="s">
        <v>3904</v>
      </c>
      <c r="I461" s="695">
        <v>460</v>
      </c>
      <c r="J461" s="695" t="s">
        <v>4354</v>
      </c>
      <c r="K461" s="695" t="s">
        <v>8544</v>
      </c>
      <c r="L461" s="696">
        <v>1</v>
      </c>
      <c r="M461" s="170"/>
    </row>
    <row r="462" spans="2:13" x14ac:dyDescent="0.2">
      <c r="B462" s="173"/>
      <c r="C462" s="694">
        <v>1</v>
      </c>
      <c r="D462" s="695" t="s">
        <v>3903</v>
      </c>
      <c r="E462" s="695">
        <v>1</v>
      </c>
      <c r="F462" s="695" t="s">
        <v>3904</v>
      </c>
      <c r="G462" s="695">
        <v>1</v>
      </c>
      <c r="H462" s="695" t="s">
        <v>3904</v>
      </c>
      <c r="I462" s="695">
        <v>461</v>
      </c>
      <c r="J462" s="695" t="s">
        <v>4355</v>
      </c>
      <c r="K462" s="695" t="s">
        <v>8544</v>
      </c>
      <c r="L462" s="696">
        <v>7</v>
      </c>
      <c r="M462" s="170"/>
    </row>
    <row r="463" spans="2:13" x14ac:dyDescent="0.2">
      <c r="B463" s="173"/>
      <c r="C463" s="694">
        <v>1</v>
      </c>
      <c r="D463" s="695" t="s">
        <v>3903</v>
      </c>
      <c r="E463" s="695">
        <v>1</v>
      </c>
      <c r="F463" s="695" t="s">
        <v>3904</v>
      </c>
      <c r="G463" s="695">
        <v>1</v>
      </c>
      <c r="H463" s="695" t="s">
        <v>3904</v>
      </c>
      <c r="I463" s="695">
        <v>462</v>
      </c>
      <c r="J463" s="695" t="s">
        <v>4356</v>
      </c>
      <c r="K463" s="695" t="s">
        <v>8543</v>
      </c>
      <c r="L463" s="696">
        <v>4</v>
      </c>
      <c r="M463" s="170"/>
    </row>
    <row r="464" spans="2:13" x14ac:dyDescent="0.2">
      <c r="B464" s="173"/>
      <c r="C464" s="694">
        <v>1</v>
      </c>
      <c r="D464" s="695" t="s">
        <v>3903</v>
      </c>
      <c r="E464" s="695">
        <v>1</v>
      </c>
      <c r="F464" s="695" t="s">
        <v>3904</v>
      </c>
      <c r="G464" s="695">
        <v>1</v>
      </c>
      <c r="H464" s="695" t="s">
        <v>3904</v>
      </c>
      <c r="I464" s="695">
        <v>463</v>
      </c>
      <c r="J464" s="695" t="s">
        <v>4357</v>
      </c>
      <c r="K464" s="695" t="s">
        <v>8544</v>
      </c>
      <c r="L464" s="696">
        <v>9</v>
      </c>
      <c r="M464" s="170"/>
    </row>
    <row r="465" spans="2:13" x14ac:dyDescent="0.2">
      <c r="B465" s="173"/>
      <c r="C465" s="694">
        <v>1</v>
      </c>
      <c r="D465" s="695" t="s">
        <v>3903</v>
      </c>
      <c r="E465" s="695">
        <v>1</v>
      </c>
      <c r="F465" s="695" t="s">
        <v>3904</v>
      </c>
      <c r="G465" s="695">
        <v>1</v>
      </c>
      <c r="H465" s="695" t="s">
        <v>3904</v>
      </c>
      <c r="I465" s="695">
        <v>464</v>
      </c>
      <c r="J465" s="695" t="s">
        <v>4358</v>
      </c>
      <c r="K465" s="695" t="s">
        <v>8544</v>
      </c>
      <c r="L465" s="696">
        <v>40</v>
      </c>
      <c r="M465" s="170"/>
    </row>
    <row r="466" spans="2:13" x14ac:dyDescent="0.2">
      <c r="B466" s="173"/>
      <c r="C466" s="694">
        <v>1</v>
      </c>
      <c r="D466" s="695" t="s">
        <v>3903</v>
      </c>
      <c r="E466" s="695">
        <v>1</v>
      </c>
      <c r="F466" s="695" t="s">
        <v>3904</v>
      </c>
      <c r="G466" s="695">
        <v>1</v>
      </c>
      <c r="H466" s="695" t="s">
        <v>3904</v>
      </c>
      <c r="I466" s="695">
        <v>466</v>
      </c>
      <c r="J466" s="695" t="s">
        <v>4359</v>
      </c>
      <c r="K466" s="695" t="s">
        <v>3907</v>
      </c>
      <c r="L466" s="696">
        <v>1</v>
      </c>
      <c r="M466" s="170"/>
    </row>
    <row r="467" spans="2:13" x14ac:dyDescent="0.2">
      <c r="B467" s="173"/>
      <c r="C467" s="694">
        <v>1</v>
      </c>
      <c r="D467" s="695" t="s">
        <v>3903</v>
      </c>
      <c r="E467" s="695">
        <v>1</v>
      </c>
      <c r="F467" s="695" t="s">
        <v>3904</v>
      </c>
      <c r="G467" s="695">
        <v>1</v>
      </c>
      <c r="H467" s="695" t="s">
        <v>3904</v>
      </c>
      <c r="I467" s="695">
        <v>467</v>
      </c>
      <c r="J467" s="695" t="s">
        <v>4360</v>
      </c>
      <c r="K467" s="695" t="s">
        <v>8544</v>
      </c>
      <c r="L467" s="696">
        <v>6</v>
      </c>
      <c r="M467" s="170"/>
    </row>
    <row r="468" spans="2:13" x14ac:dyDescent="0.2">
      <c r="B468" s="173"/>
      <c r="C468" s="694">
        <v>1</v>
      </c>
      <c r="D468" s="695" t="s">
        <v>3903</v>
      </c>
      <c r="E468" s="695">
        <v>1</v>
      </c>
      <c r="F468" s="695" t="s">
        <v>3904</v>
      </c>
      <c r="G468" s="695">
        <v>1</v>
      </c>
      <c r="H468" s="695" t="s">
        <v>3904</v>
      </c>
      <c r="I468" s="695">
        <v>468</v>
      </c>
      <c r="J468" s="695" t="s">
        <v>4361</v>
      </c>
      <c r="K468" s="695" t="s">
        <v>8544</v>
      </c>
      <c r="L468" s="696">
        <v>13</v>
      </c>
      <c r="M468" s="170"/>
    </row>
    <row r="469" spans="2:13" x14ac:dyDescent="0.2">
      <c r="B469" s="173"/>
      <c r="C469" s="694">
        <v>1</v>
      </c>
      <c r="D469" s="695" t="s">
        <v>3903</v>
      </c>
      <c r="E469" s="695">
        <v>1</v>
      </c>
      <c r="F469" s="695" t="s">
        <v>3904</v>
      </c>
      <c r="G469" s="695">
        <v>1</v>
      </c>
      <c r="H469" s="695" t="s">
        <v>3904</v>
      </c>
      <c r="I469" s="695">
        <v>469</v>
      </c>
      <c r="J469" s="695" t="s">
        <v>4362</v>
      </c>
      <c r="K469" s="695" t="s">
        <v>8544</v>
      </c>
      <c r="L469" s="696">
        <v>15</v>
      </c>
      <c r="M469" s="170"/>
    </row>
    <row r="470" spans="2:13" x14ac:dyDescent="0.2">
      <c r="B470" s="173"/>
      <c r="C470" s="694">
        <v>1</v>
      </c>
      <c r="D470" s="695" t="s">
        <v>3903</v>
      </c>
      <c r="E470" s="695">
        <v>1</v>
      </c>
      <c r="F470" s="695" t="s">
        <v>3904</v>
      </c>
      <c r="G470" s="695">
        <v>1</v>
      </c>
      <c r="H470" s="695" t="s">
        <v>3904</v>
      </c>
      <c r="I470" s="695">
        <v>470</v>
      </c>
      <c r="J470" s="695" t="s">
        <v>4363</v>
      </c>
      <c r="K470" s="695" t="s">
        <v>8544</v>
      </c>
      <c r="L470" s="696">
        <v>9</v>
      </c>
      <c r="M470" s="170"/>
    </row>
    <row r="471" spans="2:13" x14ac:dyDescent="0.2">
      <c r="B471" s="173"/>
      <c r="C471" s="694">
        <v>1</v>
      </c>
      <c r="D471" s="695" t="s">
        <v>3903</v>
      </c>
      <c r="E471" s="695">
        <v>1</v>
      </c>
      <c r="F471" s="695" t="s">
        <v>3904</v>
      </c>
      <c r="G471" s="695">
        <v>1</v>
      </c>
      <c r="H471" s="695" t="s">
        <v>3904</v>
      </c>
      <c r="I471" s="695">
        <v>471</v>
      </c>
      <c r="J471" s="695" t="s">
        <v>4364</v>
      </c>
      <c r="K471" s="695" t="s">
        <v>8544</v>
      </c>
      <c r="L471" s="696">
        <v>5</v>
      </c>
      <c r="M471" s="170"/>
    </row>
    <row r="472" spans="2:13" x14ac:dyDescent="0.2">
      <c r="B472" s="173"/>
      <c r="C472" s="694">
        <v>1</v>
      </c>
      <c r="D472" s="695" t="s">
        <v>3903</v>
      </c>
      <c r="E472" s="695">
        <v>1</v>
      </c>
      <c r="F472" s="695" t="s">
        <v>3904</v>
      </c>
      <c r="G472" s="695">
        <v>1</v>
      </c>
      <c r="H472" s="695" t="s">
        <v>3904</v>
      </c>
      <c r="I472" s="695">
        <v>472</v>
      </c>
      <c r="J472" s="695" t="s">
        <v>4365</v>
      </c>
      <c r="K472" s="695" t="s">
        <v>8544</v>
      </c>
      <c r="L472" s="696">
        <v>6</v>
      </c>
      <c r="M472" s="170"/>
    </row>
    <row r="473" spans="2:13" x14ac:dyDescent="0.2">
      <c r="B473" s="173"/>
      <c r="C473" s="694">
        <v>1</v>
      </c>
      <c r="D473" s="695" t="s">
        <v>3903</v>
      </c>
      <c r="E473" s="695">
        <v>1</v>
      </c>
      <c r="F473" s="695" t="s">
        <v>3904</v>
      </c>
      <c r="G473" s="695">
        <v>1</v>
      </c>
      <c r="H473" s="695" t="s">
        <v>3904</v>
      </c>
      <c r="I473" s="695">
        <v>473</v>
      </c>
      <c r="J473" s="695" t="s">
        <v>4366</v>
      </c>
      <c r="K473" s="695" t="s">
        <v>8544</v>
      </c>
      <c r="L473" s="696">
        <v>2</v>
      </c>
      <c r="M473" s="170"/>
    </row>
    <row r="474" spans="2:13" x14ac:dyDescent="0.2">
      <c r="B474" s="173"/>
      <c r="C474" s="694">
        <v>1</v>
      </c>
      <c r="D474" s="695" t="s">
        <v>3903</v>
      </c>
      <c r="E474" s="695">
        <v>1</v>
      </c>
      <c r="F474" s="695" t="s">
        <v>3904</v>
      </c>
      <c r="G474" s="695">
        <v>1</v>
      </c>
      <c r="H474" s="695" t="s">
        <v>3904</v>
      </c>
      <c r="I474" s="695">
        <v>474</v>
      </c>
      <c r="J474" s="695" t="s">
        <v>4367</v>
      </c>
      <c r="K474" s="695" t="s">
        <v>8544</v>
      </c>
      <c r="L474" s="696">
        <v>5</v>
      </c>
      <c r="M474" s="170"/>
    </row>
    <row r="475" spans="2:13" x14ac:dyDescent="0.2">
      <c r="B475" s="173"/>
      <c r="C475" s="694">
        <v>1</v>
      </c>
      <c r="D475" s="695" t="s">
        <v>3903</v>
      </c>
      <c r="E475" s="695">
        <v>1</v>
      </c>
      <c r="F475" s="695" t="s">
        <v>3904</v>
      </c>
      <c r="G475" s="695">
        <v>1</v>
      </c>
      <c r="H475" s="695" t="s">
        <v>3904</v>
      </c>
      <c r="I475" s="695">
        <v>475</v>
      </c>
      <c r="J475" s="695" t="s">
        <v>4368</v>
      </c>
      <c r="K475" s="695" t="s">
        <v>8544</v>
      </c>
      <c r="L475" s="696">
        <v>12</v>
      </c>
      <c r="M475" s="170"/>
    </row>
    <row r="476" spans="2:13" x14ac:dyDescent="0.2">
      <c r="B476" s="173"/>
      <c r="C476" s="694">
        <v>1</v>
      </c>
      <c r="D476" s="695" t="s">
        <v>3903</v>
      </c>
      <c r="E476" s="695">
        <v>1</v>
      </c>
      <c r="F476" s="695" t="s">
        <v>3904</v>
      </c>
      <c r="G476" s="695">
        <v>1</v>
      </c>
      <c r="H476" s="695" t="s">
        <v>3904</v>
      </c>
      <c r="I476" s="695">
        <v>476</v>
      </c>
      <c r="J476" s="695" t="s">
        <v>4369</v>
      </c>
      <c r="K476" s="695" t="s">
        <v>8544</v>
      </c>
      <c r="L476" s="696">
        <v>4</v>
      </c>
      <c r="M476" s="170"/>
    </row>
    <row r="477" spans="2:13" x14ac:dyDescent="0.2">
      <c r="B477" s="173"/>
      <c r="C477" s="694">
        <v>1</v>
      </c>
      <c r="D477" s="695" t="s">
        <v>3903</v>
      </c>
      <c r="E477" s="695">
        <v>1</v>
      </c>
      <c r="F477" s="695" t="s">
        <v>3904</v>
      </c>
      <c r="G477" s="695">
        <v>1</v>
      </c>
      <c r="H477" s="695" t="s">
        <v>3904</v>
      </c>
      <c r="I477" s="695">
        <v>477</v>
      </c>
      <c r="J477" s="695" t="s">
        <v>4370</v>
      </c>
      <c r="K477" s="695" t="s">
        <v>3985</v>
      </c>
      <c r="L477" s="696">
        <v>3</v>
      </c>
      <c r="M477" s="170"/>
    </row>
    <row r="478" spans="2:13" x14ac:dyDescent="0.2">
      <c r="B478" s="173"/>
      <c r="C478" s="694">
        <v>1</v>
      </c>
      <c r="D478" s="695" t="s">
        <v>3903</v>
      </c>
      <c r="E478" s="695">
        <v>1</v>
      </c>
      <c r="F478" s="695" t="s">
        <v>3904</v>
      </c>
      <c r="G478" s="695">
        <v>1</v>
      </c>
      <c r="H478" s="695" t="s">
        <v>3904</v>
      </c>
      <c r="I478" s="695">
        <v>478</v>
      </c>
      <c r="J478" s="695" t="s">
        <v>4371</v>
      </c>
      <c r="K478" s="695" t="s">
        <v>4009</v>
      </c>
      <c r="L478" s="696">
        <v>70</v>
      </c>
      <c r="M478" s="170"/>
    </row>
    <row r="479" spans="2:13" x14ac:dyDescent="0.2">
      <c r="B479" s="173"/>
      <c r="C479" s="694">
        <v>1</v>
      </c>
      <c r="D479" s="695" t="s">
        <v>3903</v>
      </c>
      <c r="E479" s="695">
        <v>1</v>
      </c>
      <c r="F479" s="695" t="s">
        <v>3904</v>
      </c>
      <c r="G479" s="695">
        <v>1</v>
      </c>
      <c r="H479" s="695" t="s">
        <v>3904</v>
      </c>
      <c r="I479" s="695">
        <v>479</v>
      </c>
      <c r="J479" s="695" t="s">
        <v>4372</v>
      </c>
      <c r="K479" s="695" t="s">
        <v>8543</v>
      </c>
      <c r="L479" s="696">
        <v>15</v>
      </c>
      <c r="M479" s="170"/>
    </row>
    <row r="480" spans="2:13" x14ac:dyDescent="0.2">
      <c r="B480" s="173"/>
      <c r="C480" s="694">
        <v>1</v>
      </c>
      <c r="D480" s="695" t="s">
        <v>3903</v>
      </c>
      <c r="E480" s="695">
        <v>1</v>
      </c>
      <c r="F480" s="695" t="s">
        <v>3904</v>
      </c>
      <c r="G480" s="695">
        <v>1</v>
      </c>
      <c r="H480" s="695" t="s">
        <v>3904</v>
      </c>
      <c r="I480" s="695">
        <v>480</v>
      </c>
      <c r="J480" s="695" t="s">
        <v>4373</v>
      </c>
      <c r="K480" s="695" t="s">
        <v>8544</v>
      </c>
      <c r="L480" s="696">
        <v>2</v>
      </c>
      <c r="M480" s="170"/>
    </row>
    <row r="481" spans="2:13" x14ac:dyDescent="0.2">
      <c r="B481" s="173"/>
      <c r="C481" s="694">
        <v>1</v>
      </c>
      <c r="D481" s="695" t="s">
        <v>3903</v>
      </c>
      <c r="E481" s="695">
        <v>1</v>
      </c>
      <c r="F481" s="695" t="s">
        <v>3904</v>
      </c>
      <c r="G481" s="695">
        <v>1</v>
      </c>
      <c r="H481" s="695" t="s">
        <v>3904</v>
      </c>
      <c r="I481" s="695">
        <v>481</v>
      </c>
      <c r="J481" s="695" t="s">
        <v>4374</v>
      </c>
      <c r="K481" s="695" t="s">
        <v>8544</v>
      </c>
      <c r="L481" s="696">
        <v>23</v>
      </c>
      <c r="M481" s="170"/>
    </row>
    <row r="482" spans="2:13" x14ac:dyDescent="0.2">
      <c r="B482" s="173"/>
      <c r="C482" s="694">
        <v>1</v>
      </c>
      <c r="D482" s="695" t="s">
        <v>3903</v>
      </c>
      <c r="E482" s="695">
        <v>1</v>
      </c>
      <c r="F482" s="695" t="s">
        <v>3904</v>
      </c>
      <c r="G482" s="695">
        <v>1</v>
      </c>
      <c r="H482" s="695" t="s">
        <v>3904</v>
      </c>
      <c r="I482" s="695">
        <v>482</v>
      </c>
      <c r="J482" s="695" t="s">
        <v>4375</v>
      </c>
      <c r="K482" s="695" t="s">
        <v>8544</v>
      </c>
      <c r="L482" s="696">
        <v>15</v>
      </c>
      <c r="M482" s="170"/>
    </row>
    <row r="483" spans="2:13" x14ac:dyDescent="0.2">
      <c r="B483" s="173"/>
      <c r="C483" s="694">
        <v>1</v>
      </c>
      <c r="D483" s="695" t="s">
        <v>3903</v>
      </c>
      <c r="E483" s="695">
        <v>1</v>
      </c>
      <c r="F483" s="695" t="s">
        <v>3904</v>
      </c>
      <c r="G483" s="695">
        <v>1</v>
      </c>
      <c r="H483" s="695" t="s">
        <v>3904</v>
      </c>
      <c r="I483" s="695">
        <v>483</v>
      </c>
      <c r="J483" s="695" t="s">
        <v>4376</v>
      </c>
      <c r="K483" s="695" t="s">
        <v>8544</v>
      </c>
      <c r="L483" s="696">
        <v>25</v>
      </c>
      <c r="M483" s="170"/>
    </row>
    <row r="484" spans="2:13" x14ac:dyDescent="0.2">
      <c r="B484" s="173"/>
      <c r="C484" s="694">
        <v>1</v>
      </c>
      <c r="D484" s="695" t="s">
        <v>3903</v>
      </c>
      <c r="E484" s="695">
        <v>1</v>
      </c>
      <c r="F484" s="695" t="s">
        <v>3904</v>
      </c>
      <c r="G484" s="695">
        <v>1</v>
      </c>
      <c r="H484" s="695" t="s">
        <v>3904</v>
      </c>
      <c r="I484" s="695">
        <v>484</v>
      </c>
      <c r="J484" s="695" t="s">
        <v>4377</v>
      </c>
      <c r="K484" s="695" t="s">
        <v>8544</v>
      </c>
      <c r="L484" s="696">
        <v>7</v>
      </c>
      <c r="M484" s="170"/>
    </row>
    <row r="485" spans="2:13" x14ac:dyDescent="0.2">
      <c r="B485" s="173"/>
      <c r="C485" s="694">
        <v>1</v>
      </c>
      <c r="D485" s="695" t="s">
        <v>3903</v>
      </c>
      <c r="E485" s="695">
        <v>1</v>
      </c>
      <c r="F485" s="695" t="s">
        <v>3904</v>
      </c>
      <c r="G485" s="695">
        <v>1</v>
      </c>
      <c r="H485" s="695" t="s">
        <v>3904</v>
      </c>
      <c r="I485" s="695">
        <v>485</v>
      </c>
      <c r="J485" s="695" t="s">
        <v>4378</v>
      </c>
      <c r="K485" s="695" t="s">
        <v>8544</v>
      </c>
      <c r="L485" s="696">
        <v>4</v>
      </c>
      <c r="M485" s="170"/>
    </row>
    <row r="486" spans="2:13" x14ac:dyDescent="0.2">
      <c r="B486" s="173"/>
      <c r="C486" s="694">
        <v>1</v>
      </c>
      <c r="D486" s="695" t="s">
        <v>3903</v>
      </c>
      <c r="E486" s="695">
        <v>1</v>
      </c>
      <c r="F486" s="695" t="s">
        <v>3904</v>
      </c>
      <c r="G486" s="695">
        <v>1</v>
      </c>
      <c r="H486" s="695" t="s">
        <v>3904</v>
      </c>
      <c r="I486" s="695">
        <v>486</v>
      </c>
      <c r="J486" s="695" t="s">
        <v>4379</v>
      </c>
      <c r="K486" s="695" t="s">
        <v>8544</v>
      </c>
      <c r="L486" s="696">
        <v>6</v>
      </c>
      <c r="M486" s="170"/>
    </row>
    <row r="487" spans="2:13" x14ac:dyDescent="0.2">
      <c r="B487" s="173"/>
      <c r="C487" s="694">
        <v>1</v>
      </c>
      <c r="D487" s="695" t="s">
        <v>3903</v>
      </c>
      <c r="E487" s="695">
        <v>1</v>
      </c>
      <c r="F487" s="695" t="s">
        <v>3904</v>
      </c>
      <c r="G487" s="695">
        <v>1</v>
      </c>
      <c r="H487" s="695" t="s">
        <v>3904</v>
      </c>
      <c r="I487" s="695">
        <v>487</v>
      </c>
      <c r="J487" s="695" t="s">
        <v>4151</v>
      </c>
      <c r="K487" s="695" t="s">
        <v>8544</v>
      </c>
      <c r="L487" s="696">
        <v>7</v>
      </c>
      <c r="M487" s="170"/>
    </row>
    <row r="488" spans="2:13" x14ac:dyDescent="0.2">
      <c r="B488" s="173"/>
      <c r="C488" s="694">
        <v>1</v>
      </c>
      <c r="D488" s="695" t="s">
        <v>3903</v>
      </c>
      <c r="E488" s="695">
        <v>1</v>
      </c>
      <c r="F488" s="695" t="s">
        <v>3904</v>
      </c>
      <c r="G488" s="695">
        <v>1</v>
      </c>
      <c r="H488" s="695" t="s">
        <v>3904</v>
      </c>
      <c r="I488" s="695">
        <v>488</v>
      </c>
      <c r="J488" s="695" t="s">
        <v>4380</v>
      </c>
      <c r="K488" s="695" t="s">
        <v>8544</v>
      </c>
      <c r="L488" s="696">
        <v>35</v>
      </c>
      <c r="M488" s="170"/>
    </row>
    <row r="489" spans="2:13" x14ac:dyDescent="0.2">
      <c r="B489" s="173"/>
      <c r="C489" s="694">
        <v>1</v>
      </c>
      <c r="D489" s="695" t="s">
        <v>3903</v>
      </c>
      <c r="E489" s="695">
        <v>1</v>
      </c>
      <c r="F489" s="695" t="s">
        <v>3904</v>
      </c>
      <c r="G489" s="695">
        <v>1</v>
      </c>
      <c r="H489" s="695" t="s">
        <v>3904</v>
      </c>
      <c r="I489" s="695">
        <v>489</v>
      </c>
      <c r="J489" s="695" t="s">
        <v>4381</v>
      </c>
      <c r="K489" s="695" t="s">
        <v>8544</v>
      </c>
      <c r="L489" s="696">
        <v>1</v>
      </c>
      <c r="M489" s="170"/>
    </row>
    <row r="490" spans="2:13" x14ac:dyDescent="0.2">
      <c r="B490" s="173"/>
      <c r="C490" s="694">
        <v>1</v>
      </c>
      <c r="D490" s="695" t="s">
        <v>3903</v>
      </c>
      <c r="E490" s="695">
        <v>1</v>
      </c>
      <c r="F490" s="695" t="s">
        <v>3904</v>
      </c>
      <c r="G490" s="695">
        <v>1</v>
      </c>
      <c r="H490" s="695" t="s">
        <v>3904</v>
      </c>
      <c r="I490" s="695">
        <v>490</v>
      </c>
      <c r="J490" s="695" t="s">
        <v>4382</v>
      </c>
      <c r="K490" s="695" t="s">
        <v>3907</v>
      </c>
      <c r="L490" s="696">
        <v>16</v>
      </c>
      <c r="M490" s="170"/>
    </row>
    <row r="491" spans="2:13" x14ac:dyDescent="0.2">
      <c r="B491" s="173"/>
      <c r="C491" s="694">
        <v>1</v>
      </c>
      <c r="D491" s="695" t="s">
        <v>3903</v>
      </c>
      <c r="E491" s="695">
        <v>1</v>
      </c>
      <c r="F491" s="695" t="s">
        <v>3904</v>
      </c>
      <c r="G491" s="695">
        <v>1</v>
      </c>
      <c r="H491" s="695" t="s">
        <v>3904</v>
      </c>
      <c r="I491" s="695">
        <v>491</v>
      </c>
      <c r="J491" s="695" t="s">
        <v>4383</v>
      </c>
      <c r="K491" s="695" t="s">
        <v>3907</v>
      </c>
      <c r="L491" s="696">
        <v>9</v>
      </c>
      <c r="M491" s="170"/>
    </row>
    <row r="492" spans="2:13" x14ac:dyDescent="0.2">
      <c r="B492" s="173"/>
      <c r="C492" s="694">
        <v>1</v>
      </c>
      <c r="D492" s="695" t="s">
        <v>3903</v>
      </c>
      <c r="E492" s="695">
        <v>1</v>
      </c>
      <c r="F492" s="695" t="s">
        <v>3904</v>
      </c>
      <c r="G492" s="695">
        <v>1</v>
      </c>
      <c r="H492" s="695" t="s">
        <v>3904</v>
      </c>
      <c r="I492" s="695">
        <v>492</v>
      </c>
      <c r="J492" s="695" t="s">
        <v>4384</v>
      </c>
      <c r="K492" s="695" t="s">
        <v>4057</v>
      </c>
      <c r="L492" s="696">
        <v>2</v>
      </c>
      <c r="M492" s="170"/>
    </row>
    <row r="493" spans="2:13" x14ac:dyDescent="0.2">
      <c r="B493" s="173"/>
      <c r="C493" s="694">
        <v>1</v>
      </c>
      <c r="D493" s="695" t="s">
        <v>3903</v>
      </c>
      <c r="E493" s="695">
        <v>1</v>
      </c>
      <c r="F493" s="695" t="s">
        <v>3904</v>
      </c>
      <c r="G493" s="695">
        <v>1</v>
      </c>
      <c r="H493" s="695" t="s">
        <v>3904</v>
      </c>
      <c r="I493" s="695">
        <v>493</v>
      </c>
      <c r="J493" s="695" t="s">
        <v>4385</v>
      </c>
      <c r="K493" s="695" t="s">
        <v>3907</v>
      </c>
      <c r="L493" s="696">
        <v>1</v>
      </c>
      <c r="M493" s="170"/>
    </row>
    <row r="494" spans="2:13" x14ac:dyDescent="0.2">
      <c r="B494" s="173"/>
      <c r="C494" s="694">
        <v>1</v>
      </c>
      <c r="D494" s="695" t="s">
        <v>3903</v>
      </c>
      <c r="E494" s="695">
        <v>1</v>
      </c>
      <c r="F494" s="695" t="s">
        <v>3904</v>
      </c>
      <c r="G494" s="695">
        <v>1</v>
      </c>
      <c r="H494" s="695" t="s">
        <v>3904</v>
      </c>
      <c r="I494" s="695">
        <v>494</v>
      </c>
      <c r="J494" s="695" t="s">
        <v>4386</v>
      </c>
      <c r="K494" s="695" t="s">
        <v>8544</v>
      </c>
      <c r="L494" s="696">
        <v>7</v>
      </c>
      <c r="M494" s="170"/>
    </row>
    <row r="495" spans="2:13" x14ac:dyDescent="0.2">
      <c r="B495" s="173"/>
      <c r="C495" s="694">
        <v>1</v>
      </c>
      <c r="D495" s="695" t="s">
        <v>3903</v>
      </c>
      <c r="E495" s="695">
        <v>1</v>
      </c>
      <c r="F495" s="695" t="s">
        <v>3904</v>
      </c>
      <c r="G495" s="695">
        <v>1</v>
      </c>
      <c r="H495" s="695" t="s">
        <v>3904</v>
      </c>
      <c r="I495" s="695">
        <v>495</v>
      </c>
      <c r="J495" s="695" t="s">
        <v>4387</v>
      </c>
      <c r="K495" s="695" t="s">
        <v>8544</v>
      </c>
      <c r="L495" s="696">
        <v>4</v>
      </c>
      <c r="M495" s="170"/>
    </row>
    <row r="496" spans="2:13" x14ac:dyDescent="0.2">
      <c r="B496" s="173"/>
      <c r="C496" s="694">
        <v>1</v>
      </c>
      <c r="D496" s="695" t="s">
        <v>3903</v>
      </c>
      <c r="E496" s="695">
        <v>1</v>
      </c>
      <c r="F496" s="695" t="s">
        <v>3904</v>
      </c>
      <c r="G496" s="695">
        <v>1</v>
      </c>
      <c r="H496" s="695" t="s">
        <v>3904</v>
      </c>
      <c r="I496" s="695">
        <v>496</v>
      </c>
      <c r="J496" s="695" t="s">
        <v>4388</v>
      </c>
      <c r="K496" s="695" t="s">
        <v>3907</v>
      </c>
      <c r="L496" s="696">
        <v>2</v>
      </c>
      <c r="M496" s="170"/>
    </row>
    <row r="497" spans="2:13" x14ac:dyDescent="0.2">
      <c r="B497" s="173"/>
      <c r="C497" s="694">
        <v>1</v>
      </c>
      <c r="D497" s="695" t="s">
        <v>3903</v>
      </c>
      <c r="E497" s="695">
        <v>1</v>
      </c>
      <c r="F497" s="695" t="s">
        <v>3904</v>
      </c>
      <c r="G497" s="695">
        <v>1</v>
      </c>
      <c r="H497" s="695" t="s">
        <v>3904</v>
      </c>
      <c r="I497" s="695">
        <v>497</v>
      </c>
      <c r="J497" s="695" t="s">
        <v>4389</v>
      </c>
      <c r="K497" s="695" t="s">
        <v>8544</v>
      </c>
      <c r="L497" s="696">
        <v>24</v>
      </c>
      <c r="M497" s="170"/>
    </row>
    <row r="498" spans="2:13" x14ac:dyDescent="0.2">
      <c r="B498" s="173"/>
      <c r="C498" s="694">
        <v>1</v>
      </c>
      <c r="D498" s="695" t="s">
        <v>3903</v>
      </c>
      <c r="E498" s="695">
        <v>1</v>
      </c>
      <c r="F498" s="695" t="s">
        <v>3904</v>
      </c>
      <c r="G498" s="695">
        <v>1</v>
      </c>
      <c r="H498" s="695" t="s">
        <v>3904</v>
      </c>
      <c r="I498" s="695">
        <v>498</v>
      </c>
      <c r="J498" s="695" t="s">
        <v>4390</v>
      </c>
      <c r="K498" s="695" t="s">
        <v>8544</v>
      </c>
      <c r="L498" s="696">
        <v>3</v>
      </c>
      <c r="M498" s="170"/>
    </row>
    <row r="499" spans="2:13" x14ac:dyDescent="0.2">
      <c r="B499" s="173"/>
      <c r="C499" s="694">
        <v>1</v>
      </c>
      <c r="D499" s="695" t="s">
        <v>3903</v>
      </c>
      <c r="E499" s="695">
        <v>1</v>
      </c>
      <c r="F499" s="695" t="s">
        <v>3904</v>
      </c>
      <c r="G499" s="695">
        <v>1</v>
      </c>
      <c r="H499" s="695" t="s">
        <v>3904</v>
      </c>
      <c r="I499" s="695">
        <v>499</v>
      </c>
      <c r="J499" s="695" t="s">
        <v>4391</v>
      </c>
      <c r="K499" s="695" t="s">
        <v>8544</v>
      </c>
      <c r="L499" s="696">
        <v>2</v>
      </c>
      <c r="M499" s="170"/>
    </row>
    <row r="500" spans="2:13" x14ac:dyDescent="0.2">
      <c r="B500" s="173"/>
      <c r="C500" s="694">
        <v>1</v>
      </c>
      <c r="D500" s="695" t="s">
        <v>3903</v>
      </c>
      <c r="E500" s="695">
        <v>1</v>
      </c>
      <c r="F500" s="695" t="s">
        <v>3904</v>
      </c>
      <c r="G500" s="695">
        <v>1</v>
      </c>
      <c r="H500" s="695" t="s">
        <v>3904</v>
      </c>
      <c r="I500" s="695">
        <v>500</v>
      </c>
      <c r="J500" s="695" t="s">
        <v>4392</v>
      </c>
      <c r="K500" s="695" t="s">
        <v>8544</v>
      </c>
      <c r="L500" s="696">
        <v>6</v>
      </c>
      <c r="M500" s="170"/>
    </row>
    <row r="501" spans="2:13" x14ac:dyDescent="0.2">
      <c r="B501" s="173"/>
      <c r="C501" s="694">
        <v>1</v>
      </c>
      <c r="D501" s="695" t="s">
        <v>3903</v>
      </c>
      <c r="E501" s="695">
        <v>1</v>
      </c>
      <c r="F501" s="695" t="s">
        <v>3904</v>
      </c>
      <c r="G501" s="695">
        <v>1</v>
      </c>
      <c r="H501" s="695" t="s">
        <v>3904</v>
      </c>
      <c r="I501" s="695">
        <v>501</v>
      </c>
      <c r="J501" s="695" t="s">
        <v>4393</v>
      </c>
      <c r="K501" s="695" t="s">
        <v>8544</v>
      </c>
      <c r="L501" s="696">
        <v>13</v>
      </c>
      <c r="M501" s="170"/>
    </row>
    <row r="502" spans="2:13" x14ac:dyDescent="0.2">
      <c r="B502" s="173"/>
      <c r="C502" s="694">
        <v>1</v>
      </c>
      <c r="D502" s="695" t="s">
        <v>3903</v>
      </c>
      <c r="E502" s="695">
        <v>1</v>
      </c>
      <c r="F502" s="695" t="s">
        <v>3904</v>
      </c>
      <c r="G502" s="695">
        <v>1</v>
      </c>
      <c r="H502" s="695" t="s">
        <v>3904</v>
      </c>
      <c r="I502" s="695">
        <v>502</v>
      </c>
      <c r="J502" s="695" t="s">
        <v>4394</v>
      </c>
      <c r="K502" s="695" t="s">
        <v>8544</v>
      </c>
      <c r="L502" s="696">
        <v>2</v>
      </c>
      <c r="M502" s="170"/>
    </row>
    <row r="503" spans="2:13" x14ac:dyDescent="0.2">
      <c r="B503" s="173"/>
      <c r="C503" s="694">
        <v>1</v>
      </c>
      <c r="D503" s="695" t="s">
        <v>3903</v>
      </c>
      <c r="E503" s="695">
        <v>1</v>
      </c>
      <c r="F503" s="695" t="s">
        <v>3904</v>
      </c>
      <c r="G503" s="695">
        <v>1</v>
      </c>
      <c r="H503" s="695" t="s">
        <v>3904</v>
      </c>
      <c r="I503" s="695">
        <v>503</v>
      </c>
      <c r="J503" s="695" t="s">
        <v>4395</v>
      </c>
      <c r="K503" s="695" t="s">
        <v>3907</v>
      </c>
      <c r="L503" s="696">
        <v>17</v>
      </c>
      <c r="M503" s="170"/>
    </row>
    <row r="504" spans="2:13" x14ac:dyDescent="0.2">
      <c r="B504" s="173"/>
      <c r="C504" s="694">
        <v>1</v>
      </c>
      <c r="D504" s="695" t="s">
        <v>3903</v>
      </c>
      <c r="E504" s="695">
        <v>1</v>
      </c>
      <c r="F504" s="695" t="s">
        <v>3904</v>
      </c>
      <c r="G504" s="695">
        <v>1</v>
      </c>
      <c r="H504" s="695" t="s">
        <v>3904</v>
      </c>
      <c r="I504" s="695">
        <v>504</v>
      </c>
      <c r="J504" s="695" t="s">
        <v>4396</v>
      </c>
      <c r="K504" s="695" t="s">
        <v>3907</v>
      </c>
      <c r="L504" s="696">
        <v>8</v>
      </c>
      <c r="M504" s="170"/>
    </row>
    <row r="505" spans="2:13" x14ac:dyDescent="0.2">
      <c r="B505" s="173"/>
      <c r="C505" s="694">
        <v>1</v>
      </c>
      <c r="D505" s="695" t="s">
        <v>3903</v>
      </c>
      <c r="E505" s="695">
        <v>1</v>
      </c>
      <c r="F505" s="695" t="s">
        <v>3904</v>
      </c>
      <c r="G505" s="695">
        <v>1</v>
      </c>
      <c r="H505" s="695" t="s">
        <v>3904</v>
      </c>
      <c r="I505" s="695">
        <v>505</v>
      </c>
      <c r="J505" s="695" t="s">
        <v>4397</v>
      </c>
      <c r="K505" s="695" t="s">
        <v>3907</v>
      </c>
      <c r="L505" s="696">
        <v>1</v>
      </c>
      <c r="M505" s="170"/>
    </row>
    <row r="506" spans="2:13" x14ac:dyDescent="0.2">
      <c r="B506" s="173"/>
      <c r="C506" s="694">
        <v>1</v>
      </c>
      <c r="D506" s="695" t="s">
        <v>3903</v>
      </c>
      <c r="E506" s="695">
        <v>1</v>
      </c>
      <c r="F506" s="695" t="s">
        <v>3904</v>
      </c>
      <c r="G506" s="695">
        <v>1</v>
      </c>
      <c r="H506" s="695" t="s">
        <v>3904</v>
      </c>
      <c r="I506" s="695">
        <v>506</v>
      </c>
      <c r="J506" s="695" t="s">
        <v>4398</v>
      </c>
      <c r="K506" s="695" t="s">
        <v>8544</v>
      </c>
      <c r="L506" s="696">
        <v>5</v>
      </c>
      <c r="M506" s="170"/>
    </row>
    <row r="507" spans="2:13" x14ac:dyDescent="0.2">
      <c r="B507" s="173"/>
      <c r="C507" s="694">
        <v>1</v>
      </c>
      <c r="D507" s="695" t="s">
        <v>3903</v>
      </c>
      <c r="E507" s="695">
        <v>1</v>
      </c>
      <c r="F507" s="695" t="s">
        <v>3904</v>
      </c>
      <c r="G507" s="695">
        <v>1</v>
      </c>
      <c r="H507" s="695" t="s">
        <v>3904</v>
      </c>
      <c r="I507" s="695">
        <v>507</v>
      </c>
      <c r="J507" s="695" t="s">
        <v>4399</v>
      </c>
      <c r="K507" s="695" t="s">
        <v>8544</v>
      </c>
      <c r="L507" s="696">
        <v>13</v>
      </c>
      <c r="M507" s="170"/>
    </row>
    <row r="508" spans="2:13" x14ac:dyDescent="0.2">
      <c r="B508" s="173"/>
      <c r="C508" s="694">
        <v>1</v>
      </c>
      <c r="D508" s="695" t="s">
        <v>3903</v>
      </c>
      <c r="E508" s="695">
        <v>1</v>
      </c>
      <c r="F508" s="695" t="s">
        <v>3904</v>
      </c>
      <c r="G508" s="695">
        <v>1</v>
      </c>
      <c r="H508" s="695" t="s">
        <v>3904</v>
      </c>
      <c r="I508" s="695">
        <v>508</v>
      </c>
      <c r="J508" s="695" t="s">
        <v>4400</v>
      </c>
      <c r="K508" s="695" t="s">
        <v>8544</v>
      </c>
      <c r="L508" s="696">
        <v>2</v>
      </c>
      <c r="M508" s="170"/>
    </row>
    <row r="509" spans="2:13" x14ac:dyDescent="0.2">
      <c r="B509" s="173"/>
      <c r="C509" s="694">
        <v>1</v>
      </c>
      <c r="D509" s="695" t="s">
        <v>3903</v>
      </c>
      <c r="E509" s="695">
        <v>1</v>
      </c>
      <c r="F509" s="695" t="s">
        <v>3904</v>
      </c>
      <c r="G509" s="695">
        <v>1</v>
      </c>
      <c r="H509" s="695" t="s">
        <v>3904</v>
      </c>
      <c r="I509" s="695">
        <v>509</v>
      </c>
      <c r="J509" s="695" t="s">
        <v>4401</v>
      </c>
      <c r="K509" s="695" t="s">
        <v>8544</v>
      </c>
      <c r="L509" s="696">
        <v>1</v>
      </c>
      <c r="M509" s="170"/>
    </row>
    <row r="510" spans="2:13" x14ac:dyDescent="0.2">
      <c r="B510" s="173"/>
      <c r="C510" s="694">
        <v>1</v>
      </c>
      <c r="D510" s="695" t="s">
        <v>3903</v>
      </c>
      <c r="E510" s="695">
        <v>1</v>
      </c>
      <c r="F510" s="695" t="s">
        <v>3904</v>
      </c>
      <c r="G510" s="695">
        <v>1</v>
      </c>
      <c r="H510" s="695" t="s">
        <v>3904</v>
      </c>
      <c r="I510" s="695">
        <v>510</v>
      </c>
      <c r="J510" s="695" t="s">
        <v>4402</v>
      </c>
      <c r="K510" s="695" t="s">
        <v>8544</v>
      </c>
      <c r="L510" s="696">
        <v>13</v>
      </c>
      <c r="M510" s="170"/>
    </row>
    <row r="511" spans="2:13" x14ac:dyDescent="0.2">
      <c r="B511" s="173"/>
      <c r="C511" s="694">
        <v>1</v>
      </c>
      <c r="D511" s="695" t="s">
        <v>3903</v>
      </c>
      <c r="E511" s="695">
        <v>1</v>
      </c>
      <c r="F511" s="695" t="s">
        <v>3904</v>
      </c>
      <c r="G511" s="695">
        <v>1</v>
      </c>
      <c r="H511" s="695" t="s">
        <v>3904</v>
      </c>
      <c r="I511" s="695">
        <v>511</v>
      </c>
      <c r="J511" s="695" t="s">
        <v>4403</v>
      </c>
      <c r="K511" s="695" t="s">
        <v>8544</v>
      </c>
      <c r="L511" s="696">
        <v>1</v>
      </c>
      <c r="M511" s="170"/>
    </row>
    <row r="512" spans="2:13" x14ac:dyDescent="0.2">
      <c r="B512" s="173"/>
      <c r="C512" s="694">
        <v>1</v>
      </c>
      <c r="D512" s="695" t="s">
        <v>3903</v>
      </c>
      <c r="E512" s="695">
        <v>1</v>
      </c>
      <c r="F512" s="695" t="s">
        <v>3904</v>
      </c>
      <c r="G512" s="695">
        <v>1</v>
      </c>
      <c r="H512" s="695" t="s">
        <v>3904</v>
      </c>
      <c r="I512" s="695">
        <v>512</v>
      </c>
      <c r="J512" s="695" t="s">
        <v>4404</v>
      </c>
      <c r="K512" s="695" t="s">
        <v>8544</v>
      </c>
      <c r="L512" s="696">
        <v>9</v>
      </c>
      <c r="M512" s="170"/>
    </row>
    <row r="513" spans="2:13" x14ac:dyDescent="0.2">
      <c r="B513" s="173"/>
      <c r="C513" s="694">
        <v>1</v>
      </c>
      <c r="D513" s="695" t="s">
        <v>3903</v>
      </c>
      <c r="E513" s="695">
        <v>1</v>
      </c>
      <c r="F513" s="695" t="s">
        <v>3904</v>
      </c>
      <c r="G513" s="695">
        <v>1</v>
      </c>
      <c r="H513" s="695" t="s">
        <v>3904</v>
      </c>
      <c r="I513" s="695">
        <v>513</v>
      </c>
      <c r="J513" s="695" t="s">
        <v>4405</v>
      </c>
      <c r="K513" s="695" t="s">
        <v>8544</v>
      </c>
      <c r="L513" s="696">
        <v>5</v>
      </c>
      <c r="M513" s="170"/>
    </row>
    <row r="514" spans="2:13" x14ac:dyDescent="0.2">
      <c r="B514" s="173"/>
      <c r="C514" s="694">
        <v>1</v>
      </c>
      <c r="D514" s="695" t="s">
        <v>3903</v>
      </c>
      <c r="E514" s="695">
        <v>1</v>
      </c>
      <c r="F514" s="695" t="s">
        <v>3904</v>
      </c>
      <c r="G514" s="695">
        <v>1</v>
      </c>
      <c r="H514" s="695" t="s">
        <v>3904</v>
      </c>
      <c r="I514" s="695">
        <v>514</v>
      </c>
      <c r="J514" s="695" t="s">
        <v>4406</v>
      </c>
      <c r="K514" s="695" t="s">
        <v>8544</v>
      </c>
      <c r="L514" s="696">
        <v>2</v>
      </c>
      <c r="M514" s="170"/>
    </row>
    <row r="515" spans="2:13" x14ac:dyDescent="0.2">
      <c r="B515" s="173"/>
      <c r="C515" s="694">
        <v>1</v>
      </c>
      <c r="D515" s="695" t="s">
        <v>3903</v>
      </c>
      <c r="E515" s="695">
        <v>1</v>
      </c>
      <c r="F515" s="695" t="s">
        <v>3904</v>
      </c>
      <c r="G515" s="695">
        <v>1</v>
      </c>
      <c r="H515" s="695" t="s">
        <v>3904</v>
      </c>
      <c r="I515" s="695">
        <v>515</v>
      </c>
      <c r="J515" s="695" t="s">
        <v>4407</v>
      </c>
      <c r="K515" s="695" t="s">
        <v>8544</v>
      </c>
      <c r="L515" s="696">
        <v>2</v>
      </c>
      <c r="M515" s="170"/>
    </row>
    <row r="516" spans="2:13" x14ac:dyDescent="0.2">
      <c r="B516" s="173"/>
      <c r="C516" s="694">
        <v>1</v>
      </c>
      <c r="D516" s="695" t="s">
        <v>3903</v>
      </c>
      <c r="E516" s="695">
        <v>1</v>
      </c>
      <c r="F516" s="695" t="s">
        <v>3904</v>
      </c>
      <c r="G516" s="695">
        <v>1</v>
      </c>
      <c r="H516" s="695" t="s">
        <v>3904</v>
      </c>
      <c r="I516" s="695">
        <v>516</v>
      </c>
      <c r="J516" s="695" t="s">
        <v>4408</v>
      </c>
      <c r="K516" s="695" t="s">
        <v>8544</v>
      </c>
      <c r="L516" s="696">
        <v>8</v>
      </c>
      <c r="M516" s="170"/>
    </row>
    <row r="517" spans="2:13" x14ac:dyDescent="0.2">
      <c r="B517" s="173"/>
      <c r="C517" s="694">
        <v>1</v>
      </c>
      <c r="D517" s="695" t="s">
        <v>3903</v>
      </c>
      <c r="E517" s="695">
        <v>1</v>
      </c>
      <c r="F517" s="695" t="s">
        <v>3904</v>
      </c>
      <c r="G517" s="695">
        <v>1</v>
      </c>
      <c r="H517" s="695" t="s">
        <v>3904</v>
      </c>
      <c r="I517" s="695">
        <v>517</v>
      </c>
      <c r="J517" s="695" t="s">
        <v>4409</v>
      </c>
      <c r="K517" s="695" t="s">
        <v>8544</v>
      </c>
      <c r="L517" s="696">
        <v>0</v>
      </c>
      <c r="M517" s="170"/>
    </row>
    <row r="518" spans="2:13" x14ac:dyDescent="0.2">
      <c r="B518" s="173"/>
      <c r="C518" s="694">
        <v>1</v>
      </c>
      <c r="D518" s="695" t="s">
        <v>3903</v>
      </c>
      <c r="E518" s="695">
        <v>1</v>
      </c>
      <c r="F518" s="695" t="s">
        <v>3904</v>
      </c>
      <c r="G518" s="695">
        <v>1</v>
      </c>
      <c r="H518" s="695" t="s">
        <v>3904</v>
      </c>
      <c r="I518" s="695">
        <v>518</v>
      </c>
      <c r="J518" s="695" t="s">
        <v>4410</v>
      </c>
      <c r="K518" s="695" t="s">
        <v>8544</v>
      </c>
      <c r="L518" s="696">
        <v>6</v>
      </c>
      <c r="M518" s="170"/>
    </row>
    <row r="519" spans="2:13" x14ac:dyDescent="0.2">
      <c r="B519" s="173"/>
      <c r="C519" s="694">
        <v>1</v>
      </c>
      <c r="D519" s="695" t="s">
        <v>3903</v>
      </c>
      <c r="E519" s="695">
        <v>1</v>
      </c>
      <c r="F519" s="695" t="s">
        <v>3904</v>
      </c>
      <c r="G519" s="695">
        <v>1</v>
      </c>
      <c r="H519" s="695" t="s">
        <v>3904</v>
      </c>
      <c r="I519" s="695">
        <v>519</v>
      </c>
      <c r="J519" s="695" t="s">
        <v>4411</v>
      </c>
      <c r="K519" s="695" t="s">
        <v>8544</v>
      </c>
      <c r="L519" s="696">
        <v>23</v>
      </c>
      <c r="M519" s="170"/>
    </row>
    <row r="520" spans="2:13" x14ac:dyDescent="0.2">
      <c r="B520" s="173"/>
      <c r="C520" s="694">
        <v>1</v>
      </c>
      <c r="D520" s="695" t="s">
        <v>3903</v>
      </c>
      <c r="E520" s="695">
        <v>1</v>
      </c>
      <c r="F520" s="695" t="s">
        <v>3904</v>
      </c>
      <c r="G520" s="695">
        <v>1</v>
      </c>
      <c r="H520" s="695" t="s">
        <v>3904</v>
      </c>
      <c r="I520" s="695">
        <v>520</v>
      </c>
      <c r="J520" s="695" t="s">
        <v>4412</v>
      </c>
      <c r="K520" s="695" t="s">
        <v>8544</v>
      </c>
      <c r="L520" s="696">
        <v>11</v>
      </c>
      <c r="M520" s="170"/>
    </row>
    <row r="521" spans="2:13" x14ac:dyDescent="0.2">
      <c r="B521" s="173"/>
      <c r="C521" s="694">
        <v>1</v>
      </c>
      <c r="D521" s="695" t="s">
        <v>3903</v>
      </c>
      <c r="E521" s="695">
        <v>1</v>
      </c>
      <c r="F521" s="695" t="s">
        <v>3904</v>
      </c>
      <c r="G521" s="695">
        <v>1</v>
      </c>
      <c r="H521" s="695" t="s">
        <v>3904</v>
      </c>
      <c r="I521" s="695">
        <v>521</v>
      </c>
      <c r="J521" s="695" t="s">
        <v>4413</v>
      </c>
      <c r="K521" s="695" t="s">
        <v>8544</v>
      </c>
      <c r="L521" s="696">
        <v>3</v>
      </c>
      <c r="M521" s="170"/>
    </row>
    <row r="522" spans="2:13" x14ac:dyDescent="0.2">
      <c r="B522" s="173"/>
      <c r="C522" s="694">
        <v>1</v>
      </c>
      <c r="D522" s="695" t="s">
        <v>3903</v>
      </c>
      <c r="E522" s="695">
        <v>1</v>
      </c>
      <c r="F522" s="695" t="s">
        <v>3904</v>
      </c>
      <c r="G522" s="695">
        <v>1</v>
      </c>
      <c r="H522" s="695" t="s">
        <v>3904</v>
      </c>
      <c r="I522" s="695">
        <v>522</v>
      </c>
      <c r="J522" s="695" t="s">
        <v>4414</v>
      </c>
      <c r="K522" s="695" t="s">
        <v>8544</v>
      </c>
      <c r="L522" s="696">
        <v>2</v>
      </c>
      <c r="M522" s="170"/>
    </row>
    <row r="523" spans="2:13" x14ac:dyDescent="0.2">
      <c r="B523" s="173"/>
      <c r="C523" s="694">
        <v>1</v>
      </c>
      <c r="D523" s="695" t="s">
        <v>3903</v>
      </c>
      <c r="E523" s="695">
        <v>1</v>
      </c>
      <c r="F523" s="695" t="s">
        <v>3904</v>
      </c>
      <c r="G523" s="695">
        <v>1</v>
      </c>
      <c r="H523" s="695" t="s">
        <v>3904</v>
      </c>
      <c r="I523" s="695">
        <v>523</v>
      </c>
      <c r="J523" s="695" t="s">
        <v>4415</v>
      </c>
      <c r="K523" s="695" t="s">
        <v>8544</v>
      </c>
      <c r="L523" s="696">
        <v>2</v>
      </c>
      <c r="M523" s="170"/>
    </row>
    <row r="524" spans="2:13" x14ac:dyDescent="0.2">
      <c r="B524" s="173"/>
      <c r="C524" s="694">
        <v>1</v>
      </c>
      <c r="D524" s="695" t="s">
        <v>3903</v>
      </c>
      <c r="E524" s="695">
        <v>1</v>
      </c>
      <c r="F524" s="695" t="s">
        <v>3904</v>
      </c>
      <c r="G524" s="695">
        <v>1</v>
      </c>
      <c r="H524" s="695" t="s">
        <v>3904</v>
      </c>
      <c r="I524" s="695">
        <v>524</v>
      </c>
      <c r="J524" s="695" t="s">
        <v>4416</v>
      </c>
      <c r="K524" s="695" t="s">
        <v>8544</v>
      </c>
      <c r="L524" s="696">
        <v>3</v>
      </c>
      <c r="M524" s="170"/>
    </row>
    <row r="525" spans="2:13" x14ac:dyDescent="0.2">
      <c r="B525" s="173"/>
      <c r="C525" s="694">
        <v>1</v>
      </c>
      <c r="D525" s="695" t="s">
        <v>3903</v>
      </c>
      <c r="E525" s="695">
        <v>1</v>
      </c>
      <c r="F525" s="695" t="s">
        <v>3904</v>
      </c>
      <c r="G525" s="695">
        <v>1</v>
      </c>
      <c r="H525" s="695" t="s">
        <v>3904</v>
      </c>
      <c r="I525" s="695">
        <v>525</v>
      </c>
      <c r="J525" s="695" t="s">
        <v>4417</v>
      </c>
      <c r="K525" s="695" t="s">
        <v>8544</v>
      </c>
      <c r="L525" s="696">
        <v>33</v>
      </c>
      <c r="M525" s="170"/>
    </row>
    <row r="526" spans="2:13" x14ac:dyDescent="0.2">
      <c r="B526" s="173"/>
      <c r="C526" s="694">
        <v>1</v>
      </c>
      <c r="D526" s="695" t="s">
        <v>3903</v>
      </c>
      <c r="E526" s="695">
        <v>1</v>
      </c>
      <c r="F526" s="695" t="s">
        <v>3904</v>
      </c>
      <c r="G526" s="695">
        <v>1</v>
      </c>
      <c r="H526" s="695" t="s">
        <v>3904</v>
      </c>
      <c r="I526" s="695">
        <v>526</v>
      </c>
      <c r="J526" s="695" t="s">
        <v>4418</v>
      </c>
      <c r="K526" s="695" t="s">
        <v>8544</v>
      </c>
      <c r="L526" s="696">
        <v>0</v>
      </c>
      <c r="M526" s="170"/>
    </row>
    <row r="527" spans="2:13" x14ac:dyDescent="0.2">
      <c r="B527" s="173"/>
      <c r="C527" s="694">
        <v>1</v>
      </c>
      <c r="D527" s="695" t="s">
        <v>3903</v>
      </c>
      <c r="E527" s="695">
        <v>1</v>
      </c>
      <c r="F527" s="695" t="s">
        <v>3904</v>
      </c>
      <c r="G527" s="695">
        <v>1</v>
      </c>
      <c r="H527" s="695" t="s">
        <v>3904</v>
      </c>
      <c r="I527" s="695">
        <v>527</v>
      </c>
      <c r="J527" s="695" t="s">
        <v>4419</v>
      </c>
      <c r="K527" s="695" t="s">
        <v>3985</v>
      </c>
      <c r="L527" s="696">
        <v>5</v>
      </c>
      <c r="M527" s="170"/>
    </row>
    <row r="528" spans="2:13" x14ac:dyDescent="0.2">
      <c r="B528" s="173"/>
      <c r="C528" s="694">
        <v>1</v>
      </c>
      <c r="D528" s="695" t="s">
        <v>3903</v>
      </c>
      <c r="E528" s="695">
        <v>1</v>
      </c>
      <c r="F528" s="695" t="s">
        <v>3904</v>
      </c>
      <c r="G528" s="695">
        <v>1</v>
      </c>
      <c r="H528" s="695" t="s">
        <v>3904</v>
      </c>
      <c r="I528" s="695">
        <v>528</v>
      </c>
      <c r="J528" s="695" t="s">
        <v>4420</v>
      </c>
      <c r="K528" s="695" t="s">
        <v>3907</v>
      </c>
      <c r="L528" s="696">
        <v>2</v>
      </c>
      <c r="M528" s="170"/>
    </row>
    <row r="529" spans="2:13" x14ac:dyDescent="0.2">
      <c r="B529" s="173"/>
      <c r="C529" s="694">
        <v>1</v>
      </c>
      <c r="D529" s="695" t="s">
        <v>3903</v>
      </c>
      <c r="E529" s="695">
        <v>1</v>
      </c>
      <c r="F529" s="695" t="s">
        <v>3904</v>
      </c>
      <c r="G529" s="695">
        <v>1</v>
      </c>
      <c r="H529" s="695" t="s">
        <v>3904</v>
      </c>
      <c r="I529" s="695">
        <v>529</v>
      </c>
      <c r="J529" s="695" t="s">
        <v>4421</v>
      </c>
      <c r="K529" s="695" t="s">
        <v>3907</v>
      </c>
      <c r="L529" s="696">
        <v>2</v>
      </c>
      <c r="M529" s="170"/>
    </row>
    <row r="530" spans="2:13" x14ac:dyDescent="0.2">
      <c r="B530" s="173"/>
      <c r="C530" s="694">
        <v>1</v>
      </c>
      <c r="D530" s="695" t="s">
        <v>3903</v>
      </c>
      <c r="E530" s="695">
        <v>1</v>
      </c>
      <c r="F530" s="695" t="s">
        <v>3904</v>
      </c>
      <c r="G530" s="695">
        <v>1</v>
      </c>
      <c r="H530" s="695" t="s">
        <v>3904</v>
      </c>
      <c r="I530" s="695">
        <v>530</v>
      </c>
      <c r="J530" s="695" t="s">
        <v>4422</v>
      </c>
      <c r="K530" s="695" t="s">
        <v>3907</v>
      </c>
      <c r="L530" s="696">
        <v>0</v>
      </c>
      <c r="M530" s="170"/>
    </row>
    <row r="531" spans="2:13" x14ac:dyDescent="0.2">
      <c r="B531" s="173"/>
      <c r="C531" s="694">
        <v>1</v>
      </c>
      <c r="D531" s="695" t="s">
        <v>3903</v>
      </c>
      <c r="E531" s="695">
        <v>1</v>
      </c>
      <c r="F531" s="695" t="s">
        <v>3904</v>
      </c>
      <c r="G531" s="695">
        <v>1</v>
      </c>
      <c r="H531" s="695" t="s">
        <v>3904</v>
      </c>
      <c r="I531" s="695">
        <v>531</v>
      </c>
      <c r="J531" s="695" t="s">
        <v>4423</v>
      </c>
      <c r="K531" s="695" t="s">
        <v>8544</v>
      </c>
      <c r="L531" s="696">
        <v>29</v>
      </c>
      <c r="M531" s="170"/>
    </row>
    <row r="532" spans="2:13" x14ac:dyDescent="0.2">
      <c r="B532" s="173"/>
      <c r="C532" s="694">
        <v>1</v>
      </c>
      <c r="D532" s="695" t="s">
        <v>3903</v>
      </c>
      <c r="E532" s="695">
        <v>1</v>
      </c>
      <c r="F532" s="695" t="s">
        <v>3904</v>
      </c>
      <c r="G532" s="695">
        <v>1</v>
      </c>
      <c r="H532" s="695" t="s">
        <v>3904</v>
      </c>
      <c r="I532" s="695">
        <v>532</v>
      </c>
      <c r="J532" s="695" t="s">
        <v>4424</v>
      </c>
      <c r="K532" s="695" t="s">
        <v>8544</v>
      </c>
      <c r="L532" s="696">
        <v>5</v>
      </c>
      <c r="M532" s="170"/>
    </row>
    <row r="533" spans="2:13" x14ac:dyDescent="0.2">
      <c r="B533" s="173"/>
      <c r="C533" s="694">
        <v>1</v>
      </c>
      <c r="D533" s="695" t="s">
        <v>3903</v>
      </c>
      <c r="E533" s="695">
        <v>1</v>
      </c>
      <c r="F533" s="695" t="s">
        <v>3904</v>
      </c>
      <c r="G533" s="695">
        <v>1</v>
      </c>
      <c r="H533" s="695" t="s">
        <v>3904</v>
      </c>
      <c r="I533" s="695">
        <v>533</v>
      </c>
      <c r="J533" s="695" t="s">
        <v>4425</v>
      </c>
      <c r="K533" s="695" t="s">
        <v>8544</v>
      </c>
      <c r="L533" s="696">
        <v>1</v>
      </c>
      <c r="M533" s="170"/>
    </row>
    <row r="534" spans="2:13" x14ac:dyDescent="0.2">
      <c r="B534" s="173"/>
      <c r="C534" s="694">
        <v>1</v>
      </c>
      <c r="D534" s="695" t="s">
        <v>3903</v>
      </c>
      <c r="E534" s="695">
        <v>1</v>
      </c>
      <c r="F534" s="695" t="s">
        <v>3904</v>
      </c>
      <c r="G534" s="695">
        <v>1</v>
      </c>
      <c r="H534" s="695" t="s">
        <v>3904</v>
      </c>
      <c r="I534" s="695">
        <v>534</v>
      </c>
      <c r="J534" s="695" t="s">
        <v>4426</v>
      </c>
      <c r="K534" s="695" t="s">
        <v>8544</v>
      </c>
      <c r="L534" s="696">
        <v>0</v>
      </c>
      <c r="M534" s="170"/>
    </row>
    <row r="535" spans="2:13" x14ac:dyDescent="0.2">
      <c r="B535" s="173"/>
      <c r="C535" s="694">
        <v>1</v>
      </c>
      <c r="D535" s="695" t="s">
        <v>3903</v>
      </c>
      <c r="E535" s="695">
        <v>1</v>
      </c>
      <c r="F535" s="695" t="s">
        <v>3904</v>
      </c>
      <c r="G535" s="695">
        <v>1</v>
      </c>
      <c r="H535" s="695" t="s">
        <v>3904</v>
      </c>
      <c r="I535" s="695">
        <v>535</v>
      </c>
      <c r="J535" s="695" t="s">
        <v>4427</v>
      </c>
      <c r="K535" s="695" t="s">
        <v>8544</v>
      </c>
      <c r="L535" s="696">
        <v>0</v>
      </c>
      <c r="M535" s="170"/>
    </row>
    <row r="536" spans="2:13" x14ac:dyDescent="0.2">
      <c r="B536" s="173"/>
      <c r="C536" s="694">
        <v>1</v>
      </c>
      <c r="D536" s="695" t="s">
        <v>3903</v>
      </c>
      <c r="E536" s="695">
        <v>1</v>
      </c>
      <c r="F536" s="695" t="s">
        <v>3904</v>
      </c>
      <c r="G536" s="695">
        <v>1</v>
      </c>
      <c r="H536" s="695" t="s">
        <v>3904</v>
      </c>
      <c r="I536" s="695">
        <v>536</v>
      </c>
      <c r="J536" s="695" t="s">
        <v>4428</v>
      </c>
      <c r="K536" s="695" t="s">
        <v>8544</v>
      </c>
      <c r="L536" s="696">
        <v>0</v>
      </c>
      <c r="M536" s="170"/>
    </row>
    <row r="537" spans="2:13" x14ac:dyDescent="0.2">
      <c r="B537" s="173"/>
      <c r="C537" s="694">
        <v>1</v>
      </c>
      <c r="D537" s="695" t="s">
        <v>3903</v>
      </c>
      <c r="E537" s="695">
        <v>1</v>
      </c>
      <c r="F537" s="695" t="s">
        <v>3904</v>
      </c>
      <c r="G537" s="695">
        <v>1</v>
      </c>
      <c r="H537" s="695" t="s">
        <v>3904</v>
      </c>
      <c r="I537" s="695">
        <v>537</v>
      </c>
      <c r="J537" s="695" t="s">
        <v>4429</v>
      </c>
      <c r="K537" s="695" t="s">
        <v>8544</v>
      </c>
      <c r="L537" s="696">
        <v>2</v>
      </c>
      <c r="M537" s="170"/>
    </row>
    <row r="538" spans="2:13" x14ac:dyDescent="0.2">
      <c r="B538" s="173"/>
      <c r="C538" s="694">
        <v>1</v>
      </c>
      <c r="D538" s="695" t="s">
        <v>3903</v>
      </c>
      <c r="E538" s="695">
        <v>1</v>
      </c>
      <c r="F538" s="695" t="s">
        <v>3904</v>
      </c>
      <c r="G538" s="695">
        <v>1</v>
      </c>
      <c r="H538" s="695" t="s">
        <v>3904</v>
      </c>
      <c r="I538" s="695">
        <v>538</v>
      </c>
      <c r="J538" s="695" t="s">
        <v>4430</v>
      </c>
      <c r="K538" s="695" t="s">
        <v>8544</v>
      </c>
      <c r="L538" s="696">
        <v>3</v>
      </c>
      <c r="M538" s="170"/>
    </row>
    <row r="539" spans="2:13" x14ac:dyDescent="0.2">
      <c r="B539" s="173"/>
      <c r="C539" s="694">
        <v>1</v>
      </c>
      <c r="D539" s="695" t="s">
        <v>3903</v>
      </c>
      <c r="E539" s="695">
        <v>1</v>
      </c>
      <c r="F539" s="695" t="s">
        <v>3904</v>
      </c>
      <c r="G539" s="695">
        <v>1</v>
      </c>
      <c r="H539" s="695" t="s">
        <v>3904</v>
      </c>
      <c r="I539" s="695">
        <v>539</v>
      </c>
      <c r="J539" s="695" t="s">
        <v>4431</v>
      </c>
      <c r="K539" s="695" t="s">
        <v>8544</v>
      </c>
      <c r="L539" s="696">
        <v>13</v>
      </c>
      <c r="M539" s="170"/>
    </row>
    <row r="540" spans="2:13" x14ac:dyDescent="0.2">
      <c r="B540" s="173"/>
      <c r="C540" s="694">
        <v>1</v>
      </c>
      <c r="D540" s="695" t="s">
        <v>3903</v>
      </c>
      <c r="E540" s="695">
        <v>1</v>
      </c>
      <c r="F540" s="695" t="s">
        <v>3904</v>
      </c>
      <c r="G540" s="695">
        <v>1</v>
      </c>
      <c r="H540" s="695" t="s">
        <v>3904</v>
      </c>
      <c r="I540" s="695">
        <v>540</v>
      </c>
      <c r="J540" s="695" t="s">
        <v>4432</v>
      </c>
      <c r="K540" s="695" t="s">
        <v>8544</v>
      </c>
      <c r="L540" s="696">
        <v>3</v>
      </c>
      <c r="M540" s="170"/>
    </row>
    <row r="541" spans="2:13" x14ac:dyDescent="0.2">
      <c r="B541" s="173"/>
      <c r="C541" s="694">
        <v>1</v>
      </c>
      <c r="D541" s="695" t="s">
        <v>3903</v>
      </c>
      <c r="E541" s="695">
        <v>1</v>
      </c>
      <c r="F541" s="695" t="s">
        <v>3904</v>
      </c>
      <c r="G541" s="695">
        <v>1</v>
      </c>
      <c r="H541" s="695" t="s">
        <v>3904</v>
      </c>
      <c r="I541" s="695">
        <v>541</v>
      </c>
      <c r="J541" s="695" t="s">
        <v>4433</v>
      </c>
      <c r="K541" s="695" t="s">
        <v>8544</v>
      </c>
      <c r="L541" s="696">
        <v>0</v>
      </c>
      <c r="M541" s="170"/>
    </row>
    <row r="542" spans="2:13" x14ac:dyDescent="0.2">
      <c r="B542" s="173"/>
      <c r="C542" s="694">
        <v>1</v>
      </c>
      <c r="D542" s="695" t="s">
        <v>3903</v>
      </c>
      <c r="E542" s="695">
        <v>1</v>
      </c>
      <c r="F542" s="695" t="s">
        <v>3904</v>
      </c>
      <c r="G542" s="695">
        <v>1</v>
      </c>
      <c r="H542" s="695" t="s">
        <v>3904</v>
      </c>
      <c r="I542" s="695">
        <v>542</v>
      </c>
      <c r="J542" s="695" t="s">
        <v>4434</v>
      </c>
      <c r="K542" s="695" t="s">
        <v>8544</v>
      </c>
      <c r="L542" s="696">
        <v>14</v>
      </c>
      <c r="M542" s="170"/>
    </row>
    <row r="543" spans="2:13" x14ac:dyDescent="0.2">
      <c r="B543" s="173"/>
      <c r="C543" s="694">
        <v>1</v>
      </c>
      <c r="D543" s="695" t="s">
        <v>3903</v>
      </c>
      <c r="E543" s="695">
        <v>1</v>
      </c>
      <c r="F543" s="695" t="s">
        <v>3904</v>
      </c>
      <c r="G543" s="695">
        <v>1</v>
      </c>
      <c r="H543" s="695" t="s">
        <v>3904</v>
      </c>
      <c r="I543" s="695">
        <v>543</v>
      </c>
      <c r="J543" s="695" t="s">
        <v>4435</v>
      </c>
      <c r="K543" s="695" t="s">
        <v>3907</v>
      </c>
      <c r="L543" s="696">
        <v>22</v>
      </c>
      <c r="M543" s="170"/>
    </row>
    <row r="544" spans="2:13" x14ac:dyDescent="0.2">
      <c r="B544" s="173"/>
      <c r="C544" s="694">
        <v>1</v>
      </c>
      <c r="D544" s="695" t="s">
        <v>3903</v>
      </c>
      <c r="E544" s="695">
        <v>1</v>
      </c>
      <c r="F544" s="695" t="s">
        <v>3904</v>
      </c>
      <c r="G544" s="695">
        <v>1</v>
      </c>
      <c r="H544" s="695" t="s">
        <v>3904</v>
      </c>
      <c r="I544" s="695">
        <v>544</v>
      </c>
      <c r="J544" s="695" t="s">
        <v>4436</v>
      </c>
      <c r="K544" s="695" t="s">
        <v>3907</v>
      </c>
      <c r="L544" s="696">
        <v>2</v>
      </c>
      <c r="M544" s="170"/>
    </row>
    <row r="545" spans="2:13" x14ac:dyDescent="0.2">
      <c r="B545" s="173"/>
      <c r="C545" s="694">
        <v>1</v>
      </c>
      <c r="D545" s="695" t="s">
        <v>3903</v>
      </c>
      <c r="E545" s="695">
        <v>1</v>
      </c>
      <c r="F545" s="695" t="s">
        <v>3904</v>
      </c>
      <c r="G545" s="695">
        <v>1</v>
      </c>
      <c r="H545" s="695" t="s">
        <v>3904</v>
      </c>
      <c r="I545" s="695">
        <v>545</v>
      </c>
      <c r="J545" s="695" t="s">
        <v>4437</v>
      </c>
      <c r="K545" s="695" t="s">
        <v>3907</v>
      </c>
      <c r="L545" s="696">
        <v>1</v>
      </c>
      <c r="M545" s="170"/>
    </row>
    <row r="546" spans="2:13" x14ac:dyDescent="0.2">
      <c r="B546" s="173"/>
      <c r="C546" s="694">
        <v>1</v>
      </c>
      <c r="D546" s="695" t="s">
        <v>3903</v>
      </c>
      <c r="E546" s="695">
        <v>1</v>
      </c>
      <c r="F546" s="695" t="s">
        <v>3904</v>
      </c>
      <c r="G546" s="695">
        <v>1</v>
      </c>
      <c r="H546" s="695" t="s">
        <v>3904</v>
      </c>
      <c r="I546" s="695">
        <v>546</v>
      </c>
      <c r="J546" s="695" t="s">
        <v>4438</v>
      </c>
      <c r="K546" s="695" t="s">
        <v>3907</v>
      </c>
      <c r="L546" s="696">
        <v>1</v>
      </c>
      <c r="M546" s="170"/>
    </row>
    <row r="547" spans="2:13" x14ac:dyDescent="0.2">
      <c r="B547" s="173"/>
      <c r="C547" s="694">
        <v>1</v>
      </c>
      <c r="D547" s="695" t="s">
        <v>3903</v>
      </c>
      <c r="E547" s="695">
        <v>1</v>
      </c>
      <c r="F547" s="695" t="s">
        <v>3904</v>
      </c>
      <c r="G547" s="695">
        <v>1</v>
      </c>
      <c r="H547" s="695" t="s">
        <v>3904</v>
      </c>
      <c r="I547" s="695">
        <v>547</v>
      </c>
      <c r="J547" s="695" t="s">
        <v>4439</v>
      </c>
      <c r="K547" s="695" t="s">
        <v>3907</v>
      </c>
      <c r="L547" s="696">
        <v>4</v>
      </c>
      <c r="M547" s="170"/>
    </row>
    <row r="548" spans="2:13" x14ac:dyDescent="0.2">
      <c r="B548" s="173"/>
      <c r="C548" s="694">
        <v>1</v>
      </c>
      <c r="D548" s="695" t="s">
        <v>3903</v>
      </c>
      <c r="E548" s="695">
        <v>1</v>
      </c>
      <c r="F548" s="695" t="s">
        <v>3904</v>
      </c>
      <c r="G548" s="695">
        <v>1</v>
      </c>
      <c r="H548" s="695" t="s">
        <v>3904</v>
      </c>
      <c r="I548" s="695">
        <v>548</v>
      </c>
      <c r="J548" s="695" t="s">
        <v>4440</v>
      </c>
      <c r="K548" s="695" t="s">
        <v>3907</v>
      </c>
      <c r="L548" s="696">
        <v>3</v>
      </c>
      <c r="M548" s="170"/>
    </row>
    <row r="549" spans="2:13" x14ac:dyDescent="0.2">
      <c r="B549" s="173"/>
      <c r="C549" s="694">
        <v>1</v>
      </c>
      <c r="D549" s="695" t="s">
        <v>3903</v>
      </c>
      <c r="E549" s="695">
        <v>1</v>
      </c>
      <c r="F549" s="695" t="s">
        <v>3904</v>
      </c>
      <c r="G549" s="695">
        <v>1</v>
      </c>
      <c r="H549" s="695" t="s">
        <v>3904</v>
      </c>
      <c r="I549" s="695">
        <v>549</v>
      </c>
      <c r="J549" s="695" t="s">
        <v>4441</v>
      </c>
      <c r="K549" s="695" t="s">
        <v>3907</v>
      </c>
      <c r="L549" s="696">
        <v>12</v>
      </c>
      <c r="M549" s="170"/>
    </row>
    <row r="550" spans="2:13" x14ac:dyDescent="0.2">
      <c r="B550" s="173"/>
      <c r="C550" s="694">
        <v>1</v>
      </c>
      <c r="D550" s="695" t="s">
        <v>3903</v>
      </c>
      <c r="E550" s="695">
        <v>1</v>
      </c>
      <c r="F550" s="695" t="s">
        <v>3904</v>
      </c>
      <c r="G550" s="695">
        <v>1</v>
      </c>
      <c r="H550" s="695" t="s">
        <v>3904</v>
      </c>
      <c r="I550" s="695">
        <v>550</v>
      </c>
      <c r="J550" s="695" t="s">
        <v>4442</v>
      </c>
      <c r="K550" s="695" t="s">
        <v>3907</v>
      </c>
      <c r="L550" s="696">
        <v>5</v>
      </c>
      <c r="M550" s="170"/>
    </row>
    <row r="551" spans="2:13" x14ac:dyDescent="0.2">
      <c r="B551" s="173"/>
      <c r="C551" s="694">
        <v>1</v>
      </c>
      <c r="D551" s="695" t="s">
        <v>3903</v>
      </c>
      <c r="E551" s="695">
        <v>1</v>
      </c>
      <c r="F551" s="695" t="s">
        <v>3904</v>
      </c>
      <c r="G551" s="695">
        <v>1</v>
      </c>
      <c r="H551" s="695" t="s">
        <v>3904</v>
      </c>
      <c r="I551" s="695">
        <v>551</v>
      </c>
      <c r="J551" s="695" t="s">
        <v>4443</v>
      </c>
      <c r="K551" s="695" t="s">
        <v>3907</v>
      </c>
      <c r="L551" s="696">
        <v>6</v>
      </c>
      <c r="M551" s="170"/>
    </row>
    <row r="552" spans="2:13" x14ac:dyDescent="0.2">
      <c r="B552" s="173"/>
      <c r="C552" s="694">
        <v>1</v>
      </c>
      <c r="D552" s="695" t="s">
        <v>3903</v>
      </c>
      <c r="E552" s="695">
        <v>1</v>
      </c>
      <c r="F552" s="695" t="s">
        <v>3904</v>
      </c>
      <c r="G552" s="695">
        <v>1</v>
      </c>
      <c r="H552" s="695" t="s">
        <v>3904</v>
      </c>
      <c r="I552" s="695">
        <v>552</v>
      </c>
      <c r="J552" s="695" t="s">
        <v>4444</v>
      </c>
      <c r="K552" s="695" t="s">
        <v>3907</v>
      </c>
      <c r="L552" s="696">
        <v>0</v>
      </c>
      <c r="M552" s="170"/>
    </row>
    <row r="553" spans="2:13" x14ac:dyDescent="0.2">
      <c r="B553" s="173"/>
      <c r="C553" s="694">
        <v>1</v>
      </c>
      <c r="D553" s="695" t="s">
        <v>3903</v>
      </c>
      <c r="E553" s="695">
        <v>1</v>
      </c>
      <c r="F553" s="695" t="s">
        <v>3904</v>
      </c>
      <c r="G553" s="695">
        <v>1</v>
      </c>
      <c r="H553" s="695" t="s">
        <v>3904</v>
      </c>
      <c r="I553" s="695">
        <v>553</v>
      </c>
      <c r="J553" s="695" t="s">
        <v>4445</v>
      </c>
      <c r="K553" s="695" t="s">
        <v>3907</v>
      </c>
      <c r="L553" s="696">
        <v>17</v>
      </c>
      <c r="M553" s="170"/>
    </row>
    <row r="554" spans="2:13" x14ac:dyDescent="0.2">
      <c r="B554" s="173"/>
      <c r="C554" s="694">
        <v>1</v>
      </c>
      <c r="D554" s="695" t="s">
        <v>3903</v>
      </c>
      <c r="E554" s="695">
        <v>1</v>
      </c>
      <c r="F554" s="695" t="s">
        <v>3904</v>
      </c>
      <c r="G554" s="695">
        <v>1</v>
      </c>
      <c r="H554" s="695" t="s">
        <v>3904</v>
      </c>
      <c r="I554" s="695">
        <v>554</v>
      </c>
      <c r="J554" s="695" t="s">
        <v>4446</v>
      </c>
      <c r="K554" s="695" t="s">
        <v>3907</v>
      </c>
      <c r="L554" s="696">
        <v>11</v>
      </c>
      <c r="M554" s="170"/>
    </row>
    <row r="555" spans="2:13" x14ac:dyDescent="0.2">
      <c r="B555" s="173"/>
      <c r="C555" s="694">
        <v>1</v>
      </c>
      <c r="D555" s="695" t="s">
        <v>3903</v>
      </c>
      <c r="E555" s="695">
        <v>1</v>
      </c>
      <c r="F555" s="695" t="s">
        <v>3904</v>
      </c>
      <c r="G555" s="695">
        <v>1</v>
      </c>
      <c r="H555" s="695" t="s">
        <v>3904</v>
      </c>
      <c r="I555" s="695">
        <v>555</v>
      </c>
      <c r="J555" s="695" t="s">
        <v>4447</v>
      </c>
      <c r="K555" s="695" t="s">
        <v>3907</v>
      </c>
      <c r="L555" s="696">
        <v>0</v>
      </c>
      <c r="M555" s="170"/>
    </row>
    <row r="556" spans="2:13" x14ac:dyDescent="0.2">
      <c r="B556" s="173"/>
      <c r="C556" s="694">
        <v>1</v>
      </c>
      <c r="D556" s="695" t="s">
        <v>3903</v>
      </c>
      <c r="E556" s="695">
        <v>1</v>
      </c>
      <c r="F556" s="695" t="s">
        <v>3904</v>
      </c>
      <c r="G556" s="695">
        <v>1</v>
      </c>
      <c r="H556" s="695" t="s">
        <v>3904</v>
      </c>
      <c r="I556" s="695">
        <v>556</v>
      </c>
      <c r="J556" s="695" t="s">
        <v>4448</v>
      </c>
      <c r="K556" s="695" t="s">
        <v>3907</v>
      </c>
      <c r="L556" s="696">
        <v>3</v>
      </c>
      <c r="M556" s="170"/>
    </row>
    <row r="557" spans="2:13" x14ac:dyDescent="0.2">
      <c r="B557" s="173"/>
      <c r="C557" s="694">
        <v>1</v>
      </c>
      <c r="D557" s="695" t="s">
        <v>3903</v>
      </c>
      <c r="E557" s="695">
        <v>1</v>
      </c>
      <c r="F557" s="695" t="s">
        <v>3904</v>
      </c>
      <c r="G557" s="695">
        <v>1</v>
      </c>
      <c r="H557" s="695" t="s">
        <v>3904</v>
      </c>
      <c r="I557" s="695">
        <v>557</v>
      </c>
      <c r="J557" s="695" t="s">
        <v>4449</v>
      </c>
      <c r="K557" s="695" t="s">
        <v>3907</v>
      </c>
      <c r="L557" s="696">
        <v>2</v>
      </c>
      <c r="M557" s="170"/>
    </row>
    <row r="558" spans="2:13" x14ac:dyDescent="0.2">
      <c r="B558" s="173"/>
      <c r="C558" s="694">
        <v>1</v>
      </c>
      <c r="D558" s="695" t="s">
        <v>3903</v>
      </c>
      <c r="E558" s="695">
        <v>1</v>
      </c>
      <c r="F558" s="695" t="s">
        <v>3904</v>
      </c>
      <c r="G558" s="695">
        <v>1</v>
      </c>
      <c r="H558" s="695" t="s">
        <v>3904</v>
      </c>
      <c r="I558" s="695">
        <v>558</v>
      </c>
      <c r="J558" s="695" t="s">
        <v>4450</v>
      </c>
      <c r="K558" s="695" t="s">
        <v>3907</v>
      </c>
      <c r="L558" s="696">
        <v>15</v>
      </c>
      <c r="M558" s="170"/>
    </row>
    <row r="559" spans="2:13" x14ac:dyDescent="0.2">
      <c r="B559" s="173"/>
      <c r="C559" s="694">
        <v>1</v>
      </c>
      <c r="D559" s="695" t="s">
        <v>3903</v>
      </c>
      <c r="E559" s="695">
        <v>1</v>
      </c>
      <c r="F559" s="695" t="s">
        <v>3904</v>
      </c>
      <c r="G559" s="695">
        <v>1</v>
      </c>
      <c r="H559" s="695" t="s">
        <v>3904</v>
      </c>
      <c r="I559" s="695">
        <v>559</v>
      </c>
      <c r="J559" s="695" t="s">
        <v>4451</v>
      </c>
      <c r="K559" s="695" t="s">
        <v>3907</v>
      </c>
      <c r="L559" s="696">
        <v>3</v>
      </c>
      <c r="M559" s="170"/>
    </row>
    <row r="560" spans="2:13" x14ac:dyDescent="0.2">
      <c r="B560" s="173"/>
      <c r="C560" s="694">
        <v>1</v>
      </c>
      <c r="D560" s="695" t="s">
        <v>3903</v>
      </c>
      <c r="E560" s="695">
        <v>1</v>
      </c>
      <c r="F560" s="695" t="s">
        <v>3904</v>
      </c>
      <c r="G560" s="695">
        <v>1</v>
      </c>
      <c r="H560" s="695" t="s">
        <v>3904</v>
      </c>
      <c r="I560" s="695">
        <v>560</v>
      </c>
      <c r="J560" s="695" t="s">
        <v>4452</v>
      </c>
      <c r="K560" s="695" t="s">
        <v>3907</v>
      </c>
      <c r="L560" s="696">
        <v>4</v>
      </c>
      <c r="M560" s="170"/>
    </row>
    <row r="561" spans="2:13" x14ac:dyDescent="0.2">
      <c r="B561" s="173"/>
      <c r="C561" s="694">
        <v>1</v>
      </c>
      <c r="D561" s="695" t="s">
        <v>3903</v>
      </c>
      <c r="E561" s="695">
        <v>1</v>
      </c>
      <c r="F561" s="695" t="s">
        <v>3904</v>
      </c>
      <c r="G561" s="695">
        <v>1</v>
      </c>
      <c r="H561" s="695" t="s">
        <v>3904</v>
      </c>
      <c r="I561" s="695">
        <v>561</v>
      </c>
      <c r="J561" s="695" t="s">
        <v>4453</v>
      </c>
      <c r="K561" s="695" t="s">
        <v>3907</v>
      </c>
      <c r="L561" s="696">
        <v>3</v>
      </c>
      <c r="M561" s="170"/>
    </row>
    <row r="562" spans="2:13" x14ac:dyDescent="0.2">
      <c r="B562" s="173"/>
      <c r="C562" s="694">
        <v>1</v>
      </c>
      <c r="D562" s="695" t="s">
        <v>3903</v>
      </c>
      <c r="E562" s="695">
        <v>1</v>
      </c>
      <c r="F562" s="695" t="s">
        <v>3904</v>
      </c>
      <c r="G562" s="695">
        <v>1</v>
      </c>
      <c r="H562" s="695" t="s">
        <v>3904</v>
      </c>
      <c r="I562" s="695">
        <v>562</v>
      </c>
      <c r="J562" s="695" t="s">
        <v>4454</v>
      </c>
      <c r="K562" s="695" t="s">
        <v>3907</v>
      </c>
      <c r="L562" s="696">
        <v>4</v>
      </c>
      <c r="M562" s="170"/>
    </row>
    <row r="563" spans="2:13" x14ac:dyDescent="0.2">
      <c r="B563" s="173"/>
      <c r="C563" s="694">
        <v>1</v>
      </c>
      <c r="D563" s="695" t="s">
        <v>3903</v>
      </c>
      <c r="E563" s="695">
        <v>1</v>
      </c>
      <c r="F563" s="695" t="s">
        <v>3904</v>
      </c>
      <c r="G563" s="695">
        <v>1</v>
      </c>
      <c r="H563" s="695" t="s">
        <v>3904</v>
      </c>
      <c r="I563" s="695">
        <v>563</v>
      </c>
      <c r="J563" s="695" t="s">
        <v>4455</v>
      </c>
      <c r="K563" s="695" t="s">
        <v>3907</v>
      </c>
      <c r="L563" s="696">
        <v>2</v>
      </c>
      <c r="M563" s="170"/>
    </row>
    <row r="564" spans="2:13" x14ac:dyDescent="0.2">
      <c r="B564" s="173"/>
      <c r="C564" s="694">
        <v>1</v>
      </c>
      <c r="D564" s="695" t="s">
        <v>3903</v>
      </c>
      <c r="E564" s="695">
        <v>1</v>
      </c>
      <c r="F564" s="695" t="s">
        <v>3904</v>
      </c>
      <c r="G564" s="695">
        <v>1</v>
      </c>
      <c r="H564" s="695" t="s">
        <v>3904</v>
      </c>
      <c r="I564" s="695">
        <v>564</v>
      </c>
      <c r="J564" s="695" t="s">
        <v>4456</v>
      </c>
      <c r="K564" s="695" t="s">
        <v>3907</v>
      </c>
      <c r="L564" s="696">
        <v>4</v>
      </c>
      <c r="M564" s="170"/>
    </row>
    <row r="565" spans="2:13" x14ac:dyDescent="0.2">
      <c r="B565" s="173"/>
      <c r="C565" s="694">
        <v>1</v>
      </c>
      <c r="D565" s="695" t="s">
        <v>3903</v>
      </c>
      <c r="E565" s="695">
        <v>1</v>
      </c>
      <c r="F565" s="695" t="s">
        <v>3904</v>
      </c>
      <c r="G565" s="695">
        <v>1</v>
      </c>
      <c r="H565" s="695" t="s">
        <v>3904</v>
      </c>
      <c r="I565" s="695">
        <v>565</v>
      </c>
      <c r="J565" s="695" t="s">
        <v>4457</v>
      </c>
      <c r="K565" s="695" t="s">
        <v>3907</v>
      </c>
      <c r="L565" s="696">
        <v>27</v>
      </c>
      <c r="M565" s="170"/>
    </row>
    <row r="566" spans="2:13" x14ac:dyDescent="0.2">
      <c r="B566" s="173"/>
      <c r="C566" s="694">
        <v>1</v>
      </c>
      <c r="D566" s="695" t="s">
        <v>3903</v>
      </c>
      <c r="E566" s="695">
        <v>1</v>
      </c>
      <c r="F566" s="695" t="s">
        <v>3904</v>
      </c>
      <c r="G566" s="695">
        <v>1</v>
      </c>
      <c r="H566" s="695" t="s">
        <v>3904</v>
      </c>
      <c r="I566" s="695">
        <v>566</v>
      </c>
      <c r="J566" s="695" t="s">
        <v>4458</v>
      </c>
      <c r="K566" s="695" t="s">
        <v>3907</v>
      </c>
      <c r="L566" s="696">
        <v>2</v>
      </c>
      <c r="M566" s="170"/>
    </row>
    <row r="567" spans="2:13" x14ac:dyDescent="0.2">
      <c r="B567" s="173"/>
      <c r="C567" s="694">
        <v>1</v>
      </c>
      <c r="D567" s="695" t="s">
        <v>3903</v>
      </c>
      <c r="E567" s="695">
        <v>1</v>
      </c>
      <c r="F567" s="695" t="s">
        <v>3904</v>
      </c>
      <c r="G567" s="695">
        <v>1</v>
      </c>
      <c r="H567" s="695" t="s">
        <v>3904</v>
      </c>
      <c r="I567" s="695">
        <v>567</v>
      </c>
      <c r="J567" s="695" t="s">
        <v>4459</v>
      </c>
      <c r="K567" s="695" t="s">
        <v>3907</v>
      </c>
      <c r="L567" s="696">
        <v>3</v>
      </c>
      <c r="M567" s="170"/>
    </row>
    <row r="568" spans="2:13" x14ac:dyDescent="0.2">
      <c r="B568" s="173"/>
      <c r="C568" s="694">
        <v>1</v>
      </c>
      <c r="D568" s="695" t="s">
        <v>3903</v>
      </c>
      <c r="E568" s="695">
        <v>1</v>
      </c>
      <c r="F568" s="695" t="s">
        <v>3904</v>
      </c>
      <c r="G568" s="695">
        <v>1</v>
      </c>
      <c r="H568" s="695" t="s">
        <v>3904</v>
      </c>
      <c r="I568" s="695">
        <v>568</v>
      </c>
      <c r="J568" s="695" t="s">
        <v>4460</v>
      </c>
      <c r="K568" s="695" t="s">
        <v>3907</v>
      </c>
      <c r="L568" s="696">
        <v>7</v>
      </c>
      <c r="M568" s="170"/>
    </row>
    <row r="569" spans="2:13" x14ac:dyDescent="0.2">
      <c r="B569" s="173"/>
      <c r="C569" s="694">
        <v>1</v>
      </c>
      <c r="D569" s="695" t="s">
        <v>3903</v>
      </c>
      <c r="E569" s="695">
        <v>1</v>
      </c>
      <c r="F569" s="695" t="s">
        <v>3904</v>
      </c>
      <c r="G569" s="695">
        <v>1</v>
      </c>
      <c r="H569" s="695" t="s">
        <v>3904</v>
      </c>
      <c r="I569" s="695">
        <v>569</v>
      </c>
      <c r="J569" s="695" t="s">
        <v>4461</v>
      </c>
      <c r="K569" s="695" t="s">
        <v>3907</v>
      </c>
      <c r="L569" s="696">
        <v>1</v>
      </c>
      <c r="M569" s="170"/>
    </row>
    <row r="570" spans="2:13" x14ac:dyDescent="0.2">
      <c r="B570" s="173"/>
      <c r="C570" s="694">
        <v>1</v>
      </c>
      <c r="D570" s="695" t="s">
        <v>3903</v>
      </c>
      <c r="E570" s="695">
        <v>1</v>
      </c>
      <c r="F570" s="695" t="s">
        <v>3904</v>
      </c>
      <c r="G570" s="695">
        <v>1</v>
      </c>
      <c r="H570" s="695" t="s">
        <v>3904</v>
      </c>
      <c r="I570" s="695">
        <v>570</v>
      </c>
      <c r="J570" s="695" t="s">
        <v>4462</v>
      </c>
      <c r="K570" s="695" t="s">
        <v>3907</v>
      </c>
      <c r="L570" s="696">
        <v>18</v>
      </c>
      <c r="M570" s="170"/>
    </row>
    <row r="571" spans="2:13" x14ac:dyDescent="0.2">
      <c r="B571" s="173"/>
      <c r="C571" s="694">
        <v>1</v>
      </c>
      <c r="D571" s="695" t="s">
        <v>3903</v>
      </c>
      <c r="E571" s="695">
        <v>1</v>
      </c>
      <c r="F571" s="695" t="s">
        <v>3904</v>
      </c>
      <c r="G571" s="695">
        <v>1</v>
      </c>
      <c r="H571" s="695" t="s">
        <v>3904</v>
      </c>
      <c r="I571" s="695">
        <v>571</v>
      </c>
      <c r="J571" s="695" t="s">
        <v>4463</v>
      </c>
      <c r="K571" s="695" t="s">
        <v>3907</v>
      </c>
      <c r="L571" s="696">
        <v>7</v>
      </c>
      <c r="M571" s="170"/>
    </row>
    <row r="572" spans="2:13" x14ac:dyDescent="0.2">
      <c r="B572" s="173"/>
      <c r="C572" s="694">
        <v>1</v>
      </c>
      <c r="D572" s="695" t="s">
        <v>3903</v>
      </c>
      <c r="E572" s="695">
        <v>1</v>
      </c>
      <c r="F572" s="695" t="s">
        <v>3904</v>
      </c>
      <c r="G572" s="695">
        <v>1</v>
      </c>
      <c r="H572" s="695" t="s">
        <v>3904</v>
      </c>
      <c r="I572" s="695">
        <v>572</v>
      </c>
      <c r="J572" s="695" t="s">
        <v>4464</v>
      </c>
      <c r="K572" s="695" t="s">
        <v>3907</v>
      </c>
      <c r="L572" s="696">
        <v>0</v>
      </c>
      <c r="M572" s="170"/>
    </row>
    <row r="573" spans="2:13" x14ac:dyDescent="0.2">
      <c r="B573" s="173"/>
      <c r="C573" s="694">
        <v>1</v>
      </c>
      <c r="D573" s="695" t="s">
        <v>3903</v>
      </c>
      <c r="E573" s="695">
        <v>1</v>
      </c>
      <c r="F573" s="695" t="s">
        <v>3904</v>
      </c>
      <c r="G573" s="695">
        <v>1</v>
      </c>
      <c r="H573" s="695" t="s">
        <v>3904</v>
      </c>
      <c r="I573" s="695">
        <v>573</v>
      </c>
      <c r="J573" s="695" t="s">
        <v>4465</v>
      </c>
      <c r="K573" s="695" t="s">
        <v>3907</v>
      </c>
      <c r="L573" s="696">
        <v>14</v>
      </c>
      <c r="M573" s="170"/>
    </row>
    <row r="574" spans="2:13" x14ac:dyDescent="0.2">
      <c r="B574" s="173"/>
      <c r="C574" s="694">
        <v>1</v>
      </c>
      <c r="D574" s="695" t="s">
        <v>3903</v>
      </c>
      <c r="E574" s="695">
        <v>1</v>
      </c>
      <c r="F574" s="695" t="s">
        <v>3904</v>
      </c>
      <c r="G574" s="695">
        <v>1</v>
      </c>
      <c r="H574" s="695" t="s">
        <v>3904</v>
      </c>
      <c r="I574" s="695">
        <v>574</v>
      </c>
      <c r="J574" s="695" t="s">
        <v>4466</v>
      </c>
      <c r="K574" s="695" t="s">
        <v>3907</v>
      </c>
      <c r="L574" s="696">
        <v>4</v>
      </c>
      <c r="M574" s="170"/>
    </row>
    <row r="575" spans="2:13" x14ac:dyDescent="0.2">
      <c r="B575" s="173"/>
      <c r="C575" s="694">
        <v>1</v>
      </c>
      <c r="D575" s="695" t="s">
        <v>3903</v>
      </c>
      <c r="E575" s="695">
        <v>1</v>
      </c>
      <c r="F575" s="695" t="s">
        <v>3904</v>
      </c>
      <c r="G575" s="695">
        <v>1</v>
      </c>
      <c r="H575" s="695" t="s">
        <v>3904</v>
      </c>
      <c r="I575" s="695">
        <v>575</v>
      </c>
      <c r="J575" s="695" t="s">
        <v>4467</v>
      </c>
      <c r="K575" s="695" t="s">
        <v>3907</v>
      </c>
      <c r="L575" s="696">
        <v>31</v>
      </c>
      <c r="M575" s="170"/>
    </row>
    <row r="576" spans="2:13" x14ac:dyDescent="0.2">
      <c r="B576" s="173"/>
      <c r="C576" s="694">
        <v>1</v>
      </c>
      <c r="D576" s="695" t="s">
        <v>3903</v>
      </c>
      <c r="E576" s="695">
        <v>1</v>
      </c>
      <c r="F576" s="695" t="s">
        <v>3904</v>
      </c>
      <c r="G576" s="695">
        <v>1</v>
      </c>
      <c r="H576" s="695" t="s">
        <v>3904</v>
      </c>
      <c r="I576" s="695">
        <v>576</v>
      </c>
      <c r="J576" s="695" t="s">
        <v>4468</v>
      </c>
      <c r="K576" s="695" t="s">
        <v>3907</v>
      </c>
      <c r="L576" s="696">
        <v>1</v>
      </c>
      <c r="M576" s="170"/>
    </row>
    <row r="577" spans="2:13" x14ac:dyDescent="0.2">
      <c r="B577" s="173"/>
      <c r="C577" s="694">
        <v>1</v>
      </c>
      <c r="D577" s="695" t="s">
        <v>3903</v>
      </c>
      <c r="E577" s="695">
        <v>1</v>
      </c>
      <c r="F577" s="695" t="s">
        <v>3904</v>
      </c>
      <c r="G577" s="695">
        <v>1</v>
      </c>
      <c r="H577" s="695" t="s">
        <v>3904</v>
      </c>
      <c r="I577" s="695">
        <v>577</v>
      </c>
      <c r="J577" s="695" t="s">
        <v>4469</v>
      </c>
      <c r="K577" s="695" t="s">
        <v>3907</v>
      </c>
      <c r="L577" s="696">
        <v>4</v>
      </c>
      <c r="M577" s="170"/>
    </row>
    <row r="578" spans="2:13" x14ac:dyDescent="0.2">
      <c r="B578" s="173"/>
      <c r="C578" s="694">
        <v>1</v>
      </c>
      <c r="D578" s="695" t="s">
        <v>3903</v>
      </c>
      <c r="E578" s="695">
        <v>1</v>
      </c>
      <c r="F578" s="695" t="s">
        <v>3904</v>
      </c>
      <c r="G578" s="695">
        <v>1</v>
      </c>
      <c r="H578" s="695" t="s">
        <v>3904</v>
      </c>
      <c r="I578" s="695">
        <v>578</v>
      </c>
      <c r="J578" s="695" t="s">
        <v>4470</v>
      </c>
      <c r="K578" s="695" t="s">
        <v>3907</v>
      </c>
      <c r="L578" s="696">
        <v>3</v>
      </c>
      <c r="M578" s="170"/>
    </row>
    <row r="579" spans="2:13" x14ac:dyDescent="0.2">
      <c r="B579" s="173"/>
      <c r="C579" s="694">
        <v>1</v>
      </c>
      <c r="D579" s="695" t="s">
        <v>3903</v>
      </c>
      <c r="E579" s="695">
        <v>1</v>
      </c>
      <c r="F579" s="695" t="s">
        <v>3904</v>
      </c>
      <c r="G579" s="695">
        <v>1</v>
      </c>
      <c r="H579" s="695" t="s">
        <v>3904</v>
      </c>
      <c r="I579" s="695">
        <v>579</v>
      </c>
      <c r="J579" s="695" t="s">
        <v>4471</v>
      </c>
      <c r="K579" s="695" t="s">
        <v>3907</v>
      </c>
      <c r="L579" s="696">
        <v>6</v>
      </c>
      <c r="M579" s="170"/>
    </row>
    <row r="580" spans="2:13" x14ac:dyDescent="0.2">
      <c r="B580" s="173"/>
      <c r="C580" s="694">
        <v>1</v>
      </c>
      <c r="D580" s="695" t="s">
        <v>3903</v>
      </c>
      <c r="E580" s="695">
        <v>1</v>
      </c>
      <c r="F580" s="695" t="s">
        <v>3904</v>
      </c>
      <c r="G580" s="695">
        <v>1</v>
      </c>
      <c r="H580" s="695" t="s">
        <v>3904</v>
      </c>
      <c r="I580" s="695">
        <v>581</v>
      </c>
      <c r="J580" s="695" t="s">
        <v>4472</v>
      </c>
      <c r="K580" s="695" t="s">
        <v>3907</v>
      </c>
      <c r="L580" s="696">
        <v>1</v>
      </c>
      <c r="M580" s="170"/>
    </row>
    <row r="581" spans="2:13" x14ac:dyDescent="0.2">
      <c r="B581" s="173"/>
      <c r="C581" s="694">
        <v>1</v>
      </c>
      <c r="D581" s="695" t="s">
        <v>3903</v>
      </c>
      <c r="E581" s="695">
        <v>1</v>
      </c>
      <c r="F581" s="695" t="s">
        <v>3904</v>
      </c>
      <c r="G581" s="695">
        <v>1</v>
      </c>
      <c r="H581" s="695" t="s">
        <v>3904</v>
      </c>
      <c r="I581" s="695">
        <v>582</v>
      </c>
      <c r="J581" s="695" t="s">
        <v>4473</v>
      </c>
      <c r="K581" s="695" t="s">
        <v>3907</v>
      </c>
      <c r="L581" s="696">
        <v>1</v>
      </c>
      <c r="M581" s="170"/>
    </row>
    <row r="582" spans="2:13" x14ac:dyDescent="0.2">
      <c r="B582" s="173"/>
      <c r="C582" s="694">
        <v>1</v>
      </c>
      <c r="D582" s="695" t="s">
        <v>3903</v>
      </c>
      <c r="E582" s="695">
        <v>1</v>
      </c>
      <c r="F582" s="695" t="s">
        <v>3904</v>
      </c>
      <c r="G582" s="695">
        <v>1</v>
      </c>
      <c r="H582" s="695" t="s">
        <v>3904</v>
      </c>
      <c r="I582" s="695">
        <v>583</v>
      </c>
      <c r="J582" s="695" t="s">
        <v>4474</v>
      </c>
      <c r="K582" s="695" t="s">
        <v>3907</v>
      </c>
      <c r="L582" s="696">
        <v>2</v>
      </c>
      <c r="M582" s="170"/>
    </row>
    <row r="583" spans="2:13" x14ac:dyDescent="0.2">
      <c r="B583" s="173"/>
      <c r="C583" s="694">
        <v>1</v>
      </c>
      <c r="D583" s="695" t="s">
        <v>3903</v>
      </c>
      <c r="E583" s="695">
        <v>1</v>
      </c>
      <c r="F583" s="695" t="s">
        <v>3904</v>
      </c>
      <c r="G583" s="695">
        <v>1</v>
      </c>
      <c r="H583" s="695" t="s">
        <v>3904</v>
      </c>
      <c r="I583" s="695">
        <v>584</v>
      </c>
      <c r="J583" s="695" t="s">
        <v>4475</v>
      </c>
      <c r="K583" s="695" t="s">
        <v>3907</v>
      </c>
      <c r="L583" s="696">
        <v>4</v>
      </c>
      <c r="M583" s="170"/>
    </row>
    <row r="584" spans="2:13" x14ac:dyDescent="0.2">
      <c r="B584" s="173"/>
      <c r="C584" s="694">
        <v>1</v>
      </c>
      <c r="D584" s="695" t="s">
        <v>3903</v>
      </c>
      <c r="E584" s="695">
        <v>1</v>
      </c>
      <c r="F584" s="695" t="s">
        <v>3904</v>
      </c>
      <c r="G584" s="695">
        <v>1</v>
      </c>
      <c r="H584" s="695" t="s">
        <v>3904</v>
      </c>
      <c r="I584" s="695">
        <v>585</v>
      </c>
      <c r="J584" s="695" t="s">
        <v>4476</v>
      </c>
      <c r="K584" s="695" t="s">
        <v>8544</v>
      </c>
      <c r="L584" s="696">
        <v>1</v>
      </c>
      <c r="M584" s="170"/>
    </row>
    <row r="585" spans="2:13" x14ac:dyDescent="0.2">
      <c r="B585" s="173"/>
      <c r="C585" s="694">
        <v>1</v>
      </c>
      <c r="D585" s="695" t="s">
        <v>3903</v>
      </c>
      <c r="E585" s="695">
        <v>1</v>
      </c>
      <c r="F585" s="695" t="s">
        <v>3904</v>
      </c>
      <c r="G585" s="695">
        <v>1</v>
      </c>
      <c r="H585" s="695" t="s">
        <v>3904</v>
      </c>
      <c r="I585" s="695">
        <v>586</v>
      </c>
      <c r="J585" s="695" t="s">
        <v>4477</v>
      </c>
      <c r="K585" s="695" t="s">
        <v>8544</v>
      </c>
      <c r="L585" s="696">
        <v>1</v>
      </c>
      <c r="M585" s="170"/>
    </row>
    <row r="586" spans="2:13" x14ac:dyDescent="0.2">
      <c r="B586" s="173"/>
      <c r="C586" s="694">
        <v>1</v>
      </c>
      <c r="D586" s="695" t="s">
        <v>3903</v>
      </c>
      <c r="E586" s="695">
        <v>1</v>
      </c>
      <c r="F586" s="695" t="s">
        <v>3904</v>
      </c>
      <c r="G586" s="695">
        <v>1</v>
      </c>
      <c r="H586" s="695" t="s">
        <v>3904</v>
      </c>
      <c r="I586" s="695">
        <v>587</v>
      </c>
      <c r="J586" s="695" t="s">
        <v>4478</v>
      </c>
      <c r="K586" s="695" t="s">
        <v>8544</v>
      </c>
      <c r="L586" s="696">
        <v>1</v>
      </c>
      <c r="M586" s="170"/>
    </row>
    <row r="587" spans="2:13" x14ac:dyDescent="0.2">
      <c r="B587" s="173"/>
      <c r="C587" s="694">
        <v>1</v>
      </c>
      <c r="D587" s="695" t="s">
        <v>3903</v>
      </c>
      <c r="E587" s="695">
        <v>1</v>
      </c>
      <c r="F587" s="695" t="s">
        <v>3904</v>
      </c>
      <c r="G587" s="695">
        <v>1</v>
      </c>
      <c r="H587" s="695" t="s">
        <v>3904</v>
      </c>
      <c r="I587" s="695">
        <v>588</v>
      </c>
      <c r="J587" s="695" t="s">
        <v>4123</v>
      </c>
      <c r="K587" s="695" t="s">
        <v>8544</v>
      </c>
      <c r="L587" s="696">
        <v>4</v>
      </c>
      <c r="M587" s="170"/>
    </row>
    <row r="588" spans="2:13" x14ac:dyDescent="0.2">
      <c r="B588" s="173"/>
      <c r="C588" s="694">
        <v>1</v>
      </c>
      <c r="D588" s="695" t="s">
        <v>3903</v>
      </c>
      <c r="E588" s="695">
        <v>1</v>
      </c>
      <c r="F588" s="695" t="s">
        <v>3904</v>
      </c>
      <c r="G588" s="695">
        <v>1</v>
      </c>
      <c r="H588" s="695" t="s">
        <v>3904</v>
      </c>
      <c r="I588" s="695">
        <v>589</v>
      </c>
      <c r="J588" s="695" t="s">
        <v>4479</v>
      </c>
      <c r="K588" s="695" t="s">
        <v>8544</v>
      </c>
      <c r="L588" s="696">
        <v>0</v>
      </c>
      <c r="M588" s="170"/>
    </row>
    <row r="589" spans="2:13" x14ac:dyDescent="0.2">
      <c r="B589" s="173"/>
      <c r="C589" s="694">
        <v>1</v>
      </c>
      <c r="D589" s="695" t="s">
        <v>3903</v>
      </c>
      <c r="E589" s="695">
        <v>1</v>
      </c>
      <c r="F589" s="695" t="s">
        <v>3904</v>
      </c>
      <c r="G589" s="695">
        <v>1</v>
      </c>
      <c r="H589" s="695" t="s">
        <v>3904</v>
      </c>
      <c r="I589" s="695">
        <v>590</v>
      </c>
      <c r="J589" s="695" t="s">
        <v>4480</v>
      </c>
      <c r="K589" s="695" t="s">
        <v>3985</v>
      </c>
      <c r="L589" s="696">
        <v>1</v>
      </c>
      <c r="M589" s="170"/>
    </row>
    <row r="590" spans="2:13" x14ac:dyDescent="0.2">
      <c r="B590" s="173"/>
      <c r="C590" s="694">
        <v>1</v>
      </c>
      <c r="D590" s="695" t="s">
        <v>3903</v>
      </c>
      <c r="E590" s="695">
        <v>1</v>
      </c>
      <c r="F590" s="695" t="s">
        <v>3904</v>
      </c>
      <c r="G590" s="695">
        <v>1</v>
      </c>
      <c r="H590" s="695" t="s">
        <v>3904</v>
      </c>
      <c r="I590" s="695">
        <v>591</v>
      </c>
      <c r="J590" s="695" t="s">
        <v>4481</v>
      </c>
      <c r="K590" s="695" t="s">
        <v>8544</v>
      </c>
      <c r="L590" s="696">
        <v>0</v>
      </c>
      <c r="M590" s="170"/>
    </row>
    <row r="591" spans="2:13" x14ac:dyDescent="0.2">
      <c r="B591" s="173"/>
      <c r="C591" s="694">
        <v>1</v>
      </c>
      <c r="D591" s="695" t="s">
        <v>3903</v>
      </c>
      <c r="E591" s="695">
        <v>1</v>
      </c>
      <c r="F591" s="695" t="s">
        <v>3904</v>
      </c>
      <c r="G591" s="695">
        <v>1</v>
      </c>
      <c r="H591" s="695" t="s">
        <v>3904</v>
      </c>
      <c r="I591" s="695">
        <v>592</v>
      </c>
      <c r="J591" s="695" t="s">
        <v>4482</v>
      </c>
      <c r="K591" s="695" t="s">
        <v>8544</v>
      </c>
      <c r="L591" s="696">
        <v>0</v>
      </c>
      <c r="M591" s="170"/>
    </row>
    <row r="592" spans="2:13" x14ac:dyDescent="0.2">
      <c r="B592" s="173"/>
      <c r="C592" s="694">
        <v>1</v>
      </c>
      <c r="D592" s="695" t="s">
        <v>3903</v>
      </c>
      <c r="E592" s="695">
        <v>1</v>
      </c>
      <c r="F592" s="695" t="s">
        <v>3904</v>
      </c>
      <c r="G592" s="695">
        <v>1</v>
      </c>
      <c r="H592" s="695" t="s">
        <v>3904</v>
      </c>
      <c r="I592" s="695">
        <v>593</v>
      </c>
      <c r="J592" s="695" t="s">
        <v>4483</v>
      </c>
      <c r="K592" s="695" t="s">
        <v>4009</v>
      </c>
      <c r="L592" s="696">
        <v>0</v>
      </c>
      <c r="M592" s="170"/>
    </row>
    <row r="593" spans="2:13" x14ac:dyDescent="0.2">
      <c r="B593" s="173"/>
      <c r="C593" s="694">
        <v>1</v>
      </c>
      <c r="D593" s="695" t="s">
        <v>3903</v>
      </c>
      <c r="E593" s="695">
        <v>1</v>
      </c>
      <c r="F593" s="695" t="s">
        <v>3904</v>
      </c>
      <c r="G593" s="695">
        <v>1</v>
      </c>
      <c r="H593" s="695" t="s">
        <v>3904</v>
      </c>
      <c r="I593" s="695">
        <v>594</v>
      </c>
      <c r="J593" s="695" t="s">
        <v>4484</v>
      </c>
      <c r="K593" s="695" t="s">
        <v>4009</v>
      </c>
      <c r="L593" s="696">
        <v>0</v>
      </c>
      <c r="M593" s="170"/>
    </row>
    <row r="594" spans="2:13" x14ac:dyDescent="0.2">
      <c r="B594" s="173"/>
      <c r="C594" s="694">
        <v>1</v>
      </c>
      <c r="D594" s="695" t="s">
        <v>3903</v>
      </c>
      <c r="E594" s="695">
        <v>1</v>
      </c>
      <c r="F594" s="695" t="s">
        <v>3904</v>
      </c>
      <c r="G594" s="695">
        <v>1</v>
      </c>
      <c r="H594" s="695" t="s">
        <v>3904</v>
      </c>
      <c r="I594" s="695">
        <v>595</v>
      </c>
      <c r="J594" s="695" t="s">
        <v>4480</v>
      </c>
      <c r="K594" s="695" t="s">
        <v>4009</v>
      </c>
      <c r="L594" s="696">
        <v>0</v>
      </c>
      <c r="M594" s="170"/>
    </row>
    <row r="595" spans="2:13" x14ac:dyDescent="0.2">
      <c r="B595" s="173"/>
      <c r="C595" s="694">
        <v>1</v>
      </c>
      <c r="D595" s="695" t="s">
        <v>3903</v>
      </c>
      <c r="E595" s="695">
        <v>1</v>
      </c>
      <c r="F595" s="695" t="s">
        <v>3904</v>
      </c>
      <c r="G595" s="695">
        <v>1</v>
      </c>
      <c r="H595" s="695" t="s">
        <v>3904</v>
      </c>
      <c r="I595" s="695">
        <v>596</v>
      </c>
      <c r="J595" s="695" t="s">
        <v>4485</v>
      </c>
      <c r="K595" s="695" t="s">
        <v>4009</v>
      </c>
      <c r="L595" s="696">
        <v>0</v>
      </c>
      <c r="M595" s="170"/>
    </row>
    <row r="596" spans="2:13" x14ac:dyDescent="0.2">
      <c r="B596" s="173"/>
      <c r="C596" s="694">
        <v>1</v>
      </c>
      <c r="D596" s="695" t="s">
        <v>3903</v>
      </c>
      <c r="E596" s="695">
        <v>1</v>
      </c>
      <c r="F596" s="695" t="s">
        <v>3904</v>
      </c>
      <c r="G596" s="695">
        <v>1</v>
      </c>
      <c r="H596" s="695" t="s">
        <v>3904</v>
      </c>
      <c r="I596" s="695">
        <v>597</v>
      </c>
      <c r="J596" s="695" t="s">
        <v>4486</v>
      </c>
      <c r="K596" s="695" t="s">
        <v>8544</v>
      </c>
      <c r="L596" s="696">
        <v>0</v>
      </c>
      <c r="M596" s="170"/>
    </row>
    <row r="597" spans="2:13" x14ac:dyDescent="0.2">
      <c r="B597" s="173"/>
      <c r="C597" s="694">
        <v>1</v>
      </c>
      <c r="D597" s="695" t="s">
        <v>3903</v>
      </c>
      <c r="E597" s="695">
        <v>1</v>
      </c>
      <c r="F597" s="695" t="s">
        <v>3904</v>
      </c>
      <c r="G597" s="695">
        <v>1</v>
      </c>
      <c r="H597" s="695" t="s">
        <v>3904</v>
      </c>
      <c r="I597" s="695">
        <v>598</v>
      </c>
      <c r="J597" s="695" t="s">
        <v>4487</v>
      </c>
      <c r="K597" s="695" t="s">
        <v>8544</v>
      </c>
      <c r="L597" s="696">
        <v>2</v>
      </c>
      <c r="M597" s="170"/>
    </row>
    <row r="598" spans="2:13" x14ac:dyDescent="0.2">
      <c r="B598" s="173"/>
      <c r="C598" s="694">
        <v>1</v>
      </c>
      <c r="D598" s="695" t="s">
        <v>3903</v>
      </c>
      <c r="E598" s="695">
        <v>1</v>
      </c>
      <c r="F598" s="695" t="s">
        <v>3904</v>
      </c>
      <c r="G598" s="695">
        <v>1</v>
      </c>
      <c r="H598" s="695" t="s">
        <v>3904</v>
      </c>
      <c r="I598" s="695">
        <v>599</v>
      </c>
      <c r="J598" s="695" t="s">
        <v>4488</v>
      </c>
      <c r="K598" s="695" t="s">
        <v>8544</v>
      </c>
      <c r="L598" s="696">
        <v>4</v>
      </c>
      <c r="M598" s="170"/>
    </row>
    <row r="599" spans="2:13" x14ac:dyDescent="0.2">
      <c r="B599" s="173"/>
      <c r="C599" s="694">
        <v>1</v>
      </c>
      <c r="D599" s="695" t="s">
        <v>3903</v>
      </c>
      <c r="E599" s="695">
        <v>1</v>
      </c>
      <c r="F599" s="695" t="s">
        <v>3904</v>
      </c>
      <c r="G599" s="695">
        <v>1</v>
      </c>
      <c r="H599" s="695" t="s">
        <v>3904</v>
      </c>
      <c r="I599" s="695">
        <v>600</v>
      </c>
      <c r="J599" s="695" t="s">
        <v>4489</v>
      </c>
      <c r="K599" s="695" t="s">
        <v>4490</v>
      </c>
      <c r="L599" s="696">
        <v>7</v>
      </c>
      <c r="M599" s="170"/>
    </row>
    <row r="600" spans="2:13" x14ac:dyDescent="0.2">
      <c r="B600" s="173"/>
      <c r="C600" s="694">
        <v>1</v>
      </c>
      <c r="D600" s="695" t="s">
        <v>3903</v>
      </c>
      <c r="E600" s="695">
        <v>1</v>
      </c>
      <c r="F600" s="695" t="s">
        <v>3904</v>
      </c>
      <c r="G600" s="695">
        <v>1</v>
      </c>
      <c r="H600" s="695" t="s">
        <v>3904</v>
      </c>
      <c r="I600" s="695">
        <v>601</v>
      </c>
      <c r="J600" s="695" t="s">
        <v>4491</v>
      </c>
      <c r="K600" s="695" t="s">
        <v>8544</v>
      </c>
      <c r="L600" s="696">
        <v>13</v>
      </c>
      <c r="M600" s="170"/>
    </row>
    <row r="601" spans="2:13" x14ac:dyDescent="0.2">
      <c r="B601" s="173"/>
      <c r="C601" s="694">
        <v>1</v>
      </c>
      <c r="D601" s="695" t="s">
        <v>3903</v>
      </c>
      <c r="E601" s="695">
        <v>1</v>
      </c>
      <c r="F601" s="695" t="s">
        <v>3904</v>
      </c>
      <c r="G601" s="695">
        <v>1</v>
      </c>
      <c r="H601" s="695" t="s">
        <v>3904</v>
      </c>
      <c r="I601" s="695">
        <v>602</v>
      </c>
      <c r="J601" s="695" t="s">
        <v>4492</v>
      </c>
      <c r="K601" s="695" t="s">
        <v>8544</v>
      </c>
      <c r="L601" s="696">
        <v>1</v>
      </c>
      <c r="M601" s="170"/>
    </row>
    <row r="602" spans="2:13" x14ac:dyDescent="0.2">
      <c r="B602" s="173"/>
      <c r="C602" s="694">
        <v>1</v>
      </c>
      <c r="D602" s="695" t="s">
        <v>3903</v>
      </c>
      <c r="E602" s="695">
        <v>1</v>
      </c>
      <c r="F602" s="695" t="s">
        <v>3904</v>
      </c>
      <c r="G602" s="695">
        <v>1</v>
      </c>
      <c r="H602" s="695" t="s">
        <v>3904</v>
      </c>
      <c r="I602" s="695">
        <v>603</v>
      </c>
      <c r="J602" s="695" t="s">
        <v>3911</v>
      </c>
      <c r="K602" s="695" t="s">
        <v>3907</v>
      </c>
      <c r="L602" s="696">
        <v>167</v>
      </c>
      <c r="M602" s="170"/>
    </row>
    <row r="603" spans="2:13" x14ac:dyDescent="0.2">
      <c r="B603" s="173"/>
      <c r="C603" s="694">
        <v>1</v>
      </c>
      <c r="D603" s="695" t="s">
        <v>3903</v>
      </c>
      <c r="E603" s="695">
        <v>1</v>
      </c>
      <c r="F603" s="695" t="s">
        <v>3904</v>
      </c>
      <c r="G603" s="695">
        <v>1</v>
      </c>
      <c r="H603" s="695" t="s">
        <v>3904</v>
      </c>
      <c r="I603" s="695">
        <v>604</v>
      </c>
      <c r="J603" s="695" t="s">
        <v>4493</v>
      </c>
      <c r="K603" s="695" t="s">
        <v>8544</v>
      </c>
      <c r="L603" s="696">
        <v>2</v>
      </c>
      <c r="M603" s="170"/>
    </row>
    <row r="604" spans="2:13" x14ac:dyDescent="0.2">
      <c r="B604" s="173"/>
      <c r="C604" s="694">
        <v>1</v>
      </c>
      <c r="D604" s="695" t="s">
        <v>3903</v>
      </c>
      <c r="E604" s="695">
        <v>1</v>
      </c>
      <c r="F604" s="695" t="s">
        <v>3904</v>
      </c>
      <c r="G604" s="695">
        <v>1</v>
      </c>
      <c r="H604" s="695" t="s">
        <v>3904</v>
      </c>
      <c r="I604" s="695">
        <v>605</v>
      </c>
      <c r="J604" s="695" t="s">
        <v>4494</v>
      </c>
      <c r="K604" s="695" t="s">
        <v>3907</v>
      </c>
      <c r="L604" s="696">
        <v>2</v>
      </c>
      <c r="M604" s="170"/>
    </row>
    <row r="605" spans="2:13" x14ac:dyDescent="0.2">
      <c r="B605" s="173"/>
      <c r="C605" s="694">
        <v>1</v>
      </c>
      <c r="D605" s="695" t="s">
        <v>3903</v>
      </c>
      <c r="E605" s="695">
        <v>1</v>
      </c>
      <c r="F605" s="695" t="s">
        <v>3904</v>
      </c>
      <c r="G605" s="695">
        <v>1</v>
      </c>
      <c r="H605" s="695" t="s">
        <v>3904</v>
      </c>
      <c r="I605" s="695">
        <v>606</v>
      </c>
      <c r="J605" s="695" t="s">
        <v>4495</v>
      </c>
      <c r="K605" s="695" t="s">
        <v>3907</v>
      </c>
      <c r="L605" s="696">
        <v>1</v>
      </c>
      <c r="M605" s="170"/>
    </row>
    <row r="606" spans="2:13" x14ac:dyDescent="0.2">
      <c r="B606" s="173"/>
      <c r="C606" s="694">
        <v>1</v>
      </c>
      <c r="D606" s="695" t="s">
        <v>3903</v>
      </c>
      <c r="E606" s="695">
        <v>1</v>
      </c>
      <c r="F606" s="695" t="s">
        <v>3904</v>
      </c>
      <c r="G606" s="695">
        <v>1</v>
      </c>
      <c r="H606" s="695" t="s">
        <v>3904</v>
      </c>
      <c r="I606" s="695">
        <v>607</v>
      </c>
      <c r="J606" s="695" t="s">
        <v>4496</v>
      </c>
      <c r="K606" s="695" t="s">
        <v>3907</v>
      </c>
      <c r="L606" s="696">
        <v>1</v>
      </c>
      <c r="M606" s="170"/>
    </row>
    <row r="607" spans="2:13" x14ac:dyDescent="0.2">
      <c r="B607" s="173"/>
      <c r="C607" s="694">
        <v>1</v>
      </c>
      <c r="D607" s="695" t="s">
        <v>3903</v>
      </c>
      <c r="E607" s="695">
        <v>1</v>
      </c>
      <c r="F607" s="695" t="s">
        <v>3904</v>
      </c>
      <c r="G607" s="695">
        <v>1</v>
      </c>
      <c r="H607" s="695" t="s">
        <v>3904</v>
      </c>
      <c r="I607" s="695">
        <v>608</v>
      </c>
      <c r="J607" s="695" t="s">
        <v>4497</v>
      </c>
      <c r="K607" s="695" t="s">
        <v>8544</v>
      </c>
      <c r="L607" s="696">
        <v>34</v>
      </c>
      <c r="M607" s="170"/>
    </row>
    <row r="608" spans="2:13" x14ac:dyDescent="0.2">
      <c r="B608" s="173"/>
      <c r="C608" s="694">
        <v>1</v>
      </c>
      <c r="D608" s="695" t="s">
        <v>3903</v>
      </c>
      <c r="E608" s="695">
        <v>1</v>
      </c>
      <c r="F608" s="695" t="s">
        <v>3904</v>
      </c>
      <c r="G608" s="695">
        <v>1</v>
      </c>
      <c r="H608" s="695" t="s">
        <v>3904</v>
      </c>
      <c r="I608" s="695">
        <v>609</v>
      </c>
      <c r="J608" s="695" t="s">
        <v>4498</v>
      </c>
      <c r="K608" s="695" t="s">
        <v>3907</v>
      </c>
      <c r="L608" s="696">
        <v>2</v>
      </c>
      <c r="M608" s="170"/>
    </row>
    <row r="609" spans="2:13" x14ac:dyDescent="0.2">
      <c r="B609" s="173"/>
      <c r="C609" s="694">
        <v>1</v>
      </c>
      <c r="D609" s="695" t="s">
        <v>3903</v>
      </c>
      <c r="E609" s="695">
        <v>1</v>
      </c>
      <c r="F609" s="695" t="s">
        <v>3904</v>
      </c>
      <c r="G609" s="695">
        <v>1</v>
      </c>
      <c r="H609" s="695" t="s">
        <v>3904</v>
      </c>
      <c r="I609" s="695">
        <v>610</v>
      </c>
      <c r="J609" s="695" t="s">
        <v>4499</v>
      </c>
      <c r="K609" s="695" t="s">
        <v>3985</v>
      </c>
      <c r="L609" s="696">
        <v>9</v>
      </c>
      <c r="M609" s="170"/>
    </row>
    <row r="610" spans="2:13" x14ac:dyDescent="0.2">
      <c r="B610" s="173"/>
      <c r="C610" s="694">
        <v>1</v>
      </c>
      <c r="D610" s="695" t="s">
        <v>3903</v>
      </c>
      <c r="E610" s="695">
        <v>1</v>
      </c>
      <c r="F610" s="695" t="s">
        <v>3904</v>
      </c>
      <c r="G610" s="695">
        <v>1</v>
      </c>
      <c r="H610" s="695" t="s">
        <v>3904</v>
      </c>
      <c r="I610" s="695">
        <v>611</v>
      </c>
      <c r="J610" s="695" t="s">
        <v>4500</v>
      </c>
      <c r="K610" s="695" t="s">
        <v>8544</v>
      </c>
      <c r="L610" s="696">
        <v>0</v>
      </c>
      <c r="M610" s="170"/>
    </row>
    <row r="611" spans="2:13" x14ac:dyDescent="0.2">
      <c r="B611" s="173"/>
      <c r="C611" s="694">
        <v>1</v>
      </c>
      <c r="D611" s="695" t="s">
        <v>3903</v>
      </c>
      <c r="E611" s="695">
        <v>1</v>
      </c>
      <c r="F611" s="695" t="s">
        <v>3904</v>
      </c>
      <c r="G611" s="695">
        <v>1</v>
      </c>
      <c r="H611" s="695" t="s">
        <v>3904</v>
      </c>
      <c r="I611" s="695">
        <v>612</v>
      </c>
      <c r="J611" s="695" t="s">
        <v>4501</v>
      </c>
      <c r="K611" s="695" t="s">
        <v>3907</v>
      </c>
      <c r="L611" s="696">
        <v>6</v>
      </c>
      <c r="M611" s="170"/>
    </row>
    <row r="612" spans="2:13" x14ac:dyDescent="0.2">
      <c r="B612" s="173"/>
      <c r="C612" s="694">
        <v>1</v>
      </c>
      <c r="D612" s="695" t="s">
        <v>3903</v>
      </c>
      <c r="E612" s="695">
        <v>1</v>
      </c>
      <c r="F612" s="695" t="s">
        <v>3904</v>
      </c>
      <c r="G612" s="695">
        <v>1</v>
      </c>
      <c r="H612" s="695" t="s">
        <v>3904</v>
      </c>
      <c r="I612" s="695">
        <v>613</v>
      </c>
      <c r="J612" s="695" t="s">
        <v>4502</v>
      </c>
      <c r="K612" s="695" t="s">
        <v>3907</v>
      </c>
      <c r="L612" s="696">
        <v>4</v>
      </c>
      <c r="M612" s="170"/>
    </row>
    <row r="613" spans="2:13" x14ac:dyDescent="0.2">
      <c r="B613" s="173"/>
      <c r="C613" s="694">
        <v>1</v>
      </c>
      <c r="D613" s="695" t="s">
        <v>3903</v>
      </c>
      <c r="E613" s="695">
        <v>1</v>
      </c>
      <c r="F613" s="695" t="s">
        <v>3904</v>
      </c>
      <c r="G613" s="695">
        <v>1</v>
      </c>
      <c r="H613" s="695" t="s">
        <v>3904</v>
      </c>
      <c r="I613" s="695">
        <v>614</v>
      </c>
      <c r="J613" s="695" t="s">
        <v>4503</v>
      </c>
      <c r="K613" s="695" t="s">
        <v>3907</v>
      </c>
      <c r="L613" s="696">
        <v>2</v>
      </c>
      <c r="M613" s="170"/>
    </row>
    <row r="614" spans="2:13" x14ac:dyDescent="0.2">
      <c r="B614" s="173"/>
      <c r="C614" s="694">
        <v>1</v>
      </c>
      <c r="D614" s="695" t="s">
        <v>3903</v>
      </c>
      <c r="E614" s="695">
        <v>1</v>
      </c>
      <c r="F614" s="695" t="s">
        <v>3904</v>
      </c>
      <c r="G614" s="695">
        <v>1</v>
      </c>
      <c r="H614" s="695" t="s">
        <v>3904</v>
      </c>
      <c r="I614" s="695">
        <v>615</v>
      </c>
      <c r="J614" s="695" t="s">
        <v>4504</v>
      </c>
      <c r="K614" s="695" t="s">
        <v>3907</v>
      </c>
      <c r="L614" s="696">
        <v>9</v>
      </c>
      <c r="M614" s="170"/>
    </row>
    <row r="615" spans="2:13" x14ac:dyDescent="0.2">
      <c r="B615" s="173"/>
      <c r="C615" s="694">
        <v>1</v>
      </c>
      <c r="D615" s="695" t="s">
        <v>3903</v>
      </c>
      <c r="E615" s="695">
        <v>1</v>
      </c>
      <c r="F615" s="695" t="s">
        <v>3904</v>
      </c>
      <c r="G615" s="695">
        <v>1</v>
      </c>
      <c r="H615" s="695" t="s">
        <v>3904</v>
      </c>
      <c r="I615" s="695">
        <v>616</v>
      </c>
      <c r="J615" s="695" t="s">
        <v>4505</v>
      </c>
      <c r="K615" s="695" t="s">
        <v>3907</v>
      </c>
      <c r="L615" s="696">
        <v>35</v>
      </c>
      <c r="M615" s="170"/>
    </row>
    <row r="616" spans="2:13" x14ac:dyDescent="0.2">
      <c r="B616" s="173"/>
      <c r="C616" s="694">
        <v>1</v>
      </c>
      <c r="D616" s="695" t="s">
        <v>3903</v>
      </c>
      <c r="E616" s="695">
        <v>1</v>
      </c>
      <c r="F616" s="695" t="s">
        <v>3904</v>
      </c>
      <c r="G616" s="695">
        <v>1</v>
      </c>
      <c r="H616" s="695" t="s">
        <v>3904</v>
      </c>
      <c r="I616" s="695">
        <v>617</v>
      </c>
      <c r="J616" s="695" t="s">
        <v>4506</v>
      </c>
      <c r="K616" s="695" t="s">
        <v>3907</v>
      </c>
      <c r="L616" s="696">
        <v>2</v>
      </c>
      <c r="M616" s="170"/>
    </row>
    <row r="617" spans="2:13" x14ac:dyDescent="0.2">
      <c r="B617" s="173"/>
      <c r="C617" s="694">
        <v>1</v>
      </c>
      <c r="D617" s="695" t="s">
        <v>3903</v>
      </c>
      <c r="E617" s="695">
        <v>1</v>
      </c>
      <c r="F617" s="695" t="s">
        <v>3904</v>
      </c>
      <c r="G617" s="695">
        <v>1</v>
      </c>
      <c r="H617" s="695" t="s">
        <v>3904</v>
      </c>
      <c r="I617" s="695">
        <v>618</v>
      </c>
      <c r="J617" s="695" t="s">
        <v>4507</v>
      </c>
      <c r="K617" s="695" t="s">
        <v>3907</v>
      </c>
      <c r="L617" s="696">
        <v>2</v>
      </c>
      <c r="M617" s="170"/>
    </row>
    <row r="618" spans="2:13" x14ac:dyDescent="0.2">
      <c r="B618" s="173"/>
      <c r="C618" s="694">
        <v>1</v>
      </c>
      <c r="D618" s="695" t="s">
        <v>3903</v>
      </c>
      <c r="E618" s="695">
        <v>1</v>
      </c>
      <c r="F618" s="695" t="s">
        <v>3904</v>
      </c>
      <c r="G618" s="695">
        <v>1</v>
      </c>
      <c r="H618" s="695" t="s">
        <v>3904</v>
      </c>
      <c r="I618" s="695">
        <v>619</v>
      </c>
      <c r="J618" s="695" t="s">
        <v>4508</v>
      </c>
      <c r="K618" s="695" t="s">
        <v>3907</v>
      </c>
      <c r="L618" s="696">
        <v>2</v>
      </c>
      <c r="M618" s="170"/>
    </row>
    <row r="619" spans="2:13" x14ac:dyDescent="0.2">
      <c r="B619" s="173"/>
      <c r="C619" s="694">
        <v>1</v>
      </c>
      <c r="D619" s="695" t="s">
        <v>3903</v>
      </c>
      <c r="E619" s="695">
        <v>1</v>
      </c>
      <c r="F619" s="695" t="s">
        <v>3904</v>
      </c>
      <c r="G619" s="695">
        <v>1</v>
      </c>
      <c r="H619" s="695" t="s">
        <v>3904</v>
      </c>
      <c r="I619" s="695">
        <v>620</v>
      </c>
      <c r="J619" s="695" t="s">
        <v>4509</v>
      </c>
      <c r="K619" s="695" t="s">
        <v>3907</v>
      </c>
      <c r="L619" s="696">
        <v>6</v>
      </c>
      <c r="M619" s="170"/>
    </row>
    <row r="620" spans="2:13" x14ac:dyDescent="0.2">
      <c r="B620" s="173"/>
      <c r="C620" s="694">
        <v>1</v>
      </c>
      <c r="D620" s="695" t="s">
        <v>3903</v>
      </c>
      <c r="E620" s="695">
        <v>1</v>
      </c>
      <c r="F620" s="695" t="s">
        <v>3904</v>
      </c>
      <c r="G620" s="695">
        <v>1</v>
      </c>
      <c r="H620" s="695" t="s">
        <v>3904</v>
      </c>
      <c r="I620" s="695">
        <v>621</v>
      </c>
      <c r="J620" s="695" t="s">
        <v>4510</v>
      </c>
      <c r="K620" s="695" t="s">
        <v>3907</v>
      </c>
      <c r="L620" s="696">
        <v>3</v>
      </c>
      <c r="M620" s="170"/>
    </row>
    <row r="621" spans="2:13" x14ac:dyDescent="0.2">
      <c r="B621" s="173"/>
      <c r="C621" s="694">
        <v>1</v>
      </c>
      <c r="D621" s="695" t="s">
        <v>3903</v>
      </c>
      <c r="E621" s="695">
        <v>1</v>
      </c>
      <c r="F621" s="695" t="s">
        <v>3904</v>
      </c>
      <c r="G621" s="695">
        <v>1</v>
      </c>
      <c r="H621" s="695" t="s">
        <v>3904</v>
      </c>
      <c r="I621" s="695">
        <v>622</v>
      </c>
      <c r="J621" s="695" t="s">
        <v>4511</v>
      </c>
      <c r="K621" s="695" t="s">
        <v>3907</v>
      </c>
      <c r="L621" s="696">
        <v>12</v>
      </c>
      <c r="M621" s="170"/>
    </row>
    <row r="622" spans="2:13" x14ac:dyDescent="0.2">
      <c r="B622" s="173"/>
      <c r="C622" s="694">
        <v>1</v>
      </c>
      <c r="D622" s="695" t="s">
        <v>3903</v>
      </c>
      <c r="E622" s="695">
        <v>1</v>
      </c>
      <c r="F622" s="695" t="s">
        <v>3904</v>
      </c>
      <c r="G622" s="695">
        <v>1</v>
      </c>
      <c r="H622" s="695" t="s">
        <v>3904</v>
      </c>
      <c r="I622" s="695">
        <v>623</v>
      </c>
      <c r="J622" s="695" t="s">
        <v>4512</v>
      </c>
      <c r="K622" s="695" t="s">
        <v>3907</v>
      </c>
      <c r="L622" s="696">
        <v>4</v>
      </c>
      <c r="M622" s="170"/>
    </row>
    <row r="623" spans="2:13" x14ac:dyDescent="0.2">
      <c r="B623" s="173"/>
      <c r="C623" s="694">
        <v>1</v>
      </c>
      <c r="D623" s="695" t="s">
        <v>3903</v>
      </c>
      <c r="E623" s="695">
        <v>1</v>
      </c>
      <c r="F623" s="695" t="s">
        <v>3904</v>
      </c>
      <c r="G623" s="695">
        <v>1</v>
      </c>
      <c r="H623" s="695" t="s">
        <v>3904</v>
      </c>
      <c r="I623" s="695">
        <v>624</v>
      </c>
      <c r="J623" s="695" t="s">
        <v>4513</v>
      </c>
      <c r="K623" s="695" t="s">
        <v>3907</v>
      </c>
      <c r="L623" s="696">
        <v>3</v>
      </c>
      <c r="M623" s="170"/>
    </row>
    <row r="624" spans="2:13" x14ac:dyDescent="0.2">
      <c r="B624" s="173"/>
      <c r="C624" s="694">
        <v>1</v>
      </c>
      <c r="D624" s="695" t="s">
        <v>3903</v>
      </c>
      <c r="E624" s="695">
        <v>1</v>
      </c>
      <c r="F624" s="695" t="s">
        <v>3904</v>
      </c>
      <c r="G624" s="695">
        <v>1</v>
      </c>
      <c r="H624" s="695" t="s">
        <v>3904</v>
      </c>
      <c r="I624" s="695">
        <v>625</v>
      </c>
      <c r="J624" s="695" t="s">
        <v>4514</v>
      </c>
      <c r="K624" s="695" t="s">
        <v>3907</v>
      </c>
      <c r="L624" s="696">
        <v>3</v>
      </c>
      <c r="M624" s="170"/>
    </row>
    <row r="625" spans="2:13" x14ac:dyDescent="0.2">
      <c r="B625" s="173"/>
      <c r="C625" s="694">
        <v>1</v>
      </c>
      <c r="D625" s="695" t="s">
        <v>3903</v>
      </c>
      <c r="E625" s="695">
        <v>1</v>
      </c>
      <c r="F625" s="695" t="s">
        <v>3904</v>
      </c>
      <c r="G625" s="695">
        <v>1</v>
      </c>
      <c r="H625" s="695" t="s">
        <v>3904</v>
      </c>
      <c r="I625" s="695">
        <v>626</v>
      </c>
      <c r="J625" s="695" t="s">
        <v>4515</v>
      </c>
      <c r="K625" s="695" t="s">
        <v>3907</v>
      </c>
      <c r="L625" s="696">
        <v>4</v>
      </c>
      <c r="M625" s="170"/>
    </row>
    <row r="626" spans="2:13" x14ac:dyDescent="0.2">
      <c r="B626" s="173"/>
      <c r="C626" s="694">
        <v>1</v>
      </c>
      <c r="D626" s="695" t="s">
        <v>3903</v>
      </c>
      <c r="E626" s="695">
        <v>1</v>
      </c>
      <c r="F626" s="695" t="s">
        <v>3904</v>
      </c>
      <c r="G626" s="695">
        <v>1</v>
      </c>
      <c r="H626" s="695" t="s">
        <v>3904</v>
      </c>
      <c r="I626" s="695">
        <v>627</v>
      </c>
      <c r="J626" s="695" t="s">
        <v>4516</v>
      </c>
      <c r="K626" s="695" t="s">
        <v>3907</v>
      </c>
      <c r="L626" s="696">
        <v>5</v>
      </c>
      <c r="M626" s="170"/>
    </row>
    <row r="627" spans="2:13" x14ac:dyDescent="0.2">
      <c r="B627" s="173"/>
      <c r="C627" s="694">
        <v>1</v>
      </c>
      <c r="D627" s="695" t="s">
        <v>3903</v>
      </c>
      <c r="E627" s="695">
        <v>1</v>
      </c>
      <c r="F627" s="695" t="s">
        <v>3904</v>
      </c>
      <c r="G627" s="695">
        <v>1</v>
      </c>
      <c r="H627" s="695" t="s">
        <v>3904</v>
      </c>
      <c r="I627" s="695">
        <v>628</v>
      </c>
      <c r="J627" s="695" t="s">
        <v>4517</v>
      </c>
      <c r="K627" s="695" t="s">
        <v>3907</v>
      </c>
      <c r="L627" s="696">
        <v>12</v>
      </c>
      <c r="M627" s="170"/>
    </row>
    <row r="628" spans="2:13" x14ac:dyDescent="0.2">
      <c r="B628" s="173"/>
      <c r="C628" s="694">
        <v>1</v>
      </c>
      <c r="D628" s="695" t="s">
        <v>3903</v>
      </c>
      <c r="E628" s="695">
        <v>1</v>
      </c>
      <c r="F628" s="695" t="s">
        <v>3904</v>
      </c>
      <c r="G628" s="695">
        <v>1</v>
      </c>
      <c r="H628" s="695" t="s">
        <v>3904</v>
      </c>
      <c r="I628" s="695">
        <v>629</v>
      </c>
      <c r="J628" s="695" t="s">
        <v>4518</v>
      </c>
      <c r="K628" s="695" t="s">
        <v>3907</v>
      </c>
      <c r="L628" s="696">
        <v>1</v>
      </c>
      <c r="M628" s="170"/>
    </row>
    <row r="629" spans="2:13" x14ac:dyDescent="0.2">
      <c r="B629" s="173"/>
      <c r="C629" s="694">
        <v>1</v>
      </c>
      <c r="D629" s="695" t="s">
        <v>3903</v>
      </c>
      <c r="E629" s="695">
        <v>1</v>
      </c>
      <c r="F629" s="695" t="s">
        <v>3904</v>
      </c>
      <c r="G629" s="695">
        <v>1</v>
      </c>
      <c r="H629" s="695" t="s">
        <v>3904</v>
      </c>
      <c r="I629" s="695">
        <v>630</v>
      </c>
      <c r="J629" s="695" t="s">
        <v>4519</v>
      </c>
      <c r="K629" s="695" t="s">
        <v>3907</v>
      </c>
      <c r="L629" s="696">
        <v>14</v>
      </c>
      <c r="M629" s="170"/>
    </row>
    <row r="630" spans="2:13" x14ac:dyDescent="0.2">
      <c r="B630" s="173"/>
      <c r="C630" s="694">
        <v>1</v>
      </c>
      <c r="D630" s="695" t="s">
        <v>3903</v>
      </c>
      <c r="E630" s="695">
        <v>1</v>
      </c>
      <c r="F630" s="695" t="s">
        <v>3904</v>
      </c>
      <c r="G630" s="695">
        <v>1</v>
      </c>
      <c r="H630" s="695" t="s">
        <v>3904</v>
      </c>
      <c r="I630" s="695">
        <v>631</v>
      </c>
      <c r="J630" s="695" t="s">
        <v>4520</v>
      </c>
      <c r="K630" s="695" t="s">
        <v>3907</v>
      </c>
      <c r="L630" s="696">
        <v>1</v>
      </c>
      <c r="M630" s="170"/>
    </row>
    <row r="631" spans="2:13" x14ac:dyDescent="0.2">
      <c r="B631" s="173"/>
      <c r="C631" s="694">
        <v>1</v>
      </c>
      <c r="D631" s="695" t="s">
        <v>3903</v>
      </c>
      <c r="E631" s="695">
        <v>1</v>
      </c>
      <c r="F631" s="695" t="s">
        <v>3904</v>
      </c>
      <c r="G631" s="695">
        <v>1</v>
      </c>
      <c r="H631" s="695" t="s">
        <v>3904</v>
      </c>
      <c r="I631" s="695">
        <v>632</v>
      </c>
      <c r="J631" s="695" t="s">
        <v>4521</v>
      </c>
      <c r="K631" s="695" t="s">
        <v>3907</v>
      </c>
      <c r="L631" s="696">
        <v>3</v>
      </c>
      <c r="M631" s="170"/>
    </row>
    <row r="632" spans="2:13" x14ac:dyDescent="0.2">
      <c r="B632" s="173"/>
      <c r="C632" s="694">
        <v>1</v>
      </c>
      <c r="D632" s="695" t="s">
        <v>3903</v>
      </c>
      <c r="E632" s="695">
        <v>1</v>
      </c>
      <c r="F632" s="695" t="s">
        <v>3904</v>
      </c>
      <c r="G632" s="695">
        <v>1</v>
      </c>
      <c r="H632" s="695" t="s">
        <v>3904</v>
      </c>
      <c r="I632" s="695">
        <v>633</v>
      </c>
      <c r="J632" s="695" t="s">
        <v>4522</v>
      </c>
      <c r="K632" s="695" t="s">
        <v>3907</v>
      </c>
      <c r="L632" s="696">
        <v>60</v>
      </c>
      <c r="M632" s="170"/>
    </row>
    <row r="633" spans="2:13" x14ac:dyDescent="0.2">
      <c r="B633" s="173"/>
      <c r="C633" s="694">
        <v>1</v>
      </c>
      <c r="D633" s="695" t="s">
        <v>3903</v>
      </c>
      <c r="E633" s="695">
        <v>1</v>
      </c>
      <c r="F633" s="695" t="s">
        <v>3904</v>
      </c>
      <c r="G633" s="695">
        <v>1</v>
      </c>
      <c r="H633" s="695" t="s">
        <v>3904</v>
      </c>
      <c r="I633" s="695">
        <v>634</v>
      </c>
      <c r="J633" s="695" t="s">
        <v>4523</v>
      </c>
      <c r="K633" s="695" t="s">
        <v>3907</v>
      </c>
      <c r="L633" s="696">
        <v>0</v>
      </c>
      <c r="M633" s="170"/>
    </row>
    <row r="634" spans="2:13" x14ac:dyDescent="0.2">
      <c r="B634" s="173"/>
      <c r="C634" s="694">
        <v>1</v>
      </c>
      <c r="D634" s="695" t="s">
        <v>3903</v>
      </c>
      <c r="E634" s="695">
        <v>1</v>
      </c>
      <c r="F634" s="695" t="s">
        <v>3904</v>
      </c>
      <c r="G634" s="695">
        <v>1</v>
      </c>
      <c r="H634" s="695" t="s">
        <v>3904</v>
      </c>
      <c r="I634" s="695">
        <v>635</v>
      </c>
      <c r="J634" s="695" t="s">
        <v>4524</v>
      </c>
      <c r="K634" s="695" t="s">
        <v>3907</v>
      </c>
      <c r="L634" s="696">
        <v>3</v>
      </c>
      <c r="M634" s="170"/>
    </row>
    <row r="635" spans="2:13" x14ac:dyDescent="0.2">
      <c r="B635" s="173"/>
      <c r="C635" s="694">
        <v>1</v>
      </c>
      <c r="D635" s="695" t="s">
        <v>3903</v>
      </c>
      <c r="E635" s="695">
        <v>1</v>
      </c>
      <c r="F635" s="695" t="s">
        <v>3904</v>
      </c>
      <c r="G635" s="695">
        <v>1</v>
      </c>
      <c r="H635" s="695" t="s">
        <v>3904</v>
      </c>
      <c r="I635" s="695">
        <v>636</v>
      </c>
      <c r="J635" s="695" t="s">
        <v>4525</v>
      </c>
      <c r="K635" s="695" t="s">
        <v>3907</v>
      </c>
      <c r="L635" s="696">
        <v>1</v>
      </c>
      <c r="M635" s="170"/>
    </row>
    <row r="636" spans="2:13" x14ac:dyDescent="0.2">
      <c r="B636" s="173"/>
      <c r="C636" s="694">
        <v>1</v>
      </c>
      <c r="D636" s="695" t="s">
        <v>3903</v>
      </c>
      <c r="E636" s="695">
        <v>1</v>
      </c>
      <c r="F636" s="695" t="s">
        <v>3904</v>
      </c>
      <c r="G636" s="695">
        <v>1</v>
      </c>
      <c r="H636" s="695" t="s">
        <v>3904</v>
      </c>
      <c r="I636" s="695">
        <v>637</v>
      </c>
      <c r="J636" s="695" t="s">
        <v>4526</v>
      </c>
      <c r="K636" s="695" t="s">
        <v>3907</v>
      </c>
      <c r="L636" s="696">
        <v>1</v>
      </c>
      <c r="M636" s="170"/>
    </row>
    <row r="637" spans="2:13" x14ac:dyDescent="0.2">
      <c r="B637" s="173"/>
      <c r="C637" s="694">
        <v>1</v>
      </c>
      <c r="D637" s="695" t="s">
        <v>3903</v>
      </c>
      <c r="E637" s="695">
        <v>1</v>
      </c>
      <c r="F637" s="695" t="s">
        <v>3904</v>
      </c>
      <c r="G637" s="695">
        <v>1</v>
      </c>
      <c r="H637" s="695" t="s">
        <v>3904</v>
      </c>
      <c r="I637" s="695">
        <v>638</v>
      </c>
      <c r="J637" s="695" t="s">
        <v>4527</v>
      </c>
      <c r="K637" s="695" t="s">
        <v>3907</v>
      </c>
      <c r="L637" s="696">
        <v>1</v>
      </c>
      <c r="M637" s="170"/>
    </row>
    <row r="638" spans="2:13" x14ac:dyDescent="0.2">
      <c r="B638" s="173"/>
      <c r="C638" s="694">
        <v>1</v>
      </c>
      <c r="D638" s="695" t="s">
        <v>3903</v>
      </c>
      <c r="E638" s="695">
        <v>1</v>
      </c>
      <c r="F638" s="695" t="s">
        <v>3904</v>
      </c>
      <c r="G638" s="695">
        <v>1</v>
      </c>
      <c r="H638" s="695" t="s">
        <v>3904</v>
      </c>
      <c r="I638" s="695">
        <v>639</v>
      </c>
      <c r="J638" s="695" t="s">
        <v>4528</v>
      </c>
      <c r="K638" s="695" t="s">
        <v>3907</v>
      </c>
      <c r="L638" s="696">
        <v>3</v>
      </c>
      <c r="M638" s="170"/>
    </row>
    <row r="639" spans="2:13" x14ac:dyDescent="0.2">
      <c r="B639" s="173"/>
      <c r="C639" s="694">
        <v>1</v>
      </c>
      <c r="D639" s="695" t="s">
        <v>3903</v>
      </c>
      <c r="E639" s="695">
        <v>1</v>
      </c>
      <c r="F639" s="695" t="s">
        <v>3904</v>
      </c>
      <c r="G639" s="695">
        <v>1</v>
      </c>
      <c r="H639" s="695" t="s">
        <v>3904</v>
      </c>
      <c r="I639" s="695">
        <v>640</v>
      </c>
      <c r="J639" s="695" t="s">
        <v>4529</v>
      </c>
      <c r="K639" s="695" t="s">
        <v>3907</v>
      </c>
      <c r="L639" s="696">
        <v>5</v>
      </c>
      <c r="M639" s="170"/>
    </row>
    <row r="640" spans="2:13" x14ac:dyDescent="0.2">
      <c r="B640" s="173"/>
      <c r="C640" s="694">
        <v>1</v>
      </c>
      <c r="D640" s="695" t="s">
        <v>3903</v>
      </c>
      <c r="E640" s="695">
        <v>1</v>
      </c>
      <c r="F640" s="695" t="s">
        <v>3904</v>
      </c>
      <c r="G640" s="695">
        <v>1</v>
      </c>
      <c r="H640" s="695" t="s">
        <v>3904</v>
      </c>
      <c r="I640" s="695">
        <v>641</v>
      </c>
      <c r="J640" s="695" t="s">
        <v>4530</v>
      </c>
      <c r="K640" s="695" t="s">
        <v>3907</v>
      </c>
      <c r="L640" s="696">
        <v>1</v>
      </c>
      <c r="M640" s="170"/>
    </row>
    <row r="641" spans="2:13" x14ac:dyDescent="0.2">
      <c r="B641" s="173"/>
      <c r="C641" s="694">
        <v>1</v>
      </c>
      <c r="D641" s="695" t="s">
        <v>3903</v>
      </c>
      <c r="E641" s="695">
        <v>1</v>
      </c>
      <c r="F641" s="695" t="s">
        <v>3904</v>
      </c>
      <c r="G641" s="695">
        <v>1</v>
      </c>
      <c r="H641" s="695" t="s">
        <v>3904</v>
      </c>
      <c r="I641" s="695">
        <v>642</v>
      </c>
      <c r="J641" s="695" t="s">
        <v>4531</v>
      </c>
      <c r="K641" s="695" t="s">
        <v>3907</v>
      </c>
      <c r="L641" s="696">
        <v>2</v>
      </c>
      <c r="M641" s="170"/>
    </row>
    <row r="642" spans="2:13" x14ac:dyDescent="0.2">
      <c r="B642" s="173"/>
      <c r="C642" s="694">
        <v>1</v>
      </c>
      <c r="D642" s="695" t="s">
        <v>3903</v>
      </c>
      <c r="E642" s="695">
        <v>1</v>
      </c>
      <c r="F642" s="695" t="s">
        <v>3904</v>
      </c>
      <c r="G642" s="695">
        <v>1</v>
      </c>
      <c r="H642" s="695" t="s">
        <v>3904</v>
      </c>
      <c r="I642" s="695">
        <v>643</v>
      </c>
      <c r="J642" s="695" t="s">
        <v>4532</v>
      </c>
      <c r="K642" s="695" t="s">
        <v>3907</v>
      </c>
      <c r="L642" s="696">
        <v>1</v>
      </c>
      <c r="M642" s="170"/>
    </row>
    <row r="643" spans="2:13" x14ac:dyDescent="0.2">
      <c r="B643" s="173"/>
      <c r="C643" s="694">
        <v>1</v>
      </c>
      <c r="D643" s="695" t="s">
        <v>3903</v>
      </c>
      <c r="E643" s="695">
        <v>1</v>
      </c>
      <c r="F643" s="695" t="s">
        <v>3904</v>
      </c>
      <c r="G643" s="695">
        <v>1</v>
      </c>
      <c r="H643" s="695" t="s">
        <v>3904</v>
      </c>
      <c r="I643" s="695">
        <v>644</v>
      </c>
      <c r="J643" s="695" t="s">
        <v>4533</v>
      </c>
      <c r="K643" s="695" t="s">
        <v>3907</v>
      </c>
      <c r="L643" s="696">
        <v>2</v>
      </c>
      <c r="M643" s="170"/>
    </row>
    <row r="644" spans="2:13" x14ac:dyDescent="0.2">
      <c r="B644" s="173"/>
      <c r="C644" s="694">
        <v>1</v>
      </c>
      <c r="D644" s="695" t="s">
        <v>3903</v>
      </c>
      <c r="E644" s="695">
        <v>1</v>
      </c>
      <c r="F644" s="695" t="s">
        <v>3904</v>
      </c>
      <c r="G644" s="695">
        <v>1</v>
      </c>
      <c r="H644" s="695" t="s">
        <v>3904</v>
      </c>
      <c r="I644" s="695">
        <v>645</v>
      </c>
      <c r="J644" s="695" t="s">
        <v>4534</v>
      </c>
      <c r="K644" s="695" t="s">
        <v>3907</v>
      </c>
      <c r="L644" s="696">
        <v>1</v>
      </c>
      <c r="M644" s="170"/>
    </row>
    <row r="645" spans="2:13" x14ac:dyDescent="0.2">
      <c r="B645" s="173"/>
      <c r="C645" s="694">
        <v>1</v>
      </c>
      <c r="D645" s="695" t="s">
        <v>3903</v>
      </c>
      <c r="E645" s="695">
        <v>1</v>
      </c>
      <c r="F645" s="695" t="s">
        <v>3904</v>
      </c>
      <c r="G645" s="695">
        <v>1</v>
      </c>
      <c r="H645" s="695" t="s">
        <v>3904</v>
      </c>
      <c r="I645" s="695">
        <v>646</v>
      </c>
      <c r="J645" s="695" t="s">
        <v>4535</v>
      </c>
      <c r="K645" s="695" t="s">
        <v>3907</v>
      </c>
      <c r="L645" s="696">
        <v>2</v>
      </c>
      <c r="M645" s="170"/>
    </row>
    <row r="646" spans="2:13" x14ac:dyDescent="0.2">
      <c r="B646" s="173"/>
      <c r="C646" s="694">
        <v>1</v>
      </c>
      <c r="D646" s="695" t="s">
        <v>3903</v>
      </c>
      <c r="E646" s="695">
        <v>1</v>
      </c>
      <c r="F646" s="695" t="s">
        <v>3904</v>
      </c>
      <c r="G646" s="695">
        <v>1</v>
      </c>
      <c r="H646" s="695" t="s">
        <v>3904</v>
      </c>
      <c r="I646" s="695">
        <v>647</v>
      </c>
      <c r="J646" s="695" t="s">
        <v>4536</v>
      </c>
      <c r="K646" s="695" t="s">
        <v>3907</v>
      </c>
      <c r="L646" s="696">
        <v>6</v>
      </c>
      <c r="M646" s="170"/>
    </row>
    <row r="647" spans="2:13" x14ac:dyDescent="0.2">
      <c r="B647" s="173"/>
      <c r="C647" s="694">
        <v>1</v>
      </c>
      <c r="D647" s="695" t="s">
        <v>3903</v>
      </c>
      <c r="E647" s="695">
        <v>1</v>
      </c>
      <c r="F647" s="695" t="s">
        <v>3904</v>
      </c>
      <c r="G647" s="695">
        <v>1</v>
      </c>
      <c r="H647" s="695" t="s">
        <v>3904</v>
      </c>
      <c r="I647" s="695">
        <v>648</v>
      </c>
      <c r="J647" s="695" t="s">
        <v>4537</v>
      </c>
      <c r="K647" s="695" t="s">
        <v>3907</v>
      </c>
      <c r="L647" s="696">
        <v>1</v>
      </c>
      <c r="M647" s="170"/>
    </row>
    <row r="648" spans="2:13" x14ac:dyDescent="0.2">
      <c r="B648" s="173"/>
      <c r="C648" s="694">
        <v>1</v>
      </c>
      <c r="D648" s="695" t="s">
        <v>3903</v>
      </c>
      <c r="E648" s="695">
        <v>1</v>
      </c>
      <c r="F648" s="695" t="s">
        <v>3904</v>
      </c>
      <c r="G648" s="695">
        <v>1</v>
      </c>
      <c r="H648" s="695" t="s">
        <v>3904</v>
      </c>
      <c r="I648" s="695">
        <v>649</v>
      </c>
      <c r="J648" s="695" t="s">
        <v>4538</v>
      </c>
      <c r="K648" s="695" t="s">
        <v>3907</v>
      </c>
      <c r="L648" s="696">
        <v>0</v>
      </c>
      <c r="M648" s="170"/>
    </row>
    <row r="649" spans="2:13" x14ac:dyDescent="0.2">
      <c r="B649" s="173"/>
      <c r="C649" s="694">
        <v>1</v>
      </c>
      <c r="D649" s="695" t="s">
        <v>3903</v>
      </c>
      <c r="E649" s="695">
        <v>1</v>
      </c>
      <c r="F649" s="695" t="s">
        <v>3904</v>
      </c>
      <c r="G649" s="695">
        <v>1</v>
      </c>
      <c r="H649" s="695" t="s">
        <v>3904</v>
      </c>
      <c r="I649" s="695">
        <v>650</v>
      </c>
      <c r="J649" s="695" t="s">
        <v>4539</v>
      </c>
      <c r="K649" s="695" t="s">
        <v>3907</v>
      </c>
      <c r="L649" s="696">
        <v>7</v>
      </c>
      <c r="M649" s="170"/>
    </row>
    <row r="650" spans="2:13" x14ac:dyDescent="0.2">
      <c r="B650" s="173"/>
      <c r="C650" s="694">
        <v>1</v>
      </c>
      <c r="D650" s="695" t="s">
        <v>3903</v>
      </c>
      <c r="E650" s="695">
        <v>1</v>
      </c>
      <c r="F650" s="695" t="s">
        <v>3904</v>
      </c>
      <c r="G650" s="695">
        <v>1</v>
      </c>
      <c r="H650" s="695" t="s">
        <v>3904</v>
      </c>
      <c r="I650" s="695">
        <v>651</v>
      </c>
      <c r="J650" s="695" t="s">
        <v>4540</v>
      </c>
      <c r="K650" s="695" t="s">
        <v>3907</v>
      </c>
      <c r="L650" s="696">
        <v>0</v>
      </c>
      <c r="M650" s="170"/>
    </row>
    <row r="651" spans="2:13" x14ac:dyDescent="0.2">
      <c r="B651" s="173"/>
      <c r="C651" s="694">
        <v>1</v>
      </c>
      <c r="D651" s="695" t="s">
        <v>3903</v>
      </c>
      <c r="E651" s="695">
        <v>1</v>
      </c>
      <c r="F651" s="695" t="s">
        <v>3904</v>
      </c>
      <c r="G651" s="695">
        <v>1</v>
      </c>
      <c r="H651" s="695" t="s">
        <v>3904</v>
      </c>
      <c r="I651" s="695">
        <v>652</v>
      </c>
      <c r="J651" s="695" t="s">
        <v>4541</v>
      </c>
      <c r="K651" s="695" t="s">
        <v>3907</v>
      </c>
      <c r="L651" s="696">
        <v>1</v>
      </c>
      <c r="M651" s="170"/>
    </row>
    <row r="652" spans="2:13" x14ac:dyDescent="0.2">
      <c r="B652" s="173"/>
      <c r="C652" s="694">
        <v>1</v>
      </c>
      <c r="D652" s="695" t="s">
        <v>3903</v>
      </c>
      <c r="E652" s="695">
        <v>1</v>
      </c>
      <c r="F652" s="695" t="s">
        <v>3904</v>
      </c>
      <c r="G652" s="695">
        <v>1</v>
      </c>
      <c r="H652" s="695" t="s">
        <v>3904</v>
      </c>
      <c r="I652" s="695">
        <v>653</v>
      </c>
      <c r="J652" s="695" t="s">
        <v>4542</v>
      </c>
      <c r="K652" s="695" t="s">
        <v>3907</v>
      </c>
      <c r="L652" s="696">
        <v>6</v>
      </c>
      <c r="M652" s="170"/>
    </row>
    <row r="653" spans="2:13" x14ac:dyDescent="0.2">
      <c r="B653" s="173"/>
      <c r="C653" s="694">
        <v>1</v>
      </c>
      <c r="D653" s="695" t="s">
        <v>3903</v>
      </c>
      <c r="E653" s="695">
        <v>1</v>
      </c>
      <c r="F653" s="695" t="s">
        <v>3904</v>
      </c>
      <c r="G653" s="695">
        <v>1</v>
      </c>
      <c r="H653" s="695" t="s">
        <v>3904</v>
      </c>
      <c r="I653" s="695">
        <v>654</v>
      </c>
      <c r="J653" s="695" t="s">
        <v>4543</v>
      </c>
      <c r="K653" s="695" t="s">
        <v>3907</v>
      </c>
      <c r="L653" s="696">
        <v>3</v>
      </c>
      <c r="M653" s="170"/>
    </row>
    <row r="654" spans="2:13" x14ac:dyDescent="0.2">
      <c r="B654" s="173"/>
      <c r="C654" s="694">
        <v>1</v>
      </c>
      <c r="D654" s="695" t="s">
        <v>3903</v>
      </c>
      <c r="E654" s="695">
        <v>1</v>
      </c>
      <c r="F654" s="695" t="s">
        <v>3904</v>
      </c>
      <c r="G654" s="695">
        <v>1</v>
      </c>
      <c r="H654" s="695" t="s">
        <v>3904</v>
      </c>
      <c r="I654" s="695">
        <v>655</v>
      </c>
      <c r="J654" s="695" t="s">
        <v>4544</v>
      </c>
      <c r="K654" s="695" t="s">
        <v>3907</v>
      </c>
      <c r="L654" s="696">
        <v>0</v>
      </c>
      <c r="M654" s="170"/>
    </row>
    <row r="655" spans="2:13" x14ac:dyDescent="0.2">
      <c r="B655" s="173"/>
      <c r="C655" s="694">
        <v>1</v>
      </c>
      <c r="D655" s="695" t="s">
        <v>3903</v>
      </c>
      <c r="E655" s="695">
        <v>1</v>
      </c>
      <c r="F655" s="695" t="s">
        <v>3904</v>
      </c>
      <c r="G655" s="695">
        <v>1</v>
      </c>
      <c r="H655" s="695" t="s">
        <v>3904</v>
      </c>
      <c r="I655" s="695">
        <v>656</v>
      </c>
      <c r="J655" s="695" t="s">
        <v>4545</v>
      </c>
      <c r="K655" s="695" t="s">
        <v>3907</v>
      </c>
      <c r="L655" s="696">
        <v>3</v>
      </c>
      <c r="M655" s="170"/>
    </row>
    <row r="656" spans="2:13" x14ac:dyDescent="0.2">
      <c r="B656" s="173"/>
      <c r="C656" s="694">
        <v>1</v>
      </c>
      <c r="D656" s="695" t="s">
        <v>3903</v>
      </c>
      <c r="E656" s="695">
        <v>1</v>
      </c>
      <c r="F656" s="695" t="s">
        <v>3904</v>
      </c>
      <c r="G656" s="695">
        <v>1</v>
      </c>
      <c r="H656" s="695" t="s">
        <v>3904</v>
      </c>
      <c r="I656" s="695">
        <v>657</v>
      </c>
      <c r="J656" s="695" t="s">
        <v>4546</v>
      </c>
      <c r="K656" s="695" t="s">
        <v>3907</v>
      </c>
      <c r="L656" s="696">
        <v>8</v>
      </c>
      <c r="M656" s="170"/>
    </row>
    <row r="657" spans="2:13" x14ac:dyDescent="0.2">
      <c r="B657" s="173"/>
      <c r="C657" s="694">
        <v>1</v>
      </c>
      <c r="D657" s="695" t="s">
        <v>3903</v>
      </c>
      <c r="E657" s="695">
        <v>1</v>
      </c>
      <c r="F657" s="695" t="s">
        <v>3904</v>
      </c>
      <c r="G657" s="695">
        <v>1</v>
      </c>
      <c r="H657" s="695" t="s">
        <v>3904</v>
      </c>
      <c r="I657" s="695">
        <v>658</v>
      </c>
      <c r="J657" s="695" t="s">
        <v>4547</v>
      </c>
      <c r="K657" s="695" t="s">
        <v>3907</v>
      </c>
      <c r="L657" s="696">
        <v>5</v>
      </c>
      <c r="M657" s="170"/>
    </row>
    <row r="658" spans="2:13" x14ac:dyDescent="0.2">
      <c r="B658" s="173"/>
      <c r="C658" s="694">
        <v>1</v>
      </c>
      <c r="D658" s="695" t="s">
        <v>3903</v>
      </c>
      <c r="E658" s="695">
        <v>1</v>
      </c>
      <c r="F658" s="695" t="s">
        <v>3904</v>
      </c>
      <c r="G658" s="695">
        <v>1</v>
      </c>
      <c r="H658" s="695" t="s">
        <v>3904</v>
      </c>
      <c r="I658" s="695">
        <v>659</v>
      </c>
      <c r="J658" s="695" t="s">
        <v>4548</v>
      </c>
      <c r="K658" s="695" t="s">
        <v>3907</v>
      </c>
      <c r="L658" s="696">
        <v>8</v>
      </c>
      <c r="M658" s="170"/>
    </row>
    <row r="659" spans="2:13" x14ac:dyDescent="0.2">
      <c r="B659" s="173"/>
      <c r="C659" s="694">
        <v>1</v>
      </c>
      <c r="D659" s="695" t="s">
        <v>3903</v>
      </c>
      <c r="E659" s="695">
        <v>1</v>
      </c>
      <c r="F659" s="695" t="s">
        <v>3904</v>
      </c>
      <c r="G659" s="695">
        <v>1</v>
      </c>
      <c r="H659" s="695" t="s">
        <v>3904</v>
      </c>
      <c r="I659" s="695">
        <v>660</v>
      </c>
      <c r="J659" s="695" t="s">
        <v>4549</v>
      </c>
      <c r="K659" s="695" t="s">
        <v>3907</v>
      </c>
      <c r="L659" s="696">
        <v>1</v>
      </c>
      <c r="M659" s="170"/>
    </row>
    <row r="660" spans="2:13" x14ac:dyDescent="0.2">
      <c r="B660" s="173"/>
      <c r="C660" s="694">
        <v>1</v>
      </c>
      <c r="D660" s="695" t="s">
        <v>3903</v>
      </c>
      <c r="E660" s="695">
        <v>1</v>
      </c>
      <c r="F660" s="695" t="s">
        <v>3904</v>
      </c>
      <c r="G660" s="695">
        <v>1</v>
      </c>
      <c r="H660" s="695" t="s">
        <v>3904</v>
      </c>
      <c r="I660" s="695">
        <v>661</v>
      </c>
      <c r="J660" s="695" t="s">
        <v>4550</v>
      </c>
      <c r="K660" s="695" t="s">
        <v>3907</v>
      </c>
      <c r="L660" s="696">
        <v>1</v>
      </c>
      <c r="M660" s="170"/>
    </row>
    <row r="661" spans="2:13" x14ac:dyDescent="0.2">
      <c r="B661" s="173"/>
      <c r="C661" s="694">
        <v>1</v>
      </c>
      <c r="D661" s="695" t="s">
        <v>3903</v>
      </c>
      <c r="E661" s="695">
        <v>1</v>
      </c>
      <c r="F661" s="695" t="s">
        <v>3904</v>
      </c>
      <c r="G661" s="695">
        <v>1</v>
      </c>
      <c r="H661" s="695" t="s">
        <v>3904</v>
      </c>
      <c r="I661" s="695">
        <v>662</v>
      </c>
      <c r="J661" s="695" t="s">
        <v>4551</v>
      </c>
      <c r="K661" s="695" t="s">
        <v>3907</v>
      </c>
      <c r="L661" s="696">
        <v>2</v>
      </c>
      <c r="M661" s="170"/>
    </row>
    <row r="662" spans="2:13" x14ac:dyDescent="0.2">
      <c r="B662" s="173"/>
      <c r="C662" s="694">
        <v>1</v>
      </c>
      <c r="D662" s="695" t="s">
        <v>3903</v>
      </c>
      <c r="E662" s="695">
        <v>1</v>
      </c>
      <c r="F662" s="695" t="s">
        <v>3904</v>
      </c>
      <c r="G662" s="695">
        <v>1</v>
      </c>
      <c r="H662" s="695" t="s">
        <v>3904</v>
      </c>
      <c r="I662" s="695">
        <v>663</v>
      </c>
      <c r="J662" s="695" t="s">
        <v>4552</v>
      </c>
      <c r="K662" s="695" t="s">
        <v>3907</v>
      </c>
      <c r="L662" s="696">
        <v>1</v>
      </c>
      <c r="M662" s="170"/>
    </row>
    <row r="663" spans="2:13" x14ac:dyDescent="0.2">
      <c r="B663" s="173"/>
      <c r="C663" s="694">
        <v>1</v>
      </c>
      <c r="D663" s="695" t="s">
        <v>3903</v>
      </c>
      <c r="E663" s="695">
        <v>1</v>
      </c>
      <c r="F663" s="695" t="s">
        <v>3904</v>
      </c>
      <c r="G663" s="695">
        <v>1</v>
      </c>
      <c r="H663" s="695" t="s">
        <v>3904</v>
      </c>
      <c r="I663" s="695">
        <v>664</v>
      </c>
      <c r="J663" s="695" t="s">
        <v>4553</v>
      </c>
      <c r="K663" s="695" t="s">
        <v>3907</v>
      </c>
      <c r="L663" s="696">
        <v>4</v>
      </c>
      <c r="M663" s="170"/>
    </row>
    <row r="664" spans="2:13" x14ac:dyDescent="0.2">
      <c r="B664" s="173"/>
      <c r="C664" s="694">
        <v>1</v>
      </c>
      <c r="D664" s="695" t="s">
        <v>3903</v>
      </c>
      <c r="E664" s="695">
        <v>1</v>
      </c>
      <c r="F664" s="695" t="s">
        <v>3904</v>
      </c>
      <c r="G664" s="695">
        <v>1</v>
      </c>
      <c r="H664" s="695" t="s">
        <v>3904</v>
      </c>
      <c r="I664" s="695">
        <v>665</v>
      </c>
      <c r="J664" s="695" t="s">
        <v>4554</v>
      </c>
      <c r="K664" s="695" t="s">
        <v>3907</v>
      </c>
      <c r="L664" s="696">
        <v>1</v>
      </c>
      <c r="M664" s="170"/>
    </row>
    <row r="665" spans="2:13" x14ac:dyDescent="0.2">
      <c r="B665" s="173"/>
      <c r="C665" s="694">
        <v>1</v>
      </c>
      <c r="D665" s="695" t="s">
        <v>3903</v>
      </c>
      <c r="E665" s="695">
        <v>1</v>
      </c>
      <c r="F665" s="695" t="s">
        <v>3904</v>
      </c>
      <c r="G665" s="695">
        <v>1</v>
      </c>
      <c r="H665" s="695" t="s">
        <v>3904</v>
      </c>
      <c r="I665" s="695">
        <v>666</v>
      </c>
      <c r="J665" s="695" t="s">
        <v>4555</v>
      </c>
      <c r="K665" s="695" t="s">
        <v>3907</v>
      </c>
      <c r="L665" s="696">
        <v>5</v>
      </c>
      <c r="M665" s="170"/>
    </row>
    <row r="666" spans="2:13" x14ac:dyDescent="0.2">
      <c r="B666" s="173"/>
      <c r="C666" s="694">
        <v>1</v>
      </c>
      <c r="D666" s="695" t="s">
        <v>3903</v>
      </c>
      <c r="E666" s="695">
        <v>1</v>
      </c>
      <c r="F666" s="695" t="s">
        <v>3904</v>
      </c>
      <c r="G666" s="695">
        <v>1</v>
      </c>
      <c r="H666" s="695" t="s">
        <v>3904</v>
      </c>
      <c r="I666" s="695">
        <v>667</v>
      </c>
      <c r="J666" s="695" t="s">
        <v>4556</v>
      </c>
      <c r="K666" s="695" t="s">
        <v>3907</v>
      </c>
      <c r="L666" s="696">
        <v>1</v>
      </c>
      <c r="M666" s="170"/>
    </row>
    <row r="667" spans="2:13" x14ac:dyDescent="0.2">
      <c r="B667" s="173"/>
      <c r="C667" s="694">
        <v>1</v>
      </c>
      <c r="D667" s="695" t="s">
        <v>3903</v>
      </c>
      <c r="E667" s="695">
        <v>1</v>
      </c>
      <c r="F667" s="695" t="s">
        <v>3904</v>
      </c>
      <c r="G667" s="695">
        <v>1</v>
      </c>
      <c r="H667" s="695" t="s">
        <v>3904</v>
      </c>
      <c r="I667" s="695">
        <v>668</v>
      </c>
      <c r="J667" s="695" t="s">
        <v>4557</v>
      </c>
      <c r="K667" s="695" t="s">
        <v>3907</v>
      </c>
      <c r="L667" s="696">
        <v>3</v>
      </c>
      <c r="M667" s="170"/>
    </row>
    <row r="668" spans="2:13" x14ac:dyDescent="0.2">
      <c r="B668" s="173"/>
      <c r="C668" s="694">
        <v>1</v>
      </c>
      <c r="D668" s="695" t="s">
        <v>3903</v>
      </c>
      <c r="E668" s="695">
        <v>1</v>
      </c>
      <c r="F668" s="695" t="s">
        <v>3904</v>
      </c>
      <c r="G668" s="695">
        <v>1</v>
      </c>
      <c r="H668" s="695" t="s">
        <v>3904</v>
      </c>
      <c r="I668" s="695">
        <v>669</v>
      </c>
      <c r="J668" s="695" t="s">
        <v>4558</v>
      </c>
      <c r="K668" s="695" t="s">
        <v>3907</v>
      </c>
      <c r="L668" s="696">
        <v>1</v>
      </c>
      <c r="M668" s="170"/>
    </row>
    <row r="669" spans="2:13" x14ac:dyDescent="0.2">
      <c r="B669" s="173"/>
      <c r="C669" s="694">
        <v>1</v>
      </c>
      <c r="D669" s="695" t="s">
        <v>3903</v>
      </c>
      <c r="E669" s="695">
        <v>1</v>
      </c>
      <c r="F669" s="695" t="s">
        <v>3904</v>
      </c>
      <c r="G669" s="695">
        <v>1</v>
      </c>
      <c r="H669" s="695" t="s">
        <v>3904</v>
      </c>
      <c r="I669" s="695">
        <v>670</v>
      </c>
      <c r="J669" s="695" t="s">
        <v>4559</v>
      </c>
      <c r="K669" s="695" t="s">
        <v>3907</v>
      </c>
      <c r="L669" s="696">
        <v>2</v>
      </c>
      <c r="M669" s="170"/>
    </row>
    <row r="670" spans="2:13" x14ac:dyDescent="0.2">
      <c r="B670" s="173"/>
      <c r="C670" s="694">
        <v>1</v>
      </c>
      <c r="D670" s="695" t="s">
        <v>3903</v>
      </c>
      <c r="E670" s="695">
        <v>1</v>
      </c>
      <c r="F670" s="695" t="s">
        <v>3904</v>
      </c>
      <c r="G670" s="695">
        <v>1</v>
      </c>
      <c r="H670" s="695" t="s">
        <v>3904</v>
      </c>
      <c r="I670" s="695">
        <v>671</v>
      </c>
      <c r="J670" s="695" t="s">
        <v>4560</v>
      </c>
      <c r="K670" s="695" t="s">
        <v>3907</v>
      </c>
      <c r="L670" s="696">
        <v>3</v>
      </c>
      <c r="M670" s="170"/>
    </row>
    <row r="671" spans="2:13" x14ac:dyDescent="0.2">
      <c r="B671" s="173"/>
      <c r="C671" s="694">
        <v>1</v>
      </c>
      <c r="D671" s="695" t="s">
        <v>3903</v>
      </c>
      <c r="E671" s="695">
        <v>1</v>
      </c>
      <c r="F671" s="695" t="s">
        <v>3904</v>
      </c>
      <c r="G671" s="695">
        <v>1</v>
      </c>
      <c r="H671" s="695" t="s">
        <v>3904</v>
      </c>
      <c r="I671" s="695">
        <v>672</v>
      </c>
      <c r="J671" s="695" t="s">
        <v>4561</v>
      </c>
      <c r="K671" s="695" t="s">
        <v>3907</v>
      </c>
      <c r="L671" s="696">
        <v>2</v>
      </c>
      <c r="M671" s="170"/>
    </row>
    <row r="672" spans="2:13" x14ac:dyDescent="0.2">
      <c r="B672" s="173"/>
      <c r="C672" s="694">
        <v>1</v>
      </c>
      <c r="D672" s="695" t="s">
        <v>3903</v>
      </c>
      <c r="E672" s="695">
        <v>1</v>
      </c>
      <c r="F672" s="695" t="s">
        <v>3904</v>
      </c>
      <c r="G672" s="695">
        <v>1</v>
      </c>
      <c r="H672" s="695" t="s">
        <v>3904</v>
      </c>
      <c r="I672" s="695">
        <v>673</v>
      </c>
      <c r="J672" s="695" t="s">
        <v>4562</v>
      </c>
      <c r="K672" s="695" t="s">
        <v>3907</v>
      </c>
      <c r="L672" s="696">
        <v>0</v>
      </c>
      <c r="M672" s="170"/>
    </row>
    <row r="673" spans="2:13" x14ac:dyDescent="0.2">
      <c r="B673" s="173"/>
      <c r="C673" s="694">
        <v>1</v>
      </c>
      <c r="D673" s="695" t="s">
        <v>3903</v>
      </c>
      <c r="E673" s="695">
        <v>1</v>
      </c>
      <c r="F673" s="695" t="s">
        <v>3904</v>
      </c>
      <c r="G673" s="695">
        <v>1</v>
      </c>
      <c r="H673" s="695" t="s">
        <v>3904</v>
      </c>
      <c r="I673" s="695">
        <v>674</v>
      </c>
      <c r="J673" s="695" t="s">
        <v>4563</v>
      </c>
      <c r="K673" s="695" t="s">
        <v>3907</v>
      </c>
      <c r="L673" s="696">
        <v>1</v>
      </c>
      <c r="M673" s="170"/>
    </row>
    <row r="674" spans="2:13" x14ac:dyDescent="0.2">
      <c r="B674" s="173"/>
      <c r="C674" s="694">
        <v>1</v>
      </c>
      <c r="D674" s="695" t="s">
        <v>3903</v>
      </c>
      <c r="E674" s="695">
        <v>1</v>
      </c>
      <c r="F674" s="695" t="s">
        <v>3904</v>
      </c>
      <c r="G674" s="695">
        <v>1</v>
      </c>
      <c r="H674" s="695" t="s">
        <v>3904</v>
      </c>
      <c r="I674" s="695">
        <v>675</v>
      </c>
      <c r="J674" s="695" t="s">
        <v>4564</v>
      </c>
      <c r="K674" s="695" t="s">
        <v>3907</v>
      </c>
      <c r="L674" s="696">
        <v>4</v>
      </c>
      <c r="M674" s="170"/>
    </row>
    <row r="675" spans="2:13" x14ac:dyDescent="0.2">
      <c r="B675" s="173"/>
      <c r="C675" s="694">
        <v>1</v>
      </c>
      <c r="D675" s="695" t="s">
        <v>3903</v>
      </c>
      <c r="E675" s="695">
        <v>1</v>
      </c>
      <c r="F675" s="695" t="s">
        <v>3904</v>
      </c>
      <c r="G675" s="695">
        <v>1</v>
      </c>
      <c r="H675" s="695" t="s">
        <v>3904</v>
      </c>
      <c r="I675" s="695">
        <v>676</v>
      </c>
      <c r="J675" s="695" t="s">
        <v>4565</v>
      </c>
      <c r="K675" s="695" t="s">
        <v>3907</v>
      </c>
      <c r="L675" s="696">
        <v>14</v>
      </c>
      <c r="M675" s="170"/>
    </row>
    <row r="676" spans="2:13" x14ac:dyDescent="0.2">
      <c r="B676" s="173"/>
      <c r="C676" s="694">
        <v>1</v>
      </c>
      <c r="D676" s="695" t="s">
        <v>3903</v>
      </c>
      <c r="E676" s="695">
        <v>1</v>
      </c>
      <c r="F676" s="695" t="s">
        <v>3904</v>
      </c>
      <c r="G676" s="695">
        <v>1</v>
      </c>
      <c r="H676" s="695" t="s">
        <v>3904</v>
      </c>
      <c r="I676" s="695">
        <v>677</v>
      </c>
      <c r="J676" s="695" t="s">
        <v>4566</v>
      </c>
      <c r="K676" s="695" t="s">
        <v>3907</v>
      </c>
      <c r="L676" s="696">
        <v>1</v>
      </c>
      <c r="M676" s="170"/>
    </row>
    <row r="677" spans="2:13" x14ac:dyDescent="0.2">
      <c r="B677" s="173"/>
      <c r="C677" s="694">
        <v>1</v>
      </c>
      <c r="D677" s="695" t="s">
        <v>3903</v>
      </c>
      <c r="E677" s="695">
        <v>1</v>
      </c>
      <c r="F677" s="695" t="s">
        <v>3904</v>
      </c>
      <c r="G677" s="695">
        <v>1</v>
      </c>
      <c r="H677" s="695" t="s">
        <v>3904</v>
      </c>
      <c r="I677" s="695">
        <v>678</v>
      </c>
      <c r="J677" s="695" t="s">
        <v>4567</v>
      </c>
      <c r="K677" s="695" t="s">
        <v>3907</v>
      </c>
      <c r="L677" s="696">
        <v>2</v>
      </c>
      <c r="M677" s="170"/>
    </row>
    <row r="678" spans="2:13" x14ac:dyDescent="0.2">
      <c r="B678" s="173"/>
      <c r="C678" s="694">
        <v>1</v>
      </c>
      <c r="D678" s="695" t="s">
        <v>3903</v>
      </c>
      <c r="E678" s="695">
        <v>1</v>
      </c>
      <c r="F678" s="695" t="s">
        <v>3904</v>
      </c>
      <c r="G678" s="695">
        <v>1</v>
      </c>
      <c r="H678" s="695" t="s">
        <v>3904</v>
      </c>
      <c r="I678" s="695">
        <v>679</v>
      </c>
      <c r="J678" s="695" t="s">
        <v>4568</v>
      </c>
      <c r="K678" s="695" t="s">
        <v>3907</v>
      </c>
      <c r="L678" s="696">
        <v>10</v>
      </c>
      <c r="M678" s="170"/>
    </row>
    <row r="679" spans="2:13" x14ac:dyDescent="0.2">
      <c r="B679" s="173"/>
      <c r="C679" s="694">
        <v>1</v>
      </c>
      <c r="D679" s="695" t="s">
        <v>3903</v>
      </c>
      <c r="E679" s="695">
        <v>1</v>
      </c>
      <c r="F679" s="695" t="s">
        <v>3904</v>
      </c>
      <c r="G679" s="695">
        <v>1</v>
      </c>
      <c r="H679" s="695" t="s">
        <v>3904</v>
      </c>
      <c r="I679" s="695">
        <v>680</v>
      </c>
      <c r="J679" s="695" t="s">
        <v>4569</v>
      </c>
      <c r="K679" s="695" t="s">
        <v>3907</v>
      </c>
      <c r="L679" s="696">
        <v>2</v>
      </c>
      <c r="M679" s="170"/>
    </row>
    <row r="680" spans="2:13" x14ac:dyDescent="0.2">
      <c r="B680" s="173"/>
      <c r="C680" s="694">
        <v>1</v>
      </c>
      <c r="D680" s="695" t="s">
        <v>3903</v>
      </c>
      <c r="E680" s="695">
        <v>1</v>
      </c>
      <c r="F680" s="695" t="s">
        <v>3904</v>
      </c>
      <c r="G680" s="695">
        <v>1</v>
      </c>
      <c r="H680" s="695" t="s">
        <v>3904</v>
      </c>
      <c r="I680" s="695">
        <v>681</v>
      </c>
      <c r="J680" s="695" t="s">
        <v>4570</v>
      </c>
      <c r="K680" s="695" t="s">
        <v>3907</v>
      </c>
      <c r="L680" s="696">
        <v>2</v>
      </c>
      <c r="M680" s="170"/>
    </row>
    <row r="681" spans="2:13" x14ac:dyDescent="0.2">
      <c r="B681" s="173"/>
      <c r="C681" s="694">
        <v>1</v>
      </c>
      <c r="D681" s="695" t="s">
        <v>3903</v>
      </c>
      <c r="E681" s="695">
        <v>1</v>
      </c>
      <c r="F681" s="695" t="s">
        <v>3904</v>
      </c>
      <c r="G681" s="695">
        <v>1</v>
      </c>
      <c r="H681" s="695" t="s">
        <v>3904</v>
      </c>
      <c r="I681" s="695">
        <v>682</v>
      </c>
      <c r="J681" s="695" t="s">
        <v>4571</v>
      </c>
      <c r="K681" s="695" t="s">
        <v>3907</v>
      </c>
      <c r="L681" s="696">
        <v>2</v>
      </c>
      <c r="M681" s="170"/>
    </row>
    <row r="682" spans="2:13" x14ac:dyDescent="0.2">
      <c r="B682" s="173"/>
      <c r="C682" s="694">
        <v>1</v>
      </c>
      <c r="D682" s="695" t="s">
        <v>3903</v>
      </c>
      <c r="E682" s="695">
        <v>1</v>
      </c>
      <c r="F682" s="695" t="s">
        <v>3904</v>
      </c>
      <c r="G682" s="695">
        <v>1</v>
      </c>
      <c r="H682" s="695" t="s">
        <v>3904</v>
      </c>
      <c r="I682" s="695">
        <v>683</v>
      </c>
      <c r="J682" s="695" t="s">
        <v>4572</v>
      </c>
      <c r="K682" s="695" t="s">
        <v>3907</v>
      </c>
      <c r="L682" s="696">
        <v>4</v>
      </c>
      <c r="M682" s="170"/>
    </row>
    <row r="683" spans="2:13" x14ac:dyDescent="0.2">
      <c r="B683" s="173"/>
      <c r="C683" s="694">
        <v>1</v>
      </c>
      <c r="D683" s="695" t="s">
        <v>3903</v>
      </c>
      <c r="E683" s="695">
        <v>1</v>
      </c>
      <c r="F683" s="695" t="s">
        <v>3904</v>
      </c>
      <c r="G683" s="695">
        <v>1</v>
      </c>
      <c r="H683" s="695" t="s">
        <v>3904</v>
      </c>
      <c r="I683" s="695">
        <v>684</v>
      </c>
      <c r="J683" s="695" t="s">
        <v>4573</v>
      </c>
      <c r="K683" s="695" t="s">
        <v>3907</v>
      </c>
      <c r="L683" s="696">
        <v>4</v>
      </c>
      <c r="M683" s="170"/>
    </row>
    <row r="684" spans="2:13" x14ac:dyDescent="0.2">
      <c r="B684" s="173"/>
      <c r="C684" s="694">
        <v>1</v>
      </c>
      <c r="D684" s="695" t="s">
        <v>3903</v>
      </c>
      <c r="E684" s="695">
        <v>1</v>
      </c>
      <c r="F684" s="695" t="s">
        <v>3904</v>
      </c>
      <c r="G684" s="695">
        <v>1</v>
      </c>
      <c r="H684" s="695" t="s">
        <v>3904</v>
      </c>
      <c r="I684" s="695">
        <v>685</v>
      </c>
      <c r="J684" s="695" t="s">
        <v>4574</v>
      </c>
      <c r="K684" s="695" t="s">
        <v>3907</v>
      </c>
      <c r="L684" s="696">
        <v>10</v>
      </c>
      <c r="M684" s="170"/>
    </row>
    <row r="685" spans="2:13" x14ac:dyDescent="0.2">
      <c r="B685" s="173"/>
      <c r="C685" s="694">
        <v>1</v>
      </c>
      <c r="D685" s="695" t="s">
        <v>3903</v>
      </c>
      <c r="E685" s="695">
        <v>1</v>
      </c>
      <c r="F685" s="695" t="s">
        <v>3904</v>
      </c>
      <c r="G685" s="695">
        <v>1</v>
      </c>
      <c r="H685" s="695" t="s">
        <v>3904</v>
      </c>
      <c r="I685" s="695">
        <v>686</v>
      </c>
      <c r="J685" s="695" t="s">
        <v>4575</v>
      </c>
      <c r="K685" s="695" t="s">
        <v>3907</v>
      </c>
      <c r="L685" s="696">
        <v>1</v>
      </c>
      <c r="M685" s="170"/>
    </row>
    <row r="686" spans="2:13" x14ac:dyDescent="0.2">
      <c r="B686" s="173"/>
      <c r="C686" s="694">
        <v>1</v>
      </c>
      <c r="D686" s="695" t="s">
        <v>3903</v>
      </c>
      <c r="E686" s="695">
        <v>1</v>
      </c>
      <c r="F686" s="695" t="s">
        <v>3904</v>
      </c>
      <c r="G686" s="695">
        <v>1</v>
      </c>
      <c r="H686" s="695" t="s">
        <v>3904</v>
      </c>
      <c r="I686" s="695">
        <v>687</v>
      </c>
      <c r="J686" s="695" t="s">
        <v>4576</v>
      </c>
      <c r="K686" s="695" t="s">
        <v>3907</v>
      </c>
      <c r="L686" s="696">
        <v>9</v>
      </c>
      <c r="M686" s="170"/>
    </row>
    <row r="687" spans="2:13" x14ac:dyDescent="0.2">
      <c r="B687" s="173"/>
      <c r="C687" s="694">
        <v>1</v>
      </c>
      <c r="D687" s="695" t="s">
        <v>3903</v>
      </c>
      <c r="E687" s="695">
        <v>1</v>
      </c>
      <c r="F687" s="695" t="s">
        <v>3904</v>
      </c>
      <c r="G687" s="695">
        <v>1</v>
      </c>
      <c r="H687" s="695" t="s">
        <v>3904</v>
      </c>
      <c r="I687" s="695">
        <v>688</v>
      </c>
      <c r="J687" s="695" t="s">
        <v>4577</v>
      </c>
      <c r="K687" s="695" t="s">
        <v>3907</v>
      </c>
      <c r="L687" s="696">
        <v>2</v>
      </c>
      <c r="M687" s="170"/>
    </row>
    <row r="688" spans="2:13" x14ac:dyDescent="0.2">
      <c r="B688" s="173"/>
      <c r="C688" s="694">
        <v>1</v>
      </c>
      <c r="D688" s="695" t="s">
        <v>3903</v>
      </c>
      <c r="E688" s="695">
        <v>1</v>
      </c>
      <c r="F688" s="695" t="s">
        <v>3904</v>
      </c>
      <c r="G688" s="695">
        <v>1</v>
      </c>
      <c r="H688" s="695" t="s">
        <v>3904</v>
      </c>
      <c r="I688" s="695">
        <v>689</v>
      </c>
      <c r="J688" s="695" t="s">
        <v>4578</v>
      </c>
      <c r="K688" s="695" t="s">
        <v>3907</v>
      </c>
      <c r="L688" s="696">
        <v>2</v>
      </c>
      <c r="M688" s="170"/>
    </row>
    <row r="689" spans="2:13" x14ac:dyDescent="0.2">
      <c r="B689" s="173"/>
      <c r="C689" s="694">
        <v>1</v>
      </c>
      <c r="D689" s="695" t="s">
        <v>3903</v>
      </c>
      <c r="E689" s="695">
        <v>1</v>
      </c>
      <c r="F689" s="695" t="s">
        <v>3904</v>
      </c>
      <c r="G689" s="695">
        <v>1</v>
      </c>
      <c r="H689" s="695" t="s">
        <v>3904</v>
      </c>
      <c r="I689" s="695">
        <v>690</v>
      </c>
      <c r="J689" s="695" t="s">
        <v>4579</v>
      </c>
      <c r="K689" s="695" t="s">
        <v>3907</v>
      </c>
      <c r="L689" s="696">
        <v>8</v>
      </c>
      <c r="M689" s="170"/>
    </row>
    <row r="690" spans="2:13" x14ac:dyDescent="0.2">
      <c r="B690" s="173"/>
      <c r="C690" s="694">
        <v>1</v>
      </c>
      <c r="D690" s="695" t="s">
        <v>3903</v>
      </c>
      <c r="E690" s="695">
        <v>1</v>
      </c>
      <c r="F690" s="695" t="s">
        <v>3904</v>
      </c>
      <c r="G690" s="695">
        <v>1</v>
      </c>
      <c r="H690" s="695" t="s">
        <v>3904</v>
      </c>
      <c r="I690" s="695">
        <v>691</v>
      </c>
      <c r="J690" s="695" t="s">
        <v>4580</v>
      </c>
      <c r="K690" s="695" t="s">
        <v>3907</v>
      </c>
      <c r="L690" s="696">
        <v>3</v>
      </c>
      <c r="M690" s="170"/>
    </row>
    <row r="691" spans="2:13" x14ac:dyDescent="0.2">
      <c r="B691" s="173"/>
      <c r="C691" s="694">
        <v>1</v>
      </c>
      <c r="D691" s="695" t="s">
        <v>3903</v>
      </c>
      <c r="E691" s="695">
        <v>1</v>
      </c>
      <c r="F691" s="695" t="s">
        <v>3904</v>
      </c>
      <c r="G691" s="695">
        <v>1</v>
      </c>
      <c r="H691" s="695" t="s">
        <v>3904</v>
      </c>
      <c r="I691" s="695">
        <v>692</v>
      </c>
      <c r="J691" s="695" t="s">
        <v>4581</v>
      </c>
      <c r="K691" s="695" t="s">
        <v>3907</v>
      </c>
      <c r="L691" s="696">
        <v>2</v>
      </c>
      <c r="M691" s="170"/>
    </row>
    <row r="692" spans="2:13" x14ac:dyDescent="0.2">
      <c r="B692" s="173"/>
      <c r="C692" s="694">
        <v>1</v>
      </c>
      <c r="D692" s="695" t="s">
        <v>3903</v>
      </c>
      <c r="E692" s="695">
        <v>1</v>
      </c>
      <c r="F692" s="695" t="s">
        <v>3904</v>
      </c>
      <c r="G692" s="695">
        <v>1</v>
      </c>
      <c r="H692" s="695" t="s">
        <v>3904</v>
      </c>
      <c r="I692" s="695">
        <v>693</v>
      </c>
      <c r="J692" s="695" t="s">
        <v>4582</v>
      </c>
      <c r="K692" s="695" t="s">
        <v>3907</v>
      </c>
      <c r="L692" s="696">
        <v>3</v>
      </c>
      <c r="M692" s="170"/>
    </row>
    <row r="693" spans="2:13" x14ac:dyDescent="0.2">
      <c r="B693" s="173"/>
      <c r="C693" s="694">
        <v>1</v>
      </c>
      <c r="D693" s="695" t="s">
        <v>3903</v>
      </c>
      <c r="E693" s="695">
        <v>1</v>
      </c>
      <c r="F693" s="695" t="s">
        <v>3904</v>
      </c>
      <c r="G693" s="695">
        <v>1</v>
      </c>
      <c r="H693" s="695" t="s">
        <v>3904</v>
      </c>
      <c r="I693" s="695">
        <v>694</v>
      </c>
      <c r="J693" s="695" t="s">
        <v>4583</v>
      </c>
      <c r="K693" s="695" t="s">
        <v>3907</v>
      </c>
      <c r="L693" s="696">
        <v>1</v>
      </c>
      <c r="M693" s="170"/>
    </row>
    <row r="694" spans="2:13" x14ac:dyDescent="0.2">
      <c r="B694" s="173"/>
      <c r="C694" s="694">
        <v>1</v>
      </c>
      <c r="D694" s="695" t="s">
        <v>3903</v>
      </c>
      <c r="E694" s="695">
        <v>1</v>
      </c>
      <c r="F694" s="695" t="s">
        <v>3904</v>
      </c>
      <c r="G694" s="695">
        <v>1</v>
      </c>
      <c r="H694" s="695" t="s">
        <v>3904</v>
      </c>
      <c r="I694" s="695">
        <v>695</v>
      </c>
      <c r="J694" s="695" t="s">
        <v>4584</v>
      </c>
      <c r="K694" s="695" t="s">
        <v>3907</v>
      </c>
      <c r="L694" s="696">
        <v>2</v>
      </c>
      <c r="M694" s="170"/>
    </row>
    <row r="695" spans="2:13" x14ac:dyDescent="0.2">
      <c r="B695" s="173"/>
      <c r="C695" s="694">
        <v>1</v>
      </c>
      <c r="D695" s="695" t="s">
        <v>3903</v>
      </c>
      <c r="E695" s="695">
        <v>1</v>
      </c>
      <c r="F695" s="695" t="s">
        <v>3904</v>
      </c>
      <c r="G695" s="695">
        <v>1</v>
      </c>
      <c r="H695" s="695" t="s">
        <v>3904</v>
      </c>
      <c r="I695" s="695">
        <v>696</v>
      </c>
      <c r="J695" s="695" t="s">
        <v>4585</v>
      </c>
      <c r="K695" s="695" t="s">
        <v>3907</v>
      </c>
      <c r="L695" s="696">
        <v>1</v>
      </c>
      <c r="M695" s="170"/>
    </row>
    <row r="696" spans="2:13" x14ac:dyDescent="0.2">
      <c r="B696" s="173"/>
      <c r="C696" s="694">
        <v>1</v>
      </c>
      <c r="D696" s="695" t="s">
        <v>3903</v>
      </c>
      <c r="E696" s="695">
        <v>1</v>
      </c>
      <c r="F696" s="695" t="s">
        <v>3904</v>
      </c>
      <c r="G696" s="695">
        <v>1</v>
      </c>
      <c r="H696" s="695" t="s">
        <v>3904</v>
      </c>
      <c r="I696" s="695">
        <v>697</v>
      </c>
      <c r="J696" s="695" t="s">
        <v>4586</v>
      </c>
      <c r="K696" s="695" t="s">
        <v>3907</v>
      </c>
      <c r="L696" s="696">
        <v>12</v>
      </c>
      <c r="M696" s="170"/>
    </row>
    <row r="697" spans="2:13" x14ac:dyDescent="0.2">
      <c r="B697" s="173"/>
      <c r="C697" s="694">
        <v>1</v>
      </c>
      <c r="D697" s="695" t="s">
        <v>3903</v>
      </c>
      <c r="E697" s="695">
        <v>1</v>
      </c>
      <c r="F697" s="695" t="s">
        <v>3904</v>
      </c>
      <c r="G697" s="695">
        <v>1</v>
      </c>
      <c r="H697" s="695" t="s">
        <v>3904</v>
      </c>
      <c r="I697" s="695">
        <v>698</v>
      </c>
      <c r="J697" s="695" t="s">
        <v>4587</v>
      </c>
      <c r="K697" s="695" t="s">
        <v>3907</v>
      </c>
      <c r="L697" s="696">
        <v>1</v>
      </c>
      <c r="M697" s="170"/>
    </row>
    <row r="698" spans="2:13" x14ac:dyDescent="0.2">
      <c r="B698" s="173"/>
      <c r="C698" s="694">
        <v>1</v>
      </c>
      <c r="D698" s="695" t="s">
        <v>3903</v>
      </c>
      <c r="E698" s="695">
        <v>1</v>
      </c>
      <c r="F698" s="695" t="s">
        <v>3904</v>
      </c>
      <c r="G698" s="695">
        <v>1</v>
      </c>
      <c r="H698" s="695" t="s">
        <v>3904</v>
      </c>
      <c r="I698" s="695">
        <v>699</v>
      </c>
      <c r="J698" s="695" t="s">
        <v>4588</v>
      </c>
      <c r="K698" s="695" t="s">
        <v>8544</v>
      </c>
      <c r="L698" s="696">
        <v>1</v>
      </c>
      <c r="M698" s="170"/>
    </row>
    <row r="699" spans="2:13" x14ac:dyDescent="0.2">
      <c r="B699" s="173"/>
      <c r="C699" s="694">
        <v>1</v>
      </c>
      <c r="D699" s="695" t="s">
        <v>3903</v>
      </c>
      <c r="E699" s="695">
        <v>1</v>
      </c>
      <c r="F699" s="695" t="s">
        <v>3904</v>
      </c>
      <c r="G699" s="695">
        <v>1</v>
      </c>
      <c r="H699" s="695" t="s">
        <v>3904</v>
      </c>
      <c r="I699" s="695">
        <v>700</v>
      </c>
      <c r="J699" s="695" t="s">
        <v>4589</v>
      </c>
      <c r="K699" s="695" t="s">
        <v>3985</v>
      </c>
      <c r="L699" s="696">
        <v>7</v>
      </c>
      <c r="M699" s="170"/>
    </row>
    <row r="700" spans="2:13" x14ac:dyDescent="0.2">
      <c r="B700" s="173"/>
      <c r="C700" s="694">
        <v>1</v>
      </c>
      <c r="D700" s="695" t="s">
        <v>3903</v>
      </c>
      <c r="E700" s="695">
        <v>1</v>
      </c>
      <c r="F700" s="695" t="s">
        <v>3904</v>
      </c>
      <c r="G700" s="695">
        <v>1</v>
      </c>
      <c r="H700" s="695" t="s">
        <v>3904</v>
      </c>
      <c r="I700" s="695">
        <v>701</v>
      </c>
      <c r="J700" s="695" t="s">
        <v>4590</v>
      </c>
      <c r="K700" s="695" t="s">
        <v>3907</v>
      </c>
      <c r="L700" s="696">
        <v>1</v>
      </c>
      <c r="M700" s="170"/>
    </row>
    <row r="701" spans="2:13" x14ac:dyDescent="0.2">
      <c r="B701" s="173"/>
      <c r="C701" s="694">
        <v>1</v>
      </c>
      <c r="D701" s="695" t="s">
        <v>3903</v>
      </c>
      <c r="E701" s="695">
        <v>1</v>
      </c>
      <c r="F701" s="695" t="s">
        <v>3904</v>
      </c>
      <c r="G701" s="695">
        <v>1</v>
      </c>
      <c r="H701" s="695" t="s">
        <v>3904</v>
      </c>
      <c r="I701" s="695">
        <v>702</v>
      </c>
      <c r="J701" s="695" t="s">
        <v>4591</v>
      </c>
      <c r="K701" s="695" t="s">
        <v>3907</v>
      </c>
      <c r="L701" s="696">
        <v>0</v>
      </c>
      <c r="M701" s="170"/>
    </row>
    <row r="702" spans="2:13" x14ac:dyDescent="0.2">
      <c r="B702" s="173"/>
      <c r="C702" s="694">
        <v>1</v>
      </c>
      <c r="D702" s="695" t="s">
        <v>3903</v>
      </c>
      <c r="E702" s="695">
        <v>1</v>
      </c>
      <c r="F702" s="695" t="s">
        <v>3904</v>
      </c>
      <c r="G702" s="695">
        <v>1</v>
      </c>
      <c r="H702" s="695" t="s">
        <v>3904</v>
      </c>
      <c r="I702" s="695">
        <v>703</v>
      </c>
      <c r="J702" s="695" t="s">
        <v>4592</v>
      </c>
      <c r="K702" s="695" t="s">
        <v>3907</v>
      </c>
      <c r="L702" s="696">
        <v>1</v>
      </c>
      <c r="M702" s="170"/>
    </row>
    <row r="703" spans="2:13" x14ac:dyDescent="0.2">
      <c r="B703" s="173"/>
      <c r="C703" s="694">
        <v>1</v>
      </c>
      <c r="D703" s="695" t="s">
        <v>3903</v>
      </c>
      <c r="E703" s="695">
        <v>1</v>
      </c>
      <c r="F703" s="695" t="s">
        <v>3904</v>
      </c>
      <c r="G703" s="695">
        <v>1</v>
      </c>
      <c r="H703" s="695" t="s">
        <v>3904</v>
      </c>
      <c r="I703" s="695">
        <v>704</v>
      </c>
      <c r="J703" s="695" t="s">
        <v>4593</v>
      </c>
      <c r="K703" s="695" t="s">
        <v>3907</v>
      </c>
      <c r="L703" s="696">
        <v>4</v>
      </c>
      <c r="M703" s="170"/>
    </row>
    <row r="704" spans="2:13" x14ac:dyDescent="0.2">
      <c r="B704" s="173"/>
      <c r="C704" s="694">
        <v>1</v>
      </c>
      <c r="D704" s="695" t="s">
        <v>3903</v>
      </c>
      <c r="E704" s="695">
        <v>1</v>
      </c>
      <c r="F704" s="695" t="s">
        <v>3904</v>
      </c>
      <c r="G704" s="695">
        <v>1</v>
      </c>
      <c r="H704" s="695" t="s">
        <v>3904</v>
      </c>
      <c r="I704" s="695">
        <v>705</v>
      </c>
      <c r="J704" s="695" t="s">
        <v>4594</v>
      </c>
      <c r="K704" s="695" t="s">
        <v>3907</v>
      </c>
      <c r="L704" s="696">
        <v>1</v>
      </c>
      <c r="M704" s="170"/>
    </row>
    <row r="705" spans="2:13" x14ac:dyDescent="0.2">
      <c r="B705" s="173"/>
      <c r="C705" s="694">
        <v>1</v>
      </c>
      <c r="D705" s="695" t="s">
        <v>3903</v>
      </c>
      <c r="E705" s="695">
        <v>1</v>
      </c>
      <c r="F705" s="695" t="s">
        <v>3904</v>
      </c>
      <c r="G705" s="695">
        <v>1</v>
      </c>
      <c r="H705" s="695" t="s">
        <v>3904</v>
      </c>
      <c r="I705" s="695">
        <v>706</v>
      </c>
      <c r="J705" s="695" t="s">
        <v>4595</v>
      </c>
      <c r="K705" s="695" t="s">
        <v>3907</v>
      </c>
      <c r="L705" s="696">
        <v>0</v>
      </c>
      <c r="M705" s="170"/>
    </row>
    <row r="706" spans="2:13" x14ac:dyDescent="0.2">
      <c r="B706" s="173"/>
      <c r="C706" s="694">
        <v>1</v>
      </c>
      <c r="D706" s="695" t="s">
        <v>3903</v>
      </c>
      <c r="E706" s="695">
        <v>1</v>
      </c>
      <c r="F706" s="695" t="s">
        <v>3904</v>
      </c>
      <c r="G706" s="695">
        <v>1</v>
      </c>
      <c r="H706" s="695" t="s">
        <v>3904</v>
      </c>
      <c r="I706" s="695">
        <v>707</v>
      </c>
      <c r="J706" s="695" t="s">
        <v>4596</v>
      </c>
      <c r="K706" s="695" t="s">
        <v>3907</v>
      </c>
      <c r="L706" s="696">
        <v>4</v>
      </c>
      <c r="M706" s="170"/>
    </row>
    <row r="707" spans="2:13" x14ac:dyDescent="0.2">
      <c r="B707" s="173"/>
      <c r="C707" s="694">
        <v>1</v>
      </c>
      <c r="D707" s="695" t="s">
        <v>3903</v>
      </c>
      <c r="E707" s="695">
        <v>1</v>
      </c>
      <c r="F707" s="695" t="s">
        <v>3904</v>
      </c>
      <c r="G707" s="695">
        <v>1</v>
      </c>
      <c r="H707" s="695" t="s">
        <v>3904</v>
      </c>
      <c r="I707" s="695">
        <v>708</v>
      </c>
      <c r="J707" s="695" t="s">
        <v>4597</v>
      </c>
      <c r="K707" s="695" t="s">
        <v>3907</v>
      </c>
      <c r="L707" s="696">
        <v>1</v>
      </c>
      <c r="M707" s="170"/>
    </row>
    <row r="708" spans="2:13" x14ac:dyDescent="0.2">
      <c r="B708" s="173"/>
      <c r="C708" s="694">
        <v>1</v>
      </c>
      <c r="D708" s="695" t="s">
        <v>3903</v>
      </c>
      <c r="E708" s="695">
        <v>1</v>
      </c>
      <c r="F708" s="695" t="s">
        <v>3904</v>
      </c>
      <c r="G708" s="695">
        <v>1</v>
      </c>
      <c r="H708" s="695" t="s">
        <v>3904</v>
      </c>
      <c r="I708" s="695">
        <v>709</v>
      </c>
      <c r="J708" s="695" t="s">
        <v>4598</v>
      </c>
      <c r="K708" s="695" t="s">
        <v>3907</v>
      </c>
      <c r="L708" s="696">
        <v>5</v>
      </c>
      <c r="M708" s="170"/>
    </row>
    <row r="709" spans="2:13" x14ac:dyDescent="0.2">
      <c r="B709" s="173"/>
      <c r="C709" s="694">
        <v>1</v>
      </c>
      <c r="D709" s="695" t="s">
        <v>3903</v>
      </c>
      <c r="E709" s="695">
        <v>1</v>
      </c>
      <c r="F709" s="695" t="s">
        <v>3904</v>
      </c>
      <c r="G709" s="695">
        <v>1</v>
      </c>
      <c r="H709" s="695" t="s">
        <v>3904</v>
      </c>
      <c r="I709" s="695">
        <v>710</v>
      </c>
      <c r="J709" s="695" t="s">
        <v>4599</v>
      </c>
      <c r="K709" s="695" t="s">
        <v>3907</v>
      </c>
      <c r="L709" s="696">
        <v>2</v>
      </c>
      <c r="M709" s="170"/>
    </row>
    <row r="710" spans="2:13" x14ac:dyDescent="0.2">
      <c r="B710" s="173"/>
      <c r="C710" s="694">
        <v>1</v>
      </c>
      <c r="D710" s="695" t="s">
        <v>3903</v>
      </c>
      <c r="E710" s="695">
        <v>1</v>
      </c>
      <c r="F710" s="695" t="s">
        <v>3904</v>
      </c>
      <c r="G710" s="695">
        <v>1</v>
      </c>
      <c r="H710" s="695" t="s">
        <v>3904</v>
      </c>
      <c r="I710" s="695">
        <v>711</v>
      </c>
      <c r="J710" s="695" t="s">
        <v>4600</v>
      </c>
      <c r="K710" s="695" t="s">
        <v>3907</v>
      </c>
      <c r="L710" s="696">
        <v>1</v>
      </c>
      <c r="M710" s="170"/>
    </row>
    <row r="711" spans="2:13" x14ac:dyDescent="0.2">
      <c r="B711" s="173"/>
      <c r="C711" s="694">
        <v>1</v>
      </c>
      <c r="D711" s="695" t="s">
        <v>3903</v>
      </c>
      <c r="E711" s="695">
        <v>1</v>
      </c>
      <c r="F711" s="695" t="s">
        <v>3904</v>
      </c>
      <c r="G711" s="695">
        <v>1</v>
      </c>
      <c r="H711" s="695" t="s">
        <v>3904</v>
      </c>
      <c r="I711" s="695">
        <v>712</v>
      </c>
      <c r="J711" s="695" t="s">
        <v>4601</v>
      </c>
      <c r="K711" s="695" t="s">
        <v>3907</v>
      </c>
      <c r="L711" s="696">
        <v>0</v>
      </c>
      <c r="M711" s="170"/>
    </row>
    <row r="712" spans="2:13" x14ac:dyDescent="0.2">
      <c r="B712" s="173"/>
      <c r="C712" s="694">
        <v>1</v>
      </c>
      <c r="D712" s="695" t="s">
        <v>3903</v>
      </c>
      <c r="E712" s="695">
        <v>1</v>
      </c>
      <c r="F712" s="695" t="s">
        <v>3904</v>
      </c>
      <c r="G712" s="695">
        <v>1</v>
      </c>
      <c r="H712" s="695" t="s">
        <v>3904</v>
      </c>
      <c r="I712" s="695">
        <v>713</v>
      </c>
      <c r="J712" s="695" t="s">
        <v>4602</v>
      </c>
      <c r="K712" s="695" t="s">
        <v>3907</v>
      </c>
      <c r="L712" s="696">
        <v>0</v>
      </c>
      <c r="M712" s="170"/>
    </row>
    <row r="713" spans="2:13" x14ac:dyDescent="0.2">
      <c r="B713" s="173"/>
      <c r="C713" s="694">
        <v>1</v>
      </c>
      <c r="D713" s="695" t="s">
        <v>3903</v>
      </c>
      <c r="E713" s="695">
        <v>1</v>
      </c>
      <c r="F713" s="695" t="s">
        <v>3904</v>
      </c>
      <c r="G713" s="695">
        <v>1</v>
      </c>
      <c r="H713" s="695" t="s">
        <v>3904</v>
      </c>
      <c r="I713" s="695">
        <v>714</v>
      </c>
      <c r="J713" s="695" t="s">
        <v>4603</v>
      </c>
      <c r="K713" s="695" t="s">
        <v>3907</v>
      </c>
      <c r="L713" s="696">
        <v>2</v>
      </c>
      <c r="M713" s="170"/>
    </row>
    <row r="714" spans="2:13" x14ac:dyDescent="0.2">
      <c r="B714" s="173"/>
      <c r="C714" s="694">
        <v>1</v>
      </c>
      <c r="D714" s="695" t="s">
        <v>3903</v>
      </c>
      <c r="E714" s="695">
        <v>1</v>
      </c>
      <c r="F714" s="695" t="s">
        <v>3904</v>
      </c>
      <c r="G714" s="695">
        <v>1</v>
      </c>
      <c r="H714" s="695" t="s">
        <v>3904</v>
      </c>
      <c r="I714" s="695">
        <v>715</v>
      </c>
      <c r="J714" s="695" t="s">
        <v>4604</v>
      </c>
      <c r="K714" s="695" t="s">
        <v>3907</v>
      </c>
      <c r="L714" s="696">
        <v>7</v>
      </c>
      <c r="M714" s="170"/>
    </row>
    <row r="715" spans="2:13" x14ac:dyDescent="0.2">
      <c r="B715" s="173"/>
      <c r="C715" s="694">
        <v>1</v>
      </c>
      <c r="D715" s="695" t="s">
        <v>3903</v>
      </c>
      <c r="E715" s="695">
        <v>1</v>
      </c>
      <c r="F715" s="695" t="s">
        <v>3904</v>
      </c>
      <c r="G715" s="695">
        <v>1</v>
      </c>
      <c r="H715" s="695" t="s">
        <v>3904</v>
      </c>
      <c r="I715" s="695">
        <v>716</v>
      </c>
      <c r="J715" s="695" t="s">
        <v>8547</v>
      </c>
      <c r="K715" s="695" t="s">
        <v>3907</v>
      </c>
      <c r="L715" s="696">
        <v>1</v>
      </c>
      <c r="M715" s="170"/>
    </row>
    <row r="716" spans="2:13" x14ac:dyDescent="0.2">
      <c r="B716" s="173"/>
      <c r="C716" s="694">
        <v>1</v>
      </c>
      <c r="D716" s="695" t="s">
        <v>3903</v>
      </c>
      <c r="E716" s="695">
        <v>1</v>
      </c>
      <c r="F716" s="695" t="s">
        <v>3904</v>
      </c>
      <c r="G716" s="695">
        <v>1</v>
      </c>
      <c r="H716" s="695" t="s">
        <v>3904</v>
      </c>
      <c r="I716" s="695">
        <v>717</v>
      </c>
      <c r="J716" s="695" t="s">
        <v>8548</v>
      </c>
      <c r="K716" s="695" t="s">
        <v>3907</v>
      </c>
      <c r="L716" s="696">
        <v>0</v>
      </c>
      <c r="M716" s="170"/>
    </row>
    <row r="717" spans="2:13" x14ac:dyDescent="0.2">
      <c r="B717" s="173"/>
      <c r="C717" s="694">
        <v>1</v>
      </c>
      <c r="D717" s="695" t="s">
        <v>3903</v>
      </c>
      <c r="E717" s="695">
        <v>1</v>
      </c>
      <c r="F717" s="695" t="s">
        <v>3904</v>
      </c>
      <c r="G717" s="695">
        <v>1</v>
      </c>
      <c r="H717" s="695" t="s">
        <v>3904</v>
      </c>
      <c r="I717" s="695">
        <v>718</v>
      </c>
      <c r="J717" s="695" t="s">
        <v>8549</v>
      </c>
      <c r="K717" s="695" t="s">
        <v>3907</v>
      </c>
      <c r="L717" s="696">
        <v>22</v>
      </c>
      <c r="M717" s="170"/>
    </row>
    <row r="718" spans="2:13" x14ac:dyDescent="0.2">
      <c r="B718" s="173"/>
      <c r="C718" s="694">
        <v>1</v>
      </c>
      <c r="D718" s="695" t="s">
        <v>3903</v>
      </c>
      <c r="E718" s="695">
        <v>1</v>
      </c>
      <c r="F718" s="695" t="s">
        <v>3904</v>
      </c>
      <c r="G718" s="695">
        <v>1</v>
      </c>
      <c r="H718" s="695" t="s">
        <v>3904</v>
      </c>
      <c r="I718" s="695">
        <v>719</v>
      </c>
      <c r="J718" s="695" t="s">
        <v>8550</v>
      </c>
      <c r="K718" s="695" t="s">
        <v>3907</v>
      </c>
      <c r="L718" s="696">
        <v>3</v>
      </c>
      <c r="M718" s="170"/>
    </row>
    <row r="719" spans="2:13" x14ac:dyDescent="0.2">
      <c r="B719" s="173"/>
      <c r="C719" s="694">
        <v>1</v>
      </c>
      <c r="D719" s="695" t="s">
        <v>3903</v>
      </c>
      <c r="E719" s="695">
        <v>1</v>
      </c>
      <c r="F719" s="695" t="s">
        <v>3904</v>
      </c>
      <c r="G719" s="695">
        <v>1</v>
      </c>
      <c r="H719" s="695" t="s">
        <v>3904</v>
      </c>
      <c r="I719" s="695">
        <v>720</v>
      </c>
      <c r="J719" s="695" t="s">
        <v>8551</v>
      </c>
      <c r="K719" s="695" t="s">
        <v>3907</v>
      </c>
      <c r="L719" s="696">
        <v>2</v>
      </c>
      <c r="M719" s="170"/>
    </row>
    <row r="720" spans="2:13" x14ac:dyDescent="0.2">
      <c r="B720" s="173"/>
      <c r="C720" s="694">
        <v>1</v>
      </c>
      <c r="D720" s="695" t="s">
        <v>3903</v>
      </c>
      <c r="E720" s="695">
        <v>1</v>
      </c>
      <c r="F720" s="695" t="s">
        <v>3904</v>
      </c>
      <c r="G720" s="695">
        <v>1</v>
      </c>
      <c r="H720" s="695" t="s">
        <v>3904</v>
      </c>
      <c r="I720" s="695">
        <v>721</v>
      </c>
      <c r="J720" s="695" t="s">
        <v>8552</v>
      </c>
      <c r="K720" s="695" t="s">
        <v>3907</v>
      </c>
      <c r="L720" s="696">
        <v>0</v>
      </c>
      <c r="M720" s="170"/>
    </row>
    <row r="721" spans="2:13" x14ac:dyDescent="0.2">
      <c r="B721" s="173"/>
      <c r="C721" s="694">
        <v>1</v>
      </c>
      <c r="D721" s="695" t="s">
        <v>3903</v>
      </c>
      <c r="E721" s="695">
        <v>1</v>
      </c>
      <c r="F721" s="695" t="s">
        <v>3904</v>
      </c>
      <c r="G721" s="695">
        <v>1</v>
      </c>
      <c r="H721" s="695" t="s">
        <v>3904</v>
      </c>
      <c r="I721" s="695">
        <v>722</v>
      </c>
      <c r="J721" s="695" t="s">
        <v>8553</v>
      </c>
      <c r="K721" s="695" t="s">
        <v>3907</v>
      </c>
      <c r="L721" s="696">
        <v>1</v>
      </c>
      <c r="M721" s="170"/>
    </row>
    <row r="722" spans="2:13" x14ac:dyDescent="0.2">
      <c r="B722" s="173"/>
      <c r="C722" s="694">
        <v>1</v>
      </c>
      <c r="D722" s="695" t="s">
        <v>3903</v>
      </c>
      <c r="E722" s="695">
        <v>1</v>
      </c>
      <c r="F722" s="695" t="s">
        <v>3904</v>
      </c>
      <c r="G722" s="695">
        <v>1</v>
      </c>
      <c r="H722" s="695" t="s">
        <v>3904</v>
      </c>
      <c r="I722" s="695">
        <v>723</v>
      </c>
      <c r="J722" s="695" t="s">
        <v>8554</v>
      </c>
      <c r="K722" s="695" t="s">
        <v>3907</v>
      </c>
      <c r="L722" s="696">
        <v>2</v>
      </c>
      <c r="M722" s="170"/>
    </row>
    <row r="723" spans="2:13" x14ac:dyDescent="0.2">
      <c r="B723" s="173"/>
      <c r="C723" s="694">
        <v>1</v>
      </c>
      <c r="D723" s="695" t="s">
        <v>3903</v>
      </c>
      <c r="E723" s="695">
        <v>1</v>
      </c>
      <c r="F723" s="695" t="s">
        <v>3904</v>
      </c>
      <c r="G723" s="695">
        <v>1</v>
      </c>
      <c r="H723" s="695" t="s">
        <v>3904</v>
      </c>
      <c r="I723" s="695">
        <v>724</v>
      </c>
      <c r="J723" s="695" t="s">
        <v>8555</v>
      </c>
      <c r="K723" s="695" t="s">
        <v>3907</v>
      </c>
      <c r="L723" s="696">
        <v>0</v>
      </c>
      <c r="M723" s="170"/>
    </row>
    <row r="724" spans="2:13" x14ac:dyDescent="0.2">
      <c r="B724" s="173"/>
      <c r="C724" s="694">
        <v>1</v>
      </c>
      <c r="D724" s="695" t="s">
        <v>3903</v>
      </c>
      <c r="E724" s="695">
        <v>1</v>
      </c>
      <c r="F724" s="695" t="s">
        <v>3904</v>
      </c>
      <c r="G724" s="695">
        <v>1</v>
      </c>
      <c r="H724" s="695" t="s">
        <v>3904</v>
      </c>
      <c r="I724" s="695">
        <v>725</v>
      </c>
      <c r="J724" s="695" t="s">
        <v>8556</v>
      </c>
      <c r="K724" s="695" t="s">
        <v>3907</v>
      </c>
      <c r="L724" s="696">
        <v>30</v>
      </c>
      <c r="M724" s="170"/>
    </row>
    <row r="725" spans="2:13" x14ac:dyDescent="0.2">
      <c r="B725" s="173"/>
      <c r="C725" s="694">
        <v>1</v>
      </c>
      <c r="D725" s="695" t="s">
        <v>3903</v>
      </c>
      <c r="E725" s="695">
        <v>1</v>
      </c>
      <c r="F725" s="695" t="s">
        <v>3904</v>
      </c>
      <c r="G725" s="695">
        <v>1</v>
      </c>
      <c r="H725" s="695" t="s">
        <v>3904</v>
      </c>
      <c r="I725" s="695">
        <v>726</v>
      </c>
      <c r="J725" s="695" t="s">
        <v>8557</v>
      </c>
      <c r="K725" s="695" t="s">
        <v>3907</v>
      </c>
      <c r="L725" s="696">
        <v>7</v>
      </c>
      <c r="M725" s="170"/>
    </row>
    <row r="726" spans="2:13" x14ac:dyDescent="0.2">
      <c r="B726" s="173"/>
      <c r="C726" s="694">
        <v>1</v>
      </c>
      <c r="D726" s="695" t="s">
        <v>3903</v>
      </c>
      <c r="E726" s="695">
        <v>1</v>
      </c>
      <c r="F726" s="695" t="s">
        <v>3904</v>
      </c>
      <c r="G726" s="695">
        <v>1</v>
      </c>
      <c r="H726" s="695" t="s">
        <v>3904</v>
      </c>
      <c r="I726" s="695">
        <v>727</v>
      </c>
      <c r="J726" s="695" t="s">
        <v>8558</v>
      </c>
      <c r="K726" s="695" t="s">
        <v>3907</v>
      </c>
      <c r="L726" s="696">
        <v>14</v>
      </c>
      <c r="M726" s="170"/>
    </row>
    <row r="727" spans="2:13" x14ac:dyDescent="0.2">
      <c r="B727" s="173"/>
      <c r="C727" s="694">
        <v>1</v>
      </c>
      <c r="D727" s="695" t="s">
        <v>3903</v>
      </c>
      <c r="E727" s="695">
        <v>1</v>
      </c>
      <c r="F727" s="695" t="s">
        <v>3904</v>
      </c>
      <c r="G727" s="695">
        <v>1</v>
      </c>
      <c r="H727" s="695" t="s">
        <v>3904</v>
      </c>
      <c r="I727" s="695">
        <v>728</v>
      </c>
      <c r="J727" s="695" t="s">
        <v>8559</v>
      </c>
      <c r="K727" s="695" t="s">
        <v>3907</v>
      </c>
      <c r="L727" s="696">
        <v>10</v>
      </c>
      <c r="M727" s="170"/>
    </row>
    <row r="728" spans="2:13" x14ac:dyDescent="0.2">
      <c r="B728" s="173"/>
      <c r="C728" s="694">
        <v>1</v>
      </c>
      <c r="D728" s="695" t="s">
        <v>3903</v>
      </c>
      <c r="E728" s="695">
        <v>1</v>
      </c>
      <c r="F728" s="695" t="s">
        <v>3904</v>
      </c>
      <c r="G728" s="695">
        <v>1</v>
      </c>
      <c r="H728" s="695" t="s">
        <v>3904</v>
      </c>
      <c r="I728" s="695">
        <v>729</v>
      </c>
      <c r="J728" s="695" t="s">
        <v>8560</v>
      </c>
      <c r="K728" s="695" t="s">
        <v>3907</v>
      </c>
      <c r="L728" s="696">
        <v>0</v>
      </c>
      <c r="M728" s="170"/>
    </row>
    <row r="729" spans="2:13" x14ac:dyDescent="0.2">
      <c r="B729" s="173"/>
      <c r="C729" s="694">
        <v>1</v>
      </c>
      <c r="D729" s="695" t="s">
        <v>3903</v>
      </c>
      <c r="E729" s="695">
        <v>1</v>
      </c>
      <c r="F729" s="695" t="s">
        <v>3904</v>
      </c>
      <c r="G729" s="695">
        <v>1</v>
      </c>
      <c r="H729" s="695" t="s">
        <v>3904</v>
      </c>
      <c r="I729" s="695">
        <v>730</v>
      </c>
      <c r="J729" s="695" t="s">
        <v>8561</v>
      </c>
      <c r="K729" s="695" t="s">
        <v>3907</v>
      </c>
      <c r="L729" s="696">
        <v>3</v>
      </c>
      <c r="M729" s="170"/>
    </row>
    <row r="730" spans="2:13" x14ac:dyDescent="0.2">
      <c r="B730" s="173"/>
      <c r="C730" s="694">
        <v>1</v>
      </c>
      <c r="D730" s="695" t="s">
        <v>3903</v>
      </c>
      <c r="E730" s="695">
        <v>1</v>
      </c>
      <c r="F730" s="695" t="s">
        <v>3904</v>
      </c>
      <c r="G730" s="695">
        <v>1</v>
      </c>
      <c r="H730" s="695" t="s">
        <v>3904</v>
      </c>
      <c r="I730" s="695">
        <v>731</v>
      </c>
      <c r="J730" s="695" t="s">
        <v>8562</v>
      </c>
      <c r="K730" s="695" t="s">
        <v>3907</v>
      </c>
      <c r="L730" s="696">
        <v>1</v>
      </c>
      <c r="M730" s="170"/>
    </row>
    <row r="731" spans="2:13" x14ac:dyDescent="0.2">
      <c r="B731" s="173"/>
      <c r="C731" s="694">
        <v>1</v>
      </c>
      <c r="D731" s="695" t="s">
        <v>3903</v>
      </c>
      <c r="E731" s="695">
        <v>1</v>
      </c>
      <c r="F731" s="695" t="s">
        <v>3904</v>
      </c>
      <c r="G731" s="695">
        <v>1</v>
      </c>
      <c r="H731" s="695" t="s">
        <v>3904</v>
      </c>
      <c r="I731" s="695">
        <v>732</v>
      </c>
      <c r="J731" s="695" t="s">
        <v>8563</v>
      </c>
      <c r="K731" s="695" t="s">
        <v>3907</v>
      </c>
      <c r="L731" s="696">
        <v>2</v>
      </c>
      <c r="M731" s="170"/>
    </row>
    <row r="732" spans="2:13" x14ac:dyDescent="0.2">
      <c r="B732" s="173"/>
      <c r="C732" s="694">
        <v>1</v>
      </c>
      <c r="D732" s="695" t="s">
        <v>3903</v>
      </c>
      <c r="E732" s="695">
        <v>1</v>
      </c>
      <c r="F732" s="695" t="s">
        <v>3904</v>
      </c>
      <c r="G732" s="695">
        <v>1</v>
      </c>
      <c r="H732" s="695" t="s">
        <v>3904</v>
      </c>
      <c r="I732" s="695">
        <v>733</v>
      </c>
      <c r="J732" s="695" t="s">
        <v>8564</v>
      </c>
      <c r="K732" s="695" t="s">
        <v>3907</v>
      </c>
      <c r="L732" s="696">
        <v>55</v>
      </c>
      <c r="M732" s="170"/>
    </row>
    <row r="733" spans="2:13" x14ac:dyDescent="0.2">
      <c r="B733" s="173"/>
      <c r="C733" s="694">
        <v>1</v>
      </c>
      <c r="D733" s="695" t="s">
        <v>3903</v>
      </c>
      <c r="E733" s="695">
        <v>1</v>
      </c>
      <c r="F733" s="695" t="s">
        <v>3904</v>
      </c>
      <c r="G733" s="695">
        <v>1</v>
      </c>
      <c r="H733" s="695" t="s">
        <v>3904</v>
      </c>
      <c r="I733" s="695">
        <v>734</v>
      </c>
      <c r="J733" s="695" t="s">
        <v>8552</v>
      </c>
      <c r="K733" s="695" t="s">
        <v>3907</v>
      </c>
      <c r="L733" s="696">
        <v>0</v>
      </c>
      <c r="M733" s="170"/>
    </row>
    <row r="734" spans="2:13" x14ac:dyDescent="0.2">
      <c r="B734" s="173"/>
      <c r="C734" s="694">
        <v>1</v>
      </c>
      <c r="D734" s="695" t="s">
        <v>3903</v>
      </c>
      <c r="E734" s="695">
        <v>1</v>
      </c>
      <c r="F734" s="695" t="s">
        <v>3904</v>
      </c>
      <c r="G734" s="695">
        <v>1</v>
      </c>
      <c r="H734" s="695" t="s">
        <v>3904</v>
      </c>
      <c r="I734" s="695">
        <v>735</v>
      </c>
      <c r="J734" s="695" t="s">
        <v>8565</v>
      </c>
      <c r="K734" s="695" t="s">
        <v>3907</v>
      </c>
      <c r="L734" s="696">
        <v>1</v>
      </c>
      <c r="M734" s="170"/>
    </row>
    <row r="735" spans="2:13" x14ac:dyDescent="0.2">
      <c r="B735" s="173"/>
      <c r="C735" s="694">
        <v>1</v>
      </c>
      <c r="D735" s="695" t="s">
        <v>3903</v>
      </c>
      <c r="E735" s="695">
        <v>1</v>
      </c>
      <c r="F735" s="695" t="s">
        <v>3904</v>
      </c>
      <c r="G735" s="695">
        <v>1</v>
      </c>
      <c r="H735" s="695" t="s">
        <v>3904</v>
      </c>
      <c r="I735" s="695">
        <v>736</v>
      </c>
      <c r="J735" s="695" t="s">
        <v>8566</v>
      </c>
      <c r="K735" s="695" t="s">
        <v>3907</v>
      </c>
      <c r="L735" s="696">
        <v>2</v>
      </c>
      <c r="M735" s="170"/>
    </row>
    <row r="736" spans="2:13" x14ac:dyDescent="0.2">
      <c r="B736" s="173"/>
      <c r="C736" s="694">
        <v>1</v>
      </c>
      <c r="D736" s="695" t="s">
        <v>3903</v>
      </c>
      <c r="E736" s="695">
        <v>1</v>
      </c>
      <c r="F736" s="695" t="s">
        <v>3904</v>
      </c>
      <c r="G736" s="695">
        <v>1</v>
      </c>
      <c r="H736" s="695" t="s">
        <v>3904</v>
      </c>
      <c r="I736" s="695">
        <v>737</v>
      </c>
      <c r="J736" s="695" t="s">
        <v>8567</v>
      </c>
      <c r="K736" s="695" t="s">
        <v>3907</v>
      </c>
      <c r="L736" s="696">
        <v>2</v>
      </c>
      <c r="M736" s="170"/>
    </row>
    <row r="737" spans="2:13" x14ac:dyDescent="0.2">
      <c r="B737" s="173"/>
      <c r="C737" s="694">
        <v>1</v>
      </c>
      <c r="D737" s="695" t="s">
        <v>3903</v>
      </c>
      <c r="E737" s="695">
        <v>1</v>
      </c>
      <c r="F737" s="695" t="s">
        <v>3904</v>
      </c>
      <c r="G737" s="695">
        <v>1</v>
      </c>
      <c r="H737" s="695" t="s">
        <v>3904</v>
      </c>
      <c r="I737" s="695">
        <v>738</v>
      </c>
      <c r="J737" s="695" t="s">
        <v>8568</v>
      </c>
      <c r="K737" s="695" t="s">
        <v>3907</v>
      </c>
      <c r="L737" s="696">
        <v>4</v>
      </c>
      <c r="M737" s="170"/>
    </row>
    <row r="738" spans="2:13" x14ac:dyDescent="0.2">
      <c r="B738" s="173"/>
      <c r="C738" s="694">
        <v>1</v>
      </c>
      <c r="D738" s="695" t="s">
        <v>3903</v>
      </c>
      <c r="E738" s="695">
        <v>1</v>
      </c>
      <c r="F738" s="695" t="s">
        <v>3904</v>
      </c>
      <c r="G738" s="695">
        <v>1</v>
      </c>
      <c r="H738" s="695" t="s">
        <v>3904</v>
      </c>
      <c r="I738" s="695">
        <v>739</v>
      </c>
      <c r="J738" s="695" t="s">
        <v>8569</v>
      </c>
      <c r="K738" s="695" t="s">
        <v>3907</v>
      </c>
      <c r="L738" s="696">
        <v>1</v>
      </c>
      <c r="M738" s="170"/>
    </row>
    <row r="739" spans="2:13" x14ac:dyDescent="0.2">
      <c r="B739" s="173"/>
      <c r="C739" s="694">
        <v>1</v>
      </c>
      <c r="D739" s="695" t="s">
        <v>3903</v>
      </c>
      <c r="E739" s="695">
        <v>1</v>
      </c>
      <c r="F739" s="695" t="s">
        <v>3904</v>
      </c>
      <c r="G739" s="695">
        <v>1</v>
      </c>
      <c r="H739" s="695" t="s">
        <v>3904</v>
      </c>
      <c r="I739" s="695">
        <v>740</v>
      </c>
      <c r="J739" s="695" t="s">
        <v>8570</v>
      </c>
      <c r="K739" s="695" t="s">
        <v>3907</v>
      </c>
      <c r="L739" s="696">
        <v>6</v>
      </c>
      <c r="M739" s="170"/>
    </row>
    <row r="740" spans="2:13" x14ac:dyDescent="0.2">
      <c r="B740" s="173"/>
      <c r="C740" s="694">
        <v>1</v>
      </c>
      <c r="D740" s="695" t="s">
        <v>3903</v>
      </c>
      <c r="E740" s="695">
        <v>1</v>
      </c>
      <c r="F740" s="695" t="s">
        <v>3904</v>
      </c>
      <c r="G740" s="695">
        <v>1</v>
      </c>
      <c r="H740" s="695" t="s">
        <v>3904</v>
      </c>
      <c r="I740" s="695">
        <v>741</v>
      </c>
      <c r="J740" s="695" t="s">
        <v>8571</v>
      </c>
      <c r="K740" s="695" t="s">
        <v>3907</v>
      </c>
      <c r="L740" s="696">
        <v>7</v>
      </c>
      <c r="M740" s="170"/>
    </row>
    <row r="741" spans="2:13" x14ac:dyDescent="0.2">
      <c r="B741" s="173"/>
      <c r="C741" s="694">
        <v>1</v>
      </c>
      <c r="D741" s="695" t="s">
        <v>3903</v>
      </c>
      <c r="E741" s="695">
        <v>1</v>
      </c>
      <c r="F741" s="695" t="s">
        <v>3904</v>
      </c>
      <c r="G741" s="695">
        <v>1</v>
      </c>
      <c r="H741" s="695" t="s">
        <v>3904</v>
      </c>
      <c r="I741" s="695">
        <v>742</v>
      </c>
      <c r="J741" s="695" t="s">
        <v>8572</v>
      </c>
      <c r="K741" s="695" t="s">
        <v>3907</v>
      </c>
      <c r="L741" s="696">
        <v>1</v>
      </c>
      <c r="M741" s="170"/>
    </row>
    <row r="742" spans="2:13" x14ac:dyDescent="0.2">
      <c r="B742" s="173"/>
      <c r="C742" s="694">
        <v>1</v>
      </c>
      <c r="D742" s="695" t="s">
        <v>3903</v>
      </c>
      <c r="E742" s="695">
        <v>1</v>
      </c>
      <c r="F742" s="695" t="s">
        <v>3904</v>
      </c>
      <c r="G742" s="695">
        <v>1</v>
      </c>
      <c r="H742" s="695" t="s">
        <v>3904</v>
      </c>
      <c r="I742" s="695">
        <v>743</v>
      </c>
      <c r="J742" s="695" t="s">
        <v>8573</v>
      </c>
      <c r="K742" s="695" t="s">
        <v>3907</v>
      </c>
      <c r="L742" s="696">
        <v>5</v>
      </c>
      <c r="M742" s="170"/>
    </row>
    <row r="743" spans="2:13" x14ac:dyDescent="0.2">
      <c r="B743" s="173"/>
      <c r="C743" s="694">
        <v>1</v>
      </c>
      <c r="D743" s="695" t="s">
        <v>3903</v>
      </c>
      <c r="E743" s="695">
        <v>1</v>
      </c>
      <c r="F743" s="695" t="s">
        <v>3904</v>
      </c>
      <c r="G743" s="695">
        <v>1</v>
      </c>
      <c r="H743" s="695" t="s">
        <v>3904</v>
      </c>
      <c r="I743" s="695">
        <v>744</v>
      </c>
      <c r="J743" s="695" t="s">
        <v>8574</v>
      </c>
      <c r="K743" s="695" t="s">
        <v>3907</v>
      </c>
      <c r="L743" s="696">
        <v>3</v>
      </c>
      <c r="M743" s="170"/>
    </row>
    <row r="744" spans="2:13" x14ac:dyDescent="0.2">
      <c r="B744" s="173"/>
      <c r="C744" s="694">
        <v>1</v>
      </c>
      <c r="D744" s="695" t="s">
        <v>3903</v>
      </c>
      <c r="E744" s="695">
        <v>1</v>
      </c>
      <c r="F744" s="695" t="s">
        <v>3904</v>
      </c>
      <c r="G744" s="695">
        <v>1</v>
      </c>
      <c r="H744" s="695" t="s">
        <v>3904</v>
      </c>
      <c r="I744" s="695">
        <v>745</v>
      </c>
      <c r="J744" s="695" t="s">
        <v>8575</v>
      </c>
      <c r="K744" s="695" t="s">
        <v>3907</v>
      </c>
      <c r="L744" s="696">
        <v>4</v>
      </c>
      <c r="M744" s="170"/>
    </row>
    <row r="745" spans="2:13" x14ac:dyDescent="0.2">
      <c r="B745" s="173"/>
      <c r="C745" s="694">
        <v>1</v>
      </c>
      <c r="D745" s="695" t="s">
        <v>3903</v>
      </c>
      <c r="E745" s="695">
        <v>1</v>
      </c>
      <c r="F745" s="695" t="s">
        <v>3904</v>
      </c>
      <c r="G745" s="695">
        <v>1</v>
      </c>
      <c r="H745" s="695" t="s">
        <v>3904</v>
      </c>
      <c r="I745" s="695">
        <v>746</v>
      </c>
      <c r="J745" s="695" t="s">
        <v>7471</v>
      </c>
      <c r="K745" s="695" t="s">
        <v>3907</v>
      </c>
      <c r="L745" s="696">
        <v>7</v>
      </c>
      <c r="M745" s="170"/>
    </row>
    <row r="746" spans="2:13" x14ac:dyDescent="0.2">
      <c r="B746" s="173"/>
      <c r="C746" s="694">
        <v>1</v>
      </c>
      <c r="D746" s="695" t="s">
        <v>3903</v>
      </c>
      <c r="E746" s="695">
        <v>1</v>
      </c>
      <c r="F746" s="695" t="s">
        <v>3904</v>
      </c>
      <c r="G746" s="695">
        <v>1</v>
      </c>
      <c r="H746" s="695" t="s">
        <v>3904</v>
      </c>
      <c r="I746" s="695">
        <v>747</v>
      </c>
      <c r="J746" s="695" t="s">
        <v>8576</v>
      </c>
      <c r="K746" s="695" t="s">
        <v>3907</v>
      </c>
      <c r="L746" s="696">
        <v>1</v>
      </c>
      <c r="M746" s="170"/>
    </row>
    <row r="747" spans="2:13" x14ac:dyDescent="0.2">
      <c r="B747" s="173"/>
      <c r="C747" s="694">
        <v>1</v>
      </c>
      <c r="D747" s="695" t="s">
        <v>3903</v>
      </c>
      <c r="E747" s="695">
        <v>1</v>
      </c>
      <c r="F747" s="695" t="s">
        <v>3904</v>
      </c>
      <c r="G747" s="695">
        <v>1</v>
      </c>
      <c r="H747" s="695" t="s">
        <v>3904</v>
      </c>
      <c r="I747" s="695">
        <v>748</v>
      </c>
      <c r="J747" s="695" t="s">
        <v>8577</v>
      </c>
      <c r="K747" s="695" t="s">
        <v>3907</v>
      </c>
      <c r="L747" s="696">
        <v>4</v>
      </c>
      <c r="M747" s="170"/>
    </row>
    <row r="748" spans="2:13" x14ac:dyDescent="0.2">
      <c r="B748" s="173"/>
      <c r="C748" s="694">
        <v>1</v>
      </c>
      <c r="D748" s="695" t="s">
        <v>3903</v>
      </c>
      <c r="E748" s="695">
        <v>1</v>
      </c>
      <c r="F748" s="695" t="s">
        <v>3904</v>
      </c>
      <c r="G748" s="695">
        <v>1</v>
      </c>
      <c r="H748" s="695" t="s">
        <v>3904</v>
      </c>
      <c r="I748" s="695">
        <v>749</v>
      </c>
      <c r="J748" s="695" t="s">
        <v>8578</v>
      </c>
      <c r="K748" s="695" t="s">
        <v>3907</v>
      </c>
      <c r="L748" s="696">
        <v>7</v>
      </c>
      <c r="M748" s="170"/>
    </row>
    <row r="749" spans="2:13" x14ac:dyDescent="0.2">
      <c r="B749" s="173"/>
      <c r="C749" s="694">
        <v>1</v>
      </c>
      <c r="D749" s="695" t="s">
        <v>3903</v>
      </c>
      <c r="E749" s="695">
        <v>1</v>
      </c>
      <c r="F749" s="695" t="s">
        <v>3904</v>
      </c>
      <c r="G749" s="695">
        <v>1</v>
      </c>
      <c r="H749" s="695" t="s">
        <v>3904</v>
      </c>
      <c r="I749" s="695">
        <v>750</v>
      </c>
      <c r="J749" s="695" t="s">
        <v>8579</v>
      </c>
      <c r="K749" s="695" t="s">
        <v>3907</v>
      </c>
      <c r="L749" s="696">
        <v>3</v>
      </c>
      <c r="M749" s="170"/>
    </row>
    <row r="750" spans="2:13" x14ac:dyDescent="0.2">
      <c r="B750" s="173"/>
      <c r="C750" s="694">
        <v>1</v>
      </c>
      <c r="D750" s="695" t="s">
        <v>3903</v>
      </c>
      <c r="E750" s="695">
        <v>1</v>
      </c>
      <c r="F750" s="695" t="s">
        <v>3904</v>
      </c>
      <c r="G750" s="695">
        <v>1</v>
      </c>
      <c r="H750" s="695" t="s">
        <v>3904</v>
      </c>
      <c r="I750" s="695">
        <v>751</v>
      </c>
      <c r="J750" s="695" t="s">
        <v>8580</v>
      </c>
      <c r="K750" s="695" t="s">
        <v>3907</v>
      </c>
      <c r="L750" s="696">
        <v>12</v>
      </c>
      <c r="M750" s="170"/>
    </row>
    <row r="751" spans="2:13" x14ac:dyDescent="0.2">
      <c r="B751" s="173"/>
      <c r="C751" s="694">
        <v>1</v>
      </c>
      <c r="D751" s="695" t="s">
        <v>3903</v>
      </c>
      <c r="E751" s="695">
        <v>1</v>
      </c>
      <c r="F751" s="695" t="s">
        <v>3904</v>
      </c>
      <c r="G751" s="695">
        <v>1</v>
      </c>
      <c r="H751" s="695" t="s">
        <v>3904</v>
      </c>
      <c r="I751" s="695">
        <v>752</v>
      </c>
      <c r="J751" s="695" t="s">
        <v>8581</v>
      </c>
      <c r="K751" s="695" t="s">
        <v>3907</v>
      </c>
      <c r="L751" s="696">
        <v>11</v>
      </c>
      <c r="M751" s="170"/>
    </row>
    <row r="752" spans="2:13" x14ac:dyDescent="0.2">
      <c r="B752" s="173"/>
      <c r="C752" s="694">
        <v>1</v>
      </c>
      <c r="D752" s="695" t="s">
        <v>3903</v>
      </c>
      <c r="E752" s="695">
        <v>1</v>
      </c>
      <c r="F752" s="695" t="s">
        <v>3904</v>
      </c>
      <c r="G752" s="695">
        <v>1</v>
      </c>
      <c r="H752" s="695" t="s">
        <v>3904</v>
      </c>
      <c r="I752" s="695">
        <v>753</v>
      </c>
      <c r="J752" s="695" t="s">
        <v>8582</v>
      </c>
      <c r="K752" s="695" t="s">
        <v>3907</v>
      </c>
      <c r="L752" s="696">
        <v>1</v>
      </c>
      <c r="M752" s="170"/>
    </row>
    <row r="753" spans="2:13" x14ac:dyDescent="0.2">
      <c r="B753" s="173"/>
      <c r="C753" s="694">
        <v>1</v>
      </c>
      <c r="D753" s="695" t="s">
        <v>3903</v>
      </c>
      <c r="E753" s="695">
        <v>1</v>
      </c>
      <c r="F753" s="695" t="s">
        <v>3904</v>
      </c>
      <c r="G753" s="695">
        <v>1</v>
      </c>
      <c r="H753" s="695" t="s">
        <v>3904</v>
      </c>
      <c r="I753" s="695">
        <v>754</v>
      </c>
      <c r="J753" s="695" t="s">
        <v>8583</v>
      </c>
      <c r="K753" s="695" t="s">
        <v>3907</v>
      </c>
      <c r="L753" s="696">
        <v>1</v>
      </c>
      <c r="M753" s="170"/>
    </row>
    <row r="754" spans="2:13" x14ac:dyDescent="0.2">
      <c r="B754" s="173"/>
      <c r="C754" s="694">
        <v>1</v>
      </c>
      <c r="D754" s="695" t="s">
        <v>3903</v>
      </c>
      <c r="E754" s="695">
        <v>1</v>
      </c>
      <c r="F754" s="695" t="s">
        <v>3904</v>
      </c>
      <c r="G754" s="695">
        <v>1</v>
      </c>
      <c r="H754" s="695" t="s">
        <v>3904</v>
      </c>
      <c r="I754" s="695">
        <v>755</v>
      </c>
      <c r="J754" s="695" t="s">
        <v>8584</v>
      </c>
      <c r="K754" s="695" t="s">
        <v>3907</v>
      </c>
      <c r="L754" s="696">
        <v>7</v>
      </c>
      <c r="M754" s="170"/>
    </row>
    <row r="755" spans="2:13" x14ac:dyDescent="0.2">
      <c r="B755" s="173"/>
      <c r="C755" s="694">
        <v>1</v>
      </c>
      <c r="D755" s="695" t="s">
        <v>3903</v>
      </c>
      <c r="E755" s="695">
        <v>1</v>
      </c>
      <c r="F755" s="695" t="s">
        <v>3904</v>
      </c>
      <c r="G755" s="695">
        <v>1</v>
      </c>
      <c r="H755" s="695" t="s">
        <v>3904</v>
      </c>
      <c r="I755" s="695">
        <v>756</v>
      </c>
      <c r="J755" s="695" t="s">
        <v>8585</v>
      </c>
      <c r="K755" s="695" t="s">
        <v>3907</v>
      </c>
      <c r="L755" s="696">
        <v>4</v>
      </c>
      <c r="M755" s="170"/>
    </row>
    <row r="756" spans="2:13" x14ac:dyDescent="0.2">
      <c r="B756" s="173"/>
      <c r="C756" s="694">
        <v>1</v>
      </c>
      <c r="D756" s="695" t="s">
        <v>3903</v>
      </c>
      <c r="E756" s="695">
        <v>1</v>
      </c>
      <c r="F756" s="695" t="s">
        <v>3904</v>
      </c>
      <c r="G756" s="695">
        <v>1</v>
      </c>
      <c r="H756" s="695" t="s">
        <v>3904</v>
      </c>
      <c r="I756" s="695">
        <v>757</v>
      </c>
      <c r="J756" s="695" t="s">
        <v>8586</v>
      </c>
      <c r="K756" s="695" t="s">
        <v>3907</v>
      </c>
      <c r="L756" s="696">
        <v>3</v>
      </c>
      <c r="M756" s="170"/>
    </row>
    <row r="757" spans="2:13" x14ac:dyDescent="0.2">
      <c r="B757" s="173"/>
      <c r="C757" s="694">
        <v>1</v>
      </c>
      <c r="D757" s="695" t="s">
        <v>3903</v>
      </c>
      <c r="E757" s="695">
        <v>1</v>
      </c>
      <c r="F757" s="695" t="s">
        <v>3904</v>
      </c>
      <c r="G757" s="695">
        <v>1</v>
      </c>
      <c r="H757" s="695" t="s">
        <v>3904</v>
      </c>
      <c r="I757" s="695">
        <v>758</v>
      </c>
      <c r="J757" s="695" t="s">
        <v>8587</v>
      </c>
      <c r="K757" s="695" t="s">
        <v>3907</v>
      </c>
      <c r="L757" s="696">
        <v>1</v>
      </c>
      <c r="M757" s="170"/>
    </row>
    <row r="758" spans="2:13" x14ac:dyDescent="0.2">
      <c r="B758" s="173"/>
      <c r="C758" s="694">
        <v>1</v>
      </c>
      <c r="D758" s="695" t="s">
        <v>3903</v>
      </c>
      <c r="E758" s="695">
        <v>1</v>
      </c>
      <c r="F758" s="695" t="s">
        <v>3904</v>
      </c>
      <c r="G758" s="695">
        <v>1</v>
      </c>
      <c r="H758" s="695" t="s">
        <v>3904</v>
      </c>
      <c r="I758" s="695">
        <v>759</v>
      </c>
      <c r="J758" s="695" t="s">
        <v>8588</v>
      </c>
      <c r="K758" s="695" t="s">
        <v>3907</v>
      </c>
      <c r="L758" s="696">
        <v>5</v>
      </c>
      <c r="M758" s="170"/>
    </row>
    <row r="759" spans="2:13" x14ac:dyDescent="0.2">
      <c r="B759" s="173"/>
      <c r="C759" s="694">
        <v>1</v>
      </c>
      <c r="D759" s="695" t="s">
        <v>3903</v>
      </c>
      <c r="E759" s="695">
        <v>1</v>
      </c>
      <c r="F759" s="695" t="s">
        <v>3904</v>
      </c>
      <c r="G759" s="695">
        <v>1</v>
      </c>
      <c r="H759" s="695" t="s">
        <v>3904</v>
      </c>
      <c r="I759" s="695">
        <v>760</v>
      </c>
      <c r="J759" s="695" t="s">
        <v>8589</v>
      </c>
      <c r="K759" s="695" t="s">
        <v>4009</v>
      </c>
      <c r="L759" s="696">
        <v>1</v>
      </c>
      <c r="M759" s="170"/>
    </row>
    <row r="760" spans="2:13" x14ac:dyDescent="0.2">
      <c r="B760" s="173"/>
      <c r="C760" s="694">
        <v>1</v>
      </c>
      <c r="D760" s="695" t="s">
        <v>3903</v>
      </c>
      <c r="E760" s="695">
        <v>1</v>
      </c>
      <c r="F760" s="695" t="s">
        <v>3904</v>
      </c>
      <c r="G760" s="695">
        <v>1</v>
      </c>
      <c r="H760" s="695" t="s">
        <v>3904</v>
      </c>
      <c r="I760" s="695">
        <v>761</v>
      </c>
      <c r="J760" s="695" t="s">
        <v>8590</v>
      </c>
      <c r="K760" s="695" t="s">
        <v>3907</v>
      </c>
      <c r="L760" s="696">
        <v>2</v>
      </c>
      <c r="M760" s="170"/>
    </row>
    <row r="761" spans="2:13" x14ac:dyDescent="0.2">
      <c r="B761" s="173"/>
      <c r="C761" s="694">
        <v>1</v>
      </c>
      <c r="D761" s="695" t="s">
        <v>3903</v>
      </c>
      <c r="E761" s="695">
        <v>1</v>
      </c>
      <c r="F761" s="695" t="s">
        <v>3904</v>
      </c>
      <c r="G761" s="695">
        <v>1</v>
      </c>
      <c r="H761" s="695" t="s">
        <v>3904</v>
      </c>
      <c r="I761" s="695">
        <v>762</v>
      </c>
      <c r="J761" s="695" t="s">
        <v>8591</v>
      </c>
      <c r="K761" s="695" t="s">
        <v>3907</v>
      </c>
      <c r="L761" s="696">
        <v>1</v>
      </c>
      <c r="M761" s="170"/>
    </row>
    <row r="762" spans="2:13" x14ac:dyDescent="0.2">
      <c r="B762" s="173"/>
      <c r="C762" s="694">
        <v>1</v>
      </c>
      <c r="D762" s="695" t="s">
        <v>3903</v>
      </c>
      <c r="E762" s="695">
        <v>1</v>
      </c>
      <c r="F762" s="695" t="s">
        <v>3904</v>
      </c>
      <c r="G762" s="695">
        <v>1</v>
      </c>
      <c r="H762" s="695" t="s">
        <v>3904</v>
      </c>
      <c r="I762" s="695">
        <v>763</v>
      </c>
      <c r="J762" s="695" t="s">
        <v>8592</v>
      </c>
      <c r="K762" s="695" t="s">
        <v>3907</v>
      </c>
      <c r="L762" s="696">
        <v>2</v>
      </c>
      <c r="M762" s="170"/>
    </row>
    <row r="763" spans="2:13" x14ac:dyDescent="0.2">
      <c r="B763" s="173"/>
      <c r="C763" s="694">
        <v>1</v>
      </c>
      <c r="D763" s="695" t="s">
        <v>3903</v>
      </c>
      <c r="E763" s="695">
        <v>1</v>
      </c>
      <c r="F763" s="695" t="s">
        <v>3904</v>
      </c>
      <c r="G763" s="695">
        <v>1</v>
      </c>
      <c r="H763" s="695" t="s">
        <v>3904</v>
      </c>
      <c r="I763" s="695">
        <v>764</v>
      </c>
      <c r="J763" s="695" t="s">
        <v>8593</v>
      </c>
      <c r="K763" s="695" t="s">
        <v>3907</v>
      </c>
      <c r="L763" s="696">
        <v>2</v>
      </c>
      <c r="M763" s="170"/>
    </row>
    <row r="764" spans="2:13" x14ac:dyDescent="0.2">
      <c r="B764" s="173"/>
      <c r="C764" s="694">
        <v>1</v>
      </c>
      <c r="D764" s="695" t="s">
        <v>3903</v>
      </c>
      <c r="E764" s="695">
        <v>1</v>
      </c>
      <c r="F764" s="695" t="s">
        <v>3904</v>
      </c>
      <c r="G764" s="695">
        <v>1</v>
      </c>
      <c r="H764" s="695" t="s">
        <v>3904</v>
      </c>
      <c r="I764" s="695">
        <v>765</v>
      </c>
      <c r="J764" s="695" t="s">
        <v>8594</v>
      </c>
      <c r="K764" s="695" t="s">
        <v>3907</v>
      </c>
      <c r="L764" s="696">
        <v>7</v>
      </c>
      <c r="M764" s="170"/>
    </row>
    <row r="765" spans="2:13" x14ac:dyDescent="0.2">
      <c r="B765" s="173"/>
      <c r="C765" s="694">
        <v>1</v>
      </c>
      <c r="D765" s="695" t="s">
        <v>3903</v>
      </c>
      <c r="E765" s="695">
        <v>1</v>
      </c>
      <c r="F765" s="695" t="s">
        <v>3904</v>
      </c>
      <c r="G765" s="695">
        <v>1</v>
      </c>
      <c r="H765" s="695" t="s">
        <v>3904</v>
      </c>
      <c r="I765" s="695">
        <v>766</v>
      </c>
      <c r="J765" s="695" t="s">
        <v>8595</v>
      </c>
      <c r="K765" s="695" t="s">
        <v>3907</v>
      </c>
      <c r="L765" s="696">
        <v>6</v>
      </c>
      <c r="M765" s="170"/>
    </row>
    <row r="766" spans="2:13" x14ac:dyDescent="0.2">
      <c r="B766" s="173"/>
      <c r="C766" s="694">
        <v>1</v>
      </c>
      <c r="D766" s="695" t="s">
        <v>3903</v>
      </c>
      <c r="E766" s="695">
        <v>1</v>
      </c>
      <c r="F766" s="695" t="s">
        <v>3904</v>
      </c>
      <c r="G766" s="695">
        <v>1</v>
      </c>
      <c r="H766" s="695" t="s">
        <v>3904</v>
      </c>
      <c r="I766" s="695">
        <v>767</v>
      </c>
      <c r="J766" s="695" t="s">
        <v>8596</v>
      </c>
      <c r="K766" s="695" t="s">
        <v>3907</v>
      </c>
      <c r="L766" s="696">
        <v>1</v>
      </c>
      <c r="M766" s="170"/>
    </row>
    <row r="767" spans="2:13" x14ac:dyDescent="0.2">
      <c r="B767" s="173"/>
      <c r="C767" s="694">
        <v>1</v>
      </c>
      <c r="D767" s="695" t="s">
        <v>3903</v>
      </c>
      <c r="E767" s="695">
        <v>1</v>
      </c>
      <c r="F767" s="695" t="s">
        <v>3904</v>
      </c>
      <c r="G767" s="695">
        <v>1</v>
      </c>
      <c r="H767" s="695" t="s">
        <v>3904</v>
      </c>
      <c r="I767" s="695">
        <v>768</v>
      </c>
      <c r="J767" s="695" t="s">
        <v>8597</v>
      </c>
      <c r="K767" s="695" t="s">
        <v>3907</v>
      </c>
      <c r="L767" s="696">
        <v>7</v>
      </c>
      <c r="M767" s="170"/>
    </row>
    <row r="768" spans="2:13" x14ac:dyDescent="0.2">
      <c r="B768" s="173"/>
      <c r="C768" s="694">
        <v>1</v>
      </c>
      <c r="D768" s="695" t="s">
        <v>3903</v>
      </c>
      <c r="E768" s="695">
        <v>1</v>
      </c>
      <c r="F768" s="695" t="s">
        <v>3904</v>
      </c>
      <c r="G768" s="695">
        <v>1</v>
      </c>
      <c r="H768" s="695" t="s">
        <v>3904</v>
      </c>
      <c r="I768" s="695">
        <v>769</v>
      </c>
      <c r="J768" s="695" t="s">
        <v>8598</v>
      </c>
      <c r="K768" s="695" t="s">
        <v>3907</v>
      </c>
      <c r="L768" s="696">
        <v>0</v>
      </c>
      <c r="M768" s="170"/>
    </row>
    <row r="769" spans="2:13" x14ac:dyDescent="0.2">
      <c r="B769" s="173"/>
      <c r="C769" s="694">
        <v>1</v>
      </c>
      <c r="D769" s="695" t="s">
        <v>3903</v>
      </c>
      <c r="E769" s="695">
        <v>1</v>
      </c>
      <c r="F769" s="695" t="s">
        <v>3904</v>
      </c>
      <c r="G769" s="695">
        <v>1</v>
      </c>
      <c r="H769" s="695" t="s">
        <v>3904</v>
      </c>
      <c r="I769" s="695">
        <v>770</v>
      </c>
      <c r="J769" s="695" t="s">
        <v>8599</v>
      </c>
      <c r="K769" s="695" t="s">
        <v>3907</v>
      </c>
      <c r="L769" s="696">
        <v>3</v>
      </c>
      <c r="M769" s="170"/>
    </row>
    <row r="770" spans="2:13" x14ac:dyDescent="0.2">
      <c r="B770" s="173"/>
      <c r="C770" s="694">
        <v>1</v>
      </c>
      <c r="D770" s="695" t="s">
        <v>3903</v>
      </c>
      <c r="E770" s="695">
        <v>1</v>
      </c>
      <c r="F770" s="695" t="s">
        <v>3904</v>
      </c>
      <c r="G770" s="695">
        <v>1</v>
      </c>
      <c r="H770" s="695" t="s">
        <v>3904</v>
      </c>
      <c r="I770" s="695">
        <v>771</v>
      </c>
      <c r="J770" s="695" t="s">
        <v>8600</v>
      </c>
      <c r="K770" s="695" t="s">
        <v>3907</v>
      </c>
      <c r="L770" s="696">
        <v>1</v>
      </c>
      <c r="M770" s="170"/>
    </row>
    <row r="771" spans="2:13" x14ac:dyDescent="0.2">
      <c r="B771" s="173"/>
      <c r="C771" s="694">
        <v>1</v>
      </c>
      <c r="D771" s="695" t="s">
        <v>3903</v>
      </c>
      <c r="E771" s="695">
        <v>1</v>
      </c>
      <c r="F771" s="695" t="s">
        <v>3904</v>
      </c>
      <c r="G771" s="695">
        <v>1</v>
      </c>
      <c r="H771" s="695" t="s">
        <v>3904</v>
      </c>
      <c r="I771" s="695">
        <v>772</v>
      </c>
      <c r="J771" s="695" t="s">
        <v>8601</v>
      </c>
      <c r="K771" s="695" t="s">
        <v>3907</v>
      </c>
      <c r="L771" s="696">
        <v>1</v>
      </c>
      <c r="M771" s="170"/>
    </row>
    <row r="772" spans="2:13" x14ac:dyDescent="0.2">
      <c r="B772" s="173"/>
      <c r="C772" s="694">
        <v>1</v>
      </c>
      <c r="D772" s="695" t="s">
        <v>3903</v>
      </c>
      <c r="E772" s="695">
        <v>1</v>
      </c>
      <c r="F772" s="695" t="s">
        <v>3904</v>
      </c>
      <c r="G772" s="695">
        <v>1</v>
      </c>
      <c r="H772" s="695" t="s">
        <v>3904</v>
      </c>
      <c r="I772" s="695">
        <v>773</v>
      </c>
      <c r="J772" s="695" t="s">
        <v>8602</v>
      </c>
      <c r="K772" s="695" t="s">
        <v>3907</v>
      </c>
      <c r="L772" s="696">
        <v>1</v>
      </c>
      <c r="M772" s="170"/>
    </row>
    <row r="773" spans="2:13" x14ac:dyDescent="0.2">
      <c r="B773" s="173"/>
      <c r="C773" s="694">
        <v>1</v>
      </c>
      <c r="D773" s="695" t="s">
        <v>3903</v>
      </c>
      <c r="E773" s="695">
        <v>1</v>
      </c>
      <c r="F773" s="695" t="s">
        <v>3904</v>
      </c>
      <c r="G773" s="695">
        <v>1</v>
      </c>
      <c r="H773" s="695" t="s">
        <v>3904</v>
      </c>
      <c r="I773" s="695">
        <v>774</v>
      </c>
      <c r="J773" s="695" t="s">
        <v>8603</v>
      </c>
      <c r="K773" s="695" t="s">
        <v>3907</v>
      </c>
      <c r="L773" s="696">
        <v>1</v>
      </c>
      <c r="M773" s="170"/>
    </row>
    <row r="774" spans="2:13" x14ac:dyDescent="0.2">
      <c r="B774" s="173"/>
      <c r="C774" s="694">
        <v>1</v>
      </c>
      <c r="D774" s="695" t="s">
        <v>3903</v>
      </c>
      <c r="E774" s="695">
        <v>1</v>
      </c>
      <c r="F774" s="695" t="s">
        <v>3904</v>
      </c>
      <c r="G774" s="695">
        <v>1</v>
      </c>
      <c r="H774" s="695" t="s">
        <v>3904</v>
      </c>
      <c r="I774" s="695">
        <v>775</v>
      </c>
      <c r="J774" s="695" t="s">
        <v>8604</v>
      </c>
      <c r="K774" s="695" t="s">
        <v>3907</v>
      </c>
      <c r="L774" s="696">
        <v>0</v>
      </c>
      <c r="M774" s="170"/>
    </row>
    <row r="775" spans="2:13" x14ac:dyDescent="0.2">
      <c r="B775" s="173"/>
      <c r="C775" s="694">
        <v>1</v>
      </c>
      <c r="D775" s="695" t="s">
        <v>3903</v>
      </c>
      <c r="E775" s="695">
        <v>1</v>
      </c>
      <c r="F775" s="695" t="s">
        <v>3904</v>
      </c>
      <c r="G775" s="695">
        <v>1</v>
      </c>
      <c r="H775" s="695" t="s">
        <v>3904</v>
      </c>
      <c r="I775" s="695">
        <v>776</v>
      </c>
      <c r="J775" s="695" t="s">
        <v>8605</v>
      </c>
      <c r="K775" s="695" t="s">
        <v>3907</v>
      </c>
      <c r="L775" s="696">
        <v>7</v>
      </c>
      <c r="M775" s="170"/>
    </row>
    <row r="776" spans="2:13" x14ac:dyDescent="0.2">
      <c r="B776" s="173"/>
      <c r="C776" s="694">
        <v>1</v>
      </c>
      <c r="D776" s="695" t="s">
        <v>3903</v>
      </c>
      <c r="E776" s="695">
        <v>1</v>
      </c>
      <c r="F776" s="695" t="s">
        <v>3904</v>
      </c>
      <c r="G776" s="695">
        <v>1</v>
      </c>
      <c r="H776" s="695" t="s">
        <v>3904</v>
      </c>
      <c r="I776" s="695">
        <v>777</v>
      </c>
      <c r="J776" s="695" t="s">
        <v>8553</v>
      </c>
      <c r="K776" s="695" t="s">
        <v>3907</v>
      </c>
      <c r="L776" s="696">
        <v>2</v>
      </c>
      <c r="M776" s="170"/>
    </row>
    <row r="777" spans="2:13" x14ac:dyDescent="0.2">
      <c r="B777" s="173"/>
      <c r="C777" s="694">
        <v>1</v>
      </c>
      <c r="D777" s="695" t="s">
        <v>3903</v>
      </c>
      <c r="E777" s="695">
        <v>1</v>
      </c>
      <c r="F777" s="695" t="s">
        <v>3904</v>
      </c>
      <c r="G777" s="695">
        <v>1</v>
      </c>
      <c r="H777" s="695" t="s">
        <v>3904</v>
      </c>
      <c r="I777" s="695">
        <v>778</v>
      </c>
      <c r="J777" s="695" t="s">
        <v>8606</v>
      </c>
      <c r="K777" s="695" t="s">
        <v>3907</v>
      </c>
      <c r="L777" s="696">
        <v>1</v>
      </c>
      <c r="M777" s="170"/>
    </row>
    <row r="778" spans="2:13" x14ac:dyDescent="0.2">
      <c r="B778" s="173"/>
      <c r="C778" s="694">
        <v>1</v>
      </c>
      <c r="D778" s="695" t="s">
        <v>3903</v>
      </c>
      <c r="E778" s="695">
        <v>1</v>
      </c>
      <c r="F778" s="695" t="s">
        <v>3904</v>
      </c>
      <c r="G778" s="695">
        <v>1</v>
      </c>
      <c r="H778" s="695" t="s">
        <v>3904</v>
      </c>
      <c r="I778" s="695">
        <v>779</v>
      </c>
      <c r="J778" s="695" t="s">
        <v>8607</v>
      </c>
      <c r="K778" s="695" t="s">
        <v>3907</v>
      </c>
      <c r="L778" s="696">
        <v>1</v>
      </c>
      <c r="M778" s="170"/>
    </row>
    <row r="779" spans="2:13" x14ac:dyDescent="0.2">
      <c r="B779" s="173"/>
      <c r="C779" s="694">
        <v>1</v>
      </c>
      <c r="D779" s="695" t="s">
        <v>3903</v>
      </c>
      <c r="E779" s="695">
        <v>1</v>
      </c>
      <c r="F779" s="695" t="s">
        <v>3904</v>
      </c>
      <c r="G779" s="695">
        <v>1</v>
      </c>
      <c r="H779" s="695" t="s">
        <v>3904</v>
      </c>
      <c r="I779" s="695">
        <v>780</v>
      </c>
      <c r="J779" s="695" t="s">
        <v>8605</v>
      </c>
      <c r="K779" s="695" t="s">
        <v>3907</v>
      </c>
      <c r="L779" s="696">
        <v>1</v>
      </c>
      <c r="M779" s="170"/>
    </row>
    <row r="780" spans="2:13" x14ac:dyDescent="0.2">
      <c r="B780" s="173"/>
      <c r="C780" s="694">
        <v>1</v>
      </c>
      <c r="D780" s="695" t="s">
        <v>3903</v>
      </c>
      <c r="E780" s="695">
        <v>1</v>
      </c>
      <c r="F780" s="695" t="s">
        <v>3904</v>
      </c>
      <c r="G780" s="695">
        <v>1</v>
      </c>
      <c r="H780" s="695" t="s">
        <v>3904</v>
      </c>
      <c r="I780" s="695">
        <v>781</v>
      </c>
      <c r="J780" s="695" t="s">
        <v>8608</v>
      </c>
      <c r="K780" s="695" t="s">
        <v>3907</v>
      </c>
      <c r="L780" s="696">
        <v>2</v>
      </c>
      <c r="M780" s="170"/>
    </row>
    <row r="781" spans="2:13" x14ac:dyDescent="0.2">
      <c r="B781" s="173"/>
      <c r="C781" s="694">
        <v>1</v>
      </c>
      <c r="D781" s="695" t="s">
        <v>3903</v>
      </c>
      <c r="E781" s="695">
        <v>1</v>
      </c>
      <c r="F781" s="695" t="s">
        <v>3904</v>
      </c>
      <c r="G781" s="695">
        <v>1</v>
      </c>
      <c r="H781" s="695" t="s">
        <v>3904</v>
      </c>
      <c r="I781" s="695">
        <v>782</v>
      </c>
      <c r="J781" s="695" t="s">
        <v>8608</v>
      </c>
      <c r="K781" s="695" t="s">
        <v>3907</v>
      </c>
      <c r="L781" s="696">
        <v>0</v>
      </c>
      <c r="M781" s="170"/>
    </row>
    <row r="782" spans="2:13" x14ac:dyDescent="0.2">
      <c r="B782" s="173"/>
      <c r="C782" s="694">
        <v>1</v>
      </c>
      <c r="D782" s="695" t="s">
        <v>3903</v>
      </c>
      <c r="E782" s="695">
        <v>1</v>
      </c>
      <c r="F782" s="695" t="s">
        <v>3904</v>
      </c>
      <c r="G782" s="695">
        <v>1</v>
      </c>
      <c r="H782" s="695" t="s">
        <v>3904</v>
      </c>
      <c r="I782" s="695">
        <v>783</v>
      </c>
      <c r="J782" s="695" t="s">
        <v>8609</v>
      </c>
      <c r="K782" s="695" t="s">
        <v>3907</v>
      </c>
      <c r="L782" s="696">
        <v>3</v>
      </c>
      <c r="M782" s="170"/>
    </row>
    <row r="783" spans="2:13" x14ac:dyDescent="0.2">
      <c r="B783" s="173"/>
      <c r="C783" s="694">
        <v>1</v>
      </c>
      <c r="D783" s="695" t="s">
        <v>3903</v>
      </c>
      <c r="E783" s="695">
        <v>1</v>
      </c>
      <c r="F783" s="695" t="s">
        <v>3904</v>
      </c>
      <c r="G783" s="695">
        <v>1</v>
      </c>
      <c r="H783" s="695" t="s">
        <v>3904</v>
      </c>
      <c r="I783" s="695">
        <v>784</v>
      </c>
      <c r="J783" s="695" t="s">
        <v>8610</v>
      </c>
      <c r="K783" s="695" t="s">
        <v>3907</v>
      </c>
      <c r="L783" s="696">
        <v>1</v>
      </c>
      <c r="M783" s="170"/>
    </row>
    <row r="784" spans="2:13" x14ac:dyDescent="0.2">
      <c r="B784" s="173"/>
      <c r="C784" s="694">
        <v>1</v>
      </c>
      <c r="D784" s="695" t="s">
        <v>3903</v>
      </c>
      <c r="E784" s="695">
        <v>1</v>
      </c>
      <c r="F784" s="695" t="s">
        <v>3904</v>
      </c>
      <c r="G784" s="695">
        <v>1</v>
      </c>
      <c r="H784" s="695" t="s">
        <v>3904</v>
      </c>
      <c r="I784" s="695">
        <v>785</v>
      </c>
      <c r="J784" s="695" t="s">
        <v>8611</v>
      </c>
      <c r="K784" s="695" t="s">
        <v>3907</v>
      </c>
      <c r="L784" s="696">
        <v>1</v>
      </c>
      <c r="M784" s="170"/>
    </row>
    <row r="785" spans="2:13" x14ac:dyDescent="0.2">
      <c r="B785" s="173"/>
      <c r="C785" s="694">
        <v>1</v>
      </c>
      <c r="D785" s="695" t="s">
        <v>3903</v>
      </c>
      <c r="E785" s="695">
        <v>1</v>
      </c>
      <c r="F785" s="695" t="s">
        <v>3904</v>
      </c>
      <c r="G785" s="695">
        <v>1</v>
      </c>
      <c r="H785" s="695" t="s">
        <v>3904</v>
      </c>
      <c r="I785" s="695">
        <v>786</v>
      </c>
      <c r="J785" s="695" t="s">
        <v>8612</v>
      </c>
      <c r="K785" s="695" t="s">
        <v>3907</v>
      </c>
      <c r="L785" s="696">
        <v>2</v>
      </c>
      <c r="M785" s="170"/>
    </row>
    <row r="786" spans="2:13" x14ac:dyDescent="0.2">
      <c r="B786" s="173"/>
      <c r="C786" s="694">
        <v>1</v>
      </c>
      <c r="D786" s="695" t="s">
        <v>3903</v>
      </c>
      <c r="E786" s="695">
        <v>1</v>
      </c>
      <c r="F786" s="695" t="s">
        <v>3904</v>
      </c>
      <c r="G786" s="695">
        <v>1</v>
      </c>
      <c r="H786" s="695" t="s">
        <v>3904</v>
      </c>
      <c r="I786" s="695">
        <v>787</v>
      </c>
      <c r="J786" s="695" t="s">
        <v>8613</v>
      </c>
      <c r="K786" s="695" t="s">
        <v>3907</v>
      </c>
      <c r="L786" s="696">
        <v>1</v>
      </c>
      <c r="M786" s="170"/>
    </row>
    <row r="787" spans="2:13" x14ac:dyDescent="0.2">
      <c r="B787" s="173"/>
      <c r="C787" s="694">
        <v>1</v>
      </c>
      <c r="D787" s="695" t="s">
        <v>3903</v>
      </c>
      <c r="E787" s="695">
        <v>1</v>
      </c>
      <c r="F787" s="695" t="s">
        <v>3904</v>
      </c>
      <c r="G787" s="695">
        <v>1</v>
      </c>
      <c r="H787" s="695" t="s">
        <v>3904</v>
      </c>
      <c r="I787" s="695">
        <v>788</v>
      </c>
      <c r="J787" s="695" t="s">
        <v>8614</v>
      </c>
      <c r="K787" s="695" t="s">
        <v>3907</v>
      </c>
      <c r="L787" s="696">
        <v>3</v>
      </c>
      <c r="M787" s="170"/>
    </row>
    <row r="788" spans="2:13" x14ac:dyDescent="0.2">
      <c r="B788" s="173"/>
      <c r="C788" s="694">
        <v>1</v>
      </c>
      <c r="D788" s="695" t="s">
        <v>3903</v>
      </c>
      <c r="E788" s="695">
        <v>1</v>
      </c>
      <c r="F788" s="695" t="s">
        <v>3904</v>
      </c>
      <c r="G788" s="695">
        <v>1</v>
      </c>
      <c r="H788" s="695" t="s">
        <v>3904</v>
      </c>
      <c r="I788" s="695">
        <v>789</v>
      </c>
      <c r="J788" s="695" t="s">
        <v>8615</v>
      </c>
      <c r="K788" s="695" t="s">
        <v>3907</v>
      </c>
      <c r="L788" s="696">
        <v>0</v>
      </c>
      <c r="M788" s="170"/>
    </row>
    <row r="789" spans="2:13" x14ac:dyDescent="0.2">
      <c r="B789" s="173"/>
      <c r="C789" s="694">
        <v>1</v>
      </c>
      <c r="D789" s="695" t="s">
        <v>3903</v>
      </c>
      <c r="E789" s="695">
        <v>1</v>
      </c>
      <c r="F789" s="695" t="s">
        <v>3904</v>
      </c>
      <c r="G789" s="695">
        <v>1</v>
      </c>
      <c r="H789" s="695" t="s">
        <v>3904</v>
      </c>
      <c r="I789" s="695">
        <v>790</v>
      </c>
      <c r="J789" s="695" t="s">
        <v>8616</v>
      </c>
      <c r="K789" s="695" t="s">
        <v>3907</v>
      </c>
      <c r="L789" s="696">
        <v>4</v>
      </c>
      <c r="M789" s="170"/>
    </row>
    <row r="790" spans="2:13" x14ac:dyDescent="0.2">
      <c r="B790" s="173"/>
      <c r="C790" s="694">
        <v>1</v>
      </c>
      <c r="D790" s="695" t="s">
        <v>3903</v>
      </c>
      <c r="E790" s="695">
        <v>1</v>
      </c>
      <c r="F790" s="695" t="s">
        <v>3904</v>
      </c>
      <c r="G790" s="695">
        <v>1</v>
      </c>
      <c r="H790" s="695" t="s">
        <v>3904</v>
      </c>
      <c r="I790" s="695">
        <v>791</v>
      </c>
      <c r="J790" s="695" t="s">
        <v>8617</v>
      </c>
      <c r="K790" s="695" t="s">
        <v>3907</v>
      </c>
      <c r="L790" s="696">
        <v>1</v>
      </c>
      <c r="M790" s="170"/>
    </row>
    <row r="791" spans="2:13" x14ac:dyDescent="0.2">
      <c r="B791" s="173"/>
      <c r="C791" s="694">
        <v>1</v>
      </c>
      <c r="D791" s="695" t="s">
        <v>3903</v>
      </c>
      <c r="E791" s="695">
        <v>1</v>
      </c>
      <c r="F791" s="695" t="s">
        <v>3904</v>
      </c>
      <c r="G791" s="695">
        <v>1</v>
      </c>
      <c r="H791" s="695" t="s">
        <v>3904</v>
      </c>
      <c r="I791" s="695">
        <v>792</v>
      </c>
      <c r="J791" s="695" t="s">
        <v>8618</v>
      </c>
      <c r="K791" s="695" t="s">
        <v>3907</v>
      </c>
      <c r="L791" s="696">
        <v>1</v>
      </c>
      <c r="M791" s="170"/>
    </row>
    <row r="792" spans="2:13" x14ac:dyDescent="0.2">
      <c r="B792" s="173"/>
      <c r="C792" s="694">
        <v>1</v>
      </c>
      <c r="D792" s="695" t="s">
        <v>3903</v>
      </c>
      <c r="E792" s="695">
        <v>1</v>
      </c>
      <c r="F792" s="695" t="s">
        <v>3904</v>
      </c>
      <c r="G792" s="695">
        <v>1</v>
      </c>
      <c r="H792" s="695" t="s">
        <v>3904</v>
      </c>
      <c r="I792" s="695">
        <v>793</v>
      </c>
      <c r="J792" s="695" t="s">
        <v>8619</v>
      </c>
      <c r="K792" s="695" t="s">
        <v>3907</v>
      </c>
      <c r="L792" s="696">
        <v>1</v>
      </c>
      <c r="M792" s="170"/>
    </row>
    <row r="793" spans="2:13" x14ac:dyDescent="0.2">
      <c r="B793" s="173"/>
      <c r="C793" s="694">
        <v>1</v>
      </c>
      <c r="D793" s="695" t="s">
        <v>3903</v>
      </c>
      <c r="E793" s="695">
        <v>1</v>
      </c>
      <c r="F793" s="695" t="s">
        <v>3904</v>
      </c>
      <c r="G793" s="695">
        <v>1</v>
      </c>
      <c r="H793" s="695" t="s">
        <v>3904</v>
      </c>
      <c r="I793" s="695">
        <v>794</v>
      </c>
      <c r="J793" s="695" t="s">
        <v>8620</v>
      </c>
      <c r="K793" s="695" t="s">
        <v>3907</v>
      </c>
      <c r="L793" s="696">
        <v>5</v>
      </c>
      <c r="M793" s="170"/>
    </row>
    <row r="794" spans="2:13" x14ac:dyDescent="0.2">
      <c r="B794" s="173"/>
      <c r="C794" s="694">
        <v>1</v>
      </c>
      <c r="D794" s="695" t="s">
        <v>3903</v>
      </c>
      <c r="E794" s="695">
        <v>1</v>
      </c>
      <c r="F794" s="695" t="s">
        <v>3904</v>
      </c>
      <c r="G794" s="695">
        <v>1</v>
      </c>
      <c r="H794" s="695" t="s">
        <v>3904</v>
      </c>
      <c r="I794" s="695">
        <v>795</v>
      </c>
      <c r="J794" s="695" t="s">
        <v>8621</v>
      </c>
      <c r="K794" s="695" t="s">
        <v>3907</v>
      </c>
      <c r="L794" s="696">
        <v>3</v>
      </c>
      <c r="M794" s="170"/>
    </row>
    <row r="795" spans="2:13" x14ac:dyDescent="0.2">
      <c r="B795" s="173"/>
      <c r="C795" s="694">
        <v>1</v>
      </c>
      <c r="D795" s="695" t="s">
        <v>3903</v>
      </c>
      <c r="E795" s="695">
        <v>1</v>
      </c>
      <c r="F795" s="695" t="s">
        <v>3904</v>
      </c>
      <c r="G795" s="695">
        <v>1</v>
      </c>
      <c r="H795" s="695" t="s">
        <v>3904</v>
      </c>
      <c r="I795" s="695">
        <v>796</v>
      </c>
      <c r="J795" s="695" t="s">
        <v>8622</v>
      </c>
      <c r="K795" s="695" t="s">
        <v>3907</v>
      </c>
      <c r="L795" s="696">
        <v>4</v>
      </c>
      <c r="M795" s="170"/>
    </row>
    <row r="796" spans="2:13" x14ac:dyDescent="0.2">
      <c r="B796" s="173"/>
      <c r="C796" s="694">
        <v>1</v>
      </c>
      <c r="D796" s="695" t="s">
        <v>3903</v>
      </c>
      <c r="E796" s="695">
        <v>1</v>
      </c>
      <c r="F796" s="695" t="s">
        <v>3904</v>
      </c>
      <c r="G796" s="695">
        <v>1</v>
      </c>
      <c r="H796" s="695" t="s">
        <v>3904</v>
      </c>
      <c r="I796" s="695">
        <v>797</v>
      </c>
      <c r="J796" s="695" t="s">
        <v>8623</v>
      </c>
      <c r="K796" s="695" t="s">
        <v>3907</v>
      </c>
      <c r="L796" s="696">
        <v>4</v>
      </c>
      <c r="M796" s="170"/>
    </row>
    <row r="797" spans="2:13" x14ac:dyDescent="0.2">
      <c r="B797" s="173"/>
      <c r="C797" s="694">
        <v>1</v>
      </c>
      <c r="D797" s="695" t="s">
        <v>3903</v>
      </c>
      <c r="E797" s="695">
        <v>1</v>
      </c>
      <c r="F797" s="695" t="s">
        <v>3904</v>
      </c>
      <c r="G797" s="695">
        <v>1</v>
      </c>
      <c r="H797" s="695" t="s">
        <v>3904</v>
      </c>
      <c r="I797" s="695">
        <v>798</v>
      </c>
      <c r="J797" s="695" t="s">
        <v>8624</v>
      </c>
      <c r="K797" s="695" t="s">
        <v>3907</v>
      </c>
      <c r="L797" s="696">
        <v>3</v>
      </c>
      <c r="M797" s="170"/>
    </row>
    <row r="798" spans="2:13" x14ac:dyDescent="0.2">
      <c r="B798" s="173"/>
      <c r="C798" s="694">
        <v>1</v>
      </c>
      <c r="D798" s="695" t="s">
        <v>3903</v>
      </c>
      <c r="E798" s="695">
        <v>1</v>
      </c>
      <c r="F798" s="695" t="s">
        <v>3904</v>
      </c>
      <c r="G798" s="695">
        <v>1</v>
      </c>
      <c r="H798" s="695" t="s">
        <v>3904</v>
      </c>
      <c r="I798" s="695">
        <v>799</v>
      </c>
      <c r="J798" s="695" t="s">
        <v>8625</v>
      </c>
      <c r="K798" s="695" t="s">
        <v>3907</v>
      </c>
      <c r="L798" s="696">
        <v>1</v>
      </c>
      <c r="M798" s="170"/>
    </row>
    <row r="799" spans="2:13" x14ac:dyDescent="0.2">
      <c r="B799" s="173"/>
      <c r="C799" s="694">
        <v>1</v>
      </c>
      <c r="D799" s="695" t="s">
        <v>3903</v>
      </c>
      <c r="E799" s="695">
        <v>1</v>
      </c>
      <c r="F799" s="695" t="s">
        <v>3904</v>
      </c>
      <c r="G799" s="695">
        <v>1</v>
      </c>
      <c r="H799" s="695" t="s">
        <v>3904</v>
      </c>
      <c r="I799" s="695">
        <v>800</v>
      </c>
      <c r="J799" s="695" t="s">
        <v>8626</v>
      </c>
      <c r="K799" s="695" t="s">
        <v>3907</v>
      </c>
      <c r="L799" s="696">
        <v>4</v>
      </c>
      <c r="M799" s="170"/>
    </row>
    <row r="800" spans="2:13" x14ac:dyDescent="0.2">
      <c r="B800" s="173"/>
      <c r="C800" s="694">
        <v>1</v>
      </c>
      <c r="D800" s="695" t="s">
        <v>3903</v>
      </c>
      <c r="E800" s="695">
        <v>1</v>
      </c>
      <c r="F800" s="695" t="s">
        <v>3904</v>
      </c>
      <c r="G800" s="695">
        <v>1</v>
      </c>
      <c r="H800" s="695" t="s">
        <v>3904</v>
      </c>
      <c r="I800" s="695">
        <v>801</v>
      </c>
      <c r="J800" s="695" t="s">
        <v>8627</v>
      </c>
      <c r="K800" s="695" t="s">
        <v>3907</v>
      </c>
      <c r="L800" s="696">
        <v>2</v>
      </c>
      <c r="M800" s="170"/>
    </row>
    <row r="801" spans="2:13" x14ac:dyDescent="0.2">
      <c r="B801" s="173"/>
      <c r="C801" s="694">
        <v>1</v>
      </c>
      <c r="D801" s="695" t="s">
        <v>3903</v>
      </c>
      <c r="E801" s="695">
        <v>1</v>
      </c>
      <c r="F801" s="695" t="s">
        <v>3904</v>
      </c>
      <c r="G801" s="695">
        <v>1</v>
      </c>
      <c r="H801" s="695" t="s">
        <v>3904</v>
      </c>
      <c r="I801" s="695">
        <v>802</v>
      </c>
      <c r="J801" s="695" t="s">
        <v>8628</v>
      </c>
      <c r="K801" s="695" t="s">
        <v>3907</v>
      </c>
      <c r="L801" s="696">
        <v>1</v>
      </c>
      <c r="M801" s="170"/>
    </row>
    <row r="802" spans="2:13" x14ac:dyDescent="0.2">
      <c r="B802" s="173"/>
      <c r="C802" s="694">
        <v>1</v>
      </c>
      <c r="D802" s="695" t="s">
        <v>3903</v>
      </c>
      <c r="E802" s="695">
        <v>1</v>
      </c>
      <c r="F802" s="695" t="s">
        <v>3904</v>
      </c>
      <c r="G802" s="695">
        <v>1</v>
      </c>
      <c r="H802" s="695" t="s">
        <v>3904</v>
      </c>
      <c r="I802" s="695">
        <v>803</v>
      </c>
      <c r="J802" s="695" t="s">
        <v>8629</v>
      </c>
      <c r="K802" s="695" t="s">
        <v>3907</v>
      </c>
      <c r="L802" s="696">
        <v>2</v>
      </c>
      <c r="M802" s="170"/>
    </row>
    <row r="803" spans="2:13" x14ac:dyDescent="0.2">
      <c r="B803" s="173"/>
      <c r="C803" s="694">
        <v>1</v>
      </c>
      <c r="D803" s="695" t="s">
        <v>3903</v>
      </c>
      <c r="E803" s="695">
        <v>1</v>
      </c>
      <c r="F803" s="695" t="s">
        <v>3904</v>
      </c>
      <c r="G803" s="695">
        <v>1</v>
      </c>
      <c r="H803" s="695" t="s">
        <v>3904</v>
      </c>
      <c r="I803" s="695">
        <v>804</v>
      </c>
      <c r="J803" s="695" t="s">
        <v>8630</v>
      </c>
      <c r="K803" s="695" t="s">
        <v>3907</v>
      </c>
      <c r="L803" s="696">
        <v>1</v>
      </c>
      <c r="M803" s="170"/>
    </row>
    <row r="804" spans="2:13" x14ac:dyDescent="0.2">
      <c r="B804" s="173"/>
      <c r="C804" s="694">
        <v>1</v>
      </c>
      <c r="D804" s="695" t="s">
        <v>3903</v>
      </c>
      <c r="E804" s="695">
        <v>1</v>
      </c>
      <c r="F804" s="695" t="s">
        <v>3904</v>
      </c>
      <c r="G804" s="695">
        <v>1</v>
      </c>
      <c r="H804" s="695" t="s">
        <v>3904</v>
      </c>
      <c r="I804" s="695">
        <v>805</v>
      </c>
      <c r="J804" s="695" t="s">
        <v>8631</v>
      </c>
      <c r="K804" s="695" t="s">
        <v>3907</v>
      </c>
      <c r="L804" s="696">
        <v>1</v>
      </c>
      <c r="M804" s="170"/>
    </row>
    <row r="805" spans="2:13" x14ac:dyDescent="0.2">
      <c r="B805" s="173"/>
      <c r="C805" s="694">
        <v>1</v>
      </c>
      <c r="D805" s="695" t="s">
        <v>3903</v>
      </c>
      <c r="E805" s="695">
        <v>1</v>
      </c>
      <c r="F805" s="695" t="s">
        <v>3904</v>
      </c>
      <c r="G805" s="695">
        <v>1</v>
      </c>
      <c r="H805" s="695" t="s">
        <v>3904</v>
      </c>
      <c r="I805" s="695">
        <v>806</v>
      </c>
      <c r="J805" s="695" t="s">
        <v>8632</v>
      </c>
      <c r="K805" s="695" t="s">
        <v>8544</v>
      </c>
      <c r="L805" s="696">
        <v>9</v>
      </c>
      <c r="M805" s="170"/>
    </row>
    <row r="806" spans="2:13" x14ac:dyDescent="0.2">
      <c r="B806" s="173"/>
      <c r="C806" s="694">
        <v>1</v>
      </c>
      <c r="D806" s="695" t="s">
        <v>3903</v>
      </c>
      <c r="E806" s="695">
        <v>1</v>
      </c>
      <c r="F806" s="695" t="s">
        <v>3904</v>
      </c>
      <c r="G806" s="695">
        <v>1</v>
      </c>
      <c r="H806" s="695" t="s">
        <v>3904</v>
      </c>
      <c r="I806" s="695">
        <v>807</v>
      </c>
      <c r="J806" s="695" t="s">
        <v>8633</v>
      </c>
      <c r="K806" s="695" t="s">
        <v>8544</v>
      </c>
      <c r="L806" s="696">
        <v>1</v>
      </c>
      <c r="M806" s="170"/>
    </row>
    <row r="807" spans="2:13" x14ac:dyDescent="0.2">
      <c r="B807" s="173"/>
      <c r="C807" s="694">
        <v>1</v>
      </c>
      <c r="D807" s="695" t="s">
        <v>3903</v>
      </c>
      <c r="E807" s="695">
        <v>1</v>
      </c>
      <c r="F807" s="695" t="s">
        <v>3904</v>
      </c>
      <c r="G807" s="695">
        <v>1</v>
      </c>
      <c r="H807" s="695" t="s">
        <v>3904</v>
      </c>
      <c r="I807" s="695">
        <v>808</v>
      </c>
      <c r="J807" s="695" t="s">
        <v>8634</v>
      </c>
      <c r="K807" s="695" t="s">
        <v>8544</v>
      </c>
      <c r="L807" s="696">
        <v>2</v>
      </c>
      <c r="M807" s="170"/>
    </row>
    <row r="808" spans="2:13" x14ac:dyDescent="0.2">
      <c r="B808" s="173"/>
      <c r="C808" s="694">
        <v>1</v>
      </c>
      <c r="D808" s="695" t="s">
        <v>3903</v>
      </c>
      <c r="E808" s="695">
        <v>1</v>
      </c>
      <c r="F808" s="695" t="s">
        <v>3904</v>
      </c>
      <c r="G808" s="695">
        <v>1</v>
      </c>
      <c r="H808" s="695" t="s">
        <v>3904</v>
      </c>
      <c r="I808" s="695">
        <v>809</v>
      </c>
      <c r="J808" s="695" t="s">
        <v>8635</v>
      </c>
      <c r="K808" s="695" t="s">
        <v>8544</v>
      </c>
      <c r="L808" s="696">
        <v>4</v>
      </c>
      <c r="M808" s="170"/>
    </row>
    <row r="809" spans="2:13" x14ac:dyDescent="0.2">
      <c r="B809" s="173"/>
      <c r="C809" s="694">
        <v>1</v>
      </c>
      <c r="D809" s="695" t="s">
        <v>3903</v>
      </c>
      <c r="E809" s="695">
        <v>1</v>
      </c>
      <c r="F809" s="695" t="s">
        <v>3904</v>
      </c>
      <c r="G809" s="695">
        <v>1</v>
      </c>
      <c r="H809" s="695" t="s">
        <v>3904</v>
      </c>
      <c r="I809" s="695">
        <v>810</v>
      </c>
      <c r="J809" s="695" t="s">
        <v>8636</v>
      </c>
      <c r="K809" s="695" t="s">
        <v>8544</v>
      </c>
      <c r="L809" s="696">
        <v>1</v>
      </c>
      <c r="M809" s="170"/>
    </row>
    <row r="810" spans="2:13" x14ac:dyDescent="0.2">
      <c r="B810" s="173"/>
      <c r="C810" s="694">
        <v>1</v>
      </c>
      <c r="D810" s="695" t="s">
        <v>3903</v>
      </c>
      <c r="E810" s="695">
        <v>1</v>
      </c>
      <c r="F810" s="695" t="s">
        <v>3904</v>
      </c>
      <c r="G810" s="695">
        <v>1</v>
      </c>
      <c r="H810" s="695" t="s">
        <v>3904</v>
      </c>
      <c r="I810" s="695">
        <v>811</v>
      </c>
      <c r="J810" s="695" t="s">
        <v>8637</v>
      </c>
      <c r="K810" s="695" t="s">
        <v>8544</v>
      </c>
      <c r="L810" s="696">
        <v>2</v>
      </c>
      <c r="M810" s="170"/>
    </row>
    <row r="811" spans="2:13" x14ac:dyDescent="0.2">
      <c r="B811" s="173"/>
      <c r="C811" s="694">
        <v>1</v>
      </c>
      <c r="D811" s="695" t="s">
        <v>3903</v>
      </c>
      <c r="E811" s="695">
        <v>1</v>
      </c>
      <c r="F811" s="695" t="s">
        <v>3904</v>
      </c>
      <c r="G811" s="695">
        <v>1</v>
      </c>
      <c r="H811" s="695" t="s">
        <v>3904</v>
      </c>
      <c r="I811" s="695">
        <v>812</v>
      </c>
      <c r="J811" s="695" t="s">
        <v>8638</v>
      </c>
      <c r="K811" s="695" t="s">
        <v>8544</v>
      </c>
      <c r="L811" s="696">
        <v>2</v>
      </c>
      <c r="M811" s="170"/>
    </row>
    <row r="812" spans="2:13" x14ac:dyDescent="0.2">
      <c r="B812" s="173"/>
      <c r="C812" s="694">
        <v>1</v>
      </c>
      <c r="D812" s="695" t="s">
        <v>3903</v>
      </c>
      <c r="E812" s="695">
        <v>1</v>
      </c>
      <c r="F812" s="695" t="s">
        <v>3904</v>
      </c>
      <c r="G812" s="695">
        <v>1</v>
      </c>
      <c r="H812" s="695" t="s">
        <v>3904</v>
      </c>
      <c r="I812" s="695">
        <v>813</v>
      </c>
      <c r="J812" s="695" t="s">
        <v>8639</v>
      </c>
      <c r="K812" s="695" t="s">
        <v>8544</v>
      </c>
      <c r="L812" s="696">
        <v>1</v>
      </c>
      <c r="M812" s="170"/>
    </row>
    <row r="813" spans="2:13" x14ac:dyDescent="0.2">
      <c r="B813" s="173"/>
      <c r="C813" s="694">
        <v>1</v>
      </c>
      <c r="D813" s="695" t="s">
        <v>3903</v>
      </c>
      <c r="E813" s="695">
        <v>1</v>
      </c>
      <c r="F813" s="695" t="s">
        <v>3904</v>
      </c>
      <c r="G813" s="695">
        <v>1</v>
      </c>
      <c r="H813" s="695" t="s">
        <v>3904</v>
      </c>
      <c r="I813" s="695">
        <v>814</v>
      </c>
      <c r="J813" s="695" t="s">
        <v>8640</v>
      </c>
      <c r="K813" s="695" t="s">
        <v>8544</v>
      </c>
      <c r="L813" s="696">
        <v>1</v>
      </c>
      <c r="M813" s="170"/>
    </row>
    <row r="814" spans="2:13" x14ac:dyDescent="0.2">
      <c r="B814" s="173"/>
      <c r="C814" s="694">
        <v>1</v>
      </c>
      <c r="D814" s="695" t="s">
        <v>3903</v>
      </c>
      <c r="E814" s="695">
        <v>1</v>
      </c>
      <c r="F814" s="695" t="s">
        <v>3904</v>
      </c>
      <c r="G814" s="695">
        <v>1</v>
      </c>
      <c r="H814" s="695" t="s">
        <v>3904</v>
      </c>
      <c r="I814" s="695">
        <v>815</v>
      </c>
      <c r="J814" s="695" t="s">
        <v>8641</v>
      </c>
      <c r="K814" s="695" t="s">
        <v>8544</v>
      </c>
      <c r="L814" s="696">
        <v>2</v>
      </c>
      <c r="M814" s="170"/>
    </row>
    <row r="815" spans="2:13" x14ac:dyDescent="0.2">
      <c r="B815" s="173"/>
      <c r="C815" s="694">
        <v>1</v>
      </c>
      <c r="D815" s="695" t="s">
        <v>3903</v>
      </c>
      <c r="E815" s="695">
        <v>1</v>
      </c>
      <c r="F815" s="695" t="s">
        <v>3904</v>
      </c>
      <c r="G815" s="695">
        <v>1</v>
      </c>
      <c r="H815" s="695" t="s">
        <v>3904</v>
      </c>
      <c r="I815" s="695">
        <v>816</v>
      </c>
      <c r="J815" s="695" t="s">
        <v>8642</v>
      </c>
      <c r="K815" s="695" t="s">
        <v>8544</v>
      </c>
      <c r="L815" s="696">
        <v>2</v>
      </c>
      <c r="M815" s="170"/>
    </row>
    <row r="816" spans="2:13" x14ac:dyDescent="0.2">
      <c r="B816" s="173"/>
      <c r="C816" s="694">
        <v>1</v>
      </c>
      <c r="D816" s="695" t="s">
        <v>3903</v>
      </c>
      <c r="E816" s="695">
        <v>1</v>
      </c>
      <c r="F816" s="695" t="s">
        <v>3904</v>
      </c>
      <c r="G816" s="695">
        <v>1</v>
      </c>
      <c r="H816" s="695" t="s">
        <v>3904</v>
      </c>
      <c r="I816" s="695">
        <v>817</v>
      </c>
      <c r="J816" s="695" t="s">
        <v>8643</v>
      </c>
      <c r="K816" s="695" t="s">
        <v>8544</v>
      </c>
      <c r="L816" s="696">
        <v>1</v>
      </c>
      <c r="M816" s="170"/>
    </row>
    <row r="817" spans="2:13" x14ac:dyDescent="0.2">
      <c r="B817" s="173"/>
      <c r="C817" s="694">
        <v>1</v>
      </c>
      <c r="D817" s="695" t="s">
        <v>3903</v>
      </c>
      <c r="E817" s="695">
        <v>1</v>
      </c>
      <c r="F817" s="695" t="s">
        <v>3904</v>
      </c>
      <c r="G817" s="695">
        <v>1</v>
      </c>
      <c r="H817" s="695" t="s">
        <v>3904</v>
      </c>
      <c r="I817" s="695">
        <v>818</v>
      </c>
      <c r="J817" s="695" t="s">
        <v>8644</v>
      </c>
      <c r="K817" s="695" t="s">
        <v>8544</v>
      </c>
      <c r="L817" s="696">
        <v>1</v>
      </c>
      <c r="M817" s="170"/>
    </row>
    <row r="818" spans="2:13" x14ac:dyDescent="0.2">
      <c r="B818" s="173"/>
      <c r="C818" s="694">
        <v>1</v>
      </c>
      <c r="D818" s="695" t="s">
        <v>3903</v>
      </c>
      <c r="E818" s="695">
        <v>1</v>
      </c>
      <c r="F818" s="695" t="s">
        <v>3904</v>
      </c>
      <c r="G818" s="695">
        <v>1</v>
      </c>
      <c r="H818" s="695" t="s">
        <v>3904</v>
      </c>
      <c r="I818" s="695">
        <v>819</v>
      </c>
      <c r="J818" s="695" t="s">
        <v>8645</v>
      </c>
      <c r="K818" s="695" t="s">
        <v>8544</v>
      </c>
      <c r="L818" s="696">
        <v>0</v>
      </c>
      <c r="M818" s="170"/>
    </row>
    <row r="819" spans="2:13" x14ac:dyDescent="0.2">
      <c r="B819" s="173"/>
      <c r="C819" s="694">
        <v>1</v>
      </c>
      <c r="D819" s="695" t="s">
        <v>3903</v>
      </c>
      <c r="E819" s="695">
        <v>1</v>
      </c>
      <c r="F819" s="695" t="s">
        <v>3904</v>
      </c>
      <c r="G819" s="695">
        <v>1</v>
      </c>
      <c r="H819" s="695" t="s">
        <v>3904</v>
      </c>
      <c r="I819" s="695">
        <v>820</v>
      </c>
      <c r="J819" s="695" t="s">
        <v>8646</v>
      </c>
      <c r="K819" s="695" t="s">
        <v>8544</v>
      </c>
      <c r="L819" s="696">
        <v>1</v>
      </c>
      <c r="M819" s="170"/>
    </row>
    <row r="820" spans="2:13" x14ac:dyDescent="0.2">
      <c r="B820" s="173"/>
      <c r="C820" s="694">
        <v>1</v>
      </c>
      <c r="D820" s="695" t="s">
        <v>3903</v>
      </c>
      <c r="E820" s="695">
        <v>1</v>
      </c>
      <c r="F820" s="695" t="s">
        <v>3904</v>
      </c>
      <c r="G820" s="695">
        <v>1</v>
      </c>
      <c r="H820" s="695" t="s">
        <v>3904</v>
      </c>
      <c r="I820" s="695">
        <v>821</v>
      </c>
      <c r="J820" s="695" t="s">
        <v>8647</v>
      </c>
      <c r="K820" s="695" t="s">
        <v>3907</v>
      </c>
      <c r="L820" s="696">
        <v>11</v>
      </c>
      <c r="M820" s="170"/>
    </row>
    <row r="821" spans="2:13" x14ac:dyDescent="0.2">
      <c r="B821" s="173"/>
      <c r="C821" s="694">
        <v>1</v>
      </c>
      <c r="D821" s="695" t="s">
        <v>3903</v>
      </c>
      <c r="E821" s="695">
        <v>1</v>
      </c>
      <c r="F821" s="695" t="s">
        <v>3904</v>
      </c>
      <c r="G821" s="695">
        <v>1</v>
      </c>
      <c r="H821" s="695" t="s">
        <v>3904</v>
      </c>
      <c r="I821" s="695">
        <v>822</v>
      </c>
      <c r="J821" s="695" t="s">
        <v>8648</v>
      </c>
      <c r="K821" s="695" t="s">
        <v>8544</v>
      </c>
      <c r="L821" s="696">
        <v>0</v>
      </c>
      <c r="M821" s="170"/>
    </row>
    <row r="822" spans="2:13" x14ac:dyDescent="0.2">
      <c r="B822" s="173"/>
      <c r="C822" s="694">
        <v>1</v>
      </c>
      <c r="D822" s="695" t="s">
        <v>3903</v>
      </c>
      <c r="E822" s="695">
        <v>1</v>
      </c>
      <c r="F822" s="695" t="s">
        <v>3904</v>
      </c>
      <c r="G822" s="695">
        <v>1</v>
      </c>
      <c r="H822" s="695" t="s">
        <v>3904</v>
      </c>
      <c r="I822" s="695">
        <v>823</v>
      </c>
      <c r="J822" s="695" t="s">
        <v>8649</v>
      </c>
      <c r="K822" s="695" t="s">
        <v>8544</v>
      </c>
      <c r="L822" s="696">
        <v>4</v>
      </c>
      <c r="M822" s="170"/>
    </row>
    <row r="823" spans="2:13" x14ac:dyDescent="0.2">
      <c r="B823" s="173"/>
      <c r="C823" s="694">
        <v>1</v>
      </c>
      <c r="D823" s="695" t="s">
        <v>3903</v>
      </c>
      <c r="E823" s="695">
        <v>1</v>
      </c>
      <c r="F823" s="695" t="s">
        <v>3904</v>
      </c>
      <c r="G823" s="695">
        <v>1</v>
      </c>
      <c r="H823" s="695" t="s">
        <v>3904</v>
      </c>
      <c r="I823" s="695">
        <v>824</v>
      </c>
      <c r="J823" s="695" t="s">
        <v>8650</v>
      </c>
      <c r="K823" s="695" t="s">
        <v>8544</v>
      </c>
      <c r="L823" s="696">
        <v>2</v>
      </c>
      <c r="M823" s="170"/>
    </row>
    <row r="824" spans="2:13" x14ac:dyDescent="0.2">
      <c r="B824" s="173"/>
      <c r="C824" s="694">
        <v>1</v>
      </c>
      <c r="D824" s="695" t="s">
        <v>3903</v>
      </c>
      <c r="E824" s="695">
        <v>1</v>
      </c>
      <c r="F824" s="695" t="s">
        <v>3904</v>
      </c>
      <c r="G824" s="695">
        <v>1</v>
      </c>
      <c r="H824" s="695" t="s">
        <v>3904</v>
      </c>
      <c r="I824" s="695">
        <v>825</v>
      </c>
      <c r="J824" s="695" t="s">
        <v>8651</v>
      </c>
      <c r="K824" s="695" t="s">
        <v>8544</v>
      </c>
      <c r="L824" s="696">
        <v>1</v>
      </c>
      <c r="M824" s="170"/>
    </row>
    <row r="825" spans="2:13" x14ac:dyDescent="0.2">
      <c r="B825" s="173"/>
      <c r="C825" s="694">
        <v>1</v>
      </c>
      <c r="D825" s="695" t="s">
        <v>3903</v>
      </c>
      <c r="E825" s="695">
        <v>1</v>
      </c>
      <c r="F825" s="695" t="s">
        <v>3904</v>
      </c>
      <c r="G825" s="695">
        <v>1</v>
      </c>
      <c r="H825" s="695" t="s">
        <v>3904</v>
      </c>
      <c r="I825" s="695">
        <v>826</v>
      </c>
      <c r="J825" s="695" t="s">
        <v>8652</v>
      </c>
      <c r="K825" s="695" t="s">
        <v>8544</v>
      </c>
      <c r="L825" s="696">
        <v>1</v>
      </c>
      <c r="M825" s="170"/>
    </row>
    <row r="826" spans="2:13" x14ac:dyDescent="0.2">
      <c r="B826" s="173"/>
      <c r="C826" s="694">
        <v>1</v>
      </c>
      <c r="D826" s="695" t="s">
        <v>3903</v>
      </c>
      <c r="E826" s="695">
        <v>1</v>
      </c>
      <c r="F826" s="695" t="s">
        <v>3904</v>
      </c>
      <c r="G826" s="695">
        <v>1</v>
      </c>
      <c r="H826" s="695" t="s">
        <v>3904</v>
      </c>
      <c r="I826" s="695">
        <v>827</v>
      </c>
      <c r="J826" s="695" t="s">
        <v>8653</v>
      </c>
      <c r="K826" s="695" t="s">
        <v>8544</v>
      </c>
      <c r="L826" s="696">
        <v>4</v>
      </c>
      <c r="M826" s="170"/>
    </row>
    <row r="827" spans="2:13" x14ac:dyDescent="0.2">
      <c r="B827" s="173"/>
      <c r="C827" s="694">
        <v>1</v>
      </c>
      <c r="D827" s="695" t="s">
        <v>3903</v>
      </c>
      <c r="E827" s="695">
        <v>1</v>
      </c>
      <c r="F827" s="695" t="s">
        <v>3904</v>
      </c>
      <c r="G827" s="695">
        <v>1</v>
      </c>
      <c r="H827" s="695" t="s">
        <v>3904</v>
      </c>
      <c r="I827" s="695">
        <v>828</v>
      </c>
      <c r="J827" s="695" t="s">
        <v>8654</v>
      </c>
      <c r="K827" s="695" t="s">
        <v>8544</v>
      </c>
      <c r="L827" s="696">
        <v>1</v>
      </c>
      <c r="M827" s="170"/>
    </row>
    <row r="828" spans="2:13" x14ac:dyDescent="0.2">
      <c r="B828" s="173"/>
      <c r="C828" s="694">
        <v>1</v>
      </c>
      <c r="D828" s="695" t="s">
        <v>3903</v>
      </c>
      <c r="E828" s="695">
        <v>1</v>
      </c>
      <c r="F828" s="695" t="s">
        <v>3904</v>
      </c>
      <c r="G828" s="695">
        <v>1</v>
      </c>
      <c r="H828" s="695" t="s">
        <v>3904</v>
      </c>
      <c r="I828" s="695">
        <v>829</v>
      </c>
      <c r="J828" s="695" t="s">
        <v>8655</v>
      </c>
      <c r="K828" s="695" t="s">
        <v>8544</v>
      </c>
      <c r="L828" s="696">
        <v>3</v>
      </c>
      <c r="M828" s="170"/>
    </row>
    <row r="829" spans="2:13" x14ac:dyDescent="0.2">
      <c r="B829" s="173"/>
      <c r="C829" s="694">
        <v>1</v>
      </c>
      <c r="D829" s="695" t="s">
        <v>3903</v>
      </c>
      <c r="E829" s="695">
        <v>1</v>
      </c>
      <c r="F829" s="695" t="s">
        <v>3904</v>
      </c>
      <c r="G829" s="695">
        <v>1</v>
      </c>
      <c r="H829" s="695" t="s">
        <v>3904</v>
      </c>
      <c r="I829" s="695">
        <v>830</v>
      </c>
      <c r="J829" s="695" t="s">
        <v>8656</v>
      </c>
      <c r="K829" s="695" t="s">
        <v>8544</v>
      </c>
      <c r="L829" s="696">
        <v>2</v>
      </c>
      <c r="M829" s="170"/>
    </row>
    <row r="830" spans="2:13" x14ac:dyDescent="0.2">
      <c r="B830" s="173"/>
      <c r="C830" s="694">
        <v>1</v>
      </c>
      <c r="D830" s="695" t="s">
        <v>3903</v>
      </c>
      <c r="E830" s="695">
        <v>1</v>
      </c>
      <c r="F830" s="695" t="s">
        <v>3904</v>
      </c>
      <c r="G830" s="695">
        <v>1</v>
      </c>
      <c r="H830" s="695" t="s">
        <v>3904</v>
      </c>
      <c r="I830" s="695">
        <v>831</v>
      </c>
      <c r="J830" s="695" t="s">
        <v>8568</v>
      </c>
      <c r="K830" s="695" t="s">
        <v>8544</v>
      </c>
      <c r="L830" s="696">
        <v>2</v>
      </c>
      <c r="M830" s="170"/>
    </row>
    <row r="831" spans="2:13" x14ac:dyDescent="0.2">
      <c r="B831" s="173"/>
      <c r="C831" s="694">
        <v>1</v>
      </c>
      <c r="D831" s="695" t="s">
        <v>3903</v>
      </c>
      <c r="E831" s="695">
        <v>1</v>
      </c>
      <c r="F831" s="695" t="s">
        <v>3904</v>
      </c>
      <c r="G831" s="695">
        <v>1</v>
      </c>
      <c r="H831" s="695" t="s">
        <v>3904</v>
      </c>
      <c r="I831" s="695">
        <v>832</v>
      </c>
      <c r="J831" s="695" t="s">
        <v>8657</v>
      </c>
      <c r="K831" s="695" t="s">
        <v>8544</v>
      </c>
      <c r="L831" s="696">
        <v>4</v>
      </c>
      <c r="M831" s="170"/>
    </row>
    <row r="832" spans="2:13" x14ac:dyDescent="0.2">
      <c r="B832" s="173"/>
      <c r="C832" s="694">
        <v>1</v>
      </c>
      <c r="D832" s="695" t="s">
        <v>3903</v>
      </c>
      <c r="E832" s="695">
        <v>1</v>
      </c>
      <c r="F832" s="695" t="s">
        <v>3904</v>
      </c>
      <c r="G832" s="695">
        <v>1</v>
      </c>
      <c r="H832" s="695" t="s">
        <v>3904</v>
      </c>
      <c r="I832" s="695">
        <v>833</v>
      </c>
      <c r="J832" s="695" t="s">
        <v>8658</v>
      </c>
      <c r="K832" s="695" t="s">
        <v>8544</v>
      </c>
      <c r="L832" s="696">
        <v>4</v>
      </c>
      <c r="M832" s="170"/>
    </row>
    <row r="833" spans="2:13" x14ac:dyDescent="0.2">
      <c r="B833" s="173"/>
      <c r="C833" s="694">
        <v>1</v>
      </c>
      <c r="D833" s="695" t="s">
        <v>3903</v>
      </c>
      <c r="E833" s="695">
        <v>1</v>
      </c>
      <c r="F833" s="695" t="s">
        <v>3904</v>
      </c>
      <c r="G833" s="695">
        <v>1</v>
      </c>
      <c r="H833" s="695" t="s">
        <v>3904</v>
      </c>
      <c r="I833" s="695">
        <v>834</v>
      </c>
      <c r="J833" s="695" t="s">
        <v>8659</v>
      </c>
      <c r="K833" s="695" t="s">
        <v>8544</v>
      </c>
      <c r="L833" s="696">
        <v>2</v>
      </c>
      <c r="M833" s="170"/>
    </row>
    <row r="834" spans="2:13" x14ac:dyDescent="0.2">
      <c r="B834" s="173"/>
      <c r="C834" s="694">
        <v>1</v>
      </c>
      <c r="D834" s="695" t="s">
        <v>3903</v>
      </c>
      <c r="E834" s="695">
        <v>1</v>
      </c>
      <c r="F834" s="695" t="s">
        <v>3904</v>
      </c>
      <c r="G834" s="695">
        <v>1</v>
      </c>
      <c r="H834" s="695" t="s">
        <v>3904</v>
      </c>
      <c r="I834" s="695">
        <v>835</v>
      </c>
      <c r="J834" s="695" t="s">
        <v>8660</v>
      </c>
      <c r="K834" s="695" t="s">
        <v>8544</v>
      </c>
      <c r="L834" s="696">
        <v>2</v>
      </c>
      <c r="M834" s="170"/>
    </row>
    <row r="835" spans="2:13" x14ac:dyDescent="0.2">
      <c r="B835" s="173"/>
      <c r="C835" s="694">
        <v>1</v>
      </c>
      <c r="D835" s="695" t="s">
        <v>3903</v>
      </c>
      <c r="E835" s="695">
        <v>1</v>
      </c>
      <c r="F835" s="695" t="s">
        <v>3904</v>
      </c>
      <c r="G835" s="695">
        <v>1</v>
      </c>
      <c r="H835" s="695" t="s">
        <v>3904</v>
      </c>
      <c r="I835" s="695">
        <v>836</v>
      </c>
      <c r="J835" s="695" t="s">
        <v>8661</v>
      </c>
      <c r="K835" s="695" t="s">
        <v>8544</v>
      </c>
      <c r="L835" s="696">
        <v>2</v>
      </c>
      <c r="M835" s="170"/>
    </row>
    <row r="836" spans="2:13" x14ac:dyDescent="0.2">
      <c r="B836" s="173"/>
      <c r="C836" s="694">
        <v>1</v>
      </c>
      <c r="D836" s="695" t="s">
        <v>3903</v>
      </c>
      <c r="E836" s="695">
        <v>1</v>
      </c>
      <c r="F836" s="695" t="s">
        <v>3904</v>
      </c>
      <c r="G836" s="695">
        <v>1</v>
      </c>
      <c r="H836" s="695" t="s">
        <v>3904</v>
      </c>
      <c r="I836" s="695">
        <v>837</v>
      </c>
      <c r="J836" s="695" t="s">
        <v>8662</v>
      </c>
      <c r="K836" s="695" t="s">
        <v>8544</v>
      </c>
      <c r="L836" s="696">
        <v>1</v>
      </c>
      <c r="M836" s="170"/>
    </row>
    <row r="837" spans="2:13" x14ac:dyDescent="0.2">
      <c r="B837" s="173"/>
      <c r="C837" s="694">
        <v>1</v>
      </c>
      <c r="D837" s="695" t="s">
        <v>3903</v>
      </c>
      <c r="E837" s="695">
        <v>1</v>
      </c>
      <c r="F837" s="695" t="s">
        <v>3904</v>
      </c>
      <c r="G837" s="695">
        <v>1</v>
      </c>
      <c r="H837" s="695" t="s">
        <v>3904</v>
      </c>
      <c r="I837" s="695">
        <v>838</v>
      </c>
      <c r="J837" s="695" t="s">
        <v>8663</v>
      </c>
      <c r="K837" s="695" t="s">
        <v>8544</v>
      </c>
      <c r="L837" s="696">
        <v>1</v>
      </c>
      <c r="M837" s="170"/>
    </row>
    <row r="838" spans="2:13" x14ac:dyDescent="0.2">
      <c r="B838" s="173"/>
      <c r="C838" s="694">
        <v>1</v>
      </c>
      <c r="D838" s="695" t="s">
        <v>3903</v>
      </c>
      <c r="E838" s="695">
        <v>1</v>
      </c>
      <c r="F838" s="695" t="s">
        <v>3904</v>
      </c>
      <c r="G838" s="695">
        <v>1</v>
      </c>
      <c r="H838" s="695" t="s">
        <v>3904</v>
      </c>
      <c r="I838" s="695">
        <v>839</v>
      </c>
      <c r="J838" s="695" t="s">
        <v>8664</v>
      </c>
      <c r="K838" s="695" t="s">
        <v>8544</v>
      </c>
      <c r="L838" s="696">
        <v>1</v>
      </c>
      <c r="M838" s="170"/>
    </row>
    <row r="839" spans="2:13" x14ac:dyDescent="0.2">
      <c r="B839" s="173"/>
      <c r="C839" s="694">
        <v>1</v>
      </c>
      <c r="D839" s="695" t="s">
        <v>3903</v>
      </c>
      <c r="E839" s="695">
        <v>1</v>
      </c>
      <c r="F839" s="695" t="s">
        <v>3904</v>
      </c>
      <c r="G839" s="695">
        <v>1</v>
      </c>
      <c r="H839" s="695" t="s">
        <v>3904</v>
      </c>
      <c r="I839" s="695">
        <v>840</v>
      </c>
      <c r="J839" s="695" t="s">
        <v>8665</v>
      </c>
      <c r="K839" s="695" t="s">
        <v>8544</v>
      </c>
      <c r="L839" s="696">
        <v>1</v>
      </c>
      <c r="M839" s="170"/>
    </row>
    <row r="840" spans="2:13" x14ac:dyDescent="0.2">
      <c r="B840" s="173"/>
      <c r="C840" s="694">
        <v>1</v>
      </c>
      <c r="D840" s="695" t="s">
        <v>3903</v>
      </c>
      <c r="E840" s="695">
        <v>1</v>
      </c>
      <c r="F840" s="695" t="s">
        <v>3904</v>
      </c>
      <c r="G840" s="695">
        <v>1</v>
      </c>
      <c r="H840" s="695" t="s">
        <v>3904</v>
      </c>
      <c r="I840" s="695">
        <v>841</v>
      </c>
      <c r="J840" s="695" t="s">
        <v>8666</v>
      </c>
      <c r="K840" s="695" t="s">
        <v>8544</v>
      </c>
      <c r="L840" s="696">
        <v>1</v>
      </c>
      <c r="M840" s="170"/>
    </row>
    <row r="841" spans="2:13" x14ac:dyDescent="0.2">
      <c r="B841" s="173"/>
      <c r="C841" s="694">
        <v>1</v>
      </c>
      <c r="D841" s="695" t="s">
        <v>3903</v>
      </c>
      <c r="E841" s="695">
        <v>1</v>
      </c>
      <c r="F841" s="695" t="s">
        <v>3904</v>
      </c>
      <c r="G841" s="695">
        <v>1</v>
      </c>
      <c r="H841" s="695" t="s">
        <v>3904</v>
      </c>
      <c r="I841" s="695">
        <v>842</v>
      </c>
      <c r="J841" s="695" t="s">
        <v>8557</v>
      </c>
      <c r="K841" s="695" t="s">
        <v>4045</v>
      </c>
      <c r="L841" s="696">
        <v>0</v>
      </c>
      <c r="M841" s="170"/>
    </row>
    <row r="842" spans="2:13" x14ac:dyDescent="0.2">
      <c r="B842" s="173"/>
      <c r="C842" s="694">
        <v>1</v>
      </c>
      <c r="D842" s="695" t="s">
        <v>3903</v>
      </c>
      <c r="E842" s="695">
        <v>1</v>
      </c>
      <c r="F842" s="695" t="s">
        <v>3904</v>
      </c>
      <c r="G842" s="695">
        <v>1</v>
      </c>
      <c r="H842" s="695" t="s">
        <v>3904</v>
      </c>
      <c r="I842" s="695">
        <v>843</v>
      </c>
      <c r="J842" s="695" t="s">
        <v>8667</v>
      </c>
      <c r="K842" s="695" t="s">
        <v>8544</v>
      </c>
      <c r="L842" s="696">
        <v>1</v>
      </c>
      <c r="M842" s="170"/>
    </row>
    <row r="843" spans="2:13" x14ac:dyDescent="0.2">
      <c r="B843" s="173"/>
      <c r="C843" s="694">
        <v>1</v>
      </c>
      <c r="D843" s="695" t="s">
        <v>3903</v>
      </c>
      <c r="E843" s="695">
        <v>1</v>
      </c>
      <c r="F843" s="695" t="s">
        <v>3904</v>
      </c>
      <c r="G843" s="695">
        <v>1</v>
      </c>
      <c r="H843" s="695" t="s">
        <v>3904</v>
      </c>
      <c r="I843" s="695">
        <v>844</v>
      </c>
      <c r="J843" s="695" t="s">
        <v>8668</v>
      </c>
      <c r="K843" s="695" t="s">
        <v>8544</v>
      </c>
      <c r="L843" s="696">
        <v>3</v>
      </c>
      <c r="M843" s="170"/>
    </row>
    <row r="844" spans="2:13" x14ac:dyDescent="0.2">
      <c r="B844" s="173"/>
      <c r="C844" s="694">
        <v>1</v>
      </c>
      <c r="D844" s="695" t="s">
        <v>3903</v>
      </c>
      <c r="E844" s="695">
        <v>1</v>
      </c>
      <c r="F844" s="695" t="s">
        <v>3904</v>
      </c>
      <c r="G844" s="695">
        <v>1</v>
      </c>
      <c r="H844" s="695" t="s">
        <v>3904</v>
      </c>
      <c r="I844" s="695">
        <v>845</v>
      </c>
      <c r="J844" s="695" t="s">
        <v>8669</v>
      </c>
      <c r="K844" s="695" t="s">
        <v>8544</v>
      </c>
      <c r="L844" s="696">
        <v>1</v>
      </c>
      <c r="M844" s="170"/>
    </row>
    <row r="845" spans="2:13" x14ac:dyDescent="0.2">
      <c r="B845" s="173"/>
      <c r="C845" s="694">
        <v>1</v>
      </c>
      <c r="D845" s="695" t="s">
        <v>3903</v>
      </c>
      <c r="E845" s="695">
        <v>1</v>
      </c>
      <c r="F845" s="695" t="s">
        <v>3904</v>
      </c>
      <c r="G845" s="695">
        <v>1</v>
      </c>
      <c r="H845" s="695" t="s">
        <v>3904</v>
      </c>
      <c r="I845" s="695">
        <v>846</v>
      </c>
      <c r="J845" s="695" t="s">
        <v>8670</v>
      </c>
      <c r="K845" s="695" t="s">
        <v>8544</v>
      </c>
      <c r="L845" s="696">
        <v>1</v>
      </c>
      <c r="M845" s="170"/>
    </row>
    <row r="846" spans="2:13" x14ac:dyDescent="0.2">
      <c r="B846" s="173"/>
      <c r="C846" s="694">
        <v>1</v>
      </c>
      <c r="D846" s="695" t="s">
        <v>3903</v>
      </c>
      <c r="E846" s="695">
        <v>1</v>
      </c>
      <c r="F846" s="695" t="s">
        <v>3904</v>
      </c>
      <c r="G846" s="695">
        <v>1</v>
      </c>
      <c r="H846" s="695" t="s">
        <v>3904</v>
      </c>
      <c r="I846" s="695">
        <v>847</v>
      </c>
      <c r="J846" s="695" t="s">
        <v>8671</v>
      </c>
      <c r="K846" s="695" t="s">
        <v>8544</v>
      </c>
      <c r="L846" s="696">
        <v>1</v>
      </c>
      <c r="M846" s="170"/>
    </row>
    <row r="847" spans="2:13" x14ac:dyDescent="0.2">
      <c r="B847" s="173"/>
      <c r="C847" s="694">
        <v>1</v>
      </c>
      <c r="D847" s="695" t="s">
        <v>3903</v>
      </c>
      <c r="E847" s="695">
        <v>1</v>
      </c>
      <c r="F847" s="695" t="s">
        <v>3904</v>
      </c>
      <c r="G847" s="695">
        <v>1</v>
      </c>
      <c r="H847" s="695" t="s">
        <v>3904</v>
      </c>
      <c r="I847" s="695">
        <v>848</v>
      </c>
      <c r="J847" s="695" t="s">
        <v>8672</v>
      </c>
      <c r="K847" s="695" t="s">
        <v>8544</v>
      </c>
      <c r="L847" s="696">
        <v>5</v>
      </c>
      <c r="M847" s="170"/>
    </row>
    <row r="848" spans="2:13" x14ac:dyDescent="0.2">
      <c r="B848" s="173"/>
      <c r="C848" s="694">
        <v>1</v>
      </c>
      <c r="D848" s="695" t="s">
        <v>3903</v>
      </c>
      <c r="E848" s="695">
        <v>1</v>
      </c>
      <c r="F848" s="695" t="s">
        <v>3904</v>
      </c>
      <c r="G848" s="695">
        <v>1</v>
      </c>
      <c r="H848" s="695" t="s">
        <v>3904</v>
      </c>
      <c r="I848" s="695">
        <v>849</v>
      </c>
      <c r="J848" s="695" t="s">
        <v>8673</v>
      </c>
      <c r="K848" s="695" t="s">
        <v>8544</v>
      </c>
      <c r="L848" s="696">
        <v>2</v>
      </c>
      <c r="M848" s="170"/>
    </row>
    <row r="849" spans="2:13" x14ac:dyDescent="0.2">
      <c r="B849" s="173"/>
      <c r="C849" s="694">
        <v>1</v>
      </c>
      <c r="D849" s="695" t="s">
        <v>3903</v>
      </c>
      <c r="E849" s="695">
        <v>1</v>
      </c>
      <c r="F849" s="695" t="s">
        <v>3904</v>
      </c>
      <c r="G849" s="695">
        <v>1</v>
      </c>
      <c r="H849" s="695" t="s">
        <v>3904</v>
      </c>
      <c r="I849" s="695">
        <v>850</v>
      </c>
      <c r="J849" s="695" t="s">
        <v>8674</v>
      </c>
      <c r="K849" s="695" t="s">
        <v>8543</v>
      </c>
      <c r="L849" s="696">
        <v>1</v>
      </c>
      <c r="M849" s="170"/>
    </row>
    <row r="850" spans="2:13" x14ac:dyDescent="0.2">
      <c r="B850" s="173"/>
      <c r="C850" s="694">
        <v>1</v>
      </c>
      <c r="D850" s="695" t="s">
        <v>3903</v>
      </c>
      <c r="E850" s="695">
        <v>1</v>
      </c>
      <c r="F850" s="695" t="s">
        <v>3904</v>
      </c>
      <c r="G850" s="695">
        <v>1</v>
      </c>
      <c r="H850" s="695" t="s">
        <v>3904</v>
      </c>
      <c r="I850" s="695">
        <v>851</v>
      </c>
      <c r="J850" s="695" t="s">
        <v>8675</v>
      </c>
      <c r="K850" s="695" t="s">
        <v>8544</v>
      </c>
      <c r="L850" s="696">
        <v>3</v>
      </c>
      <c r="M850" s="170"/>
    </row>
    <row r="851" spans="2:13" x14ac:dyDescent="0.2">
      <c r="B851" s="173"/>
      <c r="C851" s="694">
        <v>1</v>
      </c>
      <c r="D851" s="695" t="s">
        <v>3903</v>
      </c>
      <c r="E851" s="695">
        <v>1</v>
      </c>
      <c r="F851" s="695" t="s">
        <v>3904</v>
      </c>
      <c r="G851" s="695">
        <v>1</v>
      </c>
      <c r="H851" s="695" t="s">
        <v>3904</v>
      </c>
      <c r="I851" s="695">
        <v>852</v>
      </c>
      <c r="J851" s="695" t="s">
        <v>8676</v>
      </c>
      <c r="K851" s="695" t="s">
        <v>8544</v>
      </c>
      <c r="L851" s="696">
        <v>3</v>
      </c>
      <c r="M851" s="170"/>
    </row>
    <row r="852" spans="2:13" x14ac:dyDescent="0.2">
      <c r="B852" s="173"/>
      <c r="C852" s="694">
        <v>1</v>
      </c>
      <c r="D852" s="695" t="s">
        <v>3903</v>
      </c>
      <c r="E852" s="695">
        <v>1</v>
      </c>
      <c r="F852" s="695" t="s">
        <v>3904</v>
      </c>
      <c r="G852" s="695">
        <v>1</v>
      </c>
      <c r="H852" s="695" t="s">
        <v>3904</v>
      </c>
      <c r="I852" s="695">
        <v>853</v>
      </c>
      <c r="J852" s="695" t="s">
        <v>8677</v>
      </c>
      <c r="K852" s="695" t="s">
        <v>3985</v>
      </c>
      <c r="L852" s="696">
        <v>1</v>
      </c>
      <c r="M852" s="170"/>
    </row>
    <row r="853" spans="2:13" x14ac:dyDescent="0.2">
      <c r="B853" s="173"/>
      <c r="C853" s="694">
        <v>1</v>
      </c>
      <c r="D853" s="695" t="s">
        <v>3903</v>
      </c>
      <c r="E853" s="695">
        <v>1</v>
      </c>
      <c r="F853" s="695" t="s">
        <v>3904</v>
      </c>
      <c r="G853" s="695">
        <v>1</v>
      </c>
      <c r="H853" s="695" t="s">
        <v>3904</v>
      </c>
      <c r="I853" s="695">
        <v>854</v>
      </c>
      <c r="J853" s="695" t="s">
        <v>8678</v>
      </c>
      <c r="K853" s="695" t="s">
        <v>8544</v>
      </c>
      <c r="L853" s="696">
        <v>1</v>
      </c>
      <c r="M853" s="170"/>
    </row>
    <row r="854" spans="2:13" x14ac:dyDescent="0.2">
      <c r="B854" s="173"/>
      <c r="C854" s="694">
        <v>1</v>
      </c>
      <c r="D854" s="695" t="s">
        <v>3903</v>
      </c>
      <c r="E854" s="695">
        <v>1</v>
      </c>
      <c r="F854" s="695" t="s">
        <v>3904</v>
      </c>
      <c r="G854" s="695">
        <v>1</v>
      </c>
      <c r="H854" s="695" t="s">
        <v>3904</v>
      </c>
      <c r="I854" s="695">
        <v>855</v>
      </c>
      <c r="J854" s="695" t="s">
        <v>8679</v>
      </c>
      <c r="K854" s="695" t="s">
        <v>8544</v>
      </c>
      <c r="L854" s="696">
        <v>1</v>
      </c>
      <c r="M854" s="170"/>
    </row>
    <row r="855" spans="2:13" x14ac:dyDescent="0.2">
      <c r="B855" s="173"/>
      <c r="C855" s="694">
        <v>1</v>
      </c>
      <c r="D855" s="695" t="s">
        <v>3903</v>
      </c>
      <c r="E855" s="695">
        <v>1</v>
      </c>
      <c r="F855" s="695" t="s">
        <v>3904</v>
      </c>
      <c r="G855" s="695">
        <v>1</v>
      </c>
      <c r="H855" s="695" t="s">
        <v>3904</v>
      </c>
      <c r="I855" s="695">
        <v>856</v>
      </c>
      <c r="J855" s="695" t="s">
        <v>8680</v>
      </c>
      <c r="K855" s="695" t="s">
        <v>8544</v>
      </c>
      <c r="L855" s="696">
        <v>1</v>
      </c>
      <c r="M855" s="170"/>
    </row>
    <row r="856" spans="2:13" x14ac:dyDescent="0.2">
      <c r="B856" s="173"/>
      <c r="C856" s="694">
        <v>1</v>
      </c>
      <c r="D856" s="695" t="s">
        <v>3903</v>
      </c>
      <c r="E856" s="695">
        <v>1</v>
      </c>
      <c r="F856" s="695" t="s">
        <v>3904</v>
      </c>
      <c r="G856" s="695">
        <v>1</v>
      </c>
      <c r="H856" s="695" t="s">
        <v>3904</v>
      </c>
      <c r="I856" s="695">
        <v>857</v>
      </c>
      <c r="J856" s="695" t="s">
        <v>4546</v>
      </c>
      <c r="K856" s="695" t="s">
        <v>8681</v>
      </c>
      <c r="L856" s="696">
        <v>4</v>
      </c>
      <c r="M856" s="170"/>
    </row>
    <row r="857" spans="2:13" x14ac:dyDescent="0.2">
      <c r="B857" s="173"/>
      <c r="C857" s="694">
        <v>1</v>
      </c>
      <c r="D857" s="695" t="s">
        <v>3903</v>
      </c>
      <c r="E857" s="695">
        <v>1</v>
      </c>
      <c r="F857" s="695" t="s">
        <v>3904</v>
      </c>
      <c r="G857" s="695">
        <v>1</v>
      </c>
      <c r="H857" s="695" t="s">
        <v>3904</v>
      </c>
      <c r="I857" s="695">
        <v>858</v>
      </c>
      <c r="J857" s="695" t="s">
        <v>8682</v>
      </c>
      <c r="K857" s="695" t="s">
        <v>8543</v>
      </c>
      <c r="L857" s="696">
        <v>2</v>
      </c>
      <c r="M857" s="170"/>
    </row>
    <row r="858" spans="2:13" x14ac:dyDescent="0.2">
      <c r="B858" s="173"/>
      <c r="C858" s="694">
        <v>1</v>
      </c>
      <c r="D858" s="695" t="s">
        <v>3903</v>
      </c>
      <c r="E858" s="695">
        <v>1</v>
      </c>
      <c r="F858" s="695" t="s">
        <v>3904</v>
      </c>
      <c r="G858" s="695">
        <v>1</v>
      </c>
      <c r="H858" s="695" t="s">
        <v>3904</v>
      </c>
      <c r="I858" s="695">
        <v>859</v>
      </c>
      <c r="J858" s="695" t="s">
        <v>8683</v>
      </c>
      <c r="K858" s="695" t="s">
        <v>8544</v>
      </c>
      <c r="L858" s="696">
        <v>1</v>
      </c>
      <c r="M858" s="170"/>
    </row>
    <row r="859" spans="2:13" x14ac:dyDescent="0.2">
      <c r="B859" s="173"/>
      <c r="C859" s="694">
        <v>1</v>
      </c>
      <c r="D859" s="695" t="s">
        <v>3903</v>
      </c>
      <c r="E859" s="695">
        <v>1</v>
      </c>
      <c r="F859" s="695" t="s">
        <v>3904</v>
      </c>
      <c r="G859" s="695">
        <v>1</v>
      </c>
      <c r="H859" s="695" t="s">
        <v>3904</v>
      </c>
      <c r="I859" s="695">
        <v>860</v>
      </c>
      <c r="J859" s="695" t="s">
        <v>8684</v>
      </c>
      <c r="K859" s="695" t="s">
        <v>4057</v>
      </c>
      <c r="L859" s="696">
        <v>1</v>
      </c>
      <c r="M859" s="170"/>
    </row>
    <row r="860" spans="2:13" x14ac:dyDescent="0.2">
      <c r="B860" s="173"/>
      <c r="C860" s="694">
        <v>1</v>
      </c>
      <c r="D860" s="695" t="s">
        <v>3903</v>
      </c>
      <c r="E860" s="695">
        <v>1</v>
      </c>
      <c r="F860" s="695" t="s">
        <v>3904</v>
      </c>
      <c r="G860" s="695">
        <v>1</v>
      </c>
      <c r="H860" s="695" t="s">
        <v>3904</v>
      </c>
      <c r="I860" s="695">
        <v>861</v>
      </c>
      <c r="J860" s="695" t="s">
        <v>8685</v>
      </c>
      <c r="K860" s="695" t="s">
        <v>8544</v>
      </c>
      <c r="L860" s="696">
        <v>1</v>
      </c>
      <c r="M860" s="170"/>
    </row>
    <row r="861" spans="2:13" x14ac:dyDescent="0.2">
      <c r="B861" s="173"/>
      <c r="C861" s="694">
        <v>1</v>
      </c>
      <c r="D861" s="695" t="s">
        <v>3903</v>
      </c>
      <c r="E861" s="695">
        <v>1</v>
      </c>
      <c r="F861" s="695" t="s">
        <v>3904</v>
      </c>
      <c r="G861" s="695">
        <v>1</v>
      </c>
      <c r="H861" s="695" t="s">
        <v>3904</v>
      </c>
      <c r="I861" s="695">
        <v>862</v>
      </c>
      <c r="J861" s="695" t="s">
        <v>8686</v>
      </c>
      <c r="K861" s="695" t="s">
        <v>8544</v>
      </c>
      <c r="L861" s="696">
        <v>1</v>
      </c>
      <c r="M861" s="170"/>
    </row>
    <row r="862" spans="2:13" x14ac:dyDescent="0.2">
      <c r="B862" s="173"/>
      <c r="C862" s="694">
        <v>1</v>
      </c>
      <c r="D862" s="695" t="s">
        <v>3903</v>
      </c>
      <c r="E862" s="695">
        <v>1</v>
      </c>
      <c r="F862" s="695" t="s">
        <v>3904</v>
      </c>
      <c r="G862" s="695">
        <v>1</v>
      </c>
      <c r="H862" s="695" t="s">
        <v>3904</v>
      </c>
      <c r="I862" s="695">
        <v>863</v>
      </c>
      <c r="J862" s="695" t="s">
        <v>8687</v>
      </c>
      <c r="K862" s="695" t="s">
        <v>8544</v>
      </c>
      <c r="L862" s="696">
        <v>4</v>
      </c>
      <c r="M862" s="170"/>
    </row>
    <row r="863" spans="2:13" x14ac:dyDescent="0.2">
      <c r="B863" s="173"/>
      <c r="C863" s="694">
        <v>1</v>
      </c>
      <c r="D863" s="695" t="s">
        <v>3903</v>
      </c>
      <c r="E863" s="695">
        <v>1</v>
      </c>
      <c r="F863" s="695" t="s">
        <v>3904</v>
      </c>
      <c r="G863" s="695">
        <v>1</v>
      </c>
      <c r="H863" s="695" t="s">
        <v>3904</v>
      </c>
      <c r="I863" s="695">
        <v>864</v>
      </c>
      <c r="J863" s="695" t="s">
        <v>8688</v>
      </c>
      <c r="K863" s="695" t="s">
        <v>8544</v>
      </c>
      <c r="L863" s="696">
        <v>3</v>
      </c>
      <c r="M863" s="170"/>
    </row>
    <row r="864" spans="2:13" x14ac:dyDescent="0.2">
      <c r="B864" s="173"/>
      <c r="C864" s="694">
        <v>1</v>
      </c>
      <c r="D864" s="695" t="s">
        <v>3903</v>
      </c>
      <c r="E864" s="695">
        <v>1</v>
      </c>
      <c r="F864" s="695" t="s">
        <v>3904</v>
      </c>
      <c r="G864" s="695">
        <v>1</v>
      </c>
      <c r="H864" s="695" t="s">
        <v>3904</v>
      </c>
      <c r="I864" s="695">
        <v>865</v>
      </c>
      <c r="J864" s="695" t="s">
        <v>8689</v>
      </c>
      <c r="K864" s="695" t="s">
        <v>3985</v>
      </c>
      <c r="L864" s="696">
        <v>2</v>
      </c>
      <c r="M864" s="170"/>
    </row>
    <row r="865" spans="2:13" x14ac:dyDescent="0.2">
      <c r="B865" s="173"/>
      <c r="C865" s="694">
        <v>1</v>
      </c>
      <c r="D865" s="695" t="s">
        <v>3903</v>
      </c>
      <c r="E865" s="695">
        <v>1</v>
      </c>
      <c r="F865" s="695" t="s">
        <v>3904</v>
      </c>
      <c r="G865" s="695">
        <v>1</v>
      </c>
      <c r="H865" s="695" t="s">
        <v>3904</v>
      </c>
      <c r="I865" s="695">
        <v>866</v>
      </c>
      <c r="J865" s="695" t="s">
        <v>8690</v>
      </c>
      <c r="K865" s="695" t="s">
        <v>8543</v>
      </c>
      <c r="L865" s="696">
        <v>3</v>
      </c>
      <c r="M865" s="170"/>
    </row>
    <row r="866" spans="2:13" x14ac:dyDescent="0.2">
      <c r="B866" s="173"/>
      <c r="C866" s="694">
        <v>1</v>
      </c>
      <c r="D866" s="695" t="s">
        <v>3903</v>
      </c>
      <c r="E866" s="695">
        <v>1</v>
      </c>
      <c r="F866" s="695" t="s">
        <v>3904</v>
      </c>
      <c r="G866" s="695">
        <v>1</v>
      </c>
      <c r="H866" s="695" t="s">
        <v>3904</v>
      </c>
      <c r="I866" s="695">
        <v>867</v>
      </c>
      <c r="J866" s="695" t="s">
        <v>8691</v>
      </c>
      <c r="K866" s="695" t="s">
        <v>8543</v>
      </c>
      <c r="L866" s="696">
        <v>1</v>
      </c>
      <c r="M866" s="170"/>
    </row>
    <row r="867" spans="2:13" x14ac:dyDescent="0.2">
      <c r="B867" s="173"/>
      <c r="C867" s="694">
        <v>1</v>
      </c>
      <c r="D867" s="695" t="s">
        <v>3903</v>
      </c>
      <c r="E867" s="695">
        <v>1</v>
      </c>
      <c r="F867" s="695" t="s">
        <v>3904</v>
      </c>
      <c r="G867" s="695">
        <v>1</v>
      </c>
      <c r="H867" s="695" t="s">
        <v>3904</v>
      </c>
      <c r="I867" s="695">
        <v>868</v>
      </c>
      <c r="J867" s="695" t="s">
        <v>8692</v>
      </c>
      <c r="K867" s="695" t="s">
        <v>8544</v>
      </c>
      <c r="L867" s="696">
        <v>1</v>
      </c>
      <c r="M867" s="170"/>
    </row>
    <row r="868" spans="2:13" x14ac:dyDescent="0.2">
      <c r="B868" s="173"/>
      <c r="C868" s="694">
        <v>1</v>
      </c>
      <c r="D868" s="695" t="s">
        <v>3903</v>
      </c>
      <c r="E868" s="695">
        <v>1</v>
      </c>
      <c r="F868" s="695" t="s">
        <v>3904</v>
      </c>
      <c r="G868" s="695">
        <v>1</v>
      </c>
      <c r="H868" s="695" t="s">
        <v>3904</v>
      </c>
      <c r="I868" s="695">
        <v>869</v>
      </c>
      <c r="J868" s="695" t="s">
        <v>8693</v>
      </c>
      <c r="K868" s="695" t="s">
        <v>3985</v>
      </c>
      <c r="L868" s="696">
        <v>1</v>
      </c>
      <c r="M868" s="170"/>
    </row>
    <row r="869" spans="2:13" x14ac:dyDescent="0.2">
      <c r="B869" s="173"/>
      <c r="C869" s="694">
        <v>1</v>
      </c>
      <c r="D869" s="695" t="s">
        <v>3903</v>
      </c>
      <c r="E869" s="695">
        <v>1</v>
      </c>
      <c r="F869" s="695" t="s">
        <v>3904</v>
      </c>
      <c r="G869" s="695">
        <v>1</v>
      </c>
      <c r="H869" s="695" t="s">
        <v>3904</v>
      </c>
      <c r="I869" s="695">
        <v>870</v>
      </c>
      <c r="J869" s="695" t="s">
        <v>8694</v>
      </c>
      <c r="K869" s="695" t="s">
        <v>8544</v>
      </c>
      <c r="L869" s="696">
        <v>1</v>
      </c>
      <c r="M869" s="170"/>
    </row>
    <row r="870" spans="2:13" x14ac:dyDescent="0.2">
      <c r="B870" s="173"/>
      <c r="C870" s="694">
        <v>1</v>
      </c>
      <c r="D870" s="695" t="s">
        <v>3903</v>
      </c>
      <c r="E870" s="695">
        <v>1</v>
      </c>
      <c r="F870" s="695" t="s">
        <v>3904</v>
      </c>
      <c r="G870" s="695">
        <v>1</v>
      </c>
      <c r="H870" s="695" t="s">
        <v>3904</v>
      </c>
      <c r="I870" s="695">
        <v>871</v>
      </c>
      <c r="J870" s="695" t="s">
        <v>8695</v>
      </c>
      <c r="K870" s="695" t="s">
        <v>8544</v>
      </c>
      <c r="L870" s="696">
        <v>1</v>
      </c>
      <c r="M870" s="170"/>
    </row>
    <row r="871" spans="2:13" x14ac:dyDescent="0.2">
      <c r="B871" s="173"/>
      <c r="C871" s="694">
        <v>1</v>
      </c>
      <c r="D871" s="695" t="s">
        <v>3903</v>
      </c>
      <c r="E871" s="695">
        <v>1</v>
      </c>
      <c r="F871" s="695" t="s">
        <v>3904</v>
      </c>
      <c r="G871" s="695">
        <v>1</v>
      </c>
      <c r="H871" s="695" t="s">
        <v>3904</v>
      </c>
      <c r="I871" s="695">
        <v>872</v>
      </c>
      <c r="J871" s="695" t="s">
        <v>8696</v>
      </c>
      <c r="K871" s="695" t="s">
        <v>8543</v>
      </c>
      <c r="L871" s="696">
        <v>1</v>
      </c>
      <c r="M871" s="170"/>
    </row>
    <row r="872" spans="2:13" x14ac:dyDescent="0.2">
      <c r="B872" s="173"/>
      <c r="C872" s="694">
        <v>1</v>
      </c>
      <c r="D872" s="695" t="s">
        <v>3903</v>
      </c>
      <c r="E872" s="695">
        <v>1</v>
      </c>
      <c r="F872" s="695" t="s">
        <v>3904</v>
      </c>
      <c r="G872" s="695">
        <v>1</v>
      </c>
      <c r="H872" s="695" t="s">
        <v>3904</v>
      </c>
      <c r="I872" s="695">
        <v>873</v>
      </c>
      <c r="J872" s="695" t="s">
        <v>8697</v>
      </c>
      <c r="K872" s="695" t="s">
        <v>8544</v>
      </c>
      <c r="L872" s="696">
        <v>1</v>
      </c>
      <c r="M872" s="170"/>
    </row>
    <row r="873" spans="2:13" x14ac:dyDescent="0.2">
      <c r="B873" s="173"/>
      <c r="C873" s="694">
        <v>1</v>
      </c>
      <c r="D873" s="695" t="s">
        <v>3903</v>
      </c>
      <c r="E873" s="695">
        <v>1</v>
      </c>
      <c r="F873" s="695" t="s">
        <v>3904</v>
      </c>
      <c r="G873" s="695">
        <v>1</v>
      </c>
      <c r="H873" s="695" t="s">
        <v>3904</v>
      </c>
      <c r="I873" s="695">
        <v>874</v>
      </c>
      <c r="J873" s="695" t="s">
        <v>8698</v>
      </c>
      <c r="K873" s="695" t="s">
        <v>8544</v>
      </c>
      <c r="L873" s="696">
        <v>4</v>
      </c>
      <c r="M873" s="170"/>
    </row>
    <row r="874" spans="2:13" x14ac:dyDescent="0.2">
      <c r="B874" s="173"/>
      <c r="C874" s="694">
        <v>1</v>
      </c>
      <c r="D874" s="695" t="s">
        <v>3903</v>
      </c>
      <c r="E874" s="695">
        <v>1</v>
      </c>
      <c r="F874" s="695" t="s">
        <v>3904</v>
      </c>
      <c r="G874" s="695">
        <v>1</v>
      </c>
      <c r="H874" s="695" t="s">
        <v>3904</v>
      </c>
      <c r="I874" s="695">
        <v>875</v>
      </c>
      <c r="J874" s="695" t="s">
        <v>8699</v>
      </c>
      <c r="K874" s="695" t="s">
        <v>8544</v>
      </c>
      <c r="L874" s="696">
        <v>1</v>
      </c>
      <c r="M874" s="170"/>
    </row>
    <row r="875" spans="2:13" x14ac:dyDescent="0.2">
      <c r="B875" s="173"/>
      <c r="C875" s="694">
        <v>1</v>
      </c>
      <c r="D875" s="695" t="s">
        <v>3903</v>
      </c>
      <c r="E875" s="695">
        <v>1</v>
      </c>
      <c r="F875" s="695" t="s">
        <v>3904</v>
      </c>
      <c r="G875" s="695">
        <v>1</v>
      </c>
      <c r="H875" s="695" t="s">
        <v>3904</v>
      </c>
      <c r="I875" s="695">
        <v>876</v>
      </c>
      <c r="J875" s="695" t="s">
        <v>8700</v>
      </c>
      <c r="K875" s="695" t="s">
        <v>8544</v>
      </c>
      <c r="L875" s="696">
        <v>1</v>
      </c>
      <c r="M875" s="170"/>
    </row>
    <row r="876" spans="2:13" x14ac:dyDescent="0.2">
      <c r="B876" s="173"/>
      <c r="C876" s="694">
        <v>1</v>
      </c>
      <c r="D876" s="695" t="s">
        <v>3903</v>
      </c>
      <c r="E876" s="695">
        <v>1</v>
      </c>
      <c r="F876" s="695" t="s">
        <v>3904</v>
      </c>
      <c r="G876" s="695">
        <v>1</v>
      </c>
      <c r="H876" s="695" t="s">
        <v>3904</v>
      </c>
      <c r="I876" s="695">
        <v>877</v>
      </c>
      <c r="J876" s="695" t="s">
        <v>8701</v>
      </c>
      <c r="K876" s="695" t="s">
        <v>8544</v>
      </c>
      <c r="L876" s="696">
        <v>1</v>
      </c>
      <c r="M876" s="170"/>
    </row>
    <row r="877" spans="2:13" x14ac:dyDescent="0.2">
      <c r="B877" s="173"/>
      <c r="C877" s="694">
        <v>1</v>
      </c>
      <c r="D877" s="695" t="s">
        <v>3903</v>
      </c>
      <c r="E877" s="695">
        <v>1</v>
      </c>
      <c r="F877" s="695" t="s">
        <v>3904</v>
      </c>
      <c r="G877" s="695">
        <v>1</v>
      </c>
      <c r="H877" s="695" t="s">
        <v>3904</v>
      </c>
      <c r="I877" s="695">
        <v>878</v>
      </c>
      <c r="J877" s="695" t="s">
        <v>8702</v>
      </c>
      <c r="K877" s="695" t="s">
        <v>8544</v>
      </c>
      <c r="L877" s="696">
        <v>1</v>
      </c>
      <c r="M877" s="170"/>
    </row>
    <row r="878" spans="2:13" x14ac:dyDescent="0.2">
      <c r="B878" s="173"/>
      <c r="C878" s="694">
        <v>1</v>
      </c>
      <c r="D878" s="695" t="s">
        <v>3903</v>
      </c>
      <c r="E878" s="695">
        <v>1</v>
      </c>
      <c r="F878" s="695" t="s">
        <v>3904</v>
      </c>
      <c r="G878" s="695">
        <v>1</v>
      </c>
      <c r="H878" s="695" t="s">
        <v>3904</v>
      </c>
      <c r="I878" s="695">
        <v>879</v>
      </c>
      <c r="J878" s="695" t="s">
        <v>8703</v>
      </c>
      <c r="K878" s="695" t="s">
        <v>8544</v>
      </c>
      <c r="L878" s="696">
        <v>1</v>
      </c>
      <c r="M878" s="170"/>
    </row>
    <row r="879" spans="2:13" x14ac:dyDescent="0.2">
      <c r="B879" s="173"/>
      <c r="C879" s="694">
        <v>1</v>
      </c>
      <c r="D879" s="695" t="s">
        <v>3903</v>
      </c>
      <c r="E879" s="695">
        <v>1</v>
      </c>
      <c r="F879" s="695" t="s">
        <v>3904</v>
      </c>
      <c r="G879" s="695">
        <v>1</v>
      </c>
      <c r="H879" s="695" t="s">
        <v>3904</v>
      </c>
      <c r="I879" s="695">
        <v>880</v>
      </c>
      <c r="J879" s="695" t="s">
        <v>8704</v>
      </c>
      <c r="K879" s="695" t="s">
        <v>8543</v>
      </c>
      <c r="L879" s="696">
        <v>0</v>
      </c>
      <c r="M879" s="170"/>
    </row>
    <row r="880" spans="2:13" x14ac:dyDescent="0.2">
      <c r="B880" s="173"/>
      <c r="C880" s="694">
        <v>1</v>
      </c>
      <c r="D880" s="695" t="s">
        <v>3903</v>
      </c>
      <c r="E880" s="695">
        <v>1</v>
      </c>
      <c r="F880" s="695" t="s">
        <v>3904</v>
      </c>
      <c r="G880" s="695">
        <v>1</v>
      </c>
      <c r="H880" s="695" t="s">
        <v>3904</v>
      </c>
      <c r="I880" s="695">
        <v>881</v>
      </c>
      <c r="J880" s="695" t="s">
        <v>8705</v>
      </c>
      <c r="K880" s="695" t="s">
        <v>8544</v>
      </c>
      <c r="L880" s="696">
        <v>1</v>
      </c>
      <c r="M880" s="170"/>
    </row>
    <row r="881" spans="2:13" x14ac:dyDescent="0.2">
      <c r="B881" s="173"/>
      <c r="C881" s="694">
        <v>1</v>
      </c>
      <c r="D881" s="695" t="s">
        <v>3903</v>
      </c>
      <c r="E881" s="695">
        <v>1</v>
      </c>
      <c r="F881" s="695" t="s">
        <v>3904</v>
      </c>
      <c r="G881" s="695">
        <v>1</v>
      </c>
      <c r="H881" s="695" t="s">
        <v>3904</v>
      </c>
      <c r="I881" s="695">
        <v>882</v>
      </c>
      <c r="J881" s="695" t="s">
        <v>8706</v>
      </c>
      <c r="K881" s="695" t="s">
        <v>8544</v>
      </c>
      <c r="L881" s="696">
        <v>0</v>
      </c>
      <c r="M881" s="170"/>
    </row>
    <row r="882" spans="2:13" x14ac:dyDescent="0.2">
      <c r="B882" s="173"/>
      <c r="C882" s="694">
        <v>1</v>
      </c>
      <c r="D882" s="695" t="s">
        <v>3903</v>
      </c>
      <c r="E882" s="695">
        <v>1</v>
      </c>
      <c r="F882" s="695" t="s">
        <v>3904</v>
      </c>
      <c r="G882" s="695">
        <v>1</v>
      </c>
      <c r="H882" s="695" t="s">
        <v>3904</v>
      </c>
      <c r="I882" s="695">
        <v>883</v>
      </c>
      <c r="J882" s="695" t="s">
        <v>8707</v>
      </c>
      <c r="K882" s="695" t="s">
        <v>8544</v>
      </c>
      <c r="L882" s="696">
        <v>1</v>
      </c>
      <c r="M882" s="170"/>
    </row>
    <row r="883" spans="2:13" x14ac:dyDescent="0.2">
      <c r="B883" s="173"/>
      <c r="C883" s="694">
        <v>1</v>
      </c>
      <c r="D883" s="695" t="s">
        <v>3903</v>
      </c>
      <c r="E883" s="695">
        <v>1</v>
      </c>
      <c r="F883" s="695" t="s">
        <v>3904</v>
      </c>
      <c r="G883" s="695">
        <v>1</v>
      </c>
      <c r="H883" s="695" t="s">
        <v>3904</v>
      </c>
      <c r="I883" s="695">
        <v>884</v>
      </c>
      <c r="J883" s="695" t="s">
        <v>8701</v>
      </c>
      <c r="K883" s="695" t="s">
        <v>8544</v>
      </c>
      <c r="L883" s="696">
        <v>0</v>
      </c>
      <c r="M883" s="170"/>
    </row>
    <row r="884" spans="2:13" x14ac:dyDescent="0.2">
      <c r="B884" s="173"/>
      <c r="C884" s="694">
        <v>1</v>
      </c>
      <c r="D884" s="695" t="s">
        <v>3903</v>
      </c>
      <c r="E884" s="695">
        <v>1</v>
      </c>
      <c r="F884" s="695" t="s">
        <v>3904</v>
      </c>
      <c r="G884" s="695">
        <v>1</v>
      </c>
      <c r="H884" s="695" t="s">
        <v>3904</v>
      </c>
      <c r="I884" s="695">
        <v>885</v>
      </c>
      <c r="J884" s="695" t="s">
        <v>8708</v>
      </c>
      <c r="K884" s="695" t="s">
        <v>8544</v>
      </c>
      <c r="L884" s="696">
        <v>0</v>
      </c>
      <c r="M884" s="170"/>
    </row>
    <row r="885" spans="2:13" x14ac:dyDescent="0.2">
      <c r="B885" s="173"/>
      <c r="C885" s="694">
        <v>1</v>
      </c>
      <c r="D885" s="695" t="s">
        <v>3903</v>
      </c>
      <c r="E885" s="695">
        <v>1</v>
      </c>
      <c r="F885" s="695" t="s">
        <v>3904</v>
      </c>
      <c r="G885" s="695">
        <v>1</v>
      </c>
      <c r="H885" s="695" t="s">
        <v>3904</v>
      </c>
      <c r="I885" s="695">
        <v>886</v>
      </c>
      <c r="J885" s="695" t="s">
        <v>8709</v>
      </c>
      <c r="K885" s="695" t="s">
        <v>8544</v>
      </c>
      <c r="L885" s="696">
        <v>0</v>
      </c>
      <c r="M885" s="170"/>
    </row>
    <row r="886" spans="2:13" x14ac:dyDescent="0.2">
      <c r="B886" s="173"/>
      <c r="C886" s="694">
        <v>1</v>
      </c>
      <c r="D886" s="695" t="s">
        <v>3903</v>
      </c>
      <c r="E886" s="695">
        <v>1</v>
      </c>
      <c r="F886" s="695" t="s">
        <v>3904</v>
      </c>
      <c r="G886" s="695">
        <v>1</v>
      </c>
      <c r="H886" s="695" t="s">
        <v>3904</v>
      </c>
      <c r="I886" s="695">
        <v>887</v>
      </c>
      <c r="J886" s="695" t="s">
        <v>8704</v>
      </c>
      <c r="K886" s="695" t="s">
        <v>8543</v>
      </c>
      <c r="L886" s="696">
        <v>0</v>
      </c>
      <c r="M886" s="170"/>
    </row>
    <row r="887" spans="2:13" x14ac:dyDescent="0.2">
      <c r="B887" s="173"/>
      <c r="C887" s="694">
        <v>1</v>
      </c>
      <c r="D887" s="695" t="s">
        <v>3903</v>
      </c>
      <c r="E887" s="695">
        <v>1</v>
      </c>
      <c r="F887" s="695" t="s">
        <v>3904</v>
      </c>
      <c r="G887" s="695">
        <v>1</v>
      </c>
      <c r="H887" s="695" t="s">
        <v>3904</v>
      </c>
      <c r="I887" s="695">
        <v>888</v>
      </c>
      <c r="J887" s="695" t="s">
        <v>8710</v>
      </c>
      <c r="K887" s="695" t="s">
        <v>8544</v>
      </c>
      <c r="L887" s="696">
        <v>1</v>
      </c>
      <c r="M887" s="170"/>
    </row>
    <row r="888" spans="2:13" x14ac:dyDescent="0.2">
      <c r="B888" s="173"/>
      <c r="C888" s="694">
        <v>1</v>
      </c>
      <c r="D888" s="695" t="s">
        <v>3903</v>
      </c>
      <c r="E888" s="695">
        <v>1</v>
      </c>
      <c r="F888" s="695" t="s">
        <v>3904</v>
      </c>
      <c r="G888" s="695">
        <v>1</v>
      </c>
      <c r="H888" s="695" t="s">
        <v>3904</v>
      </c>
      <c r="I888" s="695">
        <v>889</v>
      </c>
      <c r="J888" s="695" t="s">
        <v>8711</v>
      </c>
      <c r="K888" s="695" t="s">
        <v>8544</v>
      </c>
      <c r="L888" s="696">
        <v>1</v>
      </c>
      <c r="M888" s="170"/>
    </row>
    <row r="889" spans="2:13" x14ac:dyDescent="0.2">
      <c r="B889" s="173"/>
      <c r="C889" s="694">
        <v>1</v>
      </c>
      <c r="D889" s="695" t="s">
        <v>3903</v>
      </c>
      <c r="E889" s="695">
        <v>1</v>
      </c>
      <c r="F889" s="695" t="s">
        <v>3904</v>
      </c>
      <c r="G889" s="695">
        <v>1</v>
      </c>
      <c r="H889" s="695" t="s">
        <v>3904</v>
      </c>
      <c r="I889" s="695">
        <v>890</v>
      </c>
      <c r="J889" s="695" t="s">
        <v>8712</v>
      </c>
      <c r="K889" s="695" t="s">
        <v>8543</v>
      </c>
      <c r="L889" s="696">
        <v>1</v>
      </c>
      <c r="M889" s="170"/>
    </row>
    <row r="890" spans="2:13" x14ac:dyDescent="0.2">
      <c r="B890" s="173"/>
      <c r="C890" s="694">
        <v>1</v>
      </c>
      <c r="D890" s="695" t="s">
        <v>3903</v>
      </c>
      <c r="E890" s="695">
        <v>1</v>
      </c>
      <c r="F890" s="695" t="s">
        <v>3904</v>
      </c>
      <c r="G890" s="695">
        <v>1</v>
      </c>
      <c r="H890" s="695" t="s">
        <v>3904</v>
      </c>
      <c r="I890" s="695">
        <v>891</v>
      </c>
      <c r="J890" s="695" t="s">
        <v>8713</v>
      </c>
      <c r="K890" s="695" t="s">
        <v>8544</v>
      </c>
      <c r="L890" s="696">
        <v>1</v>
      </c>
      <c r="M890" s="170"/>
    </row>
    <row r="891" spans="2:13" x14ac:dyDescent="0.2">
      <c r="B891" s="173"/>
      <c r="C891" s="694">
        <v>1</v>
      </c>
      <c r="D891" s="695" t="s">
        <v>3903</v>
      </c>
      <c r="E891" s="695">
        <v>1</v>
      </c>
      <c r="F891" s="695" t="s">
        <v>3904</v>
      </c>
      <c r="G891" s="695">
        <v>1</v>
      </c>
      <c r="H891" s="695" t="s">
        <v>3904</v>
      </c>
      <c r="I891" s="695">
        <v>892</v>
      </c>
      <c r="J891" s="695" t="s">
        <v>8714</v>
      </c>
      <c r="K891" s="695" t="s">
        <v>8544</v>
      </c>
      <c r="L891" s="696">
        <v>1</v>
      </c>
      <c r="M891" s="170"/>
    </row>
    <row r="892" spans="2:13" x14ac:dyDescent="0.2">
      <c r="B892" s="173"/>
      <c r="C892" s="694">
        <v>1</v>
      </c>
      <c r="D892" s="695" t="s">
        <v>3903</v>
      </c>
      <c r="E892" s="695">
        <v>1</v>
      </c>
      <c r="F892" s="695" t="s">
        <v>3904</v>
      </c>
      <c r="G892" s="695">
        <v>1</v>
      </c>
      <c r="H892" s="695" t="s">
        <v>3904</v>
      </c>
      <c r="I892" s="695">
        <v>893</v>
      </c>
      <c r="J892" s="695" t="s">
        <v>8715</v>
      </c>
      <c r="K892" s="695" t="s">
        <v>8544</v>
      </c>
      <c r="L892" s="696">
        <v>2</v>
      </c>
      <c r="M892" s="170"/>
    </row>
    <row r="893" spans="2:13" x14ac:dyDescent="0.2">
      <c r="B893" s="173"/>
      <c r="C893" s="694">
        <v>1</v>
      </c>
      <c r="D893" s="695" t="s">
        <v>3903</v>
      </c>
      <c r="E893" s="695">
        <v>1</v>
      </c>
      <c r="F893" s="695" t="s">
        <v>3904</v>
      </c>
      <c r="G893" s="695">
        <v>1</v>
      </c>
      <c r="H893" s="695" t="s">
        <v>3904</v>
      </c>
      <c r="I893" s="695">
        <v>894</v>
      </c>
      <c r="J893" s="695" t="s">
        <v>8716</v>
      </c>
      <c r="K893" s="695" t="s">
        <v>8544</v>
      </c>
      <c r="L893" s="696">
        <v>0</v>
      </c>
      <c r="M893" s="170"/>
    </row>
    <row r="894" spans="2:13" x14ac:dyDescent="0.2">
      <c r="B894" s="173"/>
      <c r="C894" s="694">
        <v>1</v>
      </c>
      <c r="D894" s="695" t="s">
        <v>3903</v>
      </c>
      <c r="E894" s="695">
        <v>1</v>
      </c>
      <c r="F894" s="695" t="s">
        <v>3904</v>
      </c>
      <c r="G894" s="695">
        <v>1</v>
      </c>
      <c r="H894" s="695" t="s">
        <v>3904</v>
      </c>
      <c r="I894" s="695">
        <v>895</v>
      </c>
      <c r="J894" s="695" t="s">
        <v>8717</v>
      </c>
      <c r="K894" s="695" t="s">
        <v>8544</v>
      </c>
      <c r="L894" s="696">
        <v>1</v>
      </c>
      <c r="M894" s="170"/>
    </row>
    <row r="895" spans="2:13" x14ac:dyDescent="0.2">
      <c r="B895" s="173"/>
      <c r="C895" s="694">
        <v>1</v>
      </c>
      <c r="D895" s="695" t="s">
        <v>3903</v>
      </c>
      <c r="E895" s="695">
        <v>1</v>
      </c>
      <c r="F895" s="695" t="s">
        <v>3904</v>
      </c>
      <c r="G895" s="695">
        <v>1</v>
      </c>
      <c r="H895" s="695" t="s">
        <v>3904</v>
      </c>
      <c r="I895" s="695">
        <v>896</v>
      </c>
      <c r="J895" s="695" t="s">
        <v>8718</v>
      </c>
      <c r="K895" s="695" t="s">
        <v>8544</v>
      </c>
      <c r="L895" s="696">
        <v>1</v>
      </c>
      <c r="M895" s="170"/>
    </row>
    <row r="896" spans="2:13" x14ac:dyDescent="0.2">
      <c r="B896" s="173"/>
      <c r="C896" s="694">
        <v>1</v>
      </c>
      <c r="D896" s="695" t="s">
        <v>3903</v>
      </c>
      <c r="E896" s="695">
        <v>1</v>
      </c>
      <c r="F896" s="695" t="s">
        <v>3904</v>
      </c>
      <c r="G896" s="695">
        <v>1</v>
      </c>
      <c r="H896" s="695" t="s">
        <v>3904</v>
      </c>
      <c r="I896" s="695">
        <v>897</v>
      </c>
      <c r="J896" s="695" t="s">
        <v>8719</v>
      </c>
      <c r="K896" s="695" t="s">
        <v>8544</v>
      </c>
      <c r="L896" s="696">
        <v>1</v>
      </c>
      <c r="M896" s="170"/>
    </row>
    <row r="897" spans="2:13" x14ac:dyDescent="0.2">
      <c r="B897" s="173"/>
      <c r="C897" s="694">
        <v>1</v>
      </c>
      <c r="D897" s="695" t="s">
        <v>3903</v>
      </c>
      <c r="E897" s="695">
        <v>1</v>
      </c>
      <c r="F897" s="695" t="s">
        <v>3904</v>
      </c>
      <c r="G897" s="695">
        <v>1</v>
      </c>
      <c r="H897" s="695" t="s">
        <v>3904</v>
      </c>
      <c r="I897" s="695">
        <v>898</v>
      </c>
      <c r="J897" s="695" t="s">
        <v>8720</v>
      </c>
      <c r="K897" s="695" t="s">
        <v>8544</v>
      </c>
      <c r="L897" s="696">
        <v>2</v>
      </c>
      <c r="M897" s="170"/>
    </row>
    <row r="898" spans="2:13" x14ac:dyDescent="0.2">
      <c r="B898" s="173"/>
      <c r="C898" s="694">
        <v>1</v>
      </c>
      <c r="D898" s="695" t="s">
        <v>3903</v>
      </c>
      <c r="E898" s="695">
        <v>1</v>
      </c>
      <c r="F898" s="695" t="s">
        <v>3904</v>
      </c>
      <c r="G898" s="695">
        <v>1</v>
      </c>
      <c r="H898" s="695" t="s">
        <v>3904</v>
      </c>
      <c r="I898" s="695">
        <v>899</v>
      </c>
      <c r="J898" s="695" t="s">
        <v>8721</v>
      </c>
      <c r="K898" s="695" t="s">
        <v>8544</v>
      </c>
      <c r="L898" s="696">
        <v>1</v>
      </c>
      <c r="M898" s="170"/>
    </row>
    <row r="899" spans="2:13" x14ac:dyDescent="0.2">
      <c r="B899" s="173"/>
      <c r="C899" s="694">
        <v>1</v>
      </c>
      <c r="D899" s="695" t="s">
        <v>3903</v>
      </c>
      <c r="E899" s="695">
        <v>1</v>
      </c>
      <c r="F899" s="695" t="s">
        <v>3904</v>
      </c>
      <c r="G899" s="695">
        <v>1</v>
      </c>
      <c r="H899" s="695" t="s">
        <v>3904</v>
      </c>
      <c r="I899" s="695">
        <v>900</v>
      </c>
      <c r="J899" s="695" t="s">
        <v>8722</v>
      </c>
      <c r="K899" s="695" t="s">
        <v>8544</v>
      </c>
      <c r="L899" s="696">
        <v>2</v>
      </c>
      <c r="M899" s="170"/>
    </row>
    <row r="900" spans="2:13" x14ac:dyDescent="0.2">
      <c r="B900" s="173"/>
      <c r="C900" s="694">
        <v>1</v>
      </c>
      <c r="D900" s="695" t="s">
        <v>3903</v>
      </c>
      <c r="E900" s="695">
        <v>1</v>
      </c>
      <c r="F900" s="695" t="s">
        <v>3904</v>
      </c>
      <c r="G900" s="695">
        <v>1</v>
      </c>
      <c r="H900" s="695" t="s">
        <v>3904</v>
      </c>
      <c r="I900" s="695">
        <v>901</v>
      </c>
      <c r="J900" s="695" t="s">
        <v>8723</v>
      </c>
      <c r="K900" s="695" t="s">
        <v>8544</v>
      </c>
      <c r="L900" s="696">
        <v>1</v>
      </c>
      <c r="M900" s="170"/>
    </row>
    <row r="901" spans="2:13" x14ac:dyDescent="0.2">
      <c r="B901" s="173"/>
      <c r="C901" s="694">
        <v>1</v>
      </c>
      <c r="D901" s="695" t="s">
        <v>3903</v>
      </c>
      <c r="E901" s="695">
        <v>1</v>
      </c>
      <c r="F901" s="695" t="s">
        <v>3904</v>
      </c>
      <c r="G901" s="695">
        <v>1</v>
      </c>
      <c r="H901" s="695" t="s">
        <v>3904</v>
      </c>
      <c r="I901" s="695">
        <v>902</v>
      </c>
      <c r="J901" s="695" t="s">
        <v>8724</v>
      </c>
      <c r="K901" s="695" t="s">
        <v>8681</v>
      </c>
      <c r="L901" s="696">
        <v>0</v>
      </c>
      <c r="M901" s="170"/>
    </row>
    <row r="902" spans="2:13" x14ac:dyDescent="0.2">
      <c r="B902" s="173"/>
      <c r="C902" s="694">
        <v>1</v>
      </c>
      <c r="D902" s="695" t="s">
        <v>3903</v>
      </c>
      <c r="E902" s="695">
        <v>1</v>
      </c>
      <c r="F902" s="695" t="s">
        <v>3904</v>
      </c>
      <c r="G902" s="695">
        <v>1</v>
      </c>
      <c r="H902" s="695" t="s">
        <v>3904</v>
      </c>
      <c r="I902" s="695">
        <v>903</v>
      </c>
      <c r="J902" s="695" t="s">
        <v>8725</v>
      </c>
      <c r="K902" s="695" t="s">
        <v>8544</v>
      </c>
      <c r="L902" s="696">
        <v>3</v>
      </c>
      <c r="M902" s="170"/>
    </row>
    <row r="903" spans="2:13" x14ac:dyDescent="0.2">
      <c r="B903" s="173"/>
      <c r="C903" s="694">
        <v>1</v>
      </c>
      <c r="D903" s="695" t="s">
        <v>3903</v>
      </c>
      <c r="E903" s="695">
        <v>1</v>
      </c>
      <c r="F903" s="695" t="s">
        <v>3904</v>
      </c>
      <c r="G903" s="695">
        <v>1</v>
      </c>
      <c r="H903" s="695" t="s">
        <v>3904</v>
      </c>
      <c r="I903" s="695">
        <v>904</v>
      </c>
      <c r="J903" s="695" t="s">
        <v>8726</v>
      </c>
      <c r="K903" s="695" t="s">
        <v>8544</v>
      </c>
      <c r="L903" s="696">
        <v>0</v>
      </c>
      <c r="M903" s="170"/>
    </row>
    <row r="904" spans="2:13" x14ac:dyDescent="0.2">
      <c r="B904" s="173"/>
      <c r="C904" s="694">
        <v>1</v>
      </c>
      <c r="D904" s="695" t="s">
        <v>3903</v>
      </c>
      <c r="E904" s="695">
        <v>1</v>
      </c>
      <c r="F904" s="695" t="s">
        <v>3904</v>
      </c>
      <c r="G904" s="695">
        <v>1</v>
      </c>
      <c r="H904" s="695" t="s">
        <v>3904</v>
      </c>
      <c r="I904" s="695">
        <v>905</v>
      </c>
      <c r="J904" s="695" t="s">
        <v>8727</v>
      </c>
      <c r="K904" s="695" t="s">
        <v>3907</v>
      </c>
      <c r="L904" s="696">
        <v>1</v>
      </c>
      <c r="M904" s="170"/>
    </row>
    <row r="905" spans="2:13" x14ac:dyDescent="0.2">
      <c r="B905" s="173"/>
      <c r="C905" s="694">
        <v>1</v>
      </c>
      <c r="D905" s="695" t="s">
        <v>3903</v>
      </c>
      <c r="E905" s="695">
        <v>1</v>
      </c>
      <c r="F905" s="695" t="s">
        <v>3904</v>
      </c>
      <c r="G905" s="695">
        <v>1</v>
      </c>
      <c r="H905" s="695" t="s">
        <v>3904</v>
      </c>
      <c r="I905" s="695">
        <v>906</v>
      </c>
      <c r="J905" s="695" t="s">
        <v>8728</v>
      </c>
      <c r="K905" s="695" t="s">
        <v>3985</v>
      </c>
      <c r="L905" s="696">
        <v>1</v>
      </c>
      <c r="M905" s="170"/>
    </row>
    <row r="906" spans="2:13" x14ac:dyDescent="0.2">
      <c r="B906" s="173"/>
      <c r="C906" s="694">
        <v>1</v>
      </c>
      <c r="D906" s="695" t="s">
        <v>3903</v>
      </c>
      <c r="E906" s="695">
        <v>1</v>
      </c>
      <c r="F906" s="695" t="s">
        <v>3904</v>
      </c>
      <c r="G906" s="695">
        <v>1</v>
      </c>
      <c r="H906" s="695" t="s">
        <v>3904</v>
      </c>
      <c r="I906" s="695">
        <v>907</v>
      </c>
      <c r="J906" s="695" t="s">
        <v>8729</v>
      </c>
      <c r="K906" s="695" t="s">
        <v>8544</v>
      </c>
      <c r="L906" s="696">
        <v>1</v>
      </c>
      <c r="M906" s="170"/>
    </row>
    <row r="907" spans="2:13" x14ac:dyDescent="0.2">
      <c r="B907" s="173"/>
      <c r="C907" s="694">
        <v>1</v>
      </c>
      <c r="D907" s="695" t="s">
        <v>3903</v>
      </c>
      <c r="E907" s="695">
        <v>1</v>
      </c>
      <c r="F907" s="695" t="s">
        <v>3904</v>
      </c>
      <c r="G907" s="695">
        <v>1</v>
      </c>
      <c r="H907" s="695" t="s">
        <v>3904</v>
      </c>
      <c r="I907" s="695">
        <v>908</v>
      </c>
      <c r="J907" s="695" t="s">
        <v>8730</v>
      </c>
      <c r="K907" s="695" t="s">
        <v>3985</v>
      </c>
      <c r="L907" s="696">
        <v>1</v>
      </c>
      <c r="M907" s="170"/>
    </row>
    <row r="908" spans="2:13" x14ac:dyDescent="0.2">
      <c r="B908" s="173"/>
      <c r="C908" s="694">
        <v>1</v>
      </c>
      <c r="D908" s="695" t="s">
        <v>3903</v>
      </c>
      <c r="E908" s="695">
        <v>1</v>
      </c>
      <c r="F908" s="695" t="s">
        <v>3904</v>
      </c>
      <c r="G908" s="695">
        <v>1</v>
      </c>
      <c r="H908" s="695" t="s">
        <v>3904</v>
      </c>
      <c r="I908" s="695">
        <v>909</v>
      </c>
      <c r="J908" s="695" t="s">
        <v>8731</v>
      </c>
      <c r="K908" s="695" t="s">
        <v>8544</v>
      </c>
      <c r="L908" s="696">
        <v>1</v>
      </c>
      <c r="M908" s="170"/>
    </row>
    <row r="909" spans="2:13" x14ac:dyDescent="0.2">
      <c r="B909" s="173"/>
      <c r="C909" s="694">
        <v>1</v>
      </c>
      <c r="D909" s="695" t="s">
        <v>3903</v>
      </c>
      <c r="E909" s="695">
        <v>1</v>
      </c>
      <c r="F909" s="695" t="s">
        <v>3904</v>
      </c>
      <c r="G909" s="695">
        <v>1</v>
      </c>
      <c r="H909" s="695" t="s">
        <v>3904</v>
      </c>
      <c r="I909" s="695">
        <v>910</v>
      </c>
      <c r="J909" s="695" t="s">
        <v>8732</v>
      </c>
      <c r="K909" s="695" t="s">
        <v>8544</v>
      </c>
      <c r="L909" s="696">
        <v>1</v>
      </c>
      <c r="M909" s="170"/>
    </row>
    <row r="910" spans="2:13" x14ac:dyDescent="0.2">
      <c r="B910" s="173"/>
      <c r="C910" s="694">
        <v>1</v>
      </c>
      <c r="D910" s="695" t="s">
        <v>3903</v>
      </c>
      <c r="E910" s="695">
        <v>1</v>
      </c>
      <c r="F910" s="695" t="s">
        <v>3904</v>
      </c>
      <c r="G910" s="695">
        <v>1</v>
      </c>
      <c r="H910" s="695" t="s">
        <v>3904</v>
      </c>
      <c r="I910" s="695">
        <v>911</v>
      </c>
      <c r="J910" s="695" t="s">
        <v>8733</v>
      </c>
      <c r="K910" s="695" t="s">
        <v>8544</v>
      </c>
      <c r="L910" s="696">
        <v>0</v>
      </c>
      <c r="M910" s="170"/>
    </row>
    <row r="911" spans="2:13" x14ac:dyDescent="0.2">
      <c r="B911" s="173"/>
      <c r="C911" s="694">
        <v>1</v>
      </c>
      <c r="D911" s="695" t="s">
        <v>3903</v>
      </c>
      <c r="E911" s="695">
        <v>1</v>
      </c>
      <c r="F911" s="695" t="s">
        <v>3904</v>
      </c>
      <c r="G911" s="695">
        <v>1</v>
      </c>
      <c r="H911" s="695" t="s">
        <v>3904</v>
      </c>
      <c r="I911" s="695">
        <v>912</v>
      </c>
      <c r="J911" s="695" t="s">
        <v>8734</v>
      </c>
      <c r="K911" s="695" t="s">
        <v>8544</v>
      </c>
      <c r="L911" s="696">
        <v>0</v>
      </c>
      <c r="M911" s="170"/>
    </row>
    <row r="912" spans="2:13" x14ac:dyDescent="0.2">
      <c r="B912" s="173"/>
      <c r="C912" s="694">
        <v>1</v>
      </c>
      <c r="D912" s="695" t="s">
        <v>3903</v>
      </c>
      <c r="E912" s="695">
        <v>1</v>
      </c>
      <c r="F912" s="695" t="s">
        <v>3904</v>
      </c>
      <c r="G912" s="695">
        <v>1</v>
      </c>
      <c r="H912" s="695" t="s">
        <v>3904</v>
      </c>
      <c r="I912" s="695">
        <v>913</v>
      </c>
      <c r="J912" s="695" t="s">
        <v>8735</v>
      </c>
      <c r="K912" s="695" t="s">
        <v>8544</v>
      </c>
      <c r="L912" s="696">
        <v>0</v>
      </c>
      <c r="M912" s="170"/>
    </row>
    <row r="913" spans="2:13" x14ac:dyDescent="0.2">
      <c r="B913" s="173"/>
      <c r="C913" s="694">
        <v>1</v>
      </c>
      <c r="D913" s="695" t="s">
        <v>3903</v>
      </c>
      <c r="E913" s="695">
        <v>1</v>
      </c>
      <c r="F913" s="695" t="s">
        <v>3904</v>
      </c>
      <c r="G913" s="695">
        <v>1</v>
      </c>
      <c r="H913" s="695" t="s">
        <v>3904</v>
      </c>
      <c r="I913" s="695">
        <v>914</v>
      </c>
      <c r="J913" s="695" t="s">
        <v>8736</v>
      </c>
      <c r="K913" s="695" t="s">
        <v>8544</v>
      </c>
      <c r="L913" s="696">
        <v>0</v>
      </c>
      <c r="M913" s="170"/>
    </row>
    <row r="914" spans="2:13" x14ac:dyDescent="0.2">
      <c r="B914" s="173"/>
      <c r="C914" s="694">
        <v>1</v>
      </c>
      <c r="D914" s="695" t="s">
        <v>3903</v>
      </c>
      <c r="E914" s="695">
        <v>1</v>
      </c>
      <c r="F914" s="695" t="s">
        <v>3904</v>
      </c>
      <c r="G914" s="695">
        <v>1</v>
      </c>
      <c r="H914" s="695" t="s">
        <v>3904</v>
      </c>
      <c r="I914" s="695">
        <v>915</v>
      </c>
      <c r="J914" s="695" t="s">
        <v>8737</v>
      </c>
      <c r="K914" s="695" t="s">
        <v>8544</v>
      </c>
      <c r="L914" s="696">
        <v>0</v>
      </c>
      <c r="M914" s="170"/>
    </row>
    <row r="915" spans="2:13" x14ac:dyDescent="0.2">
      <c r="B915" s="173"/>
      <c r="C915" s="694">
        <v>1</v>
      </c>
      <c r="D915" s="695" t="s">
        <v>3903</v>
      </c>
      <c r="E915" s="695">
        <v>2</v>
      </c>
      <c r="F915" s="695" t="s">
        <v>4605</v>
      </c>
      <c r="G915" s="695">
        <v>1</v>
      </c>
      <c r="H915" s="695" t="s">
        <v>4605</v>
      </c>
      <c r="I915" s="695">
        <v>1</v>
      </c>
      <c r="J915" s="695" t="s">
        <v>4606</v>
      </c>
      <c r="K915" s="695" t="s">
        <v>3907</v>
      </c>
      <c r="L915" s="696">
        <v>8</v>
      </c>
      <c r="M915" s="170"/>
    </row>
    <row r="916" spans="2:13" x14ac:dyDescent="0.2">
      <c r="B916" s="173"/>
      <c r="C916" s="694">
        <v>1</v>
      </c>
      <c r="D916" s="695" t="s">
        <v>3903</v>
      </c>
      <c r="E916" s="695">
        <v>2</v>
      </c>
      <c r="F916" s="695" t="s">
        <v>4605</v>
      </c>
      <c r="G916" s="695">
        <v>1</v>
      </c>
      <c r="H916" s="695" t="s">
        <v>4605</v>
      </c>
      <c r="I916" s="695">
        <v>2</v>
      </c>
      <c r="J916" s="695" t="s">
        <v>4607</v>
      </c>
      <c r="K916" s="695" t="s">
        <v>3907</v>
      </c>
      <c r="L916" s="696">
        <v>57</v>
      </c>
      <c r="M916" s="170"/>
    </row>
    <row r="917" spans="2:13" x14ac:dyDescent="0.2">
      <c r="B917" s="173"/>
      <c r="C917" s="694">
        <v>1</v>
      </c>
      <c r="D917" s="695" t="s">
        <v>3903</v>
      </c>
      <c r="E917" s="695">
        <v>2</v>
      </c>
      <c r="F917" s="695" t="s">
        <v>4605</v>
      </c>
      <c r="G917" s="695">
        <v>1</v>
      </c>
      <c r="H917" s="695" t="s">
        <v>4605</v>
      </c>
      <c r="I917" s="695">
        <v>3</v>
      </c>
      <c r="J917" s="695" t="s">
        <v>4608</v>
      </c>
      <c r="K917" s="695" t="s">
        <v>3907</v>
      </c>
      <c r="L917" s="696">
        <v>31</v>
      </c>
      <c r="M917" s="170"/>
    </row>
    <row r="918" spans="2:13" x14ac:dyDescent="0.2">
      <c r="B918" s="173"/>
      <c r="C918" s="694">
        <v>1</v>
      </c>
      <c r="D918" s="695" t="s">
        <v>3903</v>
      </c>
      <c r="E918" s="695">
        <v>2</v>
      </c>
      <c r="F918" s="695" t="s">
        <v>4605</v>
      </c>
      <c r="G918" s="695">
        <v>1</v>
      </c>
      <c r="H918" s="695" t="s">
        <v>4605</v>
      </c>
      <c r="I918" s="695">
        <v>4</v>
      </c>
      <c r="J918" s="695" t="s">
        <v>4609</v>
      </c>
      <c r="K918" s="695" t="s">
        <v>3907</v>
      </c>
      <c r="L918" s="696">
        <v>100</v>
      </c>
      <c r="M918" s="170"/>
    </row>
    <row r="919" spans="2:13" x14ac:dyDescent="0.2">
      <c r="B919" s="173"/>
      <c r="C919" s="694">
        <v>1</v>
      </c>
      <c r="D919" s="695" t="s">
        <v>3903</v>
      </c>
      <c r="E919" s="695">
        <v>2</v>
      </c>
      <c r="F919" s="695" t="s">
        <v>4605</v>
      </c>
      <c r="G919" s="695">
        <v>1</v>
      </c>
      <c r="H919" s="695" t="s">
        <v>4605</v>
      </c>
      <c r="I919" s="695">
        <v>5</v>
      </c>
      <c r="J919" s="695" t="s">
        <v>4610</v>
      </c>
      <c r="K919" s="695" t="s">
        <v>3907</v>
      </c>
      <c r="L919" s="696">
        <v>2013</v>
      </c>
      <c r="M919" s="170"/>
    </row>
    <row r="920" spans="2:13" x14ac:dyDescent="0.2">
      <c r="B920" s="173"/>
      <c r="C920" s="694">
        <v>1</v>
      </c>
      <c r="D920" s="695" t="s">
        <v>3903</v>
      </c>
      <c r="E920" s="695">
        <v>2</v>
      </c>
      <c r="F920" s="695" t="s">
        <v>4605</v>
      </c>
      <c r="G920" s="695">
        <v>1</v>
      </c>
      <c r="H920" s="695" t="s">
        <v>4605</v>
      </c>
      <c r="I920" s="695">
        <v>6</v>
      </c>
      <c r="J920" s="695" t="s">
        <v>4611</v>
      </c>
      <c r="K920" s="695" t="s">
        <v>3907</v>
      </c>
      <c r="L920" s="696">
        <v>14</v>
      </c>
      <c r="M920" s="170"/>
    </row>
    <row r="921" spans="2:13" x14ac:dyDescent="0.2">
      <c r="B921" s="173"/>
      <c r="C921" s="694">
        <v>1</v>
      </c>
      <c r="D921" s="695" t="s">
        <v>3903</v>
      </c>
      <c r="E921" s="695">
        <v>2</v>
      </c>
      <c r="F921" s="695" t="s">
        <v>4605</v>
      </c>
      <c r="G921" s="695">
        <v>1</v>
      </c>
      <c r="H921" s="695" t="s">
        <v>4605</v>
      </c>
      <c r="I921" s="695">
        <v>8</v>
      </c>
      <c r="J921" s="695" t="s">
        <v>4612</v>
      </c>
      <c r="K921" s="695" t="s">
        <v>3907</v>
      </c>
      <c r="L921" s="696">
        <v>36</v>
      </c>
      <c r="M921" s="170"/>
    </row>
    <row r="922" spans="2:13" x14ac:dyDescent="0.2">
      <c r="B922" s="173"/>
      <c r="C922" s="694">
        <v>1</v>
      </c>
      <c r="D922" s="695" t="s">
        <v>3903</v>
      </c>
      <c r="E922" s="695">
        <v>2</v>
      </c>
      <c r="F922" s="695" t="s">
        <v>4605</v>
      </c>
      <c r="G922" s="695">
        <v>1</v>
      </c>
      <c r="H922" s="695" t="s">
        <v>4605</v>
      </c>
      <c r="I922" s="695">
        <v>9</v>
      </c>
      <c r="J922" s="695" t="s">
        <v>4613</v>
      </c>
      <c r="K922" s="695" t="s">
        <v>3907</v>
      </c>
      <c r="L922" s="696">
        <v>16618</v>
      </c>
      <c r="M922" s="170"/>
    </row>
    <row r="923" spans="2:13" x14ac:dyDescent="0.2">
      <c r="B923" s="173"/>
      <c r="C923" s="694">
        <v>1</v>
      </c>
      <c r="D923" s="695" t="s">
        <v>3903</v>
      </c>
      <c r="E923" s="695">
        <v>2</v>
      </c>
      <c r="F923" s="695" t="s">
        <v>4605</v>
      </c>
      <c r="G923" s="695">
        <v>1</v>
      </c>
      <c r="H923" s="695" t="s">
        <v>4605</v>
      </c>
      <c r="I923" s="695">
        <v>10</v>
      </c>
      <c r="J923" s="695" t="s">
        <v>4614</v>
      </c>
      <c r="K923" s="695" t="s">
        <v>3907</v>
      </c>
      <c r="L923" s="696">
        <v>18</v>
      </c>
      <c r="M923" s="170"/>
    </row>
    <row r="924" spans="2:13" x14ac:dyDescent="0.2">
      <c r="B924" s="173"/>
      <c r="C924" s="694">
        <v>1</v>
      </c>
      <c r="D924" s="695" t="s">
        <v>3903</v>
      </c>
      <c r="E924" s="695">
        <v>2</v>
      </c>
      <c r="F924" s="695" t="s">
        <v>4605</v>
      </c>
      <c r="G924" s="695">
        <v>1</v>
      </c>
      <c r="H924" s="695" t="s">
        <v>4605</v>
      </c>
      <c r="I924" s="695">
        <v>11</v>
      </c>
      <c r="J924" s="695" t="s">
        <v>4615</v>
      </c>
      <c r="K924" s="695" t="s">
        <v>3907</v>
      </c>
      <c r="L924" s="696">
        <v>3734</v>
      </c>
      <c r="M924" s="170"/>
    </row>
    <row r="925" spans="2:13" x14ac:dyDescent="0.2">
      <c r="B925" s="173"/>
      <c r="C925" s="694">
        <v>1</v>
      </c>
      <c r="D925" s="695" t="s">
        <v>3903</v>
      </c>
      <c r="E925" s="695">
        <v>2</v>
      </c>
      <c r="F925" s="695" t="s">
        <v>4605</v>
      </c>
      <c r="G925" s="695">
        <v>1</v>
      </c>
      <c r="H925" s="695" t="s">
        <v>4605</v>
      </c>
      <c r="I925" s="695">
        <v>12</v>
      </c>
      <c r="J925" s="695" t="s">
        <v>4616</v>
      </c>
      <c r="K925" s="695" t="s">
        <v>3907</v>
      </c>
      <c r="L925" s="696">
        <v>65</v>
      </c>
      <c r="M925" s="170"/>
    </row>
    <row r="926" spans="2:13" x14ac:dyDescent="0.2">
      <c r="B926" s="173"/>
      <c r="C926" s="694">
        <v>1</v>
      </c>
      <c r="D926" s="695" t="s">
        <v>3903</v>
      </c>
      <c r="E926" s="695">
        <v>2</v>
      </c>
      <c r="F926" s="695" t="s">
        <v>4605</v>
      </c>
      <c r="G926" s="695">
        <v>1</v>
      </c>
      <c r="H926" s="695" t="s">
        <v>4605</v>
      </c>
      <c r="I926" s="695">
        <v>13</v>
      </c>
      <c r="J926" s="695" t="s">
        <v>4617</v>
      </c>
      <c r="K926" s="695" t="s">
        <v>3907</v>
      </c>
      <c r="L926" s="696">
        <v>7</v>
      </c>
      <c r="M926" s="170"/>
    </row>
    <row r="927" spans="2:13" x14ac:dyDescent="0.2">
      <c r="B927" s="173"/>
      <c r="C927" s="694">
        <v>1</v>
      </c>
      <c r="D927" s="695" t="s">
        <v>3903</v>
      </c>
      <c r="E927" s="695">
        <v>2</v>
      </c>
      <c r="F927" s="695" t="s">
        <v>4605</v>
      </c>
      <c r="G927" s="695">
        <v>1</v>
      </c>
      <c r="H927" s="695" t="s">
        <v>4605</v>
      </c>
      <c r="I927" s="695">
        <v>14</v>
      </c>
      <c r="J927" s="695" t="s">
        <v>4618</v>
      </c>
      <c r="K927" s="695" t="s">
        <v>3907</v>
      </c>
      <c r="L927" s="696">
        <v>6</v>
      </c>
      <c r="M927" s="170"/>
    </row>
    <row r="928" spans="2:13" x14ac:dyDescent="0.2">
      <c r="B928" s="173"/>
      <c r="C928" s="694">
        <v>1</v>
      </c>
      <c r="D928" s="695" t="s">
        <v>3903</v>
      </c>
      <c r="E928" s="695">
        <v>2</v>
      </c>
      <c r="F928" s="695" t="s">
        <v>4605</v>
      </c>
      <c r="G928" s="695">
        <v>1</v>
      </c>
      <c r="H928" s="695" t="s">
        <v>4605</v>
      </c>
      <c r="I928" s="695">
        <v>15</v>
      </c>
      <c r="J928" s="695" t="s">
        <v>4619</v>
      </c>
      <c r="K928" s="695" t="s">
        <v>3907</v>
      </c>
      <c r="L928" s="696">
        <v>10</v>
      </c>
      <c r="M928" s="170"/>
    </row>
    <row r="929" spans="2:13" x14ac:dyDescent="0.2">
      <c r="B929" s="173"/>
      <c r="C929" s="694">
        <v>1</v>
      </c>
      <c r="D929" s="695" t="s">
        <v>3903</v>
      </c>
      <c r="E929" s="695">
        <v>2</v>
      </c>
      <c r="F929" s="695" t="s">
        <v>4605</v>
      </c>
      <c r="G929" s="695">
        <v>1</v>
      </c>
      <c r="H929" s="695" t="s">
        <v>4605</v>
      </c>
      <c r="I929" s="695">
        <v>16</v>
      </c>
      <c r="J929" s="695" t="s">
        <v>4620</v>
      </c>
      <c r="K929" s="695" t="s">
        <v>3907</v>
      </c>
      <c r="L929" s="696">
        <v>466</v>
      </c>
      <c r="M929" s="170"/>
    </row>
    <row r="930" spans="2:13" x14ac:dyDescent="0.2">
      <c r="B930" s="173"/>
      <c r="C930" s="694">
        <v>1</v>
      </c>
      <c r="D930" s="695" t="s">
        <v>3903</v>
      </c>
      <c r="E930" s="695">
        <v>2</v>
      </c>
      <c r="F930" s="695" t="s">
        <v>4605</v>
      </c>
      <c r="G930" s="695">
        <v>1</v>
      </c>
      <c r="H930" s="695" t="s">
        <v>4605</v>
      </c>
      <c r="I930" s="695">
        <v>17</v>
      </c>
      <c r="J930" s="695" t="s">
        <v>4621</v>
      </c>
      <c r="K930" s="695" t="s">
        <v>3907</v>
      </c>
      <c r="L930" s="696">
        <v>5</v>
      </c>
      <c r="M930" s="170"/>
    </row>
    <row r="931" spans="2:13" x14ac:dyDescent="0.2">
      <c r="B931" s="173"/>
      <c r="C931" s="694">
        <v>1</v>
      </c>
      <c r="D931" s="695" t="s">
        <v>3903</v>
      </c>
      <c r="E931" s="695">
        <v>2</v>
      </c>
      <c r="F931" s="695" t="s">
        <v>4605</v>
      </c>
      <c r="G931" s="695">
        <v>1</v>
      </c>
      <c r="H931" s="695" t="s">
        <v>4605</v>
      </c>
      <c r="I931" s="695">
        <v>18</v>
      </c>
      <c r="J931" s="695" t="s">
        <v>4622</v>
      </c>
      <c r="K931" s="695" t="s">
        <v>3907</v>
      </c>
      <c r="L931" s="696">
        <v>3</v>
      </c>
      <c r="M931" s="170"/>
    </row>
    <row r="932" spans="2:13" x14ac:dyDescent="0.2">
      <c r="B932" s="173"/>
      <c r="C932" s="694">
        <v>1</v>
      </c>
      <c r="D932" s="695" t="s">
        <v>3903</v>
      </c>
      <c r="E932" s="695">
        <v>2</v>
      </c>
      <c r="F932" s="695" t="s">
        <v>4605</v>
      </c>
      <c r="G932" s="695">
        <v>1</v>
      </c>
      <c r="H932" s="695" t="s">
        <v>4605</v>
      </c>
      <c r="I932" s="695">
        <v>19</v>
      </c>
      <c r="J932" s="695" t="s">
        <v>4623</v>
      </c>
      <c r="K932" s="695" t="s">
        <v>3907</v>
      </c>
      <c r="L932" s="696">
        <v>8</v>
      </c>
      <c r="M932" s="170"/>
    </row>
    <row r="933" spans="2:13" x14ac:dyDescent="0.2">
      <c r="B933" s="173"/>
      <c r="C933" s="694">
        <v>1</v>
      </c>
      <c r="D933" s="695" t="s">
        <v>3903</v>
      </c>
      <c r="E933" s="695">
        <v>2</v>
      </c>
      <c r="F933" s="695" t="s">
        <v>4605</v>
      </c>
      <c r="G933" s="695">
        <v>1</v>
      </c>
      <c r="H933" s="695" t="s">
        <v>4605</v>
      </c>
      <c r="I933" s="695">
        <v>21</v>
      </c>
      <c r="J933" s="695" t="s">
        <v>4624</v>
      </c>
      <c r="K933" s="695" t="s">
        <v>3907</v>
      </c>
      <c r="L933" s="696">
        <v>20</v>
      </c>
      <c r="M933" s="170"/>
    </row>
    <row r="934" spans="2:13" x14ac:dyDescent="0.2">
      <c r="B934" s="173"/>
      <c r="C934" s="694">
        <v>1</v>
      </c>
      <c r="D934" s="695" t="s">
        <v>3903</v>
      </c>
      <c r="E934" s="695">
        <v>2</v>
      </c>
      <c r="F934" s="695" t="s">
        <v>4605</v>
      </c>
      <c r="G934" s="695">
        <v>1</v>
      </c>
      <c r="H934" s="695" t="s">
        <v>4605</v>
      </c>
      <c r="I934" s="695">
        <v>22</v>
      </c>
      <c r="J934" s="695" t="s">
        <v>4497</v>
      </c>
      <c r="K934" s="695" t="s">
        <v>3985</v>
      </c>
      <c r="L934" s="696">
        <v>74</v>
      </c>
      <c r="M934" s="170"/>
    </row>
    <row r="935" spans="2:13" x14ac:dyDescent="0.2">
      <c r="B935" s="173"/>
      <c r="C935" s="694">
        <v>1</v>
      </c>
      <c r="D935" s="695" t="s">
        <v>3903</v>
      </c>
      <c r="E935" s="695">
        <v>2</v>
      </c>
      <c r="F935" s="695" t="s">
        <v>4605</v>
      </c>
      <c r="G935" s="695">
        <v>1</v>
      </c>
      <c r="H935" s="695" t="s">
        <v>4605</v>
      </c>
      <c r="I935" s="695">
        <v>23</v>
      </c>
      <c r="J935" s="695" t="s">
        <v>4625</v>
      </c>
      <c r="K935" s="695" t="s">
        <v>3907</v>
      </c>
      <c r="L935" s="696">
        <v>2</v>
      </c>
      <c r="M935" s="170"/>
    </row>
    <row r="936" spans="2:13" x14ac:dyDescent="0.2">
      <c r="B936" s="173"/>
      <c r="C936" s="694">
        <v>1</v>
      </c>
      <c r="D936" s="695" t="s">
        <v>3903</v>
      </c>
      <c r="E936" s="695">
        <v>2</v>
      </c>
      <c r="F936" s="695" t="s">
        <v>4605</v>
      </c>
      <c r="G936" s="695">
        <v>1</v>
      </c>
      <c r="H936" s="695" t="s">
        <v>4605</v>
      </c>
      <c r="I936" s="695">
        <v>24</v>
      </c>
      <c r="J936" s="695" t="s">
        <v>4626</v>
      </c>
      <c r="K936" s="695" t="s">
        <v>3985</v>
      </c>
      <c r="L936" s="696">
        <v>10</v>
      </c>
      <c r="M936" s="170"/>
    </row>
    <row r="937" spans="2:13" x14ac:dyDescent="0.2">
      <c r="B937" s="173"/>
      <c r="C937" s="694">
        <v>1</v>
      </c>
      <c r="D937" s="695" t="s">
        <v>3903</v>
      </c>
      <c r="E937" s="695">
        <v>2</v>
      </c>
      <c r="F937" s="695" t="s">
        <v>4605</v>
      </c>
      <c r="G937" s="695">
        <v>1</v>
      </c>
      <c r="H937" s="695" t="s">
        <v>4605</v>
      </c>
      <c r="I937" s="695">
        <v>25</v>
      </c>
      <c r="J937" s="695" t="s">
        <v>4627</v>
      </c>
      <c r="K937" s="695" t="s">
        <v>3907</v>
      </c>
      <c r="L937" s="696">
        <v>16</v>
      </c>
      <c r="M937" s="170"/>
    </row>
    <row r="938" spans="2:13" x14ac:dyDescent="0.2">
      <c r="B938" s="173"/>
      <c r="C938" s="694">
        <v>1</v>
      </c>
      <c r="D938" s="695" t="s">
        <v>3903</v>
      </c>
      <c r="E938" s="695">
        <v>2</v>
      </c>
      <c r="F938" s="695" t="s">
        <v>4605</v>
      </c>
      <c r="G938" s="695">
        <v>1</v>
      </c>
      <c r="H938" s="695" t="s">
        <v>4605</v>
      </c>
      <c r="I938" s="695">
        <v>26</v>
      </c>
      <c r="J938" s="695" t="s">
        <v>4628</v>
      </c>
      <c r="K938" s="695" t="s">
        <v>8544</v>
      </c>
      <c r="L938" s="696">
        <v>7</v>
      </c>
      <c r="M938" s="170"/>
    </row>
    <row r="939" spans="2:13" x14ac:dyDescent="0.2">
      <c r="B939" s="173"/>
      <c r="C939" s="694">
        <v>1</v>
      </c>
      <c r="D939" s="695" t="s">
        <v>3903</v>
      </c>
      <c r="E939" s="695">
        <v>2</v>
      </c>
      <c r="F939" s="695" t="s">
        <v>4605</v>
      </c>
      <c r="G939" s="695">
        <v>1</v>
      </c>
      <c r="H939" s="695" t="s">
        <v>4605</v>
      </c>
      <c r="I939" s="695">
        <v>27</v>
      </c>
      <c r="J939" s="695" t="s">
        <v>4629</v>
      </c>
      <c r="K939" s="695" t="s">
        <v>3907</v>
      </c>
      <c r="L939" s="696">
        <v>0</v>
      </c>
      <c r="M939" s="170"/>
    </row>
    <row r="940" spans="2:13" x14ac:dyDescent="0.2">
      <c r="B940" s="173"/>
      <c r="C940" s="694">
        <v>1</v>
      </c>
      <c r="D940" s="695" t="s">
        <v>3903</v>
      </c>
      <c r="E940" s="695">
        <v>2</v>
      </c>
      <c r="F940" s="695" t="s">
        <v>4605</v>
      </c>
      <c r="G940" s="695">
        <v>1</v>
      </c>
      <c r="H940" s="695" t="s">
        <v>4605</v>
      </c>
      <c r="I940" s="695">
        <v>28</v>
      </c>
      <c r="J940" s="695" t="s">
        <v>4630</v>
      </c>
      <c r="K940" s="695" t="s">
        <v>8544</v>
      </c>
      <c r="L940" s="696">
        <v>3</v>
      </c>
      <c r="M940" s="170"/>
    </row>
    <row r="941" spans="2:13" x14ac:dyDescent="0.2">
      <c r="B941" s="173"/>
      <c r="C941" s="694">
        <v>1</v>
      </c>
      <c r="D941" s="695" t="s">
        <v>3903</v>
      </c>
      <c r="E941" s="695">
        <v>2</v>
      </c>
      <c r="F941" s="695" t="s">
        <v>4605</v>
      </c>
      <c r="G941" s="695">
        <v>1</v>
      </c>
      <c r="H941" s="695" t="s">
        <v>4605</v>
      </c>
      <c r="I941" s="695">
        <v>29</v>
      </c>
      <c r="J941" s="695" t="s">
        <v>4631</v>
      </c>
      <c r="K941" s="695" t="s">
        <v>8544</v>
      </c>
      <c r="L941" s="696">
        <v>2</v>
      </c>
      <c r="M941" s="170"/>
    </row>
    <row r="942" spans="2:13" x14ac:dyDescent="0.2">
      <c r="B942" s="173"/>
      <c r="C942" s="694">
        <v>1</v>
      </c>
      <c r="D942" s="695" t="s">
        <v>3903</v>
      </c>
      <c r="E942" s="695">
        <v>2</v>
      </c>
      <c r="F942" s="695" t="s">
        <v>4605</v>
      </c>
      <c r="G942" s="695">
        <v>1</v>
      </c>
      <c r="H942" s="695" t="s">
        <v>4605</v>
      </c>
      <c r="I942" s="695">
        <v>31</v>
      </c>
      <c r="J942" s="695" t="s">
        <v>4632</v>
      </c>
      <c r="K942" s="695" t="s">
        <v>8544</v>
      </c>
      <c r="L942" s="696">
        <v>8</v>
      </c>
      <c r="M942" s="170"/>
    </row>
    <row r="943" spans="2:13" x14ac:dyDescent="0.2">
      <c r="B943" s="173"/>
      <c r="C943" s="694">
        <v>1</v>
      </c>
      <c r="D943" s="695" t="s">
        <v>3903</v>
      </c>
      <c r="E943" s="695">
        <v>2</v>
      </c>
      <c r="F943" s="695" t="s">
        <v>4605</v>
      </c>
      <c r="G943" s="695">
        <v>1</v>
      </c>
      <c r="H943" s="695" t="s">
        <v>4605</v>
      </c>
      <c r="I943" s="695">
        <v>32</v>
      </c>
      <c r="J943" s="695" t="s">
        <v>4633</v>
      </c>
      <c r="K943" s="695" t="s">
        <v>4057</v>
      </c>
      <c r="L943" s="696">
        <v>23</v>
      </c>
      <c r="M943" s="170"/>
    </row>
    <row r="944" spans="2:13" x14ac:dyDescent="0.2">
      <c r="B944" s="173"/>
      <c r="C944" s="694">
        <v>1</v>
      </c>
      <c r="D944" s="695" t="s">
        <v>3903</v>
      </c>
      <c r="E944" s="695">
        <v>2</v>
      </c>
      <c r="F944" s="695" t="s">
        <v>4605</v>
      </c>
      <c r="G944" s="695">
        <v>1</v>
      </c>
      <c r="H944" s="695" t="s">
        <v>4605</v>
      </c>
      <c r="I944" s="695">
        <v>33</v>
      </c>
      <c r="J944" s="695" t="s">
        <v>4634</v>
      </c>
      <c r="K944" s="695" t="s">
        <v>3985</v>
      </c>
      <c r="L944" s="696">
        <v>0</v>
      </c>
      <c r="M944" s="170"/>
    </row>
    <row r="945" spans="2:13" x14ac:dyDescent="0.2">
      <c r="B945" s="173"/>
      <c r="C945" s="694">
        <v>1</v>
      </c>
      <c r="D945" s="695" t="s">
        <v>3903</v>
      </c>
      <c r="E945" s="695">
        <v>2</v>
      </c>
      <c r="F945" s="695" t="s">
        <v>4605</v>
      </c>
      <c r="G945" s="695">
        <v>1</v>
      </c>
      <c r="H945" s="695" t="s">
        <v>4605</v>
      </c>
      <c r="I945" s="695">
        <v>34</v>
      </c>
      <c r="J945" s="695" t="s">
        <v>4635</v>
      </c>
      <c r="K945" s="695" t="s">
        <v>3907</v>
      </c>
      <c r="L945" s="696">
        <v>50</v>
      </c>
      <c r="M945" s="170"/>
    </row>
    <row r="946" spans="2:13" x14ac:dyDescent="0.2">
      <c r="B946" s="173"/>
      <c r="C946" s="694">
        <v>1</v>
      </c>
      <c r="D946" s="695" t="s">
        <v>3903</v>
      </c>
      <c r="E946" s="695">
        <v>2</v>
      </c>
      <c r="F946" s="695" t="s">
        <v>4605</v>
      </c>
      <c r="G946" s="695">
        <v>1</v>
      </c>
      <c r="H946" s="695" t="s">
        <v>4605</v>
      </c>
      <c r="I946" s="695">
        <v>35</v>
      </c>
      <c r="J946" s="695" t="s">
        <v>4636</v>
      </c>
      <c r="K946" s="695" t="s">
        <v>8544</v>
      </c>
      <c r="L946" s="696">
        <v>29</v>
      </c>
      <c r="M946" s="170"/>
    </row>
    <row r="947" spans="2:13" x14ac:dyDescent="0.2">
      <c r="B947" s="173"/>
      <c r="C947" s="694">
        <v>1</v>
      </c>
      <c r="D947" s="695" t="s">
        <v>3903</v>
      </c>
      <c r="E947" s="695">
        <v>2</v>
      </c>
      <c r="F947" s="695" t="s">
        <v>4605</v>
      </c>
      <c r="G947" s="695">
        <v>1</v>
      </c>
      <c r="H947" s="695" t="s">
        <v>4605</v>
      </c>
      <c r="I947" s="695">
        <v>36</v>
      </c>
      <c r="J947" s="695" t="s">
        <v>4637</v>
      </c>
      <c r="K947" s="695" t="s">
        <v>8544</v>
      </c>
      <c r="L947" s="696">
        <v>11</v>
      </c>
      <c r="M947" s="170"/>
    </row>
    <row r="948" spans="2:13" x14ac:dyDescent="0.2">
      <c r="B948" s="173"/>
      <c r="C948" s="694">
        <v>1</v>
      </c>
      <c r="D948" s="695" t="s">
        <v>3903</v>
      </c>
      <c r="E948" s="695">
        <v>2</v>
      </c>
      <c r="F948" s="695" t="s">
        <v>4605</v>
      </c>
      <c r="G948" s="695">
        <v>1</v>
      </c>
      <c r="H948" s="695" t="s">
        <v>4605</v>
      </c>
      <c r="I948" s="695">
        <v>37</v>
      </c>
      <c r="J948" s="695" t="s">
        <v>4638</v>
      </c>
      <c r="K948" s="695" t="s">
        <v>8544</v>
      </c>
      <c r="L948" s="696">
        <v>3</v>
      </c>
      <c r="M948" s="170"/>
    </row>
    <row r="949" spans="2:13" x14ac:dyDescent="0.2">
      <c r="B949" s="173"/>
      <c r="C949" s="694">
        <v>1</v>
      </c>
      <c r="D949" s="695" t="s">
        <v>3903</v>
      </c>
      <c r="E949" s="695">
        <v>2</v>
      </c>
      <c r="F949" s="695" t="s">
        <v>4605</v>
      </c>
      <c r="G949" s="695">
        <v>1</v>
      </c>
      <c r="H949" s="695" t="s">
        <v>4605</v>
      </c>
      <c r="I949" s="695">
        <v>38</v>
      </c>
      <c r="J949" s="695" t="s">
        <v>4639</v>
      </c>
      <c r="K949" s="695" t="s">
        <v>8544</v>
      </c>
      <c r="L949" s="696">
        <v>2</v>
      </c>
      <c r="M949" s="170"/>
    </row>
    <row r="950" spans="2:13" x14ac:dyDescent="0.2">
      <c r="B950" s="173"/>
      <c r="C950" s="694">
        <v>1</v>
      </c>
      <c r="D950" s="695" t="s">
        <v>3903</v>
      </c>
      <c r="E950" s="695">
        <v>2</v>
      </c>
      <c r="F950" s="695" t="s">
        <v>4605</v>
      </c>
      <c r="G950" s="695">
        <v>1</v>
      </c>
      <c r="H950" s="695" t="s">
        <v>4605</v>
      </c>
      <c r="I950" s="695">
        <v>39</v>
      </c>
      <c r="J950" s="695" t="s">
        <v>4640</v>
      </c>
      <c r="K950" s="695" t="s">
        <v>4009</v>
      </c>
      <c r="L950" s="696">
        <v>0</v>
      </c>
      <c r="M950" s="170"/>
    </row>
    <row r="951" spans="2:13" x14ac:dyDescent="0.2">
      <c r="B951" s="173"/>
      <c r="C951" s="694">
        <v>1</v>
      </c>
      <c r="D951" s="695" t="s">
        <v>3903</v>
      </c>
      <c r="E951" s="695">
        <v>2</v>
      </c>
      <c r="F951" s="695" t="s">
        <v>4605</v>
      </c>
      <c r="G951" s="695">
        <v>1</v>
      </c>
      <c r="H951" s="695" t="s">
        <v>4605</v>
      </c>
      <c r="I951" s="695">
        <v>40</v>
      </c>
      <c r="J951" s="695" t="s">
        <v>4641</v>
      </c>
      <c r="K951" s="695" t="s">
        <v>8544</v>
      </c>
      <c r="L951" s="696">
        <v>22</v>
      </c>
      <c r="M951" s="170"/>
    </row>
    <row r="952" spans="2:13" x14ac:dyDescent="0.2">
      <c r="B952" s="173"/>
      <c r="C952" s="694">
        <v>1</v>
      </c>
      <c r="D952" s="695" t="s">
        <v>3903</v>
      </c>
      <c r="E952" s="695">
        <v>2</v>
      </c>
      <c r="F952" s="695" t="s">
        <v>4605</v>
      </c>
      <c r="G952" s="695">
        <v>1</v>
      </c>
      <c r="H952" s="695" t="s">
        <v>4605</v>
      </c>
      <c r="I952" s="695">
        <v>41</v>
      </c>
      <c r="J952" s="695" t="s">
        <v>4642</v>
      </c>
      <c r="K952" s="695" t="s">
        <v>8544</v>
      </c>
      <c r="L952" s="696">
        <v>9</v>
      </c>
      <c r="M952" s="170"/>
    </row>
    <row r="953" spans="2:13" x14ac:dyDescent="0.2">
      <c r="B953" s="173"/>
      <c r="C953" s="694">
        <v>1</v>
      </c>
      <c r="D953" s="695" t="s">
        <v>3903</v>
      </c>
      <c r="E953" s="695">
        <v>2</v>
      </c>
      <c r="F953" s="695" t="s">
        <v>4605</v>
      </c>
      <c r="G953" s="695">
        <v>1</v>
      </c>
      <c r="H953" s="695" t="s">
        <v>4605</v>
      </c>
      <c r="I953" s="695">
        <v>42</v>
      </c>
      <c r="J953" s="695" t="s">
        <v>4643</v>
      </c>
      <c r="K953" s="695" t="s">
        <v>8544</v>
      </c>
      <c r="L953" s="696">
        <v>0</v>
      </c>
      <c r="M953" s="170"/>
    </row>
    <row r="954" spans="2:13" x14ac:dyDescent="0.2">
      <c r="B954" s="173"/>
      <c r="C954" s="694">
        <v>1</v>
      </c>
      <c r="D954" s="695" t="s">
        <v>3903</v>
      </c>
      <c r="E954" s="695">
        <v>2</v>
      </c>
      <c r="F954" s="695" t="s">
        <v>4605</v>
      </c>
      <c r="G954" s="695">
        <v>1</v>
      </c>
      <c r="H954" s="695" t="s">
        <v>4605</v>
      </c>
      <c r="I954" s="695">
        <v>43</v>
      </c>
      <c r="J954" s="695" t="s">
        <v>4644</v>
      </c>
      <c r="K954" s="695" t="s">
        <v>8544</v>
      </c>
      <c r="L954" s="696">
        <v>9</v>
      </c>
      <c r="M954" s="170"/>
    </row>
    <row r="955" spans="2:13" x14ac:dyDescent="0.2">
      <c r="B955" s="173"/>
      <c r="C955" s="694">
        <v>1</v>
      </c>
      <c r="D955" s="695" t="s">
        <v>3903</v>
      </c>
      <c r="E955" s="695">
        <v>2</v>
      </c>
      <c r="F955" s="695" t="s">
        <v>4605</v>
      </c>
      <c r="G955" s="695">
        <v>1</v>
      </c>
      <c r="H955" s="695" t="s">
        <v>4605</v>
      </c>
      <c r="I955" s="695">
        <v>44</v>
      </c>
      <c r="J955" s="695" t="s">
        <v>4645</v>
      </c>
      <c r="K955" s="695" t="s">
        <v>8544</v>
      </c>
      <c r="L955" s="696">
        <v>1</v>
      </c>
      <c r="M955" s="170"/>
    </row>
    <row r="956" spans="2:13" x14ac:dyDescent="0.2">
      <c r="B956" s="173"/>
      <c r="C956" s="694">
        <v>1</v>
      </c>
      <c r="D956" s="695" t="s">
        <v>3903</v>
      </c>
      <c r="E956" s="695">
        <v>2</v>
      </c>
      <c r="F956" s="695" t="s">
        <v>4605</v>
      </c>
      <c r="G956" s="695">
        <v>1</v>
      </c>
      <c r="H956" s="695" t="s">
        <v>4605</v>
      </c>
      <c r="I956" s="695">
        <v>46</v>
      </c>
      <c r="J956" s="695" t="s">
        <v>4646</v>
      </c>
      <c r="K956" s="695" t="s">
        <v>8544</v>
      </c>
      <c r="L956" s="696">
        <v>2</v>
      </c>
      <c r="M956" s="170"/>
    </row>
    <row r="957" spans="2:13" x14ac:dyDescent="0.2">
      <c r="B957" s="173"/>
      <c r="C957" s="694">
        <v>1</v>
      </c>
      <c r="D957" s="695" t="s">
        <v>3903</v>
      </c>
      <c r="E957" s="695">
        <v>2</v>
      </c>
      <c r="F957" s="695" t="s">
        <v>4605</v>
      </c>
      <c r="G957" s="695">
        <v>1</v>
      </c>
      <c r="H957" s="695" t="s">
        <v>4605</v>
      </c>
      <c r="I957" s="695">
        <v>47</v>
      </c>
      <c r="J957" s="695" t="s">
        <v>4647</v>
      </c>
      <c r="K957" s="695" t="s">
        <v>8544</v>
      </c>
      <c r="L957" s="696">
        <v>1</v>
      </c>
      <c r="M957" s="170"/>
    </row>
    <row r="958" spans="2:13" x14ac:dyDescent="0.2">
      <c r="B958" s="173"/>
      <c r="C958" s="694">
        <v>1</v>
      </c>
      <c r="D958" s="695" t="s">
        <v>3903</v>
      </c>
      <c r="E958" s="695">
        <v>2</v>
      </c>
      <c r="F958" s="695" t="s">
        <v>4605</v>
      </c>
      <c r="G958" s="695">
        <v>1</v>
      </c>
      <c r="H958" s="695" t="s">
        <v>4605</v>
      </c>
      <c r="I958" s="695">
        <v>48</v>
      </c>
      <c r="J958" s="695" t="s">
        <v>4648</v>
      </c>
      <c r="K958" s="695" t="s">
        <v>8544</v>
      </c>
      <c r="L958" s="696">
        <v>6</v>
      </c>
      <c r="M958" s="170"/>
    </row>
    <row r="959" spans="2:13" x14ac:dyDescent="0.2">
      <c r="B959" s="173"/>
      <c r="C959" s="694">
        <v>1</v>
      </c>
      <c r="D959" s="695" t="s">
        <v>3903</v>
      </c>
      <c r="E959" s="695">
        <v>2</v>
      </c>
      <c r="F959" s="695" t="s">
        <v>4605</v>
      </c>
      <c r="G959" s="695">
        <v>1</v>
      </c>
      <c r="H959" s="695" t="s">
        <v>4605</v>
      </c>
      <c r="I959" s="695">
        <v>49</v>
      </c>
      <c r="J959" s="695" t="s">
        <v>4649</v>
      </c>
      <c r="K959" s="695" t="s">
        <v>8544</v>
      </c>
      <c r="L959" s="696">
        <v>15</v>
      </c>
      <c r="M959" s="170"/>
    </row>
    <row r="960" spans="2:13" x14ac:dyDescent="0.2">
      <c r="B960" s="173"/>
      <c r="C960" s="694">
        <v>1</v>
      </c>
      <c r="D960" s="695" t="s">
        <v>3903</v>
      </c>
      <c r="E960" s="695">
        <v>2</v>
      </c>
      <c r="F960" s="695" t="s">
        <v>4605</v>
      </c>
      <c r="G960" s="695">
        <v>1</v>
      </c>
      <c r="H960" s="695" t="s">
        <v>4605</v>
      </c>
      <c r="I960" s="695">
        <v>50</v>
      </c>
      <c r="J960" s="695" t="s">
        <v>4650</v>
      </c>
      <c r="K960" s="695" t="s">
        <v>8544</v>
      </c>
      <c r="L960" s="696">
        <v>16</v>
      </c>
      <c r="M960" s="170"/>
    </row>
    <row r="961" spans="2:13" x14ac:dyDescent="0.2">
      <c r="B961" s="173"/>
      <c r="C961" s="694">
        <v>1</v>
      </c>
      <c r="D961" s="695" t="s">
        <v>3903</v>
      </c>
      <c r="E961" s="695">
        <v>2</v>
      </c>
      <c r="F961" s="695" t="s">
        <v>4605</v>
      </c>
      <c r="G961" s="695">
        <v>1</v>
      </c>
      <c r="H961" s="695" t="s">
        <v>4605</v>
      </c>
      <c r="I961" s="695">
        <v>51</v>
      </c>
      <c r="J961" s="695" t="s">
        <v>4651</v>
      </c>
      <c r="K961" s="695" t="s">
        <v>8544</v>
      </c>
      <c r="L961" s="696">
        <v>14</v>
      </c>
      <c r="M961" s="170"/>
    </row>
    <row r="962" spans="2:13" x14ac:dyDescent="0.2">
      <c r="B962" s="173"/>
      <c r="C962" s="694">
        <v>1</v>
      </c>
      <c r="D962" s="695" t="s">
        <v>3903</v>
      </c>
      <c r="E962" s="695">
        <v>2</v>
      </c>
      <c r="F962" s="695" t="s">
        <v>4605</v>
      </c>
      <c r="G962" s="695">
        <v>1</v>
      </c>
      <c r="H962" s="695" t="s">
        <v>4605</v>
      </c>
      <c r="I962" s="695">
        <v>52</v>
      </c>
      <c r="J962" s="695" t="s">
        <v>4652</v>
      </c>
      <c r="K962" s="695" t="s">
        <v>8544</v>
      </c>
      <c r="L962" s="696">
        <v>8</v>
      </c>
      <c r="M962" s="170"/>
    </row>
    <row r="963" spans="2:13" x14ac:dyDescent="0.2">
      <c r="B963" s="173"/>
      <c r="C963" s="694">
        <v>1</v>
      </c>
      <c r="D963" s="695" t="s">
        <v>3903</v>
      </c>
      <c r="E963" s="695">
        <v>2</v>
      </c>
      <c r="F963" s="695" t="s">
        <v>4605</v>
      </c>
      <c r="G963" s="695">
        <v>1</v>
      </c>
      <c r="H963" s="695" t="s">
        <v>4605</v>
      </c>
      <c r="I963" s="695">
        <v>53</v>
      </c>
      <c r="J963" s="695" t="s">
        <v>4653</v>
      </c>
      <c r="K963" s="695" t="s">
        <v>3985</v>
      </c>
      <c r="L963" s="696">
        <v>13</v>
      </c>
      <c r="M963" s="170"/>
    </row>
    <row r="964" spans="2:13" x14ac:dyDescent="0.2">
      <c r="B964" s="173"/>
      <c r="C964" s="694">
        <v>1</v>
      </c>
      <c r="D964" s="695" t="s">
        <v>3903</v>
      </c>
      <c r="E964" s="695">
        <v>2</v>
      </c>
      <c r="F964" s="695" t="s">
        <v>4605</v>
      </c>
      <c r="G964" s="695">
        <v>1</v>
      </c>
      <c r="H964" s="695" t="s">
        <v>4605</v>
      </c>
      <c r="I964" s="695">
        <v>54</v>
      </c>
      <c r="J964" s="695" t="s">
        <v>4654</v>
      </c>
      <c r="K964" s="695" t="s">
        <v>8544</v>
      </c>
      <c r="L964" s="696">
        <v>2</v>
      </c>
      <c r="M964" s="170"/>
    </row>
    <row r="965" spans="2:13" x14ac:dyDescent="0.2">
      <c r="B965" s="173"/>
      <c r="C965" s="694">
        <v>1</v>
      </c>
      <c r="D965" s="695" t="s">
        <v>3903</v>
      </c>
      <c r="E965" s="695">
        <v>2</v>
      </c>
      <c r="F965" s="695" t="s">
        <v>4605</v>
      </c>
      <c r="G965" s="695">
        <v>1</v>
      </c>
      <c r="H965" s="695" t="s">
        <v>4605</v>
      </c>
      <c r="I965" s="695">
        <v>55</v>
      </c>
      <c r="J965" s="695" t="s">
        <v>4655</v>
      </c>
      <c r="K965" s="695" t="s">
        <v>4057</v>
      </c>
      <c r="L965" s="696">
        <v>7</v>
      </c>
      <c r="M965" s="170"/>
    </row>
    <row r="966" spans="2:13" x14ac:dyDescent="0.2">
      <c r="B966" s="173"/>
      <c r="C966" s="694">
        <v>1</v>
      </c>
      <c r="D966" s="695" t="s">
        <v>3903</v>
      </c>
      <c r="E966" s="695">
        <v>2</v>
      </c>
      <c r="F966" s="695" t="s">
        <v>4605</v>
      </c>
      <c r="G966" s="695">
        <v>1</v>
      </c>
      <c r="H966" s="695" t="s">
        <v>4605</v>
      </c>
      <c r="I966" s="695">
        <v>56</v>
      </c>
      <c r="J966" s="695" t="s">
        <v>4656</v>
      </c>
      <c r="K966" s="695" t="s">
        <v>3907</v>
      </c>
      <c r="L966" s="696">
        <v>289</v>
      </c>
      <c r="M966" s="170"/>
    </row>
    <row r="967" spans="2:13" x14ac:dyDescent="0.2">
      <c r="B967" s="173"/>
      <c r="C967" s="694">
        <v>1</v>
      </c>
      <c r="D967" s="695" t="s">
        <v>3903</v>
      </c>
      <c r="E967" s="695">
        <v>2</v>
      </c>
      <c r="F967" s="695" t="s">
        <v>4605</v>
      </c>
      <c r="G967" s="695">
        <v>1</v>
      </c>
      <c r="H967" s="695" t="s">
        <v>4605</v>
      </c>
      <c r="I967" s="695">
        <v>57</v>
      </c>
      <c r="J967" s="695" t="s">
        <v>4657</v>
      </c>
      <c r="K967" s="695" t="s">
        <v>4057</v>
      </c>
      <c r="L967" s="696">
        <v>142</v>
      </c>
      <c r="M967" s="170"/>
    </row>
    <row r="968" spans="2:13" x14ac:dyDescent="0.2">
      <c r="B968" s="173"/>
      <c r="C968" s="694">
        <v>1</v>
      </c>
      <c r="D968" s="695" t="s">
        <v>3903</v>
      </c>
      <c r="E968" s="695">
        <v>2</v>
      </c>
      <c r="F968" s="695" t="s">
        <v>4605</v>
      </c>
      <c r="G968" s="695">
        <v>1</v>
      </c>
      <c r="H968" s="695" t="s">
        <v>4605</v>
      </c>
      <c r="I968" s="695">
        <v>58</v>
      </c>
      <c r="J968" s="695" t="s">
        <v>4658</v>
      </c>
      <c r="K968" s="695" t="s">
        <v>4057</v>
      </c>
      <c r="L968" s="696">
        <v>3</v>
      </c>
      <c r="M968" s="170"/>
    </row>
    <row r="969" spans="2:13" x14ac:dyDescent="0.2">
      <c r="B969" s="173"/>
      <c r="C969" s="694">
        <v>1</v>
      </c>
      <c r="D969" s="695" t="s">
        <v>3903</v>
      </c>
      <c r="E969" s="695">
        <v>2</v>
      </c>
      <c r="F969" s="695" t="s">
        <v>4605</v>
      </c>
      <c r="G969" s="695">
        <v>1</v>
      </c>
      <c r="H969" s="695" t="s">
        <v>4605</v>
      </c>
      <c r="I969" s="695">
        <v>59</v>
      </c>
      <c r="J969" s="695" t="s">
        <v>4659</v>
      </c>
      <c r="K969" s="695" t="s">
        <v>8544</v>
      </c>
      <c r="L969" s="696">
        <v>1</v>
      </c>
      <c r="M969" s="170"/>
    </row>
    <row r="970" spans="2:13" x14ac:dyDescent="0.2">
      <c r="B970" s="173"/>
      <c r="C970" s="694">
        <v>1</v>
      </c>
      <c r="D970" s="695" t="s">
        <v>3903</v>
      </c>
      <c r="E970" s="695">
        <v>2</v>
      </c>
      <c r="F970" s="695" t="s">
        <v>4605</v>
      </c>
      <c r="G970" s="695">
        <v>1</v>
      </c>
      <c r="H970" s="695" t="s">
        <v>4605</v>
      </c>
      <c r="I970" s="695">
        <v>60</v>
      </c>
      <c r="J970" s="695" t="s">
        <v>4660</v>
      </c>
      <c r="K970" s="695" t="s">
        <v>8544</v>
      </c>
      <c r="L970" s="696">
        <v>3</v>
      </c>
      <c r="M970" s="170"/>
    </row>
    <row r="971" spans="2:13" x14ac:dyDescent="0.2">
      <c r="B971" s="173"/>
      <c r="C971" s="694">
        <v>1</v>
      </c>
      <c r="D971" s="695" t="s">
        <v>3903</v>
      </c>
      <c r="E971" s="695">
        <v>2</v>
      </c>
      <c r="F971" s="695" t="s">
        <v>4605</v>
      </c>
      <c r="G971" s="695">
        <v>1</v>
      </c>
      <c r="H971" s="695" t="s">
        <v>4605</v>
      </c>
      <c r="I971" s="695">
        <v>61</v>
      </c>
      <c r="J971" s="695" t="s">
        <v>4661</v>
      </c>
      <c r="K971" s="695" t="s">
        <v>8544</v>
      </c>
      <c r="L971" s="696">
        <v>5</v>
      </c>
      <c r="M971" s="170"/>
    </row>
    <row r="972" spans="2:13" x14ac:dyDescent="0.2">
      <c r="B972" s="173"/>
      <c r="C972" s="694">
        <v>1</v>
      </c>
      <c r="D972" s="695" t="s">
        <v>3903</v>
      </c>
      <c r="E972" s="695">
        <v>2</v>
      </c>
      <c r="F972" s="695" t="s">
        <v>4605</v>
      </c>
      <c r="G972" s="695">
        <v>1</v>
      </c>
      <c r="H972" s="695" t="s">
        <v>4605</v>
      </c>
      <c r="I972" s="695">
        <v>62</v>
      </c>
      <c r="J972" s="695" t="s">
        <v>4662</v>
      </c>
      <c r="K972" s="695" t="s">
        <v>8544</v>
      </c>
      <c r="L972" s="696">
        <v>30</v>
      </c>
      <c r="M972" s="170"/>
    </row>
    <row r="973" spans="2:13" x14ac:dyDescent="0.2">
      <c r="B973" s="173"/>
      <c r="C973" s="694">
        <v>1</v>
      </c>
      <c r="D973" s="695" t="s">
        <v>3903</v>
      </c>
      <c r="E973" s="695">
        <v>2</v>
      </c>
      <c r="F973" s="695" t="s">
        <v>4605</v>
      </c>
      <c r="G973" s="695">
        <v>1</v>
      </c>
      <c r="H973" s="695" t="s">
        <v>4605</v>
      </c>
      <c r="I973" s="695">
        <v>63</v>
      </c>
      <c r="J973" s="695" t="s">
        <v>4663</v>
      </c>
      <c r="K973" s="695" t="s">
        <v>8544</v>
      </c>
      <c r="L973" s="696">
        <v>20</v>
      </c>
      <c r="M973" s="170"/>
    </row>
    <row r="974" spans="2:13" x14ac:dyDescent="0.2">
      <c r="B974" s="173"/>
      <c r="C974" s="694">
        <v>1</v>
      </c>
      <c r="D974" s="695" t="s">
        <v>3903</v>
      </c>
      <c r="E974" s="695">
        <v>2</v>
      </c>
      <c r="F974" s="695" t="s">
        <v>4605</v>
      </c>
      <c r="G974" s="695">
        <v>1</v>
      </c>
      <c r="H974" s="695" t="s">
        <v>4605</v>
      </c>
      <c r="I974" s="695">
        <v>64</v>
      </c>
      <c r="J974" s="695" t="s">
        <v>4664</v>
      </c>
      <c r="K974" s="695" t="s">
        <v>8544</v>
      </c>
      <c r="L974" s="696">
        <v>34</v>
      </c>
      <c r="M974" s="170"/>
    </row>
    <row r="975" spans="2:13" x14ac:dyDescent="0.2">
      <c r="B975" s="173"/>
      <c r="C975" s="694">
        <v>1</v>
      </c>
      <c r="D975" s="695" t="s">
        <v>3903</v>
      </c>
      <c r="E975" s="695">
        <v>2</v>
      </c>
      <c r="F975" s="695" t="s">
        <v>4605</v>
      </c>
      <c r="G975" s="695">
        <v>1</v>
      </c>
      <c r="H975" s="695" t="s">
        <v>4605</v>
      </c>
      <c r="I975" s="695">
        <v>65</v>
      </c>
      <c r="J975" s="695" t="s">
        <v>4665</v>
      </c>
      <c r="K975" s="695" t="s">
        <v>4045</v>
      </c>
      <c r="L975" s="696">
        <v>892</v>
      </c>
      <c r="M975" s="170"/>
    </row>
    <row r="976" spans="2:13" x14ac:dyDescent="0.2">
      <c r="B976" s="173"/>
      <c r="C976" s="694">
        <v>1</v>
      </c>
      <c r="D976" s="695" t="s">
        <v>3903</v>
      </c>
      <c r="E976" s="695">
        <v>2</v>
      </c>
      <c r="F976" s="695" t="s">
        <v>4605</v>
      </c>
      <c r="G976" s="695">
        <v>1</v>
      </c>
      <c r="H976" s="695" t="s">
        <v>4605</v>
      </c>
      <c r="I976" s="695">
        <v>66</v>
      </c>
      <c r="J976" s="695" t="s">
        <v>4666</v>
      </c>
      <c r="K976" s="695" t="s">
        <v>8544</v>
      </c>
      <c r="L976" s="696">
        <v>13</v>
      </c>
      <c r="M976" s="170"/>
    </row>
    <row r="977" spans="2:13" x14ac:dyDescent="0.2">
      <c r="B977" s="173"/>
      <c r="C977" s="694">
        <v>1</v>
      </c>
      <c r="D977" s="695" t="s">
        <v>3903</v>
      </c>
      <c r="E977" s="695">
        <v>2</v>
      </c>
      <c r="F977" s="695" t="s">
        <v>4605</v>
      </c>
      <c r="G977" s="695">
        <v>1</v>
      </c>
      <c r="H977" s="695" t="s">
        <v>4605</v>
      </c>
      <c r="I977" s="695">
        <v>67</v>
      </c>
      <c r="J977" s="695" t="s">
        <v>4667</v>
      </c>
      <c r="K977" s="695" t="s">
        <v>3907</v>
      </c>
      <c r="L977" s="696">
        <v>124</v>
      </c>
      <c r="M977" s="170"/>
    </row>
    <row r="978" spans="2:13" x14ac:dyDescent="0.2">
      <c r="B978" s="173"/>
      <c r="C978" s="694">
        <v>1</v>
      </c>
      <c r="D978" s="695" t="s">
        <v>3903</v>
      </c>
      <c r="E978" s="695">
        <v>2</v>
      </c>
      <c r="F978" s="695" t="s">
        <v>4605</v>
      </c>
      <c r="G978" s="695">
        <v>1</v>
      </c>
      <c r="H978" s="695" t="s">
        <v>4605</v>
      </c>
      <c r="I978" s="695">
        <v>68</v>
      </c>
      <c r="J978" s="695" t="s">
        <v>4668</v>
      </c>
      <c r="K978" s="695" t="s">
        <v>4057</v>
      </c>
      <c r="L978" s="696">
        <v>15</v>
      </c>
      <c r="M978" s="170"/>
    </row>
    <row r="979" spans="2:13" x14ac:dyDescent="0.2">
      <c r="B979" s="173"/>
      <c r="C979" s="694">
        <v>1</v>
      </c>
      <c r="D979" s="695" t="s">
        <v>3903</v>
      </c>
      <c r="E979" s="695">
        <v>2</v>
      </c>
      <c r="F979" s="695" t="s">
        <v>4605</v>
      </c>
      <c r="G979" s="695">
        <v>1</v>
      </c>
      <c r="H979" s="695" t="s">
        <v>4605</v>
      </c>
      <c r="I979" s="695">
        <v>69</v>
      </c>
      <c r="J979" s="695" t="s">
        <v>4669</v>
      </c>
      <c r="K979" s="695" t="s">
        <v>4057</v>
      </c>
      <c r="L979" s="696">
        <v>2</v>
      </c>
      <c r="M979" s="170"/>
    </row>
    <row r="980" spans="2:13" x14ac:dyDescent="0.2">
      <c r="B980" s="173"/>
      <c r="C980" s="694">
        <v>1</v>
      </c>
      <c r="D980" s="695" t="s">
        <v>3903</v>
      </c>
      <c r="E980" s="695">
        <v>2</v>
      </c>
      <c r="F980" s="695" t="s">
        <v>4605</v>
      </c>
      <c r="G980" s="695">
        <v>1</v>
      </c>
      <c r="H980" s="695" t="s">
        <v>4605</v>
      </c>
      <c r="I980" s="695">
        <v>70</v>
      </c>
      <c r="J980" s="695" t="s">
        <v>4670</v>
      </c>
      <c r="K980" s="695" t="s">
        <v>4057</v>
      </c>
      <c r="L980" s="696">
        <v>6</v>
      </c>
      <c r="M980" s="170"/>
    </row>
    <row r="981" spans="2:13" x14ac:dyDescent="0.2">
      <c r="B981" s="173"/>
      <c r="C981" s="694">
        <v>1</v>
      </c>
      <c r="D981" s="695" t="s">
        <v>3903</v>
      </c>
      <c r="E981" s="695">
        <v>2</v>
      </c>
      <c r="F981" s="695" t="s">
        <v>4605</v>
      </c>
      <c r="G981" s="695">
        <v>1</v>
      </c>
      <c r="H981" s="695" t="s">
        <v>4605</v>
      </c>
      <c r="I981" s="695">
        <v>71</v>
      </c>
      <c r="J981" s="695" t="s">
        <v>4671</v>
      </c>
      <c r="K981" s="695" t="s">
        <v>8544</v>
      </c>
      <c r="L981" s="696">
        <v>16</v>
      </c>
      <c r="M981" s="170"/>
    </row>
    <row r="982" spans="2:13" x14ac:dyDescent="0.2">
      <c r="B982" s="173"/>
      <c r="C982" s="694">
        <v>1</v>
      </c>
      <c r="D982" s="695" t="s">
        <v>3903</v>
      </c>
      <c r="E982" s="695">
        <v>2</v>
      </c>
      <c r="F982" s="695" t="s">
        <v>4605</v>
      </c>
      <c r="G982" s="695">
        <v>1</v>
      </c>
      <c r="H982" s="695" t="s">
        <v>4605</v>
      </c>
      <c r="I982" s="695">
        <v>72</v>
      </c>
      <c r="J982" s="695" t="s">
        <v>4672</v>
      </c>
      <c r="K982" s="695" t="s">
        <v>8544</v>
      </c>
      <c r="L982" s="696">
        <v>21</v>
      </c>
      <c r="M982" s="170"/>
    </row>
    <row r="983" spans="2:13" x14ac:dyDescent="0.2">
      <c r="B983" s="173"/>
      <c r="C983" s="694">
        <v>1</v>
      </c>
      <c r="D983" s="695" t="s">
        <v>3903</v>
      </c>
      <c r="E983" s="695">
        <v>2</v>
      </c>
      <c r="F983" s="695" t="s">
        <v>4605</v>
      </c>
      <c r="G983" s="695">
        <v>1</v>
      </c>
      <c r="H983" s="695" t="s">
        <v>4605</v>
      </c>
      <c r="I983" s="695">
        <v>73</v>
      </c>
      <c r="J983" s="695" t="s">
        <v>4673</v>
      </c>
      <c r="K983" s="695" t="s">
        <v>8544</v>
      </c>
      <c r="L983" s="696">
        <v>1</v>
      </c>
      <c r="M983" s="170"/>
    </row>
    <row r="984" spans="2:13" x14ac:dyDescent="0.2">
      <c r="B984" s="173"/>
      <c r="C984" s="694">
        <v>1</v>
      </c>
      <c r="D984" s="695" t="s">
        <v>3903</v>
      </c>
      <c r="E984" s="695">
        <v>2</v>
      </c>
      <c r="F984" s="695" t="s">
        <v>4605</v>
      </c>
      <c r="G984" s="695">
        <v>1</v>
      </c>
      <c r="H984" s="695" t="s">
        <v>4605</v>
      </c>
      <c r="I984" s="695">
        <v>74</v>
      </c>
      <c r="J984" s="695" t="s">
        <v>4674</v>
      </c>
      <c r="K984" s="695" t="s">
        <v>8544</v>
      </c>
      <c r="L984" s="696">
        <v>23</v>
      </c>
      <c r="M984" s="170"/>
    </row>
    <row r="985" spans="2:13" x14ac:dyDescent="0.2">
      <c r="B985" s="173"/>
      <c r="C985" s="694">
        <v>1</v>
      </c>
      <c r="D985" s="695" t="s">
        <v>3903</v>
      </c>
      <c r="E985" s="695">
        <v>2</v>
      </c>
      <c r="F985" s="695" t="s">
        <v>4605</v>
      </c>
      <c r="G985" s="695">
        <v>1</v>
      </c>
      <c r="H985" s="695" t="s">
        <v>4605</v>
      </c>
      <c r="I985" s="695">
        <v>75</v>
      </c>
      <c r="J985" s="695" t="s">
        <v>4675</v>
      </c>
      <c r="K985" s="695" t="s">
        <v>8544</v>
      </c>
      <c r="L985" s="696">
        <v>29</v>
      </c>
      <c r="M985" s="170"/>
    </row>
    <row r="986" spans="2:13" x14ac:dyDescent="0.2">
      <c r="B986" s="173"/>
      <c r="C986" s="694">
        <v>1</v>
      </c>
      <c r="D986" s="695" t="s">
        <v>3903</v>
      </c>
      <c r="E986" s="695">
        <v>2</v>
      </c>
      <c r="F986" s="695" t="s">
        <v>4605</v>
      </c>
      <c r="G986" s="695">
        <v>1</v>
      </c>
      <c r="H986" s="695" t="s">
        <v>4605</v>
      </c>
      <c r="I986" s="695">
        <v>76</v>
      </c>
      <c r="J986" s="695" t="s">
        <v>4676</v>
      </c>
      <c r="K986" s="695" t="s">
        <v>8544</v>
      </c>
      <c r="L986" s="696">
        <v>5</v>
      </c>
      <c r="M986" s="170"/>
    </row>
    <row r="987" spans="2:13" x14ac:dyDescent="0.2">
      <c r="B987" s="173"/>
      <c r="C987" s="694">
        <v>1</v>
      </c>
      <c r="D987" s="695" t="s">
        <v>3903</v>
      </c>
      <c r="E987" s="695">
        <v>2</v>
      </c>
      <c r="F987" s="695" t="s">
        <v>4605</v>
      </c>
      <c r="G987" s="695">
        <v>1</v>
      </c>
      <c r="H987" s="695" t="s">
        <v>4605</v>
      </c>
      <c r="I987" s="695">
        <v>77</v>
      </c>
      <c r="J987" s="695" t="s">
        <v>4677</v>
      </c>
      <c r="K987" s="695" t="s">
        <v>8544</v>
      </c>
      <c r="L987" s="696">
        <v>9</v>
      </c>
      <c r="M987" s="170"/>
    </row>
    <row r="988" spans="2:13" x14ac:dyDescent="0.2">
      <c r="B988" s="173"/>
      <c r="C988" s="694">
        <v>1</v>
      </c>
      <c r="D988" s="695" t="s">
        <v>3903</v>
      </c>
      <c r="E988" s="695">
        <v>2</v>
      </c>
      <c r="F988" s="695" t="s">
        <v>4605</v>
      </c>
      <c r="G988" s="695">
        <v>1</v>
      </c>
      <c r="H988" s="695" t="s">
        <v>4605</v>
      </c>
      <c r="I988" s="695">
        <v>78</v>
      </c>
      <c r="J988" s="695" t="s">
        <v>4678</v>
      </c>
      <c r="K988" s="695" t="s">
        <v>8544</v>
      </c>
      <c r="L988" s="696">
        <v>6</v>
      </c>
      <c r="M988" s="170"/>
    </row>
    <row r="989" spans="2:13" x14ac:dyDescent="0.2">
      <c r="B989" s="173"/>
      <c r="C989" s="694">
        <v>1</v>
      </c>
      <c r="D989" s="695" t="s">
        <v>3903</v>
      </c>
      <c r="E989" s="695">
        <v>2</v>
      </c>
      <c r="F989" s="695" t="s">
        <v>4605</v>
      </c>
      <c r="G989" s="695">
        <v>1</v>
      </c>
      <c r="H989" s="695" t="s">
        <v>4605</v>
      </c>
      <c r="I989" s="695">
        <v>79</v>
      </c>
      <c r="J989" s="695" t="s">
        <v>4679</v>
      </c>
      <c r="K989" s="695" t="s">
        <v>8544</v>
      </c>
      <c r="L989" s="696">
        <v>17</v>
      </c>
      <c r="M989" s="170"/>
    </row>
    <row r="990" spans="2:13" x14ac:dyDescent="0.2">
      <c r="B990" s="173"/>
      <c r="C990" s="694">
        <v>1</v>
      </c>
      <c r="D990" s="695" t="s">
        <v>3903</v>
      </c>
      <c r="E990" s="695">
        <v>2</v>
      </c>
      <c r="F990" s="695" t="s">
        <v>4605</v>
      </c>
      <c r="G990" s="695">
        <v>1</v>
      </c>
      <c r="H990" s="695" t="s">
        <v>4605</v>
      </c>
      <c r="I990" s="695">
        <v>80</v>
      </c>
      <c r="J990" s="695" t="s">
        <v>4680</v>
      </c>
      <c r="K990" s="695" t="s">
        <v>8544</v>
      </c>
      <c r="L990" s="696">
        <v>3</v>
      </c>
      <c r="M990" s="170"/>
    </row>
    <row r="991" spans="2:13" x14ac:dyDescent="0.2">
      <c r="B991" s="173"/>
      <c r="C991" s="694">
        <v>1</v>
      </c>
      <c r="D991" s="695" t="s">
        <v>3903</v>
      </c>
      <c r="E991" s="695">
        <v>2</v>
      </c>
      <c r="F991" s="695" t="s">
        <v>4605</v>
      </c>
      <c r="G991" s="695">
        <v>1</v>
      </c>
      <c r="H991" s="695" t="s">
        <v>4605</v>
      </c>
      <c r="I991" s="695">
        <v>81</v>
      </c>
      <c r="J991" s="695" t="s">
        <v>4681</v>
      </c>
      <c r="K991" s="695" t="s">
        <v>8544</v>
      </c>
      <c r="L991" s="696">
        <v>5</v>
      </c>
      <c r="M991" s="170"/>
    </row>
    <row r="992" spans="2:13" x14ac:dyDescent="0.2">
      <c r="B992" s="173"/>
      <c r="C992" s="694">
        <v>1</v>
      </c>
      <c r="D992" s="695" t="s">
        <v>3903</v>
      </c>
      <c r="E992" s="695">
        <v>2</v>
      </c>
      <c r="F992" s="695" t="s">
        <v>4605</v>
      </c>
      <c r="G992" s="695">
        <v>1</v>
      </c>
      <c r="H992" s="695" t="s">
        <v>4605</v>
      </c>
      <c r="I992" s="695">
        <v>82</v>
      </c>
      <c r="J992" s="695" t="s">
        <v>4682</v>
      </c>
      <c r="K992" s="695" t="s">
        <v>3985</v>
      </c>
      <c r="L992" s="696">
        <v>39</v>
      </c>
      <c r="M992" s="170"/>
    </row>
    <row r="993" spans="2:13" x14ac:dyDescent="0.2">
      <c r="B993" s="173"/>
      <c r="C993" s="694">
        <v>1</v>
      </c>
      <c r="D993" s="695" t="s">
        <v>3903</v>
      </c>
      <c r="E993" s="695">
        <v>2</v>
      </c>
      <c r="F993" s="695" t="s">
        <v>4605</v>
      </c>
      <c r="G993" s="695">
        <v>1</v>
      </c>
      <c r="H993" s="695" t="s">
        <v>4605</v>
      </c>
      <c r="I993" s="695">
        <v>83</v>
      </c>
      <c r="J993" s="695" t="s">
        <v>4683</v>
      </c>
      <c r="K993" s="695" t="s">
        <v>3985</v>
      </c>
      <c r="L993" s="696">
        <v>36</v>
      </c>
      <c r="M993" s="170"/>
    </row>
    <row r="994" spans="2:13" x14ac:dyDescent="0.2">
      <c r="B994" s="173"/>
      <c r="C994" s="694">
        <v>1</v>
      </c>
      <c r="D994" s="695" t="s">
        <v>3903</v>
      </c>
      <c r="E994" s="695">
        <v>2</v>
      </c>
      <c r="F994" s="695" t="s">
        <v>4605</v>
      </c>
      <c r="G994" s="695">
        <v>1</v>
      </c>
      <c r="H994" s="695" t="s">
        <v>4605</v>
      </c>
      <c r="I994" s="695">
        <v>84</v>
      </c>
      <c r="J994" s="695" t="s">
        <v>4684</v>
      </c>
      <c r="K994" s="695" t="s">
        <v>3985</v>
      </c>
      <c r="L994" s="696">
        <v>27</v>
      </c>
      <c r="M994" s="170"/>
    </row>
    <row r="995" spans="2:13" x14ac:dyDescent="0.2">
      <c r="B995" s="173"/>
      <c r="C995" s="694">
        <v>1</v>
      </c>
      <c r="D995" s="695" t="s">
        <v>3903</v>
      </c>
      <c r="E995" s="695">
        <v>2</v>
      </c>
      <c r="F995" s="695" t="s">
        <v>4605</v>
      </c>
      <c r="G995" s="695">
        <v>1</v>
      </c>
      <c r="H995" s="695" t="s">
        <v>4605</v>
      </c>
      <c r="I995" s="695">
        <v>85</v>
      </c>
      <c r="J995" s="695" t="s">
        <v>4667</v>
      </c>
      <c r="K995" s="695" t="s">
        <v>3985</v>
      </c>
      <c r="L995" s="696">
        <v>26</v>
      </c>
      <c r="M995" s="170"/>
    </row>
    <row r="996" spans="2:13" x14ac:dyDescent="0.2">
      <c r="B996" s="173"/>
      <c r="C996" s="694">
        <v>1</v>
      </c>
      <c r="D996" s="695" t="s">
        <v>3903</v>
      </c>
      <c r="E996" s="695">
        <v>2</v>
      </c>
      <c r="F996" s="695" t="s">
        <v>4605</v>
      </c>
      <c r="G996" s="695">
        <v>1</v>
      </c>
      <c r="H996" s="695" t="s">
        <v>4605</v>
      </c>
      <c r="I996" s="695">
        <v>87</v>
      </c>
      <c r="J996" s="695" t="s">
        <v>4101</v>
      </c>
      <c r="K996" s="695" t="s">
        <v>4009</v>
      </c>
      <c r="L996" s="696">
        <v>5</v>
      </c>
      <c r="M996" s="170"/>
    </row>
    <row r="997" spans="2:13" x14ac:dyDescent="0.2">
      <c r="B997" s="173"/>
      <c r="C997" s="694">
        <v>1</v>
      </c>
      <c r="D997" s="695" t="s">
        <v>3903</v>
      </c>
      <c r="E997" s="695">
        <v>2</v>
      </c>
      <c r="F997" s="695" t="s">
        <v>4605</v>
      </c>
      <c r="G997" s="695">
        <v>1</v>
      </c>
      <c r="H997" s="695" t="s">
        <v>4605</v>
      </c>
      <c r="I997" s="695">
        <v>88</v>
      </c>
      <c r="J997" s="695" t="s">
        <v>4685</v>
      </c>
      <c r="K997" s="695" t="s">
        <v>8544</v>
      </c>
      <c r="L997" s="696">
        <v>2</v>
      </c>
      <c r="M997" s="170"/>
    </row>
    <row r="998" spans="2:13" x14ac:dyDescent="0.2">
      <c r="B998" s="173"/>
      <c r="C998" s="694">
        <v>1</v>
      </c>
      <c r="D998" s="695" t="s">
        <v>3903</v>
      </c>
      <c r="E998" s="695">
        <v>2</v>
      </c>
      <c r="F998" s="695" t="s">
        <v>4605</v>
      </c>
      <c r="G998" s="695">
        <v>1</v>
      </c>
      <c r="H998" s="695" t="s">
        <v>4605</v>
      </c>
      <c r="I998" s="695">
        <v>89</v>
      </c>
      <c r="J998" s="695" t="s">
        <v>4679</v>
      </c>
      <c r="K998" s="695" t="s">
        <v>8544</v>
      </c>
      <c r="L998" s="696">
        <v>2</v>
      </c>
      <c r="M998" s="170"/>
    </row>
    <row r="999" spans="2:13" x14ac:dyDescent="0.2">
      <c r="B999" s="173"/>
      <c r="C999" s="694">
        <v>1</v>
      </c>
      <c r="D999" s="695" t="s">
        <v>3903</v>
      </c>
      <c r="E999" s="695">
        <v>2</v>
      </c>
      <c r="F999" s="695" t="s">
        <v>4605</v>
      </c>
      <c r="G999" s="695">
        <v>1</v>
      </c>
      <c r="H999" s="695" t="s">
        <v>4605</v>
      </c>
      <c r="I999" s="695">
        <v>90</v>
      </c>
      <c r="J999" s="695" t="s">
        <v>4686</v>
      </c>
      <c r="K999" s="695" t="s">
        <v>8544</v>
      </c>
      <c r="L999" s="696">
        <v>12</v>
      </c>
      <c r="M999" s="170"/>
    </row>
    <row r="1000" spans="2:13" x14ac:dyDescent="0.2">
      <c r="B1000" s="173"/>
      <c r="C1000" s="694">
        <v>1</v>
      </c>
      <c r="D1000" s="695" t="s">
        <v>3903</v>
      </c>
      <c r="E1000" s="695">
        <v>2</v>
      </c>
      <c r="F1000" s="695" t="s">
        <v>4605</v>
      </c>
      <c r="G1000" s="695">
        <v>1</v>
      </c>
      <c r="H1000" s="695" t="s">
        <v>4605</v>
      </c>
      <c r="I1000" s="695">
        <v>91</v>
      </c>
      <c r="J1000" s="695" t="s">
        <v>4687</v>
      </c>
      <c r="K1000" s="695" t="s">
        <v>8544</v>
      </c>
      <c r="L1000" s="696">
        <v>42</v>
      </c>
      <c r="M1000" s="170"/>
    </row>
    <row r="1001" spans="2:13" x14ac:dyDescent="0.2">
      <c r="B1001" s="173"/>
      <c r="C1001" s="694">
        <v>1</v>
      </c>
      <c r="D1001" s="695" t="s">
        <v>3903</v>
      </c>
      <c r="E1001" s="695">
        <v>2</v>
      </c>
      <c r="F1001" s="695" t="s">
        <v>4605</v>
      </c>
      <c r="G1001" s="695">
        <v>1</v>
      </c>
      <c r="H1001" s="695" t="s">
        <v>4605</v>
      </c>
      <c r="I1001" s="695">
        <v>92</v>
      </c>
      <c r="J1001" s="695" t="s">
        <v>4688</v>
      </c>
      <c r="K1001" s="695" t="s">
        <v>8544</v>
      </c>
      <c r="L1001" s="696">
        <v>24</v>
      </c>
      <c r="M1001" s="170"/>
    </row>
    <row r="1002" spans="2:13" x14ac:dyDescent="0.2">
      <c r="B1002" s="173"/>
      <c r="C1002" s="694">
        <v>1</v>
      </c>
      <c r="D1002" s="695" t="s">
        <v>3903</v>
      </c>
      <c r="E1002" s="695">
        <v>2</v>
      </c>
      <c r="F1002" s="695" t="s">
        <v>4605</v>
      </c>
      <c r="G1002" s="695">
        <v>1</v>
      </c>
      <c r="H1002" s="695" t="s">
        <v>4605</v>
      </c>
      <c r="I1002" s="695">
        <v>93</v>
      </c>
      <c r="J1002" s="695" t="s">
        <v>4689</v>
      </c>
      <c r="K1002" s="695" t="s">
        <v>8544</v>
      </c>
      <c r="L1002" s="696">
        <v>5</v>
      </c>
      <c r="M1002" s="170"/>
    </row>
    <row r="1003" spans="2:13" x14ac:dyDescent="0.2">
      <c r="B1003" s="173"/>
      <c r="C1003" s="694">
        <v>1</v>
      </c>
      <c r="D1003" s="695" t="s">
        <v>3903</v>
      </c>
      <c r="E1003" s="695">
        <v>2</v>
      </c>
      <c r="F1003" s="695" t="s">
        <v>4605</v>
      </c>
      <c r="G1003" s="695">
        <v>1</v>
      </c>
      <c r="H1003" s="695" t="s">
        <v>4605</v>
      </c>
      <c r="I1003" s="695">
        <v>94</v>
      </c>
      <c r="J1003" s="695" t="s">
        <v>4690</v>
      </c>
      <c r="K1003" s="695" t="s">
        <v>8544</v>
      </c>
      <c r="L1003" s="696">
        <v>19</v>
      </c>
      <c r="M1003" s="170"/>
    </row>
    <row r="1004" spans="2:13" x14ac:dyDescent="0.2">
      <c r="B1004" s="173"/>
      <c r="C1004" s="694">
        <v>1</v>
      </c>
      <c r="D1004" s="695" t="s">
        <v>3903</v>
      </c>
      <c r="E1004" s="695">
        <v>2</v>
      </c>
      <c r="F1004" s="695" t="s">
        <v>4605</v>
      </c>
      <c r="G1004" s="695">
        <v>1</v>
      </c>
      <c r="H1004" s="695" t="s">
        <v>4605</v>
      </c>
      <c r="I1004" s="695">
        <v>95</v>
      </c>
      <c r="J1004" s="695" t="s">
        <v>4691</v>
      </c>
      <c r="K1004" s="695" t="s">
        <v>8544</v>
      </c>
      <c r="L1004" s="696">
        <v>7</v>
      </c>
      <c r="M1004" s="170"/>
    </row>
    <row r="1005" spans="2:13" x14ac:dyDescent="0.2">
      <c r="B1005" s="173"/>
      <c r="C1005" s="694">
        <v>1</v>
      </c>
      <c r="D1005" s="695" t="s">
        <v>3903</v>
      </c>
      <c r="E1005" s="695">
        <v>2</v>
      </c>
      <c r="F1005" s="695" t="s">
        <v>4605</v>
      </c>
      <c r="G1005" s="695">
        <v>1</v>
      </c>
      <c r="H1005" s="695" t="s">
        <v>4605</v>
      </c>
      <c r="I1005" s="695">
        <v>96</v>
      </c>
      <c r="J1005" s="695" t="s">
        <v>4620</v>
      </c>
      <c r="K1005" s="695" t="s">
        <v>8544</v>
      </c>
      <c r="L1005" s="696">
        <v>255</v>
      </c>
      <c r="M1005" s="170"/>
    </row>
    <row r="1006" spans="2:13" x14ac:dyDescent="0.2">
      <c r="B1006" s="173"/>
      <c r="C1006" s="694">
        <v>1</v>
      </c>
      <c r="D1006" s="695" t="s">
        <v>3903</v>
      </c>
      <c r="E1006" s="695">
        <v>2</v>
      </c>
      <c r="F1006" s="695" t="s">
        <v>4605</v>
      </c>
      <c r="G1006" s="695">
        <v>1</v>
      </c>
      <c r="H1006" s="695" t="s">
        <v>4605</v>
      </c>
      <c r="I1006" s="695">
        <v>97</v>
      </c>
      <c r="J1006" s="695" t="s">
        <v>4692</v>
      </c>
      <c r="K1006" s="695" t="s">
        <v>8544</v>
      </c>
      <c r="L1006" s="696">
        <v>2</v>
      </c>
      <c r="M1006" s="170"/>
    </row>
    <row r="1007" spans="2:13" x14ac:dyDescent="0.2">
      <c r="B1007" s="173"/>
      <c r="C1007" s="694">
        <v>1</v>
      </c>
      <c r="D1007" s="695" t="s">
        <v>3903</v>
      </c>
      <c r="E1007" s="695">
        <v>2</v>
      </c>
      <c r="F1007" s="695" t="s">
        <v>4605</v>
      </c>
      <c r="G1007" s="695">
        <v>1</v>
      </c>
      <c r="H1007" s="695" t="s">
        <v>4605</v>
      </c>
      <c r="I1007" s="695">
        <v>98</v>
      </c>
      <c r="J1007" s="695" t="s">
        <v>4693</v>
      </c>
      <c r="K1007" s="695" t="s">
        <v>8544</v>
      </c>
      <c r="L1007" s="696">
        <v>35</v>
      </c>
      <c r="M1007" s="170"/>
    </row>
    <row r="1008" spans="2:13" x14ac:dyDescent="0.2">
      <c r="B1008" s="173"/>
      <c r="C1008" s="694">
        <v>1</v>
      </c>
      <c r="D1008" s="695" t="s">
        <v>3903</v>
      </c>
      <c r="E1008" s="695">
        <v>2</v>
      </c>
      <c r="F1008" s="695" t="s">
        <v>4605</v>
      </c>
      <c r="G1008" s="695">
        <v>1</v>
      </c>
      <c r="H1008" s="695" t="s">
        <v>4605</v>
      </c>
      <c r="I1008" s="695">
        <v>99</v>
      </c>
      <c r="J1008" s="695" t="s">
        <v>4610</v>
      </c>
      <c r="K1008" s="695" t="s">
        <v>8544</v>
      </c>
      <c r="L1008" s="696">
        <v>68</v>
      </c>
      <c r="M1008" s="170"/>
    </row>
    <row r="1009" spans="2:13" x14ac:dyDescent="0.2">
      <c r="B1009" s="173"/>
      <c r="C1009" s="694">
        <v>1</v>
      </c>
      <c r="D1009" s="695" t="s">
        <v>3903</v>
      </c>
      <c r="E1009" s="695">
        <v>2</v>
      </c>
      <c r="F1009" s="695" t="s">
        <v>4605</v>
      </c>
      <c r="G1009" s="695">
        <v>1</v>
      </c>
      <c r="H1009" s="695" t="s">
        <v>4605</v>
      </c>
      <c r="I1009" s="695">
        <v>100</v>
      </c>
      <c r="J1009" s="695" t="s">
        <v>4694</v>
      </c>
      <c r="K1009" s="695" t="s">
        <v>8544</v>
      </c>
      <c r="L1009" s="696">
        <v>8</v>
      </c>
      <c r="M1009" s="170"/>
    </row>
    <row r="1010" spans="2:13" x14ac:dyDescent="0.2">
      <c r="B1010" s="173"/>
      <c r="C1010" s="694">
        <v>1</v>
      </c>
      <c r="D1010" s="695" t="s">
        <v>3903</v>
      </c>
      <c r="E1010" s="695">
        <v>2</v>
      </c>
      <c r="F1010" s="695" t="s">
        <v>4605</v>
      </c>
      <c r="G1010" s="695">
        <v>1</v>
      </c>
      <c r="H1010" s="695" t="s">
        <v>4605</v>
      </c>
      <c r="I1010" s="695">
        <v>101</v>
      </c>
      <c r="J1010" s="695" t="s">
        <v>4695</v>
      </c>
      <c r="K1010" s="695" t="s">
        <v>8544</v>
      </c>
      <c r="L1010" s="696">
        <v>6</v>
      </c>
      <c r="M1010" s="170"/>
    </row>
    <row r="1011" spans="2:13" x14ac:dyDescent="0.2">
      <c r="B1011" s="173"/>
      <c r="C1011" s="694">
        <v>1</v>
      </c>
      <c r="D1011" s="695" t="s">
        <v>3903</v>
      </c>
      <c r="E1011" s="695">
        <v>2</v>
      </c>
      <c r="F1011" s="695" t="s">
        <v>4605</v>
      </c>
      <c r="G1011" s="695">
        <v>1</v>
      </c>
      <c r="H1011" s="695" t="s">
        <v>4605</v>
      </c>
      <c r="I1011" s="695">
        <v>102</v>
      </c>
      <c r="J1011" s="695" t="s">
        <v>4696</v>
      </c>
      <c r="K1011" s="695" t="s">
        <v>8544</v>
      </c>
      <c r="L1011" s="696">
        <v>16</v>
      </c>
      <c r="M1011" s="170"/>
    </row>
    <row r="1012" spans="2:13" x14ac:dyDescent="0.2">
      <c r="B1012" s="173"/>
      <c r="C1012" s="694">
        <v>1</v>
      </c>
      <c r="D1012" s="695" t="s">
        <v>3903</v>
      </c>
      <c r="E1012" s="695">
        <v>2</v>
      </c>
      <c r="F1012" s="695" t="s">
        <v>4605</v>
      </c>
      <c r="G1012" s="695">
        <v>1</v>
      </c>
      <c r="H1012" s="695" t="s">
        <v>4605</v>
      </c>
      <c r="I1012" s="695">
        <v>103</v>
      </c>
      <c r="J1012" s="695" t="s">
        <v>4635</v>
      </c>
      <c r="K1012" s="695" t="s">
        <v>8544</v>
      </c>
      <c r="L1012" s="696">
        <v>10</v>
      </c>
      <c r="M1012" s="170"/>
    </row>
    <row r="1013" spans="2:13" x14ac:dyDescent="0.2">
      <c r="B1013" s="173"/>
      <c r="C1013" s="694">
        <v>1</v>
      </c>
      <c r="D1013" s="695" t="s">
        <v>3903</v>
      </c>
      <c r="E1013" s="695">
        <v>2</v>
      </c>
      <c r="F1013" s="695" t="s">
        <v>4605</v>
      </c>
      <c r="G1013" s="695">
        <v>1</v>
      </c>
      <c r="H1013" s="695" t="s">
        <v>4605</v>
      </c>
      <c r="I1013" s="695">
        <v>104</v>
      </c>
      <c r="J1013" s="695" t="s">
        <v>4697</v>
      </c>
      <c r="K1013" s="695" t="s">
        <v>8544</v>
      </c>
      <c r="L1013" s="696">
        <v>8</v>
      </c>
      <c r="M1013" s="170"/>
    </row>
    <row r="1014" spans="2:13" x14ac:dyDescent="0.2">
      <c r="B1014" s="173"/>
      <c r="C1014" s="694">
        <v>1</v>
      </c>
      <c r="D1014" s="695" t="s">
        <v>3903</v>
      </c>
      <c r="E1014" s="695">
        <v>2</v>
      </c>
      <c r="F1014" s="695" t="s">
        <v>4605</v>
      </c>
      <c r="G1014" s="695">
        <v>1</v>
      </c>
      <c r="H1014" s="695" t="s">
        <v>4605</v>
      </c>
      <c r="I1014" s="695">
        <v>105</v>
      </c>
      <c r="J1014" s="695" t="s">
        <v>4698</v>
      </c>
      <c r="K1014" s="695" t="s">
        <v>8544</v>
      </c>
      <c r="L1014" s="696">
        <v>47</v>
      </c>
      <c r="M1014" s="170"/>
    </row>
    <row r="1015" spans="2:13" x14ac:dyDescent="0.2">
      <c r="B1015" s="173"/>
      <c r="C1015" s="694">
        <v>1</v>
      </c>
      <c r="D1015" s="695" t="s">
        <v>3903</v>
      </c>
      <c r="E1015" s="695">
        <v>2</v>
      </c>
      <c r="F1015" s="695" t="s">
        <v>4605</v>
      </c>
      <c r="G1015" s="695">
        <v>1</v>
      </c>
      <c r="H1015" s="695" t="s">
        <v>4605</v>
      </c>
      <c r="I1015" s="695">
        <v>106</v>
      </c>
      <c r="J1015" s="695" t="s">
        <v>4699</v>
      </c>
      <c r="K1015" s="695" t="s">
        <v>8544</v>
      </c>
      <c r="L1015" s="696">
        <v>174</v>
      </c>
      <c r="M1015" s="170"/>
    </row>
    <row r="1016" spans="2:13" x14ac:dyDescent="0.2">
      <c r="B1016" s="173"/>
      <c r="C1016" s="694">
        <v>1</v>
      </c>
      <c r="D1016" s="695" t="s">
        <v>3903</v>
      </c>
      <c r="E1016" s="695">
        <v>2</v>
      </c>
      <c r="F1016" s="695" t="s">
        <v>4605</v>
      </c>
      <c r="G1016" s="695">
        <v>1</v>
      </c>
      <c r="H1016" s="695" t="s">
        <v>4605</v>
      </c>
      <c r="I1016" s="695">
        <v>107</v>
      </c>
      <c r="J1016" s="695" t="s">
        <v>4613</v>
      </c>
      <c r="K1016" s="695" t="s">
        <v>8544</v>
      </c>
      <c r="L1016" s="696">
        <v>467</v>
      </c>
      <c r="M1016" s="170"/>
    </row>
    <row r="1017" spans="2:13" x14ac:dyDescent="0.2">
      <c r="B1017" s="173"/>
      <c r="C1017" s="694">
        <v>1</v>
      </c>
      <c r="D1017" s="695" t="s">
        <v>3903</v>
      </c>
      <c r="E1017" s="695">
        <v>2</v>
      </c>
      <c r="F1017" s="695" t="s">
        <v>4605</v>
      </c>
      <c r="G1017" s="695">
        <v>1</v>
      </c>
      <c r="H1017" s="695" t="s">
        <v>4605</v>
      </c>
      <c r="I1017" s="695">
        <v>108</v>
      </c>
      <c r="J1017" s="695" t="s">
        <v>4700</v>
      </c>
      <c r="K1017" s="695" t="s">
        <v>8544</v>
      </c>
      <c r="L1017" s="696">
        <v>29</v>
      </c>
      <c r="M1017" s="170"/>
    </row>
    <row r="1018" spans="2:13" x14ac:dyDescent="0.2">
      <c r="B1018" s="173"/>
      <c r="C1018" s="694">
        <v>1</v>
      </c>
      <c r="D1018" s="695" t="s">
        <v>3903</v>
      </c>
      <c r="E1018" s="695">
        <v>2</v>
      </c>
      <c r="F1018" s="695" t="s">
        <v>4605</v>
      </c>
      <c r="G1018" s="695">
        <v>1</v>
      </c>
      <c r="H1018" s="695" t="s">
        <v>4605</v>
      </c>
      <c r="I1018" s="695">
        <v>109</v>
      </c>
      <c r="J1018" s="695" t="s">
        <v>4701</v>
      </c>
      <c r="K1018" s="695" t="s">
        <v>8544</v>
      </c>
      <c r="L1018" s="696">
        <v>444</v>
      </c>
      <c r="M1018" s="170"/>
    </row>
    <row r="1019" spans="2:13" x14ac:dyDescent="0.2">
      <c r="B1019" s="173"/>
      <c r="C1019" s="694">
        <v>1</v>
      </c>
      <c r="D1019" s="695" t="s">
        <v>3903</v>
      </c>
      <c r="E1019" s="695">
        <v>2</v>
      </c>
      <c r="F1019" s="695" t="s">
        <v>4605</v>
      </c>
      <c r="G1019" s="695">
        <v>1</v>
      </c>
      <c r="H1019" s="695" t="s">
        <v>4605</v>
      </c>
      <c r="I1019" s="695">
        <v>110</v>
      </c>
      <c r="J1019" s="695" t="s">
        <v>4702</v>
      </c>
      <c r="K1019" s="695" t="s">
        <v>8544</v>
      </c>
      <c r="L1019" s="696">
        <v>276</v>
      </c>
      <c r="M1019" s="170"/>
    </row>
    <row r="1020" spans="2:13" x14ac:dyDescent="0.2">
      <c r="B1020" s="173"/>
      <c r="C1020" s="694">
        <v>1</v>
      </c>
      <c r="D1020" s="695" t="s">
        <v>3903</v>
      </c>
      <c r="E1020" s="695">
        <v>2</v>
      </c>
      <c r="F1020" s="695" t="s">
        <v>4605</v>
      </c>
      <c r="G1020" s="695">
        <v>1</v>
      </c>
      <c r="H1020" s="695" t="s">
        <v>4605</v>
      </c>
      <c r="I1020" s="695">
        <v>111</v>
      </c>
      <c r="J1020" s="695" t="s">
        <v>4703</v>
      </c>
      <c r="K1020" s="695" t="s">
        <v>8544</v>
      </c>
      <c r="L1020" s="696">
        <v>41</v>
      </c>
      <c r="M1020" s="170"/>
    </row>
    <row r="1021" spans="2:13" x14ac:dyDescent="0.2">
      <c r="B1021" s="173"/>
      <c r="C1021" s="694">
        <v>1</v>
      </c>
      <c r="D1021" s="695" t="s">
        <v>3903</v>
      </c>
      <c r="E1021" s="695">
        <v>2</v>
      </c>
      <c r="F1021" s="695" t="s">
        <v>4605</v>
      </c>
      <c r="G1021" s="695">
        <v>1</v>
      </c>
      <c r="H1021" s="695" t="s">
        <v>4605</v>
      </c>
      <c r="I1021" s="695">
        <v>112</v>
      </c>
      <c r="J1021" s="695" t="s">
        <v>4615</v>
      </c>
      <c r="K1021" s="695" t="s">
        <v>8544</v>
      </c>
      <c r="L1021" s="696">
        <v>71</v>
      </c>
      <c r="M1021" s="170"/>
    </row>
    <row r="1022" spans="2:13" x14ac:dyDescent="0.2">
      <c r="B1022" s="173"/>
      <c r="C1022" s="694">
        <v>1</v>
      </c>
      <c r="D1022" s="695" t="s">
        <v>3903</v>
      </c>
      <c r="E1022" s="695">
        <v>2</v>
      </c>
      <c r="F1022" s="695" t="s">
        <v>4605</v>
      </c>
      <c r="G1022" s="695">
        <v>1</v>
      </c>
      <c r="H1022" s="695" t="s">
        <v>4605</v>
      </c>
      <c r="I1022" s="695">
        <v>113</v>
      </c>
      <c r="J1022" s="695" t="s">
        <v>4704</v>
      </c>
      <c r="K1022" s="695" t="s">
        <v>8544</v>
      </c>
      <c r="L1022" s="696">
        <v>1</v>
      </c>
      <c r="M1022" s="170"/>
    </row>
    <row r="1023" spans="2:13" x14ac:dyDescent="0.2">
      <c r="B1023" s="173"/>
      <c r="C1023" s="694">
        <v>1</v>
      </c>
      <c r="D1023" s="695" t="s">
        <v>3903</v>
      </c>
      <c r="E1023" s="695">
        <v>2</v>
      </c>
      <c r="F1023" s="695" t="s">
        <v>4605</v>
      </c>
      <c r="G1023" s="695">
        <v>1</v>
      </c>
      <c r="H1023" s="695" t="s">
        <v>4605</v>
      </c>
      <c r="I1023" s="695">
        <v>114</v>
      </c>
      <c r="J1023" s="695" t="s">
        <v>4705</v>
      </c>
      <c r="K1023" s="695" t="s">
        <v>8544</v>
      </c>
      <c r="L1023" s="696">
        <v>57</v>
      </c>
      <c r="M1023" s="170"/>
    </row>
    <row r="1024" spans="2:13" x14ac:dyDescent="0.2">
      <c r="B1024" s="173"/>
      <c r="C1024" s="694">
        <v>1</v>
      </c>
      <c r="D1024" s="695" t="s">
        <v>3903</v>
      </c>
      <c r="E1024" s="695">
        <v>2</v>
      </c>
      <c r="F1024" s="695" t="s">
        <v>4605</v>
      </c>
      <c r="G1024" s="695">
        <v>1</v>
      </c>
      <c r="H1024" s="695" t="s">
        <v>4605</v>
      </c>
      <c r="I1024" s="695">
        <v>115</v>
      </c>
      <c r="J1024" s="695" t="s">
        <v>4706</v>
      </c>
      <c r="K1024" s="695" t="s">
        <v>8544</v>
      </c>
      <c r="L1024" s="696">
        <v>10</v>
      </c>
      <c r="M1024" s="170"/>
    </row>
    <row r="1025" spans="2:13" x14ac:dyDescent="0.2">
      <c r="B1025" s="173"/>
      <c r="C1025" s="694">
        <v>1</v>
      </c>
      <c r="D1025" s="695" t="s">
        <v>3903</v>
      </c>
      <c r="E1025" s="695">
        <v>2</v>
      </c>
      <c r="F1025" s="695" t="s">
        <v>4605</v>
      </c>
      <c r="G1025" s="695">
        <v>1</v>
      </c>
      <c r="H1025" s="695" t="s">
        <v>4605</v>
      </c>
      <c r="I1025" s="695">
        <v>116</v>
      </c>
      <c r="J1025" s="695" t="s">
        <v>4707</v>
      </c>
      <c r="K1025" s="695" t="s">
        <v>8544</v>
      </c>
      <c r="L1025" s="696">
        <v>78</v>
      </c>
      <c r="M1025" s="170"/>
    </row>
    <row r="1026" spans="2:13" x14ac:dyDescent="0.2">
      <c r="B1026" s="173"/>
      <c r="C1026" s="694">
        <v>1</v>
      </c>
      <c r="D1026" s="695" t="s">
        <v>3903</v>
      </c>
      <c r="E1026" s="695">
        <v>2</v>
      </c>
      <c r="F1026" s="695" t="s">
        <v>4605</v>
      </c>
      <c r="G1026" s="695">
        <v>1</v>
      </c>
      <c r="H1026" s="695" t="s">
        <v>4605</v>
      </c>
      <c r="I1026" s="695">
        <v>117</v>
      </c>
      <c r="J1026" s="695" t="s">
        <v>4708</v>
      </c>
      <c r="K1026" s="695" t="s">
        <v>4057</v>
      </c>
      <c r="L1026" s="696">
        <v>1</v>
      </c>
      <c r="M1026" s="170"/>
    </row>
    <row r="1027" spans="2:13" x14ac:dyDescent="0.2">
      <c r="B1027" s="173"/>
      <c r="C1027" s="694">
        <v>1</v>
      </c>
      <c r="D1027" s="695" t="s">
        <v>3903</v>
      </c>
      <c r="E1027" s="695">
        <v>2</v>
      </c>
      <c r="F1027" s="695" t="s">
        <v>4605</v>
      </c>
      <c r="G1027" s="695">
        <v>1</v>
      </c>
      <c r="H1027" s="695" t="s">
        <v>4605</v>
      </c>
      <c r="I1027" s="695">
        <v>118</v>
      </c>
      <c r="J1027" s="695" t="s">
        <v>4709</v>
      </c>
      <c r="K1027" s="695" t="s">
        <v>3985</v>
      </c>
      <c r="L1027" s="696">
        <v>16</v>
      </c>
      <c r="M1027" s="170"/>
    </row>
    <row r="1028" spans="2:13" x14ac:dyDescent="0.2">
      <c r="B1028" s="173"/>
      <c r="C1028" s="694">
        <v>1</v>
      </c>
      <c r="D1028" s="695" t="s">
        <v>3903</v>
      </c>
      <c r="E1028" s="695">
        <v>2</v>
      </c>
      <c r="F1028" s="695" t="s">
        <v>4605</v>
      </c>
      <c r="G1028" s="695">
        <v>1</v>
      </c>
      <c r="H1028" s="695" t="s">
        <v>4605</v>
      </c>
      <c r="I1028" s="695">
        <v>119</v>
      </c>
      <c r="J1028" s="695" t="s">
        <v>4710</v>
      </c>
      <c r="K1028" s="695" t="s">
        <v>8544</v>
      </c>
      <c r="L1028" s="696">
        <v>1</v>
      </c>
      <c r="M1028" s="170"/>
    </row>
    <row r="1029" spans="2:13" x14ac:dyDescent="0.2">
      <c r="B1029" s="173"/>
      <c r="C1029" s="694">
        <v>1</v>
      </c>
      <c r="D1029" s="695" t="s">
        <v>3903</v>
      </c>
      <c r="E1029" s="695">
        <v>2</v>
      </c>
      <c r="F1029" s="695" t="s">
        <v>4605</v>
      </c>
      <c r="G1029" s="695">
        <v>1</v>
      </c>
      <c r="H1029" s="695" t="s">
        <v>4605</v>
      </c>
      <c r="I1029" s="695">
        <v>120</v>
      </c>
      <c r="J1029" s="695" t="s">
        <v>4711</v>
      </c>
      <c r="K1029" s="695" t="s">
        <v>3985</v>
      </c>
      <c r="L1029" s="696">
        <v>36</v>
      </c>
      <c r="M1029" s="170"/>
    </row>
    <row r="1030" spans="2:13" x14ac:dyDescent="0.2">
      <c r="B1030" s="173"/>
      <c r="C1030" s="694">
        <v>1</v>
      </c>
      <c r="D1030" s="695" t="s">
        <v>3903</v>
      </c>
      <c r="E1030" s="695">
        <v>2</v>
      </c>
      <c r="F1030" s="695" t="s">
        <v>4605</v>
      </c>
      <c r="G1030" s="695">
        <v>1</v>
      </c>
      <c r="H1030" s="695" t="s">
        <v>4605</v>
      </c>
      <c r="I1030" s="695">
        <v>121</v>
      </c>
      <c r="J1030" s="695" t="s">
        <v>4712</v>
      </c>
      <c r="K1030" s="695" t="s">
        <v>8544</v>
      </c>
      <c r="L1030" s="696">
        <v>2</v>
      </c>
      <c r="M1030" s="170"/>
    </row>
    <row r="1031" spans="2:13" x14ac:dyDescent="0.2">
      <c r="B1031" s="173"/>
      <c r="C1031" s="694">
        <v>1</v>
      </c>
      <c r="D1031" s="695" t="s">
        <v>3903</v>
      </c>
      <c r="E1031" s="695">
        <v>2</v>
      </c>
      <c r="F1031" s="695" t="s">
        <v>4605</v>
      </c>
      <c r="G1031" s="695">
        <v>1</v>
      </c>
      <c r="H1031" s="695" t="s">
        <v>4605</v>
      </c>
      <c r="I1031" s="695">
        <v>122</v>
      </c>
      <c r="J1031" s="695" t="s">
        <v>4713</v>
      </c>
      <c r="K1031" s="695" t="s">
        <v>3985</v>
      </c>
      <c r="L1031" s="696">
        <v>17</v>
      </c>
      <c r="M1031" s="170"/>
    </row>
    <row r="1032" spans="2:13" x14ac:dyDescent="0.2">
      <c r="B1032" s="173"/>
      <c r="C1032" s="694">
        <v>1</v>
      </c>
      <c r="D1032" s="695" t="s">
        <v>3903</v>
      </c>
      <c r="E1032" s="695">
        <v>2</v>
      </c>
      <c r="F1032" s="695" t="s">
        <v>4605</v>
      </c>
      <c r="G1032" s="695">
        <v>1</v>
      </c>
      <c r="H1032" s="695" t="s">
        <v>4605</v>
      </c>
      <c r="I1032" s="695">
        <v>123</v>
      </c>
      <c r="J1032" s="695" t="s">
        <v>4714</v>
      </c>
      <c r="K1032" s="695" t="s">
        <v>8544</v>
      </c>
      <c r="L1032" s="696">
        <v>1</v>
      </c>
      <c r="M1032" s="170"/>
    </row>
    <row r="1033" spans="2:13" x14ac:dyDescent="0.2">
      <c r="B1033" s="173"/>
      <c r="C1033" s="694">
        <v>1</v>
      </c>
      <c r="D1033" s="695" t="s">
        <v>3903</v>
      </c>
      <c r="E1033" s="695">
        <v>2</v>
      </c>
      <c r="F1033" s="695" t="s">
        <v>4605</v>
      </c>
      <c r="G1033" s="695">
        <v>1</v>
      </c>
      <c r="H1033" s="695" t="s">
        <v>4605</v>
      </c>
      <c r="I1033" s="695">
        <v>124</v>
      </c>
      <c r="J1033" s="695" t="s">
        <v>4715</v>
      </c>
      <c r="K1033" s="695" t="s">
        <v>8544</v>
      </c>
      <c r="L1033" s="696">
        <v>12</v>
      </c>
      <c r="M1033" s="170"/>
    </row>
    <row r="1034" spans="2:13" x14ac:dyDescent="0.2">
      <c r="B1034" s="173"/>
      <c r="C1034" s="694">
        <v>1</v>
      </c>
      <c r="D1034" s="695" t="s">
        <v>3903</v>
      </c>
      <c r="E1034" s="695">
        <v>2</v>
      </c>
      <c r="F1034" s="695" t="s">
        <v>4605</v>
      </c>
      <c r="G1034" s="695">
        <v>1</v>
      </c>
      <c r="H1034" s="695" t="s">
        <v>4605</v>
      </c>
      <c r="I1034" s="695">
        <v>125</v>
      </c>
      <c r="J1034" s="695" t="s">
        <v>4716</v>
      </c>
      <c r="K1034" s="695" t="s">
        <v>8544</v>
      </c>
      <c r="L1034" s="696">
        <v>2</v>
      </c>
      <c r="M1034" s="170"/>
    </row>
    <row r="1035" spans="2:13" x14ac:dyDescent="0.2">
      <c r="B1035" s="173"/>
      <c r="C1035" s="694">
        <v>1</v>
      </c>
      <c r="D1035" s="695" t="s">
        <v>3903</v>
      </c>
      <c r="E1035" s="695">
        <v>2</v>
      </c>
      <c r="F1035" s="695" t="s">
        <v>4605</v>
      </c>
      <c r="G1035" s="695">
        <v>1</v>
      </c>
      <c r="H1035" s="695" t="s">
        <v>4605</v>
      </c>
      <c r="I1035" s="695">
        <v>126</v>
      </c>
      <c r="J1035" s="695" t="s">
        <v>4717</v>
      </c>
      <c r="K1035" s="695" t="s">
        <v>8544</v>
      </c>
      <c r="L1035" s="696">
        <v>2</v>
      </c>
      <c r="M1035" s="170"/>
    </row>
    <row r="1036" spans="2:13" x14ac:dyDescent="0.2">
      <c r="B1036" s="173"/>
      <c r="C1036" s="694">
        <v>1</v>
      </c>
      <c r="D1036" s="695" t="s">
        <v>3903</v>
      </c>
      <c r="E1036" s="695">
        <v>2</v>
      </c>
      <c r="F1036" s="695" t="s">
        <v>4605</v>
      </c>
      <c r="G1036" s="695">
        <v>1</v>
      </c>
      <c r="H1036" s="695" t="s">
        <v>4605</v>
      </c>
      <c r="I1036" s="695">
        <v>127</v>
      </c>
      <c r="J1036" s="695" t="s">
        <v>4718</v>
      </c>
      <c r="K1036" s="695" t="s">
        <v>8544</v>
      </c>
      <c r="L1036" s="696">
        <v>11</v>
      </c>
      <c r="M1036" s="170"/>
    </row>
    <row r="1037" spans="2:13" x14ac:dyDescent="0.2">
      <c r="B1037" s="173"/>
      <c r="C1037" s="694">
        <v>1</v>
      </c>
      <c r="D1037" s="695" t="s">
        <v>3903</v>
      </c>
      <c r="E1037" s="695">
        <v>2</v>
      </c>
      <c r="F1037" s="695" t="s">
        <v>4605</v>
      </c>
      <c r="G1037" s="695">
        <v>1</v>
      </c>
      <c r="H1037" s="695" t="s">
        <v>4605</v>
      </c>
      <c r="I1037" s="695">
        <v>128</v>
      </c>
      <c r="J1037" s="695" t="s">
        <v>4719</v>
      </c>
      <c r="K1037" s="695" t="s">
        <v>3985</v>
      </c>
      <c r="L1037" s="696">
        <v>3</v>
      </c>
      <c r="M1037" s="170"/>
    </row>
    <row r="1038" spans="2:13" x14ac:dyDescent="0.2">
      <c r="B1038" s="173"/>
      <c r="C1038" s="694">
        <v>1</v>
      </c>
      <c r="D1038" s="695" t="s">
        <v>3903</v>
      </c>
      <c r="E1038" s="695">
        <v>2</v>
      </c>
      <c r="F1038" s="695" t="s">
        <v>4605</v>
      </c>
      <c r="G1038" s="695">
        <v>1</v>
      </c>
      <c r="H1038" s="695" t="s">
        <v>4605</v>
      </c>
      <c r="I1038" s="695">
        <v>129</v>
      </c>
      <c r="J1038" s="695" t="s">
        <v>4720</v>
      </c>
      <c r="K1038" s="695" t="s">
        <v>3985</v>
      </c>
      <c r="L1038" s="696">
        <v>6</v>
      </c>
      <c r="M1038" s="170"/>
    </row>
    <row r="1039" spans="2:13" x14ac:dyDescent="0.2">
      <c r="B1039" s="173"/>
      <c r="C1039" s="694">
        <v>1</v>
      </c>
      <c r="D1039" s="695" t="s">
        <v>3903</v>
      </c>
      <c r="E1039" s="695">
        <v>2</v>
      </c>
      <c r="F1039" s="695" t="s">
        <v>4605</v>
      </c>
      <c r="G1039" s="695">
        <v>1</v>
      </c>
      <c r="H1039" s="695" t="s">
        <v>4605</v>
      </c>
      <c r="I1039" s="695">
        <v>130</v>
      </c>
      <c r="J1039" s="695" t="s">
        <v>4721</v>
      </c>
      <c r="K1039" s="695" t="s">
        <v>3985</v>
      </c>
      <c r="L1039" s="696">
        <v>1</v>
      </c>
      <c r="M1039" s="170"/>
    </row>
    <row r="1040" spans="2:13" x14ac:dyDescent="0.2">
      <c r="B1040" s="173"/>
      <c r="C1040" s="694">
        <v>1</v>
      </c>
      <c r="D1040" s="695" t="s">
        <v>3903</v>
      </c>
      <c r="E1040" s="695">
        <v>2</v>
      </c>
      <c r="F1040" s="695" t="s">
        <v>4605</v>
      </c>
      <c r="G1040" s="695">
        <v>1</v>
      </c>
      <c r="H1040" s="695" t="s">
        <v>4605</v>
      </c>
      <c r="I1040" s="695">
        <v>131</v>
      </c>
      <c r="J1040" s="695" t="s">
        <v>4722</v>
      </c>
      <c r="K1040" s="695" t="s">
        <v>8544</v>
      </c>
      <c r="L1040" s="696">
        <v>1</v>
      </c>
      <c r="M1040" s="170"/>
    </row>
    <row r="1041" spans="2:13" x14ac:dyDescent="0.2">
      <c r="B1041" s="173"/>
      <c r="C1041" s="694">
        <v>1</v>
      </c>
      <c r="D1041" s="695" t="s">
        <v>3903</v>
      </c>
      <c r="E1041" s="695">
        <v>2</v>
      </c>
      <c r="F1041" s="695" t="s">
        <v>4605</v>
      </c>
      <c r="G1041" s="695">
        <v>1</v>
      </c>
      <c r="H1041" s="695" t="s">
        <v>4605</v>
      </c>
      <c r="I1041" s="695">
        <v>132</v>
      </c>
      <c r="J1041" s="695" t="s">
        <v>4723</v>
      </c>
      <c r="K1041" s="695" t="s">
        <v>4045</v>
      </c>
      <c r="L1041" s="696">
        <v>128</v>
      </c>
      <c r="M1041" s="170"/>
    </row>
    <row r="1042" spans="2:13" x14ac:dyDescent="0.2">
      <c r="B1042" s="173"/>
      <c r="C1042" s="694">
        <v>1</v>
      </c>
      <c r="D1042" s="695" t="s">
        <v>3903</v>
      </c>
      <c r="E1042" s="695">
        <v>2</v>
      </c>
      <c r="F1042" s="695" t="s">
        <v>4605</v>
      </c>
      <c r="G1042" s="695">
        <v>1</v>
      </c>
      <c r="H1042" s="695" t="s">
        <v>4605</v>
      </c>
      <c r="I1042" s="695">
        <v>133</v>
      </c>
      <c r="J1042" s="695" t="s">
        <v>4724</v>
      </c>
      <c r="K1042" s="695" t="s">
        <v>4045</v>
      </c>
      <c r="L1042" s="696">
        <v>82</v>
      </c>
      <c r="M1042" s="170"/>
    </row>
    <row r="1043" spans="2:13" x14ac:dyDescent="0.2">
      <c r="B1043" s="173"/>
      <c r="C1043" s="694">
        <v>1</v>
      </c>
      <c r="D1043" s="695" t="s">
        <v>3903</v>
      </c>
      <c r="E1043" s="695">
        <v>2</v>
      </c>
      <c r="F1043" s="695" t="s">
        <v>4605</v>
      </c>
      <c r="G1043" s="695">
        <v>1</v>
      </c>
      <c r="H1043" s="695" t="s">
        <v>4605</v>
      </c>
      <c r="I1043" s="695">
        <v>134</v>
      </c>
      <c r="J1043" s="695" t="s">
        <v>4725</v>
      </c>
      <c r="K1043" s="695" t="s">
        <v>8544</v>
      </c>
      <c r="L1043" s="696">
        <v>10</v>
      </c>
      <c r="M1043" s="170"/>
    </row>
    <row r="1044" spans="2:13" x14ac:dyDescent="0.2">
      <c r="B1044" s="173"/>
      <c r="C1044" s="694">
        <v>1</v>
      </c>
      <c r="D1044" s="695" t="s">
        <v>3903</v>
      </c>
      <c r="E1044" s="695">
        <v>2</v>
      </c>
      <c r="F1044" s="695" t="s">
        <v>4605</v>
      </c>
      <c r="G1044" s="695">
        <v>1</v>
      </c>
      <c r="H1044" s="695" t="s">
        <v>4605</v>
      </c>
      <c r="I1044" s="695">
        <v>135</v>
      </c>
      <c r="J1044" s="695" t="s">
        <v>4726</v>
      </c>
      <c r="K1044" s="695" t="s">
        <v>3907</v>
      </c>
      <c r="L1044" s="696">
        <v>8</v>
      </c>
      <c r="M1044" s="170"/>
    </row>
    <row r="1045" spans="2:13" x14ac:dyDescent="0.2">
      <c r="B1045" s="173"/>
      <c r="C1045" s="694">
        <v>1</v>
      </c>
      <c r="D1045" s="695" t="s">
        <v>3903</v>
      </c>
      <c r="E1045" s="695">
        <v>2</v>
      </c>
      <c r="F1045" s="695" t="s">
        <v>4605</v>
      </c>
      <c r="G1045" s="695">
        <v>1</v>
      </c>
      <c r="H1045" s="695" t="s">
        <v>4605</v>
      </c>
      <c r="I1045" s="695">
        <v>136</v>
      </c>
      <c r="J1045" s="695" t="s">
        <v>4727</v>
      </c>
      <c r="K1045" s="695" t="s">
        <v>8544</v>
      </c>
      <c r="L1045" s="696">
        <v>134</v>
      </c>
      <c r="M1045" s="170"/>
    </row>
    <row r="1046" spans="2:13" x14ac:dyDescent="0.2">
      <c r="B1046" s="173"/>
      <c r="C1046" s="694">
        <v>1</v>
      </c>
      <c r="D1046" s="695" t="s">
        <v>3903</v>
      </c>
      <c r="E1046" s="695">
        <v>2</v>
      </c>
      <c r="F1046" s="695" t="s">
        <v>4605</v>
      </c>
      <c r="G1046" s="695">
        <v>1</v>
      </c>
      <c r="H1046" s="695" t="s">
        <v>4605</v>
      </c>
      <c r="I1046" s="695">
        <v>137</v>
      </c>
      <c r="J1046" s="695" t="s">
        <v>4728</v>
      </c>
      <c r="K1046" s="695" t="s">
        <v>8544</v>
      </c>
      <c r="L1046" s="696">
        <v>34</v>
      </c>
      <c r="M1046" s="170"/>
    </row>
    <row r="1047" spans="2:13" x14ac:dyDescent="0.2">
      <c r="B1047" s="173"/>
      <c r="C1047" s="694">
        <v>1</v>
      </c>
      <c r="D1047" s="695" t="s">
        <v>3903</v>
      </c>
      <c r="E1047" s="695">
        <v>2</v>
      </c>
      <c r="F1047" s="695" t="s">
        <v>4605</v>
      </c>
      <c r="G1047" s="695">
        <v>1</v>
      </c>
      <c r="H1047" s="695" t="s">
        <v>4605</v>
      </c>
      <c r="I1047" s="695">
        <v>138</v>
      </c>
      <c r="J1047" s="695" t="s">
        <v>4729</v>
      </c>
      <c r="K1047" s="695" t="s">
        <v>8544</v>
      </c>
      <c r="L1047" s="696">
        <v>169</v>
      </c>
      <c r="M1047" s="170"/>
    </row>
    <row r="1048" spans="2:13" x14ac:dyDescent="0.2">
      <c r="B1048" s="173"/>
      <c r="C1048" s="694">
        <v>1</v>
      </c>
      <c r="D1048" s="695" t="s">
        <v>3903</v>
      </c>
      <c r="E1048" s="695">
        <v>2</v>
      </c>
      <c r="F1048" s="695" t="s">
        <v>4605</v>
      </c>
      <c r="G1048" s="695">
        <v>1</v>
      </c>
      <c r="H1048" s="695" t="s">
        <v>4605</v>
      </c>
      <c r="I1048" s="695">
        <v>139</v>
      </c>
      <c r="J1048" s="695" t="s">
        <v>4730</v>
      </c>
      <c r="K1048" s="695" t="s">
        <v>8544</v>
      </c>
      <c r="L1048" s="696">
        <v>32</v>
      </c>
      <c r="M1048" s="170"/>
    </row>
    <row r="1049" spans="2:13" x14ac:dyDescent="0.2">
      <c r="B1049" s="173"/>
      <c r="C1049" s="694">
        <v>1</v>
      </c>
      <c r="D1049" s="695" t="s">
        <v>3903</v>
      </c>
      <c r="E1049" s="695">
        <v>2</v>
      </c>
      <c r="F1049" s="695" t="s">
        <v>4605</v>
      </c>
      <c r="G1049" s="695">
        <v>1</v>
      </c>
      <c r="H1049" s="695" t="s">
        <v>4605</v>
      </c>
      <c r="I1049" s="695">
        <v>140</v>
      </c>
      <c r="J1049" s="695" t="s">
        <v>4731</v>
      </c>
      <c r="K1049" s="695" t="s">
        <v>8544</v>
      </c>
      <c r="L1049" s="696">
        <v>17</v>
      </c>
      <c r="M1049" s="170"/>
    </row>
    <row r="1050" spans="2:13" x14ac:dyDescent="0.2">
      <c r="B1050" s="173"/>
      <c r="C1050" s="694">
        <v>1</v>
      </c>
      <c r="D1050" s="695" t="s">
        <v>3903</v>
      </c>
      <c r="E1050" s="695">
        <v>2</v>
      </c>
      <c r="F1050" s="695" t="s">
        <v>4605</v>
      </c>
      <c r="G1050" s="695">
        <v>1</v>
      </c>
      <c r="H1050" s="695" t="s">
        <v>4605</v>
      </c>
      <c r="I1050" s="695">
        <v>141</v>
      </c>
      <c r="J1050" s="695" t="s">
        <v>4732</v>
      </c>
      <c r="K1050" s="695" t="s">
        <v>8544</v>
      </c>
      <c r="L1050" s="696">
        <v>83</v>
      </c>
      <c r="M1050" s="170"/>
    </row>
    <row r="1051" spans="2:13" x14ac:dyDescent="0.2">
      <c r="B1051" s="173"/>
      <c r="C1051" s="694">
        <v>1</v>
      </c>
      <c r="D1051" s="695" t="s">
        <v>3903</v>
      </c>
      <c r="E1051" s="695">
        <v>2</v>
      </c>
      <c r="F1051" s="695" t="s">
        <v>4605</v>
      </c>
      <c r="G1051" s="695">
        <v>1</v>
      </c>
      <c r="H1051" s="695" t="s">
        <v>4605</v>
      </c>
      <c r="I1051" s="695">
        <v>142</v>
      </c>
      <c r="J1051" s="695" t="s">
        <v>4733</v>
      </c>
      <c r="K1051" s="695" t="s">
        <v>8544</v>
      </c>
      <c r="L1051" s="696">
        <v>15</v>
      </c>
      <c r="M1051" s="170"/>
    </row>
    <row r="1052" spans="2:13" x14ac:dyDescent="0.2">
      <c r="B1052" s="173"/>
      <c r="C1052" s="694">
        <v>1</v>
      </c>
      <c r="D1052" s="695" t="s">
        <v>3903</v>
      </c>
      <c r="E1052" s="695">
        <v>2</v>
      </c>
      <c r="F1052" s="695" t="s">
        <v>4605</v>
      </c>
      <c r="G1052" s="695">
        <v>1</v>
      </c>
      <c r="H1052" s="695" t="s">
        <v>4605</v>
      </c>
      <c r="I1052" s="695">
        <v>143</v>
      </c>
      <c r="J1052" s="695" t="s">
        <v>4734</v>
      </c>
      <c r="K1052" s="695" t="s">
        <v>3985</v>
      </c>
      <c r="L1052" s="696">
        <v>2</v>
      </c>
      <c r="M1052" s="170"/>
    </row>
    <row r="1053" spans="2:13" x14ac:dyDescent="0.2">
      <c r="B1053" s="173"/>
      <c r="C1053" s="694">
        <v>1</v>
      </c>
      <c r="D1053" s="695" t="s">
        <v>3903</v>
      </c>
      <c r="E1053" s="695">
        <v>2</v>
      </c>
      <c r="F1053" s="695" t="s">
        <v>4605</v>
      </c>
      <c r="G1053" s="695">
        <v>1</v>
      </c>
      <c r="H1053" s="695" t="s">
        <v>4605</v>
      </c>
      <c r="I1053" s="695">
        <v>144</v>
      </c>
      <c r="J1053" s="695" t="s">
        <v>4735</v>
      </c>
      <c r="K1053" s="695" t="s">
        <v>3907</v>
      </c>
      <c r="L1053" s="696">
        <v>10</v>
      </c>
      <c r="M1053" s="170"/>
    </row>
    <row r="1054" spans="2:13" x14ac:dyDescent="0.2">
      <c r="B1054" s="173"/>
      <c r="C1054" s="694">
        <v>1</v>
      </c>
      <c r="D1054" s="695" t="s">
        <v>3903</v>
      </c>
      <c r="E1054" s="695">
        <v>2</v>
      </c>
      <c r="F1054" s="695" t="s">
        <v>4605</v>
      </c>
      <c r="G1054" s="695">
        <v>1</v>
      </c>
      <c r="H1054" s="695" t="s">
        <v>4605</v>
      </c>
      <c r="I1054" s="695">
        <v>145</v>
      </c>
      <c r="J1054" s="695" t="s">
        <v>4736</v>
      </c>
      <c r="K1054" s="695" t="s">
        <v>3907</v>
      </c>
      <c r="L1054" s="696">
        <v>14</v>
      </c>
      <c r="M1054" s="170"/>
    </row>
    <row r="1055" spans="2:13" x14ac:dyDescent="0.2">
      <c r="B1055" s="173"/>
      <c r="C1055" s="694">
        <v>1</v>
      </c>
      <c r="D1055" s="695" t="s">
        <v>3903</v>
      </c>
      <c r="E1055" s="695">
        <v>2</v>
      </c>
      <c r="F1055" s="695" t="s">
        <v>4605</v>
      </c>
      <c r="G1055" s="695">
        <v>1</v>
      </c>
      <c r="H1055" s="695" t="s">
        <v>4605</v>
      </c>
      <c r="I1055" s="695">
        <v>146</v>
      </c>
      <c r="J1055" s="695" t="s">
        <v>4737</v>
      </c>
      <c r="K1055" s="695" t="s">
        <v>3907</v>
      </c>
      <c r="L1055" s="696">
        <v>3</v>
      </c>
      <c r="M1055" s="170"/>
    </row>
    <row r="1056" spans="2:13" x14ac:dyDescent="0.2">
      <c r="B1056" s="173"/>
      <c r="C1056" s="694">
        <v>1</v>
      </c>
      <c r="D1056" s="695" t="s">
        <v>3903</v>
      </c>
      <c r="E1056" s="695">
        <v>2</v>
      </c>
      <c r="F1056" s="695" t="s">
        <v>4605</v>
      </c>
      <c r="G1056" s="695">
        <v>1</v>
      </c>
      <c r="H1056" s="695" t="s">
        <v>4605</v>
      </c>
      <c r="I1056" s="695">
        <v>147</v>
      </c>
      <c r="J1056" s="695" t="s">
        <v>4738</v>
      </c>
      <c r="K1056" s="695" t="s">
        <v>8544</v>
      </c>
      <c r="L1056" s="696">
        <v>47</v>
      </c>
      <c r="M1056" s="170"/>
    </row>
    <row r="1057" spans="2:13" x14ac:dyDescent="0.2">
      <c r="B1057" s="173"/>
      <c r="C1057" s="694">
        <v>1</v>
      </c>
      <c r="D1057" s="695" t="s">
        <v>3903</v>
      </c>
      <c r="E1057" s="695">
        <v>2</v>
      </c>
      <c r="F1057" s="695" t="s">
        <v>4605</v>
      </c>
      <c r="G1057" s="695">
        <v>1</v>
      </c>
      <c r="H1057" s="695" t="s">
        <v>4605</v>
      </c>
      <c r="I1057" s="695">
        <v>148</v>
      </c>
      <c r="J1057" s="695" t="s">
        <v>4739</v>
      </c>
      <c r="K1057" s="695" t="s">
        <v>8544</v>
      </c>
      <c r="L1057" s="696">
        <v>8</v>
      </c>
      <c r="M1057" s="170"/>
    </row>
    <row r="1058" spans="2:13" x14ac:dyDescent="0.2">
      <c r="B1058" s="173"/>
      <c r="C1058" s="694">
        <v>1</v>
      </c>
      <c r="D1058" s="695" t="s">
        <v>3903</v>
      </c>
      <c r="E1058" s="695">
        <v>2</v>
      </c>
      <c r="F1058" s="695" t="s">
        <v>4605</v>
      </c>
      <c r="G1058" s="695">
        <v>1</v>
      </c>
      <c r="H1058" s="695" t="s">
        <v>4605</v>
      </c>
      <c r="I1058" s="695">
        <v>149</v>
      </c>
      <c r="J1058" s="695" t="s">
        <v>4740</v>
      </c>
      <c r="K1058" s="695" t="s">
        <v>8544</v>
      </c>
      <c r="L1058" s="696">
        <v>31</v>
      </c>
      <c r="M1058" s="170"/>
    </row>
    <row r="1059" spans="2:13" x14ac:dyDescent="0.2">
      <c r="B1059" s="173"/>
      <c r="C1059" s="694">
        <v>1</v>
      </c>
      <c r="D1059" s="695" t="s">
        <v>3903</v>
      </c>
      <c r="E1059" s="695">
        <v>2</v>
      </c>
      <c r="F1059" s="695" t="s">
        <v>4605</v>
      </c>
      <c r="G1059" s="695">
        <v>1</v>
      </c>
      <c r="H1059" s="695" t="s">
        <v>4605</v>
      </c>
      <c r="I1059" s="695">
        <v>150</v>
      </c>
      <c r="J1059" s="695" t="s">
        <v>4741</v>
      </c>
      <c r="K1059" s="695" t="s">
        <v>8544</v>
      </c>
      <c r="L1059" s="696">
        <v>10</v>
      </c>
      <c r="M1059" s="170"/>
    </row>
    <row r="1060" spans="2:13" x14ac:dyDescent="0.2">
      <c r="B1060" s="173"/>
      <c r="C1060" s="694">
        <v>1</v>
      </c>
      <c r="D1060" s="695" t="s">
        <v>3903</v>
      </c>
      <c r="E1060" s="695">
        <v>2</v>
      </c>
      <c r="F1060" s="695" t="s">
        <v>4605</v>
      </c>
      <c r="G1060" s="695">
        <v>1</v>
      </c>
      <c r="H1060" s="695" t="s">
        <v>4605</v>
      </c>
      <c r="I1060" s="695">
        <v>151</v>
      </c>
      <c r="J1060" s="695" t="s">
        <v>4742</v>
      </c>
      <c r="K1060" s="695" t="s">
        <v>8544</v>
      </c>
      <c r="L1060" s="696">
        <v>3</v>
      </c>
      <c r="M1060" s="170"/>
    </row>
    <row r="1061" spans="2:13" x14ac:dyDescent="0.2">
      <c r="B1061" s="173"/>
      <c r="C1061" s="694">
        <v>1</v>
      </c>
      <c r="D1061" s="695" t="s">
        <v>3903</v>
      </c>
      <c r="E1061" s="695">
        <v>2</v>
      </c>
      <c r="F1061" s="695" t="s">
        <v>4605</v>
      </c>
      <c r="G1061" s="695">
        <v>1</v>
      </c>
      <c r="H1061" s="695" t="s">
        <v>4605</v>
      </c>
      <c r="I1061" s="695">
        <v>152</v>
      </c>
      <c r="J1061" s="695" t="s">
        <v>4743</v>
      </c>
      <c r="K1061" s="695" t="s">
        <v>3907</v>
      </c>
      <c r="L1061" s="696">
        <v>26</v>
      </c>
      <c r="M1061" s="170"/>
    </row>
    <row r="1062" spans="2:13" x14ac:dyDescent="0.2">
      <c r="B1062" s="173"/>
      <c r="C1062" s="694">
        <v>1</v>
      </c>
      <c r="D1062" s="695" t="s">
        <v>3903</v>
      </c>
      <c r="E1062" s="695">
        <v>2</v>
      </c>
      <c r="F1062" s="695" t="s">
        <v>4605</v>
      </c>
      <c r="G1062" s="695">
        <v>1</v>
      </c>
      <c r="H1062" s="695" t="s">
        <v>4605</v>
      </c>
      <c r="I1062" s="695">
        <v>153</v>
      </c>
      <c r="J1062" s="695" t="s">
        <v>4744</v>
      </c>
      <c r="K1062" s="695" t="s">
        <v>8544</v>
      </c>
      <c r="L1062" s="696">
        <v>5</v>
      </c>
      <c r="M1062" s="170"/>
    </row>
    <row r="1063" spans="2:13" x14ac:dyDescent="0.2">
      <c r="B1063" s="173"/>
      <c r="C1063" s="694">
        <v>1</v>
      </c>
      <c r="D1063" s="695" t="s">
        <v>3903</v>
      </c>
      <c r="E1063" s="695">
        <v>2</v>
      </c>
      <c r="F1063" s="695" t="s">
        <v>4605</v>
      </c>
      <c r="G1063" s="695">
        <v>1</v>
      </c>
      <c r="H1063" s="695" t="s">
        <v>4605</v>
      </c>
      <c r="I1063" s="695">
        <v>154</v>
      </c>
      <c r="J1063" s="695" t="s">
        <v>4745</v>
      </c>
      <c r="K1063" s="695" t="s">
        <v>8544</v>
      </c>
      <c r="L1063" s="696">
        <v>9</v>
      </c>
      <c r="M1063" s="170"/>
    </row>
    <row r="1064" spans="2:13" x14ac:dyDescent="0.2">
      <c r="B1064" s="173"/>
      <c r="C1064" s="694">
        <v>1</v>
      </c>
      <c r="D1064" s="695" t="s">
        <v>3903</v>
      </c>
      <c r="E1064" s="695">
        <v>2</v>
      </c>
      <c r="F1064" s="695" t="s">
        <v>4605</v>
      </c>
      <c r="G1064" s="695">
        <v>1</v>
      </c>
      <c r="H1064" s="695" t="s">
        <v>4605</v>
      </c>
      <c r="I1064" s="695">
        <v>155</v>
      </c>
      <c r="J1064" s="695" t="s">
        <v>4746</v>
      </c>
      <c r="K1064" s="695" t="s">
        <v>8544</v>
      </c>
      <c r="L1064" s="696">
        <v>8</v>
      </c>
      <c r="M1064" s="170"/>
    </row>
    <row r="1065" spans="2:13" x14ac:dyDescent="0.2">
      <c r="B1065" s="173"/>
      <c r="C1065" s="694">
        <v>1</v>
      </c>
      <c r="D1065" s="695" t="s">
        <v>3903</v>
      </c>
      <c r="E1065" s="695">
        <v>2</v>
      </c>
      <c r="F1065" s="695" t="s">
        <v>4605</v>
      </c>
      <c r="G1065" s="695">
        <v>1</v>
      </c>
      <c r="H1065" s="695" t="s">
        <v>4605</v>
      </c>
      <c r="I1065" s="695">
        <v>156</v>
      </c>
      <c r="J1065" s="695" t="s">
        <v>4747</v>
      </c>
      <c r="K1065" s="695" t="s">
        <v>8544</v>
      </c>
      <c r="L1065" s="696">
        <v>1</v>
      </c>
      <c r="M1065" s="170"/>
    </row>
    <row r="1066" spans="2:13" x14ac:dyDescent="0.2">
      <c r="B1066" s="173"/>
      <c r="C1066" s="694">
        <v>1</v>
      </c>
      <c r="D1066" s="695" t="s">
        <v>3903</v>
      </c>
      <c r="E1066" s="695">
        <v>2</v>
      </c>
      <c r="F1066" s="695" t="s">
        <v>4605</v>
      </c>
      <c r="G1066" s="695">
        <v>1</v>
      </c>
      <c r="H1066" s="695" t="s">
        <v>4605</v>
      </c>
      <c r="I1066" s="695">
        <v>157</v>
      </c>
      <c r="J1066" s="695" t="s">
        <v>4748</v>
      </c>
      <c r="K1066" s="695" t="s">
        <v>8544</v>
      </c>
      <c r="L1066" s="696">
        <v>2</v>
      </c>
      <c r="M1066" s="170"/>
    </row>
    <row r="1067" spans="2:13" x14ac:dyDescent="0.2">
      <c r="B1067" s="173"/>
      <c r="C1067" s="694">
        <v>1</v>
      </c>
      <c r="D1067" s="695" t="s">
        <v>3903</v>
      </c>
      <c r="E1067" s="695">
        <v>2</v>
      </c>
      <c r="F1067" s="695" t="s">
        <v>4605</v>
      </c>
      <c r="G1067" s="695">
        <v>1</v>
      </c>
      <c r="H1067" s="695" t="s">
        <v>4605</v>
      </c>
      <c r="I1067" s="695">
        <v>158</v>
      </c>
      <c r="J1067" s="695" t="s">
        <v>4749</v>
      </c>
      <c r="K1067" s="695" t="s">
        <v>8544</v>
      </c>
      <c r="L1067" s="696">
        <v>5</v>
      </c>
      <c r="M1067" s="170"/>
    </row>
    <row r="1068" spans="2:13" x14ac:dyDescent="0.2">
      <c r="B1068" s="173"/>
      <c r="C1068" s="694">
        <v>1</v>
      </c>
      <c r="D1068" s="695" t="s">
        <v>3903</v>
      </c>
      <c r="E1068" s="695">
        <v>2</v>
      </c>
      <c r="F1068" s="695" t="s">
        <v>4605</v>
      </c>
      <c r="G1068" s="695">
        <v>1</v>
      </c>
      <c r="H1068" s="695" t="s">
        <v>4605</v>
      </c>
      <c r="I1068" s="695">
        <v>159</v>
      </c>
      <c r="J1068" s="695" t="s">
        <v>4750</v>
      </c>
      <c r="K1068" s="695" t="s">
        <v>8544</v>
      </c>
      <c r="L1068" s="696">
        <v>1</v>
      </c>
      <c r="M1068" s="170"/>
    </row>
    <row r="1069" spans="2:13" x14ac:dyDescent="0.2">
      <c r="B1069" s="173"/>
      <c r="C1069" s="694">
        <v>1</v>
      </c>
      <c r="D1069" s="695" t="s">
        <v>3903</v>
      </c>
      <c r="E1069" s="695">
        <v>2</v>
      </c>
      <c r="F1069" s="695" t="s">
        <v>4605</v>
      </c>
      <c r="G1069" s="695">
        <v>1</v>
      </c>
      <c r="H1069" s="695" t="s">
        <v>4605</v>
      </c>
      <c r="I1069" s="695">
        <v>160</v>
      </c>
      <c r="J1069" s="695" t="s">
        <v>4751</v>
      </c>
      <c r="K1069" s="695" t="s">
        <v>3907</v>
      </c>
      <c r="L1069" s="696">
        <v>14</v>
      </c>
      <c r="M1069" s="170"/>
    </row>
    <row r="1070" spans="2:13" x14ac:dyDescent="0.2">
      <c r="B1070" s="173"/>
      <c r="C1070" s="694">
        <v>1</v>
      </c>
      <c r="D1070" s="695" t="s">
        <v>3903</v>
      </c>
      <c r="E1070" s="695">
        <v>2</v>
      </c>
      <c r="F1070" s="695" t="s">
        <v>4605</v>
      </c>
      <c r="G1070" s="695">
        <v>1</v>
      </c>
      <c r="H1070" s="695" t="s">
        <v>4605</v>
      </c>
      <c r="I1070" s="695">
        <v>161</v>
      </c>
      <c r="J1070" s="695" t="s">
        <v>4752</v>
      </c>
      <c r="K1070" s="695" t="s">
        <v>3907</v>
      </c>
      <c r="L1070" s="696">
        <v>2</v>
      </c>
      <c r="M1070" s="170"/>
    </row>
    <row r="1071" spans="2:13" x14ac:dyDescent="0.2">
      <c r="B1071" s="173"/>
      <c r="C1071" s="694">
        <v>1</v>
      </c>
      <c r="D1071" s="695" t="s">
        <v>3903</v>
      </c>
      <c r="E1071" s="695">
        <v>2</v>
      </c>
      <c r="F1071" s="695" t="s">
        <v>4605</v>
      </c>
      <c r="G1071" s="695">
        <v>1</v>
      </c>
      <c r="H1071" s="695" t="s">
        <v>4605</v>
      </c>
      <c r="I1071" s="695">
        <v>162</v>
      </c>
      <c r="J1071" s="695" t="s">
        <v>4753</v>
      </c>
      <c r="K1071" s="695" t="s">
        <v>3907</v>
      </c>
      <c r="L1071" s="696">
        <v>9</v>
      </c>
      <c r="M1071" s="170"/>
    </row>
    <row r="1072" spans="2:13" x14ac:dyDescent="0.2">
      <c r="B1072" s="173"/>
      <c r="C1072" s="694">
        <v>1</v>
      </c>
      <c r="D1072" s="695" t="s">
        <v>3903</v>
      </c>
      <c r="E1072" s="695">
        <v>2</v>
      </c>
      <c r="F1072" s="695" t="s">
        <v>4605</v>
      </c>
      <c r="G1072" s="695">
        <v>1</v>
      </c>
      <c r="H1072" s="695" t="s">
        <v>4605</v>
      </c>
      <c r="I1072" s="695">
        <v>163</v>
      </c>
      <c r="J1072" s="695" t="s">
        <v>4754</v>
      </c>
      <c r="K1072" s="695" t="s">
        <v>3907</v>
      </c>
      <c r="L1072" s="696">
        <v>5</v>
      </c>
      <c r="M1072" s="170"/>
    </row>
    <row r="1073" spans="2:13" x14ac:dyDescent="0.2">
      <c r="B1073" s="173"/>
      <c r="C1073" s="694">
        <v>1</v>
      </c>
      <c r="D1073" s="695" t="s">
        <v>3903</v>
      </c>
      <c r="E1073" s="695">
        <v>2</v>
      </c>
      <c r="F1073" s="695" t="s">
        <v>4605</v>
      </c>
      <c r="G1073" s="695">
        <v>1</v>
      </c>
      <c r="H1073" s="695" t="s">
        <v>4605</v>
      </c>
      <c r="I1073" s="695">
        <v>164</v>
      </c>
      <c r="J1073" s="695" t="s">
        <v>4755</v>
      </c>
      <c r="K1073" s="695" t="s">
        <v>3907</v>
      </c>
      <c r="L1073" s="696">
        <v>15</v>
      </c>
      <c r="M1073" s="170"/>
    </row>
    <row r="1074" spans="2:13" x14ac:dyDescent="0.2">
      <c r="B1074" s="173"/>
      <c r="C1074" s="694">
        <v>1</v>
      </c>
      <c r="D1074" s="695" t="s">
        <v>3903</v>
      </c>
      <c r="E1074" s="695">
        <v>2</v>
      </c>
      <c r="F1074" s="695" t="s">
        <v>4605</v>
      </c>
      <c r="G1074" s="695">
        <v>1</v>
      </c>
      <c r="H1074" s="695" t="s">
        <v>4605</v>
      </c>
      <c r="I1074" s="695">
        <v>165</v>
      </c>
      <c r="J1074" s="695" t="s">
        <v>4756</v>
      </c>
      <c r="K1074" s="695" t="s">
        <v>3907</v>
      </c>
      <c r="L1074" s="696">
        <v>3</v>
      </c>
      <c r="M1074" s="170"/>
    </row>
    <row r="1075" spans="2:13" x14ac:dyDescent="0.2">
      <c r="B1075" s="173"/>
      <c r="C1075" s="694">
        <v>1</v>
      </c>
      <c r="D1075" s="695" t="s">
        <v>3903</v>
      </c>
      <c r="E1075" s="695">
        <v>2</v>
      </c>
      <c r="F1075" s="695" t="s">
        <v>4605</v>
      </c>
      <c r="G1075" s="695">
        <v>1</v>
      </c>
      <c r="H1075" s="695" t="s">
        <v>4605</v>
      </c>
      <c r="I1075" s="695">
        <v>166</v>
      </c>
      <c r="J1075" s="695" t="s">
        <v>4757</v>
      </c>
      <c r="K1075" s="695" t="s">
        <v>4057</v>
      </c>
      <c r="L1075" s="696">
        <v>31</v>
      </c>
      <c r="M1075" s="170"/>
    </row>
    <row r="1076" spans="2:13" x14ac:dyDescent="0.2">
      <c r="B1076" s="173"/>
      <c r="C1076" s="694">
        <v>1</v>
      </c>
      <c r="D1076" s="695" t="s">
        <v>3903</v>
      </c>
      <c r="E1076" s="695">
        <v>2</v>
      </c>
      <c r="F1076" s="695" t="s">
        <v>4605</v>
      </c>
      <c r="G1076" s="695">
        <v>1</v>
      </c>
      <c r="H1076" s="695" t="s">
        <v>4605</v>
      </c>
      <c r="I1076" s="695">
        <v>167</v>
      </c>
      <c r="J1076" s="695" t="s">
        <v>4758</v>
      </c>
      <c r="K1076" s="695" t="s">
        <v>8544</v>
      </c>
      <c r="L1076" s="696">
        <v>0</v>
      </c>
      <c r="M1076" s="170"/>
    </row>
    <row r="1077" spans="2:13" x14ac:dyDescent="0.2">
      <c r="B1077" s="173"/>
      <c r="C1077" s="694">
        <v>1</v>
      </c>
      <c r="D1077" s="695" t="s">
        <v>3903</v>
      </c>
      <c r="E1077" s="695">
        <v>2</v>
      </c>
      <c r="F1077" s="695" t="s">
        <v>4605</v>
      </c>
      <c r="G1077" s="695">
        <v>1</v>
      </c>
      <c r="H1077" s="695" t="s">
        <v>4605</v>
      </c>
      <c r="I1077" s="695">
        <v>168</v>
      </c>
      <c r="J1077" s="695" t="s">
        <v>4759</v>
      </c>
      <c r="K1077" s="695" t="s">
        <v>3907</v>
      </c>
      <c r="L1077" s="696">
        <v>7</v>
      </c>
      <c r="M1077" s="170"/>
    </row>
    <row r="1078" spans="2:13" x14ac:dyDescent="0.2">
      <c r="B1078" s="173"/>
      <c r="C1078" s="694">
        <v>1</v>
      </c>
      <c r="D1078" s="695" t="s">
        <v>3903</v>
      </c>
      <c r="E1078" s="695">
        <v>2</v>
      </c>
      <c r="F1078" s="695" t="s">
        <v>4605</v>
      </c>
      <c r="G1078" s="695">
        <v>1</v>
      </c>
      <c r="H1078" s="695" t="s">
        <v>4605</v>
      </c>
      <c r="I1078" s="695">
        <v>169</v>
      </c>
      <c r="J1078" s="695" t="s">
        <v>4760</v>
      </c>
      <c r="K1078" s="695" t="s">
        <v>8544</v>
      </c>
      <c r="L1078" s="696">
        <v>20</v>
      </c>
      <c r="M1078" s="170"/>
    </row>
    <row r="1079" spans="2:13" x14ac:dyDescent="0.2">
      <c r="B1079" s="173"/>
      <c r="C1079" s="694">
        <v>1</v>
      </c>
      <c r="D1079" s="695" t="s">
        <v>3903</v>
      </c>
      <c r="E1079" s="695">
        <v>2</v>
      </c>
      <c r="F1079" s="695" t="s">
        <v>4605</v>
      </c>
      <c r="G1079" s="695">
        <v>1</v>
      </c>
      <c r="H1079" s="695" t="s">
        <v>4605</v>
      </c>
      <c r="I1079" s="695">
        <v>170</v>
      </c>
      <c r="J1079" s="695" t="s">
        <v>4761</v>
      </c>
      <c r="K1079" s="695" t="s">
        <v>8544</v>
      </c>
      <c r="L1079" s="696">
        <v>12</v>
      </c>
      <c r="M1079" s="170"/>
    </row>
    <row r="1080" spans="2:13" x14ac:dyDescent="0.2">
      <c r="B1080" s="173"/>
      <c r="C1080" s="694">
        <v>1</v>
      </c>
      <c r="D1080" s="695" t="s">
        <v>3903</v>
      </c>
      <c r="E1080" s="695">
        <v>2</v>
      </c>
      <c r="F1080" s="695" t="s">
        <v>4605</v>
      </c>
      <c r="G1080" s="695">
        <v>1</v>
      </c>
      <c r="H1080" s="695" t="s">
        <v>4605</v>
      </c>
      <c r="I1080" s="695">
        <v>171</v>
      </c>
      <c r="J1080" s="695" t="s">
        <v>4762</v>
      </c>
      <c r="K1080" s="695" t="s">
        <v>4045</v>
      </c>
      <c r="L1080" s="696">
        <v>80</v>
      </c>
      <c r="M1080" s="170"/>
    </row>
    <row r="1081" spans="2:13" x14ac:dyDescent="0.2">
      <c r="B1081" s="173"/>
      <c r="C1081" s="694">
        <v>1</v>
      </c>
      <c r="D1081" s="695" t="s">
        <v>3903</v>
      </c>
      <c r="E1081" s="695">
        <v>2</v>
      </c>
      <c r="F1081" s="695" t="s">
        <v>4605</v>
      </c>
      <c r="G1081" s="695">
        <v>1</v>
      </c>
      <c r="H1081" s="695" t="s">
        <v>4605</v>
      </c>
      <c r="I1081" s="695">
        <v>172</v>
      </c>
      <c r="J1081" s="695" t="s">
        <v>4763</v>
      </c>
      <c r="K1081" s="695" t="s">
        <v>3907</v>
      </c>
      <c r="L1081" s="696">
        <v>8</v>
      </c>
      <c r="M1081" s="170"/>
    </row>
    <row r="1082" spans="2:13" x14ac:dyDescent="0.2">
      <c r="B1082" s="173"/>
      <c r="C1082" s="694">
        <v>1</v>
      </c>
      <c r="D1082" s="695" t="s">
        <v>3903</v>
      </c>
      <c r="E1082" s="695">
        <v>2</v>
      </c>
      <c r="F1082" s="695" t="s">
        <v>4605</v>
      </c>
      <c r="G1082" s="695">
        <v>1</v>
      </c>
      <c r="H1082" s="695" t="s">
        <v>4605</v>
      </c>
      <c r="I1082" s="695">
        <v>173</v>
      </c>
      <c r="J1082" s="695" t="s">
        <v>4687</v>
      </c>
      <c r="K1082" s="695" t="s">
        <v>8544</v>
      </c>
      <c r="L1082" s="696">
        <v>8</v>
      </c>
      <c r="M1082" s="170"/>
    </row>
    <row r="1083" spans="2:13" x14ac:dyDescent="0.2">
      <c r="B1083" s="173"/>
      <c r="C1083" s="694">
        <v>1</v>
      </c>
      <c r="D1083" s="695" t="s">
        <v>3903</v>
      </c>
      <c r="E1083" s="695">
        <v>2</v>
      </c>
      <c r="F1083" s="695" t="s">
        <v>4605</v>
      </c>
      <c r="G1083" s="695">
        <v>1</v>
      </c>
      <c r="H1083" s="695" t="s">
        <v>4605</v>
      </c>
      <c r="I1083" s="695">
        <v>174</v>
      </c>
      <c r="J1083" s="695" t="s">
        <v>4764</v>
      </c>
      <c r="K1083" s="695" t="s">
        <v>8544</v>
      </c>
      <c r="L1083" s="696">
        <v>6</v>
      </c>
      <c r="M1083" s="170"/>
    </row>
    <row r="1084" spans="2:13" x14ac:dyDescent="0.2">
      <c r="B1084" s="173"/>
      <c r="C1084" s="694">
        <v>1</v>
      </c>
      <c r="D1084" s="695" t="s">
        <v>3903</v>
      </c>
      <c r="E1084" s="695">
        <v>2</v>
      </c>
      <c r="F1084" s="695" t="s">
        <v>4605</v>
      </c>
      <c r="G1084" s="695">
        <v>1</v>
      </c>
      <c r="H1084" s="695" t="s">
        <v>4605</v>
      </c>
      <c r="I1084" s="695">
        <v>175</v>
      </c>
      <c r="J1084" s="695" t="s">
        <v>4765</v>
      </c>
      <c r="K1084" s="695" t="s">
        <v>8544</v>
      </c>
      <c r="L1084" s="696">
        <v>11</v>
      </c>
      <c r="M1084" s="170"/>
    </row>
    <row r="1085" spans="2:13" x14ac:dyDescent="0.2">
      <c r="B1085" s="173"/>
      <c r="C1085" s="694">
        <v>1</v>
      </c>
      <c r="D1085" s="695" t="s">
        <v>3903</v>
      </c>
      <c r="E1085" s="695">
        <v>2</v>
      </c>
      <c r="F1085" s="695" t="s">
        <v>4605</v>
      </c>
      <c r="G1085" s="695">
        <v>1</v>
      </c>
      <c r="H1085" s="695" t="s">
        <v>4605</v>
      </c>
      <c r="I1085" s="695">
        <v>176</v>
      </c>
      <c r="J1085" s="695" t="s">
        <v>4766</v>
      </c>
      <c r="K1085" s="695" t="s">
        <v>8544</v>
      </c>
      <c r="L1085" s="696">
        <v>27</v>
      </c>
      <c r="M1085" s="170"/>
    </row>
    <row r="1086" spans="2:13" x14ac:dyDescent="0.2">
      <c r="B1086" s="173"/>
      <c r="C1086" s="694">
        <v>1</v>
      </c>
      <c r="D1086" s="695" t="s">
        <v>3903</v>
      </c>
      <c r="E1086" s="695">
        <v>2</v>
      </c>
      <c r="F1086" s="695" t="s">
        <v>4605</v>
      </c>
      <c r="G1086" s="695">
        <v>1</v>
      </c>
      <c r="H1086" s="695" t="s">
        <v>4605</v>
      </c>
      <c r="I1086" s="695">
        <v>177</v>
      </c>
      <c r="J1086" s="695" t="s">
        <v>4767</v>
      </c>
      <c r="K1086" s="695" t="s">
        <v>3907</v>
      </c>
      <c r="L1086" s="696">
        <v>11</v>
      </c>
      <c r="M1086" s="170"/>
    </row>
    <row r="1087" spans="2:13" x14ac:dyDescent="0.2">
      <c r="B1087" s="173"/>
      <c r="C1087" s="694">
        <v>1</v>
      </c>
      <c r="D1087" s="695" t="s">
        <v>3903</v>
      </c>
      <c r="E1087" s="695">
        <v>2</v>
      </c>
      <c r="F1087" s="695" t="s">
        <v>4605</v>
      </c>
      <c r="G1087" s="695">
        <v>1</v>
      </c>
      <c r="H1087" s="695" t="s">
        <v>4605</v>
      </c>
      <c r="I1087" s="695">
        <v>178</v>
      </c>
      <c r="J1087" s="695" t="s">
        <v>4768</v>
      </c>
      <c r="K1087" s="695" t="s">
        <v>3907</v>
      </c>
      <c r="L1087" s="696">
        <v>0</v>
      </c>
      <c r="M1087" s="170"/>
    </row>
    <row r="1088" spans="2:13" x14ac:dyDescent="0.2">
      <c r="B1088" s="173"/>
      <c r="C1088" s="694">
        <v>1</v>
      </c>
      <c r="D1088" s="695" t="s">
        <v>3903</v>
      </c>
      <c r="E1088" s="695">
        <v>2</v>
      </c>
      <c r="F1088" s="695" t="s">
        <v>4605</v>
      </c>
      <c r="G1088" s="695">
        <v>1</v>
      </c>
      <c r="H1088" s="695" t="s">
        <v>4605</v>
      </c>
      <c r="I1088" s="695">
        <v>179</v>
      </c>
      <c r="J1088" s="695" t="s">
        <v>4769</v>
      </c>
      <c r="K1088" s="695" t="s">
        <v>3907</v>
      </c>
      <c r="L1088" s="696">
        <v>14</v>
      </c>
      <c r="M1088" s="170"/>
    </row>
    <row r="1089" spans="2:13" x14ac:dyDescent="0.2">
      <c r="B1089" s="173"/>
      <c r="C1089" s="694">
        <v>1</v>
      </c>
      <c r="D1089" s="695" t="s">
        <v>3903</v>
      </c>
      <c r="E1089" s="695">
        <v>2</v>
      </c>
      <c r="F1089" s="695" t="s">
        <v>4605</v>
      </c>
      <c r="G1089" s="695">
        <v>1</v>
      </c>
      <c r="H1089" s="695" t="s">
        <v>4605</v>
      </c>
      <c r="I1089" s="695">
        <v>180</v>
      </c>
      <c r="J1089" s="695" t="s">
        <v>4770</v>
      </c>
      <c r="K1089" s="695" t="s">
        <v>3907</v>
      </c>
      <c r="L1089" s="696">
        <v>1</v>
      </c>
      <c r="M1089" s="170"/>
    </row>
    <row r="1090" spans="2:13" x14ac:dyDescent="0.2">
      <c r="B1090" s="173"/>
      <c r="C1090" s="694">
        <v>1</v>
      </c>
      <c r="D1090" s="695" t="s">
        <v>3903</v>
      </c>
      <c r="E1090" s="695">
        <v>2</v>
      </c>
      <c r="F1090" s="695" t="s">
        <v>4605</v>
      </c>
      <c r="G1090" s="695">
        <v>1</v>
      </c>
      <c r="H1090" s="695" t="s">
        <v>4605</v>
      </c>
      <c r="I1090" s="695">
        <v>181</v>
      </c>
      <c r="J1090" s="695" t="s">
        <v>4771</v>
      </c>
      <c r="K1090" s="695" t="s">
        <v>8544</v>
      </c>
      <c r="L1090" s="696">
        <v>24</v>
      </c>
      <c r="M1090" s="170"/>
    </row>
    <row r="1091" spans="2:13" x14ac:dyDescent="0.2">
      <c r="B1091" s="173"/>
      <c r="C1091" s="694">
        <v>1</v>
      </c>
      <c r="D1091" s="695" t="s">
        <v>3903</v>
      </c>
      <c r="E1091" s="695">
        <v>2</v>
      </c>
      <c r="F1091" s="695" t="s">
        <v>4605</v>
      </c>
      <c r="G1091" s="695">
        <v>1</v>
      </c>
      <c r="H1091" s="695" t="s">
        <v>4605</v>
      </c>
      <c r="I1091" s="695">
        <v>182</v>
      </c>
      <c r="J1091" s="695" t="s">
        <v>4772</v>
      </c>
      <c r="K1091" s="695" t="s">
        <v>8544</v>
      </c>
      <c r="L1091" s="696">
        <v>3</v>
      </c>
      <c r="M1091" s="170"/>
    </row>
    <row r="1092" spans="2:13" x14ac:dyDescent="0.2">
      <c r="B1092" s="173"/>
      <c r="C1092" s="694">
        <v>1</v>
      </c>
      <c r="D1092" s="695" t="s">
        <v>3903</v>
      </c>
      <c r="E1092" s="695">
        <v>2</v>
      </c>
      <c r="F1092" s="695" t="s">
        <v>4605</v>
      </c>
      <c r="G1092" s="695">
        <v>1</v>
      </c>
      <c r="H1092" s="695" t="s">
        <v>4605</v>
      </c>
      <c r="I1092" s="695">
        <v>183</v>
      </c>
      <c r="J1092" s="695" t="s">
        <v>4773</v>
      </c>
      <c r="K1092" s="695" t="s">
        <v>8544</v>
      </c>
      <c r="L1092" s="696">
        <v>6</v>
      </c>
      <c r="M1092" s="170"/>
    </row>
    <row r="1093" spans="2:13" x14ac:dyDescent="0.2">
      <c r="B1093" s="173"/>
      <c r="C1093" s="694">
        <v>1</v>
      </c>
      <c r="D1093" s="695" t="s">
        <v>3903</v>
      </c>
      <c r="E1093" s="695">
        <v>2</v>
      </c>
      <c r="F1093" s="695" t="s">
        <v>4605</v>
      </c>
      <c r="G1093" s="695">
        <v>1</v>
      </c>
      <c r="H1093" s="695" t="s">
        <v>4605</v>
      </c>
      <c r="I1093" s="695">
        <v>184</v>
      </c>
      <c r="J1093" s="695" t="s">
        <v>4774</v>
      </c>
      <c r="K1093" s="695" t="s">
        <v>8544</v>
      </c>
      <c r="L1093" s="696">
        <v>5</v>
      </c>
      <c r="M1093" s="170"/>
    </row>
    <row r="1094" spans="2:13" x14ac:dyDescent="0.2">
      <c r="B1094" s="173"/>
      <c r="C1094" s="694">
        <v>1</v>
      </c>
      <c r="D1094" s="695" t="s">
        <v>3903</v>
      </c>
      <c r="E1094" s="695">
        <v>2</v>
      </c>
      <c r="F1094" s="695" t="s">
        <v>4605</v>
      </c>
      <c r="G1094" s="695">
        <v>1</v>
      </c>
      <c r="H1094" s="695" t="s">
        <v>4605</v>
      </c>
      <c r="I1094" s="695">
        <v>185</v>
      </c>
      <c r="J1094" s="695" t="s">
        <v>4775</v>
      </c>
      <c r="K1094" s="695" t="s">
        <v>8544</v>
      </c>
      <c r="L1094" s="696">
        <v>15</v>
      </c>
      <c r="M1094" s="170"/>
    </row>
    <row r="1095" spans="2:13" x14ac:dyDescent="0.2">
      <c r="B1095" s="173"/>
      <c r="C1095" s="694">
        <v>1</v>
      </c>
      <c r="D1095" s="695" t="s">
        <v>3903</v>
      </c>
      <c r="E1095" s="695">
        <v>2</v>
      </c>
      <c r="F1095" s="695" t="s">
        <v>4605</v>
      </c>
      <c r="G1095" s="695">
        <v>1</v>
      </c>
      <c r="H1095" s="695" t="s">
        <v>4605</v>
      </c>
      <c r="I1095" s="695">
        <v>186</v>
      </c>
      <c r="J1095" s="695" t="s">
        <v>4776</v>
      </c>
      <c r="K1095" s="695" t="s">
        <v>8544</v>
      </c>
      <c r="L1095" s="696">
        <v>0</v>
      </c>
      <c r="M1095" s="170"/>
    </row>
    <row r="1096" spans="2:13" x14ac:dyDescent="0.2">
      <c r="B1096" s="173"/>
      <c r="C1096" s="694">
        <v>1</v>
      </c>
      <c r="D1096" s="695" t="s">
        <v>3903</v>
      </c>
      <c r="E1096" s="695">
        <v>2</v>
      </c>
      <c r="F1096" s="695" t="s">
        <v>4605</v>
      </c>
      <c r="G1096" s="695">
        <v>1</v>
      </c>
      <c r="H1096" s="695" t="s">
        <v>4605</v>
      </c>
      <c r="I1096" s="695">
        <v>187</v>
      </c>
      <c r="J1096" s="695" t="s">
        <v>4777</v>
      </c>
      <c r="K1096" s="695" t="s">
        <v>3985</v>
      </c>
      <c r="L1096" s="696">
        <v>0</v>
      </c>
      <c r="M1096" s="170"/>
    </row>
    <row r="1097" spans="2:13" x14ac:dyDescent="0.2">
      <c r="B1097" s="173"/>
      <c r="C1097" s="694">
        <v>1</v>
      </c>
      <c r="D1097" s="695" t="s">
        <v>3903</v>
      </c>
      <c r="E1097" s="695">
        <v>2</v>
      </c>
      <c r="F1097" s="695" t="s">
        <v>4605</v>
      </c>
      <c r="G1097" s="695">
        <v>1</v>
      </c>
      <c r="H1097" s="695" t="s">
        <v>4605</v>
      </c>
      <c r="I1097" s="695">
        <v>188</v>
      </c>
      <c r="J1097" s="695" t="s">
        <v>4778</v>
      </c>
      <c r="K1097" s="695" t="s">
        <v>3907</v>
      </c>
      <c r="L1097" s="696">
        <v>3</v>
      </c>
      <c r="M1097" s="170"/>
    </row>
    <row r="1098" spans="2:13" x14ac:dyDescent="0.2">
      <c r="B1098" s="173"/>
      <c r="C1098" s="694">
        <v>1</v>
      </c>
      <c r="D1098" s="695" t="s">
        <v>3903</v>
      </c>
      <c r="E1098" s="695">
        <v>2</v>
      </c>
      <c r="F1098" s="695" t="s">
        <v>4605</v>
      </c>
      <c r="G1098" s="695">
        <v>1</v>
      </c>
      <c r="H1098" s="695" t="s">
        <v>4605</v>
      </c>
      <c r="I1098" s="695">
        <v>189</v>
      </c>
      <c r="J1098" s="695" t="s">
        <v>4779</v>
      </c>
      <c r="K1098" s="695" t="s">
        <v>3907</v>
      </c>
      <c r="L1098" s="696">
        <v>10</v>
      </c>
      <c r="M1098" s="170"/>
    </row>
    <row r="1099" spans="2:13" x14ac:dyDescent="0.2">
      <c r="B1099" s="173"/>
      <c r="C1099" s="694">
        <v>1</v>
      </c>
      <c r="D1099" s="695" t="s">
        <v>3903</v>
      </c>
      <c r="E1099" s="695">
        <v>2</v>
      </c>
      <c r="F1099" s="695" t="s">
        <v>4605</v>
      </c>
      <c r="G1099" s="695">
        <v>1</v>
      </c>
      <c r="H1099" s="695" t="s">
        <v>4605</v>
      </c>
      <c r="I1099" s="695">
        <v>190</v>
      </c>
      <c r="J1099" s="695" t="s">
        <v>4780</v>
      </c>
      <c r="K1099" s="695" t="s">
        <v>3907</v>
      </c>
      <c r="L1099" s="696">
        <v>53</v>
      </c>
      <c r="M1099" s="170"/>
    </row>
    <row r="1100" spans="2:13" x14ac:dyDescent="0.2">
      <c r="B1100" s="173"/>
      <c r="C1100" s="694">
        <v>1</v>
      </c>
      <c r="D1100" s="695" t="s">
        <v>3903</v>
      </c>
      <c r="E1100" s="695">
        <v>2</v>
      </c>
      <c r="F1100" s="695" t="s">
        <v>4605</v>
      </c>
      <c r="G1100" s="695">
        <v>1</v>
      </c>
      <c r="H1100" s="695" t="s">
        <v>4605</v>
      </c>
      <c r="I1100" s="695">
        <v>191</v>
      </c>
      <c r="J1100" s="695" t="s">
        <v>4781</v>
      </c>
      <c r="K1100" s="695" t="s">
        <v>3907</v>
      </c>
      <c r="L1100" s="696">
        <v>3</v>
      </c>
      <c r="M1100" s="170"/>
    </row>
    <row r="1101" spans="2:13" x14ac:dyDescent="0.2">
      <c r="B1101" s="173"/>
      <c r="C1101" s="694">
        <v>1</v>
      </c>
      <c r="D1101" s="695" t="s">
        <v>3903</v>
      </c>
      <c r="E1101" s="695">
        <v>2</v>
      </c>
      <c r="F1101" s="695" t="s">
        <v>4605</v>
      </c>
      <c r="G1101" s="695">
        <v>1</v>
      </c>
      <c r="H1101" s="695" t="s">
        <v>4605</v>
      </c>
      <c r="I1101" s="695">
        <v>192</v>
      </c>
      <c r="J1101" s="695" t="s">
        <v>4782</v>
      </c>
      <c r="K1101" s="695" t="s">
        <v>3907</v>
      </c>
      <c r="L1101" s="696">
        <v>8</v>
      </c>
      <c r="M1101" s="170"/>
    </row>
    <row r="1102" spans="2:13" x14ac:dyDescent="0.2">
      <c r="B1102" s="173"/>
      <c r="C1102" s="694">
        <v>1</v>
      </c>
      <c r="D1102" s="695" t="s">
        <v>3903</v>
      </c>
      <c r="E1102" s="695">
        <v>2</v>
      </c>
      <c r="F1102" s="695" t="s">
        <v>4605</v>
      </c>
      <c r="G1102" s="695">
        <v>1</v>
      </c>
      <c r="H1102" s="695" t="s">
        <v>4605</v>
      </c>
      <c r="I1102" s="695">
        <v>193</v>
      </c>
      <c r="J1102" s="695" t="s">
        <v>4783</v>
      </c>
      <c r="K1102" s="695" t="s">
        <v>3907</v>
      </c>
      <c r="L1102" s="696">
        <v>4</v>
      </c>
      <c r="M1102" s="170"/>
    </row>
    <row r="1103" spans="2:13" x14ac:dyDescent="0.2">
      <c r="B1103" s="173"/>
      <c r="C1103" s="694">
        <v>1</v>
      </c>
      <c r="D1103" s="695" t="s">
        <v>3903</v>
      </c>
      <c r="E1103" s="695">
        <v>2</v>
      </c>
      <c r="F1103" s="695" t="s">
        <v>4605</v>
      </c>
      <c r="G1103" s="695">
        <v>1</v>
      </c>
      <c r="H1103" s="695" t="s">
        <v>4605</v>
      </c>
      <c r="I1103" s="695">
        <v>194</v>
      </c>
      <c r="J1103" s="695" t="s">
        <v>4784</v>
      </c>
      <c r="K1103" s="695" t="s">
        <v>3907</v>
      </c>
      <c r="L1103" s="696">
        <v>2</v>
      </c>
      <c r="M1103" s="170"/>
    </row>
    <row r="1104" spans="2:13" x14ac:dyDescent="0.2">
      <c r="B1104" s="173"/>
      <c r="C1104" s="694">
        <v>1</v>
      </c>
      <c r="D1104" s="695" t="s">
        <v>3903</v>
      </c>
      <c r="E1104" s="695">
        <v>2</v>
      </c>
      <c r="F1104" s="695" t="s">
        <v>4605</v>
      </c>
      <c r="G1104" s="695">
        <v>1</v>
      </c>
      <c r="H1104" s="695" t="s">
        <v>4605</v>
      </c>
      <c r="I1104" s="695">
        <v>195</v>
      </c>
      <c r="J1104" s="695" t="s">
        <v>4785</v>
      </c>
      <c r="K1104" s="695" t="s">
        <v>3907</v>
      </c>
      <c r="L1104" s="696">
        <v>5</v>
      </c>
      <c r="M1104" s="170"/>
    </row>
    <row r="1105" spans="2:13" x14ac:dyDescent="0.2">
      <c r="B1105" s="173"/>
      <c r="C1105" s="694">
        <v>1</v>
      </c>
      <c r="D1105" s="695" t="s">
        <v>3903</v>
      </c>
      <c r="E1105" s="695">
        <v>2</v>
      </c>
      <c r="F1105" s="695" t="s">
        <v>4605</v>
      </c>
      <c r="G1105" s="695">
        <v>1</v>
      </c>
      <c r="H1105" s="695" t="s">
        <v>4605</v>
      </c>
      <c r="I1105" s="695">
        <v>196</v>
      </c>
      <c r="J1105" s="695" t="s">
        <v>4786</v>
      </c>
      <c r="K1105" s="695" t="s">
        <v>3907</v>
      </c>
      <c r="L1105" s="696">
        <v>9</v>
      </c>
      <c r="M1105" s="170"/>
    </row>
    <row r="1106" spans="2:13" x14ac:dyDescent="0.2">
      <c r="B1106" s="173"/>
      <c r="C1106" s="694">
        <v>1</v>
      </c>
      <c r="D1106" s="695" t="s">
        <v>3903</v>
      </c>
      <c r="E1106" s="695">
        <v>2</v>
      </c>
      <c r="F1106" s="695" t="s">
        <v>4605</v>
      </c>
      <c r="G1106" s="695">
        <v>1</v>
      </c>
      <c r="H1106" s="695" t="s">
        <v>4605</v>
      </c>
      <c r="I1106" s="695">
        <v>197</v>
      </c>
      <c r="J1106" s="695" t="s">
        <v>4787</v>
      </c>
      <c r="K1106" s="695" t="s">
        <v>3907</v>
      </c>
      <c r="L1106" s="696">
        <v>11</v>
      </c>
      <c r="M1106" s="170"/>
    </row>
    <row r="1107" spans="2:13" x14ac:dyDescent="0.2">
      <c r="B1107" s="173"/>
      <c r="C1107" s="694">
        <v>1</v>
      </c>
      <c r="D1107" s="695" t="s">
        <v>3903</v>
      </c>
      <c r="E1107" s="695">
        <v>2</v>
      </c>
      <c r="F1107" s="695" t="s">
        <v>4605</v>
      </c>
      <c r="G1107" s="695">
        <v>1</v>
      </c>
      <c r="H1107" s="695" t="s">
        <v>4605</v>
      </c>
      <c r="I1107" s="695">
        <v>198</v>
      </c>
      <c r="J1107" s="695" t="s">
        <v>4788</v>
      </c>
      <c r="K1107" s="695" t="s">
        <v>3907</v>
      </c>
      <c r="L1107" s="696">
        <v>9</v>
      </c>
      <c r="M1107" s="170"/>
    </row>
    <row r="1108" spans="2:13" x14ac:dyDescent="0.2">
      <c r="B1108" s="173"/>
      <c r="C1108" s="694">
        <v>1</v>
      </c>
      <c r="D1108" s="695" t="s">
        <v>3903</v>
      </c>
      <c r="E1108" s="695">
        <v>2</v>
      </c>
      <c r="F1108" s="695" t="s">
        <v>4605</v>
      </c>
      <c r="G1108" s="695">
        <v>1</v>
      </c>
      <c r="H1108" s="695" t="s">
        <v>4605</v>
      </c>
      <c r="I1108" s="695">
        <v>199</v>
      </c>
      <c r="J1108" s="695" t="s">
        <v>4789</v>
      </c>
      <c r="K1108" s="695" t="s">
        <v>3907</v>
      </c>
      <c r="L1108" s="696">
        <v>6</v>
      </c>
      <c r="M1108" s="170"/>
    </row>
    <row r="1109" spans="2:13" x14ac:dyDescent="0.2">
      <c r="B1109" s="173"/>
      <c r="C1109" s="694">
        <v>1</v>
      </c>
      <c r="D1109" s="695" t="s">
        <v>3903</v>
      </c>
      <c r="E1109" s="695">
        <v>2</v>
      </c>
      <c r="F1109" s="695" t="s">
        <v>4605</v>
      </c>
      <c r="G1109" s="695">
        <v>1</v>
      </c>
      <c r="H1109" s="695" t="s">
        <v>4605</v>
      </c>
      <c r="I1109" s="695">
        <v>200</v>
      </c>
      <c r="J1109" s="695" t="s">
        <v>4790</v>
      </c>
      <c r="K1109" s="695" t="s">
        <v>3907</v>
      </c>
      <c r="L1109" s="696">
        <v>12</v>
      </c>
      <c r="M1109" s="170"/>
    </row>
    <row r="1110" spans="2:13" x14ac:dyDescent="0.2">
      <c r="B1110" s="173"/>
      <c r="C1110" s="694">
        <v>1</v>
      </c>
      <c r="D1110" s="695" t="s">
        <v>3903</v>
      </c>
      <c r="E1110" s="695">
        <v>2</v>
      </c>
      <c r="F1110" s="695" t="s">
        <v>4605</v>
      </c>
      <c r="G1110" s="695">
        <v>1</v>
      </c>
      <c r="H1110" s="695" t="s">
        <v>4605</v>
      </c>
      <c r="I1110" s="695">
        <v>201</v>
      </c>
      <c r="J1110" s="695" t="s">
        <v>4791</v>
      </c>
      <c r="K1110" s="695" t="s">
        <v>3907</v>
      </c>
      <c r="L1110" s="696">
        <v>1</v>
      </c>
      <c r="M1110" s="170"/>
    </row>
    <row r="1111" spans="2:13" x14ac:dyDescent="0.2">
      <c r="B1111" s="173"/>
      <c r="C1111" s="694">
        <v>1</v>
      </c>
      <c r="D1111" s="695" t="s">
        <v>3903</v>
      </c>
      <c r="E1111" s="695">
        <v>2</v>
      </c>
      <c r="F1111" s="695" t="s">
        <v>4605</v>
      </c>
      <c r="G1111" s="695">
        <v>1</v>
      </c>
      <c r="H1111" s="695" t="s">
        <v>4605</v>
      </c>
      <c r="I1111" s="695">
        <v>202</v>
      </c>
      <c r="J1111" s="695" t="s">
        <v>4792</v>
      </c>
      <c r="K1111" s="695" t="s">
        <v>3907</v>
      </c>
      <c r="L1111" s="696">
        <v>2</v>
      </c>
      <c r="M1111" s="170"/>
    </row>
    <row r="1112" spans="2:13" x14ac:dyDescent="0.2">
      <c r="B1112" s="173"/>
      <c r="C1112" s="694">
        <v>1</v>
      </c>
      <c r="D1112" s="695" t="s">
        <v>3903</v>
      </c>
      <c r="E1112" s="695">
        <v>2</v>
      </c>
      <c r="F1112" s="695" t="s">
        <v>4605</v>
      </c>
      <c r="G1112" s="695">
        <v>1</v>
      </c>
      <c r="H1112" s="695" t="s">
        <v>4605</v>
      </c>
      <c r="I1112" s="695">
        <v>203</v>
      </c>
      <c r="J1112" s="695" t="s">
        <v>4793</v>
      </c>
      <c r="K1112" s="695" t="s">
        <v>3907</v>
      </c>
      <c r="L1112" s="696">
        <v>3</v>
      </c>
      <c r="M1112" s="170"/>
    </row>
    <row r="1113" spans="2:13" x14ac:dyDescent="0.2">
      <c r="B1113" s="173"/>
      <c r="C1113" s="694">
        <v>1</v>
      </c>
      <c r="D1113" s="695" t="s">
        <v>3903</v>
      </c>
      <c r="E1113" s="695">
        <v>2</v>
      </c>
      <c r="F1113" s="695" t="s">
        <v>4605</v>
      </c>
      <c r="G1113" s="695">
        <v>1</v>
      </c>
      <c r="H1113" s="695" t="s">
        <v>4605</v>
      </c>
      <c r="I1113" s="695">
        <v>204</v>
      </c>
      <c r="J1113" s="695" t="s">
        <v>4794</v>
      </c>
      <c r="K1113" s="695" t="s">
        <v>3907</v>
      </c>
      <c r="L1113" s="696">
        <v>21</v>
      </c>
      <c r="M1113" s="170"/>
    </row>
    <row r="1114" spans="2:13" x14ac:dyDescent="0.2">
      <c r="B1114" s="173"/>
      <c r="C1114" s="694">
        <v>1</v>
      </c>
      <c r="D1114" s="695" t="s">
        <v>3903</v>
      </c>
      <c r="E1114" s="695">
        <v>2</v>
      </c>
      <c r="F1114" s="695" t="s">
        <v>4605</v>
      </c>
      <c r="G1114" s="695">
        <v>1</v>
      </c>
      <c r="H1114" s="695" t="s">
        <v>4605</v>
      </c>
      <c r="I1114" s="695">
        <v>205</v>
      </c>
      <c r="J1114" s="695" t="s">
        <v>4795</v>
      </c>
      <c r="K1114" s="695" t="s">
        <v>3907</v>
      </c>
      <c r="L1114" s="696">
        <v>1</v>
      </c>
      <c r="M1114" s="170"/>
    </row>
    <row r="1115" spans="2:13" x14ac:dyDescent="0.2">
      <c r="B1115" s="173"/>
      <c r="C1115" s="694">
        <v>1</v>
      </c>
      <c r="D1115" s="695" t="s">
        <v>3903</v>
      </c>
      <c r="E1115" s="695">
        <v>2</v>
      </c>
      <c r="F1115" s="695" t="s">
        <v>4605</v>
      </c>
      <c r="G1115" s="695">
        <v>1</v>
      </c>
      <c r="H1115" s="695" t="s">
        <v>4605</v>
      </c>
      <c r="I1115" s="695">
        <v>206</v>
      </c>
      <c r="J1115" s="695" t="s">
        <v>4796</v>
      </c>
      <c r="K1115" s="695" t="s">
        <v>3907</v>
      </c>
      <c r="L1115" s="696">
        <v>8</v>
      </c>
      <c r="M1115" s="170"/>
    </row>
    <row r="1116" spans="2:13" x14ac:dyDescent="0.2">
      <c r="B1116" s="173"/>
      <c r="C1116" s="694">
        <v>1</v>
      </c>
      <c r="D1116" s="695" t="s">
        <v>3903</v>
      </c>
      <c r="E1116" s="695">
        <v>2</v>
      </c>
      <c r="F1116" s="695" t="s">
        <v>4605</v>
      </c>
      <c r="G1116" s="695">
        <v>1</v>
      </c>
      <c r="H1116" s="695" t="s">
        <v>4605</v>
      </c>
      <c r="I1116" s="695">
        <v>207</v>
      </c>
      <c r="J1116" s="695" t="s">
        <v>4797</v>
      </c>
      <c r="K1116" s="695" t="s">
        <v>3907</v>
      </c>
      <c r="L1116" s="696">
        <v>12</v>
      </c>
      <c r="M1116" s="170"/>
    </row>
    <row r="1117" spans="2:13" x14ac:dyDescent="0.2">
      <c r="B1117" s="173"/>
      <c r="C1117" s="694">
        <v>1</v>
      </c>
      <c r="D1117" s="695" t="s">
        <v>3903</v>
      </c>
      <c r="E1117" s="695">
        <v>2</v>
      </c>
      <c r="F1117" s="695" t="s">
        <v>4605</v>
      </c>
      <c r="G1117" s="695">
        <v>1</v>
      </c>
      <c r="H1117" s="695" t="s">
        <v>4605</v>
      </c>
      <c r="I1117" s="695">
        <v>208</v>
      </c>
      <c r="J1117" s="695" t="s">
        <v>4798</v>
      </c>
      <c r="K1117" s="695" t="s">
        <v>3907</v>
      </c>
      <c r="L1117" s="696">
        <v>6</v>
      </c>
      <c r="M1117" s="170"/>
    </row>
    <row r="1118" spans="2:13" x14ac:dyDescent="0.2">
      <c r="B1118" s="173"/>
      <c r="C1118" s="694">
        <v>1</v>
      </c>
      <c r="D1118" s="695" t="s">
        <v>3903</v>
      </c>
      <c r="E1118" s="695">
        <v>2</v>
      </c>
      <c r="F1118" s="695" t="s">
        <v>4605</v>
      </c>
      <c r="G1118" s="695">
        <v>1</v>
      </c>
      <c r="H1118" s="695" t="s">
        <v>4605</v>
      </c>
      <c r="I1118" s="695">
        <v>209</v>
      </c>
      <c r="J1118" s="695" t="s">
        <v>4799</v>
      </c>
      <c r="K1118" s="695" t="s">
        <v>3907</v>
      </c>
      <c r="L1118" s="696">
        <v>2</v>
      </c>
      <c r="M1118" s="170"/>
    </row>
    <row r="1119" spans="2:13" x14ac:dyDescent="0.2">
      <c r="B1119" s="173"/>
      <c r="C1119" s="694">
        <v>1</v>
      </c>
      <c r="D1119" s="695" t="s">
        <v>3903</v>
      </c>
      <c r="E1119" s="695">
        <v>2</v>
      </c>
      <c r="F1119" s="695" t="s">
        <v>4605</v>
      </c>
      <c r="G1119" s="695">
        <v>1</v>
      </c>
      <c r="H1119" s="695" t="s">
        <v>4605</v>
      </c>
      <c r="I1119" s="695">
        <v>210</v>
      </c>
      <c r="J1119" s="695" t="s">
        <v>4800</v>
      </c>
      <c r="K1119" s="695" t="s">
        <v>3907</v>
      </c>
      <c r="L1119" s="696">
        <v>2</v>
      </c>
      <c r="M1119" s="170"/>
    </row>
    <row r="1120" spans="2:13" x14ac:dyDescent="0.2">
      <c r="B1120" s="173"/>
      <c r="C1120" s="694">
        <v>1</v>
      </c>
      <c r="D1120" s="695" t="s">
        <v>3903</v>
      </c>
      <c r="E1120" s="695">
        <v>2</v>
      </c>
      <c r="F1120" s="695" t="s">
        <v>4605</v>
      </c>
      <c r="G1120" s="695">
        <v>1</v>
      </c>
      <c r="H1120" s="695" t="s">
        <v>4605</v>
      </c>
      <c r="I1120" s="695">
        <v>211</v>
      </c>
      <c r="J1120" s="695" t="s">
        <v>4801</v>
      </c>
      <c r="K1120" s="695" t="s">
        <v>3907</v>
      </c>
      <c r="L1120" s="696">
        <v>3</v>
      </c>
      <c r="M1120" s="170"/>
    </row>
    <row r="1121" spans="2:13" x14ac:dyDescent="0.2">
      <c r="B1121" s="173"/>
      <c r="C1121" s="694">
        <v>1</v>
      </c>
      <c r="D1121" s="695" t="s">
        <v>3903</v>
      </c>
      <c r="E1121" s="695">
        <v>2</v>
      </c>
      <c r="F1121" s="695" t="s">
        <v>4605</v>
      </c>
      <c r="G1121" s="695">
        <v>1</v>
      </c>
      <c r="H1121" s="695" t="s">
        <v>4605</v>
      </c>
      <c r="I1121" s="695">
        <v>212</v>
      </c>
      <c r="J1121" s="695" t="s">
        <v>4086</v>
      </c>
      <c r="K1121" s="695" t="s">
        <v>3907</v>
      </c>
      <c r="L1121" s="696">
        <v>1324</v>
      </c>
      <c r="M1121" s="170"/>
    </row>
    <row r="1122" spans="2:13" x14ac:dyDescent="0.2">
      <c r="B1122" s="173"/>
      <c r="C1122" s="694">
        <v>1</v>
      </c>
      <c r="D1122" s="695" t="s">
        <v>3903</v>
      </c>
      <c r="E1122" s="695">
        <v>2</v>
      </c>
      <c r="F1122" s="695" t="s">
        <v>4605</v>
      </c>
      <c r="G1122" s="695">
        <v>1</v>
      </c>
      <c r="H1122" s="695" t="s">
        <v>4605</v>
      </c>
      <c r="I1122" s="695">
        <v>213</v>
      </c>
      <c r="J1122" s="695" t="s">
        <v>4802</v>
      </c>
      <c r="K1122" s="695" t="s">
        <v>3907</v>
      </c>
      <c r="L1122" s="696">
        <v>2</v>
      </c>
      <c r="M1122" s="170"/>
    </row>
    <row r="1123" spans="2:13" x14ac:dyDescent="0.2">
      <c r="B1123" s="173"/>
      <c r="C1123" s="694">
        <v>1</v>
      </c>
      <c r="D1123" s="695" t="s">
        <v>3903</v>
      </c>
      <c r="E1123" s="695">
        <v>2</v>
      </c>
      <c r="F1123" s="695" t="s">
        <v>4605</v>
      </c>
      <c r="G1123" s="695">
        <v>1</v>
      </c>
      <c r="H1123" s="695" t="s">
        <v>4605</v>
      </c>
      <c r="I1123" s="695">
        <v>214</v>
      </c>
      <c r="J1123" s="695" t="s">
        <v>4803</v>
      </c>
      <c r="K1123" s="695" t="s">
        <v>3907</v>
      </c>
      <c r="L1123" s="696">
        <v>1</v>
      </c>
      <c r="M1123" s="170"/>
    </row>
    <row r="1124" spans="2:13" x14ac:dyDescent="0.2">
      <c r="B1124" s="173"/>
      <c r="C1124" s="694">
        <v>1</v>
      </c>
      <c r="D1124" s="695" t="s">
        <v>3903</v>
      </c>
      <c r="E1124" s="695">
        <v>2</v>
      </c>
      <c r="F1124" s="695" t="s">
        <v>4605</v>
      </c>
      <c r="G1124" s="695">
        <v>1</v>
      </c>
      <c r="H1124" s="695" t="s">
        <v>4605</v>
      </c>
      <c r="I1124" s="695">
        <v>215</v>
      </c>
      <c r="J1124" s="695" t="s">
        <v>4804</v>
      </c>
      <c r="K1124" s="695" t="s">
        <v>8544</v>
      </c>
      <c r="L1124" s="696">
        <v>0</v>
      </c>
      <c r="M1124" s="170"/>
    </row>
    <row r="1125" spans="2:13" x14ac:dyDescent="0.2">
      <c r="B1125" s="173"/>
      <c r="C1125" s="694">
        <v>1</v>
      </c>
      <c r="D1125" s="695" t="s">
        <v>3903</v>
      </c>
      <c r="E1125" s="695">
        <v>2</v>
      </c>
      <c r="F1125" s="695" t="s">
        <v>4605</v>
      </c>
      <c r="G1125" s="695">
        <v>1</v>
      </c>
      <c r="H1125" s="695" t="s">
        <v>4605</v>
      </c>
      <c r="I1125" s="695">
        <v>216</v>
      </c>
      <c r="J1125" s="695" t="s">
        <v>4805</v>
      </c>
      <c r="K1125" s="695" t="s">
        <v>8544</v>
      </c>
      <c r="L1125" s="696">
        <v>6</v>
      </c>
      <c r="M1125" s="170"/>
    </row>
    <row r="1126" spans="2:13" x14ac:dyDescent="0.2">
      <c r="B1126" s="173"/>
      <c r="C1126" s="694">
        <v>1</v>
      </c>
      <c r="D1126" s="695" t="s">
        <v>3903</v>
      </c>
      <c r="E1126" s="695">
        <v>2</v>
      </c>
      <c r="F1126" s="695" t="s">
        <v>4605</v>
      </c>
      <c r="G1126" s="695">
        <v>1</v>
      </c>
      <c r="H1126" s="695" t="s">
        <v>4605</v>
      </c>
      <c r="I1126" s="695">
        <v>217</v>
      </c>
      <c r="J1126" s="695" t="s">
        <v>4806</v>
      </c>
      <c r="K1126" s="695" t="s">
        <v>3985</v>
      </c>
      <c r="L1126" s="696">
        <v>23</v>
      </c>
      <c r="M1126" s="170"/>
    </row>
    <row r="1127" spans="2:13" x14ac:dyDescent="0.2">
      <c r="B1127" s="173"/>
      <c r="C1127" s="694">
        <v>1</v>
      </c>
      <c r="D1127" s="695" t="s">
        <v>3903</v>
      </c>
      <c r="E1127" s="695">
        <v>2</v>
      </c>
      <c r="F1127" s="695" t="s">
        <v>4605</v>
      </c>
      <c r="G1127" s="695">
        <v>1</v>
      </c>
      <c r="H1127" s="695" t="s">
        <v>4605</v>
      </c>
      <c r="I1127" s="695">
        <v>218</v>
      </c>
      <c r="J1127" s="695" t="s">
        <v>4807</v>
      </c>
      <c r="K1127" s="695" t="s">
        <v>3907</v>
      </c>
      <c r="L1127" s="696">
        <v>1</v>
      </c>
      <c r="M1127" s="170"/>
    </row>
    <row r="1128" spans="2:13" x14ac:dyDescent="0.2">
      <c r="B1128" s="173"/>
      <c r="C1128" s="694">
        <v>1</v>
      </c>
      <c r="D1128" s="695" t="s">
        <v>3903</v>
      </c>
      <c r="E1128" s="695">
        <v>2</v>
      </c>
      <c r="F1128" s="695" t="s">
        <v>4605</v>
      </c>
      <c r="G1128" s="695">
        <v>1</v>
      </c>
      <c r="H1128" s="695" t="s">
        <v>4605</v>
      </c>
      <c r="I1128" s="695">
        <v>219</v>
      </c>
      <c r="J1128" s="695" t="s">
        <v>4808</v>
      </c>
      <c r="K1128" s="695" t="s">
        <v>4009</v>
      </c>
      <c r="L1128" s="696">
        <v>0</v>
      </c>
      <c r="M1128" s="170"/>
    </row>
    <row r="1129" spans="2:13" x14ac:dyDescent="0.2">
      <c r="B1129" s="173"/>
      <c r="C1129" s="694">
        <v>1</v>
      </c>
      <c r="D1129" s="695" t="s">
        <v>3903</v>
      </c>
      <c r="E1129" s="695">
        <v>2</v>
      </c>
      <c r="F1129" s="695" t="s">
        <v>4605</v>
      </c>
      <c r="G1129" s="695">
        <v>1</v>
      </c>
      <c r="H1129" s="695" t="s">
        <v>4605</v>
      </c>
      <c r="I1129" s="695">
        <v>220</v>
      </c>
      <c r="J1129" s="695" t="s">
        <v>4809</v>
      </c>
      <c r="K1129" s="695" t="s">
        <v>3907</v>
      </c>
      <c r="L1129" s="696">
        <v>1</v>
      </c>
      <c r="M1129" s="170"/>
    </row>
    <row r="1130" spans="2:13" x14ac:dyDescent="0.2">
      <c r="B1130" s="173"/>
      <c r="C1130" s="694">
        <v>1</v>
      </c>
      <c r="D1130" s="695" t="s">
        <v>3903</v>
      </c>
      <c r="E1130" s="695">
        <v>2</v>
      </c>
      <c r="F1130" s="695" t="s">
        <v>4605</v>
      </c>
      <c r="G1130" s="695">
        <v>1</v>
      </c>
      <c r="H1130" s="695" t="s">
        <v>4605</v>
      </c>
      <c r="I1130" s="695">
        <v>221</v>
      </c>
      <c r="J1130" s="695" t="s">
        <v>4810</v>
      </c>
      <c r="K1130" s="695" t="s">
        <v>3907</v>
      </c>
      <c r="L1130" s="696">
        <v>1</v>
      </c>
      <c r="M1130" s="170"/>
    </row>
    <row r="1131" spans="2:13" x14ac:dyDescent="0.2">
      <c r="B1131" s="173"/>
      <c r="C1131" s="694">
        <v>1</v>
      </c>
      <c r="D1131" s="695" t="s">
        <v>3903</v>
      </c>
      <c r="E1131" s="695">
        <v>2</v>
      </c>
      <c r="F1131" s="695" t="s">
        <v>4605</v>
      </c>
      <c r="G1131" s="695">
        <v>1</v>
      </c>
      <c r="H1131" s="695" t="s">
        <v>4605</v>
      </c>
      <c r="I1131" s="695">
        <v>222</v>
      </c>
      <c r="J1131" s="695" t="s">
        <v>4811</v>
      </c>
      <c r="K1131" s="695" t="s">
        <v>3907</v>
      </c>
      <c r="L1131" s="696">
        <v>2</v>
      </c>
      <c r="M1131" s="170"/>
    </row>
    <row r="1132" spans="2:13" x14ac:dyDescent="0.2">
      <c r="B1132" s="173"/>
      <c r="C1132" s="694">
        <v>1</v>
      </c>
      <c r="D1132" s="695" t="s">
        <v>3903</v>
      </c>
      <c r="E1132" s="695">
        <v>2</v>
      </c>
      <c r="F1132" s="695" t="s">
        <v>4605</v>
      </c>
      <c r="G1132" s="695">
        <v>1</v>
      </c>
      <c r="H1132" s="695" t="s">
        <v>4605</v>
      </c>
      <c r="I1132" s="695">
        <v>223</v>
      </c>
      <c r="J1132" s="695" t="s">
        <v>4812</v>
      </c>
      <c r="K1132" s="695" t="s">
        <v>3907</v>
      </c>
      <c r="L1132" s="696">
        <v>4</v>
      </c>
      <c r="M1132" s="170"/>
    </row>
    <row r="1133" spans="2:13" x14ac:dyDescent="0.2">
      <c r="B1133" s="173"/>
      <c r="C1133" s="694">
        <v>1</v>
      </c>
      <c r="D1133" s="695" t="s">
        <v>3903</v>
      </c>
      <c r="E1133" s="695">
        <v>2</v>
      </c>
      <c r="F1133" s="695" t="s">
        <v>4605</v>
      </c>
      <c r="G1133" s="695">
        <v>1</v>
      </c>
      <c r="H1133" s="695" t="s">
        <v>4605</v>
      </c>
      <c r="I1133" s="695">
        <v>224</v>
      </c>
      <c r="J1133" s="695" t="s">
        <v>4813</v>
      </c>
      <c r="K1133" s="695" t="s">
        <v>3907</v>
      </c>
      <c r="L1133" s="696">
        <v>3</v>
      </c>
      <c r="M1133" s="170"/>
    </row>
    <row r="1134" spans="2:13" x14ac:dyDescent="0.2">
      <c r="B1134" s="173"/>
      <c r="C1134" s="694">
        <v>1</v>
      </c>
      <c r="D1134" s="695" t="s">
        <v>3903</v>
      </c>
      <c r="E1134" s="695">
        <v>2</v>
      </c>
      <c r="F1134" s="695" t="s">
        <v>4605</v>
      </c>
      <c r="G1134" s="695">
        <v>1</v>
      </c>
      <c r="H1134" s="695" t="s">
        <v>4605</v>
      </c>
      <c r="I1134" s="695">
        <v>225</v>
      </c>
      <c r="J1134" s="695" t="s">
        <v>4814</v>
      </c>
      <c r="K1134" s="695" t="s">
        <v>3907</v>
      </c>
      <c r="L1134" s="696">
        <v>4</v>
      </c>
      <c r="M1134" s="170"/>
    </row>
    <row r="1135" spans="2:13" x14ac:dyDescent="0.2">
      <c r="B1135" s="173"/>
      <c r="C1135" s="694">
        <v>1</v>
      </c>
      <c r="D1135" s="695" t="s">
        <v>3903</v>
      </c>
      <c r="E1135" s="695">
        <v>2</v>
      </c>
      <c r="F1135" s="695" t="s">
        <v>4605</v>
      </c>
      <c r="G1135" s="695">
        <v>1</v>
      </c>
      <c r="H1135" s="695" t="s">
        <v>4605</v>
      </c>
      <c r="I1135" s="695">
        <v>226</v>
      </c>
      <c r="J1135" s="695" t="s">
        <v>4815</v>
      </c>
      <c r="K1135" s="695" t="s">
        <v>3907</v>
      </c>
      <c r="L1135" s="696">
        <v>2</v>
      </c>
      <c r="M1135" s="170"/>
    </row>
    <row r="1136" spans="2:13" x14ac:dyDescent="0.2">
      <c r="B1136" s="173"/>
      <c r="C1136" s="694">
        <v>1</v>
      </c>
      <c r="D1136" s="695" t="s">
        <v>3903</v>
      </c>
      <c r="E1136" s="695">
        <v>2</v>
      </c>
      <c r="F1136" s="695" t="s">
        <v>4605</v>
      </c>
      <c r="G1136" s="695">
        <v>1</v>
      </c>
      <c r="H1136" s="695" t="s">
        <v>4605</v>
      </c>
      <c r="I1136" s="695">
        <v>227</v>
      </c>
      <c r="J1136" s="695" t="s">
        <v>4816</v>
      </c>
      <c r="K1136" s="695" t="s">
        <v>3907</v>
      </c>
      <c r="L1136" s="696">
        <v>1</v>
      </c>
      <c r="M1136" s="170"/>
    </row>
    <row r="1137" spans="2:13" x14ac:dyDescent="0.2">
      <c r="B1137" s="173"/>
      <c r="C1137" s="694">
        <v>1</v>
      </c>
      <c r="D1137" s="695" t="s">
        <v>3903</v>
      </c>
      <c r="E1137" s="695">
        <v>2</v>
      </c>
      <c r="F1137" s="695" t="s">
        <v>4605</v>
      </c>
      <c r="G1137" s="695">
        <v>1</v>
      </c>
      <c r="H1137" s="695" t="s">
        <v>4605</v>
      </c>
      <c r="I1137" s="695">
        <v>228</v>
      </c>
      <c r="J1137" s="695" t="s">
        <v>4817</v>
      </c>
      <c r="K1137" s="695" t="s">
        <v>3907</v>
      </c>
      <c r="L1137" s="696">
        <v>6</v>
      </c>
      <c r="M1137" s="170"/>
    </row>
    <row r="1138" spans="2:13" x14ac:dyDescent="0.2">
      <c r="B1138" s="173"/>
      <c r="C1138" s="694">
        <v>1</v>
      </c>
      <c r="D1138" s="695" t="s">
        <v>3903</v>
      </c>
      <c r="E1138" s="695">
        <v>2</v>
      </c>
      <c r="F1138" s="695" t="s">
        <v>4605</v>
      </c>
      <c r="G1138" s="695">
        <v>1</v>
      </c>
      <c r="H1138" s="695" t="s">
        <v>4605</v>
      </c>
      <c r="I1138" s="695">
        <v>229</v>
      </c>
      <c r="J1138" s="695" t="s">
        <v>4818</v>
      </c>
      <c r="K1138" s="695" t="s">
        <v>3907</v>
      </c>
      <c r="L1138" s="696">
        <v>1</v>
      </c>
      <c r="M1138" s="170"/>
    </row>
    <row r="1139" spans="2:13" x14ac:dyDescent="0.2">
      <c r="B1139" s="173"/>
      <c r="C1139" s="694">
        <v>1</v>
      </c>
      <c r="D1139" s="695" t="s">
        <v>3903</v>
      </c>
      <c r="E1139" s="695">
        <v>2</v>
      </c>
      <c r="F1139" s="695" t="s">
        <v>4605</v>
      </c>
      <c r="G1139" s="695">
        <v>1</v>
      </c>
      <c r="H1139" s="695" t="s">
        <v>4605</v>
      </c>
      <c r="I1139" s="695">
        <v>230</v>
      </c>
      <c r="J1139" s="695" t="s">
        <v>4819</v>
      </c>
      <c r="K1139" s="695" t="s">
        <v>3907</v>
      </c>
      <c r="L1139" s="696">
        <v>2</v>
      </c>
      <c r="M1139" s="170"/>
    </row>
    <row r="1140" spans="2:13" x14ac:dyDescent="0.2">
      <c r="B1140" s="173"/>
      <c r="C1140" s="694">
        <v>1</v>
      </c>
      <c r="D1140" s="695" t="s">
        <v>3903</v>
      </c>
      <c r="E1140" s="695">
        <v>2</v>
      </c>
      <c r="F1140" s="695" t="s">
        <v>4605</v>
      </c>
      <c r="G1140" s="695">
        <v>1</v>
      </c>
      <c r="H1140" s="695" t="s">
        <v>4605</v>
      </c>
      <c r="I1140" s="695">
        <v>231</v>
      </c>
      <c r="J1140" s="695" t="s">
        <v>4820</v>
      </c>
      <c r="K1140" s="695" t="s">
        <v>3907</v>
      </c>
      <c r="L1140" s="696">
        <v>4</v>
      </c>
      <c r="M1140" s="170"/>
    </row>
    <row r="1141" spans="2:13" x14ac:dyDescent="0.2">
      <c r="B1141" s="173"/>
      <c r="C1141" s="694">
        <v>1</v>
      </c>
      <c r="D1141" s="695" t="s">
        <v>3903</v>
      </c>
      <c r="E1141" s="695">
        <v>2</v>
      </c>
      <c r="F1141" s="695" t="s">
        <v>4605</v>
      </c>
      <c r="G1141" s="695">
        <v>1</v>
      </c>
      <c r="H1141" s="695" t="s">
        <v>4605</v>
      </c>
      <c r="I1141" s="695">
        <v>232</v>
      </c>
      <c r="J1141" s="695" t="s">
        <v>4821</v>
      </c>
      <c r="K1141" s="695" t="s">
        <v>3907</v>
      </c>
      <c r="L1141" s="696">
        <v>3</v>
      </c>
      <c r="M1141" s="170"/>
    </row>
    <row r="1142" spans="2:13" x14ac:dyDescent="0.2">
      <c r="B1142" s="173"/>
      <c r="C1142" s="694">
        <v>1</v>
      </c>
      <c r="D1142" s="695" t="s">
        <v>3903</v>
      </c>
      <c r="E1142" s="695">
        <v>2</v>
      </c>
      <c r="F1142" s="695" t="s">
        <v>4605</v>
      </c>
      <c r="G1142" s="695">
        <v>1</v>
      </c>
      <c r="H1142" s="695" t="s">
        <v>4605</v>
      </c>
      <c r="I1142" s="695">
        <v>233</v>
      </c>
      <c r="J1142" s="695" t="s">
        <v>8738</v>
      </c>
      <c r="K1142" s="695" t="s">
        <v>4057</v>
      </c>
      <c r="L1142" s="696">
        <v>2</v>
      </c>
      <c r="M1142" s="170"/>
    </row>
    <row r="1143" spans="2:13" x14ac:dyDescent="0.2">
      <c r="B1143" s="173"/>
      <c r="C1143" s="694">
        <v>1</v>
      </c>
      <c r="D1143" s="695" t="s">
        <v>3903</v>
      </c>
      <c r="E1143" s="695">
        <v>2</v>
      </c>
      <c r="F1143" s="695" t="s">
        <v>4605</v>
      </c>
      <c r="G1143" s="695">
        <v>1</v>
      </c>
      <c r="H1143" s="695" t="s">
        <v>4605</v>
      </c>
      <c r="I1143" s="695">
        <v>234</v>
      </c>
      <c r="J1143" s="695" t="s">
        <v>8739</v>
      </c>
      <c r="K1143" s="695" t="s">
        <v>3907</v>
      </c>
      <c r="L1143" s="696">
        <v>3</v>
      </c>
      <c r="M1143" s="170"/>
    </row>
    <row r="1144" spans="2:13" x14ac:dyDescent="0.2">
      <c r="B1144" s="173"/>
      <c r="C1144" s="694">
        <v>1</v>
      </c>
      <c r="D1144" s="695" t="s">
        <v>3903</v>
      </c>
      <c r="E1144" s="695">
        <v>2</v>
      </c>
      <c r="F1144" s="695" t="s">
        <v>4605</v>
      </c>
      <c r="G1144" s="695">
        <v>1</v>
      </c>
      <c r="H1144" s="695" t="s">
        <v>4605</v>
      </c>
      <c r="I1144" s="695">
        <v>235</v>
      </c>
      <c r="J1144" s="695" t="s">
        <v>8740</v>
      </c>
      <c r="K1144" s="695" t="s">
        <v>3907</v>
      </c>
      <c r="L1144" s="696">
        <v>3</v>
      </c>
      <c r="M1144" s="170"/>
    </row>
    <row r="1145" spans="2:13" x14ac:dyDescent="0.2">
      <c r="B1145" s="173"/>
      <c r="C1145" s="694">
        <v>1</v>
      </c>
      <c r="D1145" s="695" t="s">
        <v>3903</v>
      </c>
      <c r="E1145" s="695">
        <v>2</v>
      </c>
      <c r="F1145" s="695" t="s">
        <v>4605</v>
      </c>
      <c r="G1145" s="695">
        <v>1</v>
      </c>
      <c r="H1145" s="695" t="s">
        <v>4605</v>
      </c>
      <c r="I1145" s="695">
        <v>236</v>
      </c>
      <c r="J1145" s="695" t="s">
        <v>8741</v>
      </c>
      <c r="K1145" s="695" t="s">
        <v>3985</v>
      </c>
      <c r="L1145" s="696">
        <v>6</v>
      </c>
      <c r="M1145" s="170"/>
    </row>
    <row r="1146" spans="2:13" x14ac:dyDescent="0.2">
      <c r="B1146" s="173"/>
      <c r="C1146" s="694">
        <v>1</v>
      </c>
      <c r="D1146" s="695" t="s">
        <v>3903</v>
      </c>
      <c r="E1146" s="695">
        <v>2</v>
      </c>
      <c r="F1146" s="695" t="s">
        <v>4605</v>
      </c>
      <c r="G1146" s="695">
        <v>1</v>
      </c>
      <c r="H1146" s="695" t="s">
        <v>4605</v>
      </c>
      <c r="I1146" s="695">
        <v>237</v>
      </c>
      <c r="J1146" s="695" t="s">
        <v>8742</v>
      </c>
      <c r="K1146" s="695" t="s">
        <v>8544</v>
      </c>
      <c r="L1146" s="696">
        <v>5</v>
      </c>
      <c r="M1146" s="170"/>
    </row>
    <row r="1147" spans="2:13" x14ac:dyDescent="0.2">
      <c r="B1147" s="173"/>
      <c r="C1147" s="694">
        <v>1</v>
      </c>
      <c r="D1147" s="695" t="s">
        <v>3903</v>
      </c>
      <c r="E1147" s="695">
        <v>2</v>
      </c>
      <c r="F1147" s="695" t="s">
        <v>4605</v>
      </c>
      <c r="G1147" s="695">
        <v>1</v>
      </c>
      <c r="H1147" s="695" t="s">
        <v>4605</v>
      </c>
      <c r="I1147" s="695">
        <v>238</v>
      </c>
      <c r="J1147" s="695" t="s">
        <v>8743</v>
      </c>
      <c r="K1147" s="695" t="s">
        <v>3907</v>
      </c>
      <c r="L1147" s="696">
        <v>1</v>
      </c>
      <c r="M1147" s="170"/>
    </row>
    <row r="1148" spans="2:13" x14ac:dyDescent="0.2">
      <c r="B1148" s="173"/>
      <c r="C1148" s="694">
        <v>1</v>
      </c>
      <c r="D1148" s="695" t="s">
        <v>3903</v>
      </c>
      <c r="E1148" s="695">
        <v>2</v>
      </c>
      <c r="F1148" s="695" t="s">
        <v>4605</v>
      </c>
      <c r="G1148" s="695">
        <v>1</v>
      </c>
      <c r="H1148" s="695" t="s">
        <v>4605</v>
      </c>
      <c r="I1148" s="695">
        <v>239</v>
      </c>
      <c r="J1148" s="695" t="s">
        <v>8744</v>
      </c>
      <c r="K1148" s="695" t="s">
        <v>4057</v>
      </c>
      <c r="L1148" s="696">
        <v>0</v>
      </c>
      <c r="M1148" s="170"/>
    </row>
    <row r="1149" spans="2:13" x14ac:dyDescent="0.2">
      <c r="B1149" s="173"/>
      <c r="C1149" s="694">
        <v>1</v>
      </c>
      <c r="D1149" s="695" t="s">
        <v>3903</v>
      </c>
      <c r="E1149" s="695">
        <v>2</v>
      </c>
      <c r="F1149" s="695" t="s">
        <v>4605</v>
      </c>
      <c r="G1149" s="695">
        <v>1</v>
      </c>
      <c r="H1149" s="695" t="s">
        <v>4605</v>
      </c>
      <c r="I1149" s="695">
        <v>240</v>
      </c>
      <c r="J1149" s="695" t="s">
        <v>8745</v>
      </c>
      <c r="K1149" s="695" t="s">
        <v>3907</v>
      </c>
      <c r="L1149" s="696">
        <v>2</v>
      </c>
      <c r="M1149" s="170"/>
    </row>
    <row r="1150" spans="2:13" x14ac:dyDescent="0.2">
      <c r="B1150" s="173"/>
      <c r="C1150" s="694">
        <v>1</v>
      </c>
      <c r="D1150" s="695" t="s">
        <v>3903</v>
      </c>
      <c r="E1150" s="695">
        <v>2</v>
      </c>
      <c r="F1150" s="695" t="s">
        <v>4605</v>
      </c>
      <c r="G1150" s="695">
        <v>1</v>
      </c>
      <c r="H1150" s="695" t="s">
        <v>4605</v>
      </c>
      <c r="I1150" s="695">
        <v>241</v>
      </c>
      <c r="J1150" s="695" t="s">
        <v>8746</v>
      </c>
      <c r="K1150" s="695" t="s">
        <v>3907</v>
      </c>
      <c r="L1150" s="696">
        <v>2</v>
      </c>
      <c r="M1150" s="170"/>
    </row>
    <row r="1151" spans="2:13" x14ac:dyDescent="0.2">
      <c r="B1151" s="173"/>
      <c r="C1151" s="694">
        <v>1</v>
      </c>
      <c r="D1151" s="695" t="s">
        <v>3903</v>
      </c>
      <c r="E1151" s="695">
        <v>2</v>
      </c>
      <c r="F1151" s="695" t="s">
        <v>4605</v>
      </c>
      <c r="G1151" s="695">
        <v>1</v>
      </c>
      <c r="H1151" s="695" t="s">
        <v>4605</v>
      </c>
      <c r="I1151" s="695">
        <v>242</v>
      </c>
      <c r="J1151" s="695" t="s">
        <v>8747</v>
      </c>
      <c r="K1151" s="695" t="s">
        <v>3907</v>
      </c>
      <c r="L1151" s="696">
        <v>2</v>
      </c>
      <c r="M1151" s="170"/>
    </row>
    <row r="1152" spans="2:13" x14ac:dyDescent="0.2">
      <c r="B1152" s="173"/>
      <c r="C1152" s="694">
        <v>1</v>
      </c>
      <c r="D1152" s="695" t="s">
        <v>3903</v>
      </c>
      <c r="E1152" s="695">
        <v>2</v>
      </c>
      <c r="F1152" s="695" t="s">
        <v>4605</v>
      </c>
      <c r="G1152" s="695">
        <v>1</v>
      </c>
      <c r="H1152" s="695" t="s">
        <v>4605</v>
      </c>
      <c r="I1152" s="695">
        <v>243</v>
      </c>
      <c r="J1152" s="695" t="s">
        <v>8748</v>
      </c>
      <c r="K1152" s="695" t="s">
        <v>8544</v>
      </c>
      <c r="L1152" s="696">
        <v>13</v>
      </c>
      <c r="M1152" s="170"/>
    </row>
    <row r="1153" spans="2:13" x14ac:dyDescent="0.2">
      <c r="B1153" s="173"/>
      <c r="C1153" s="694">
        <v>1</v>
      </c>
      <c r="D1153" s="695" t="s">
        <v>3903</v>
      </c>
      <c r="E1153" s="695">
        <v>2</v>
      </c>
      <c r="F1153" s="695" t="s">
        <v>4605</v>
      </c>
      <c r="G1153" s="695">
        <v>1</v>
      </c>
      <c r="H1153" s="695" t="s">
        <v>4605</v>
      </c>
      <c r="I1153" s="695">
        <v>244</v>
      </c>
      <c r="J1153" s="695" t="s">
        <v>8749</v>
      </c>
      <c r="K1153" s="695" t="s">
        <v>3907</v>
      </c>
      <c r="L1153" s="696">
        <v>57</v>
      </c>
      <c r="M1153" s="170"/>
    </row>
    <row r="1154" spans="2:13" x14ac:dyDescent="0.2">
      <c r="B1154" s="173"/>
      <c r="C1154" s="694">
        <v>1</v>
      </c>
      <c r="D1154" s="695" t="s">
        <v>3903</v>
      </c>
      <c r="E1154" s="695">
        <v>2</v>
      </c>
      <c r="F1154" s="695" t="s">
        <v>4605</v>
      </c>
      <c r="G1154" s="695">
        <v>1</v>
      </c>
      <c r="H1154" s="695" t="s">
        <v>4605</v>
      </c>
      <c r="I1154" s="695">
        <v>245</v>
      </c>
      <c r="J1154" s="695" t="s">
        <v>8750</v>
      </c>
      <c r="K1154" s="695" t="s">
        <v>4057</v>
      </c>
      <c r="L1154" s="696">
        <v>2</v>
      </c>
      <c r="M1154" s="170"/>
    </row>
    <row r="1155" spans="2:13" x14ac:dyDescent="0.2">
      <c r="B1155" s="173"/>
      <c r="C1155" s="694">
        <v>1</v>
      </c>
      <c r="D1155" s="695" t="s">
        <v>3903</v>
      </c>
      <c r="E1155" s="695">
        <v>2</v>
      </c>
      <c r="F1155" s="695" t="s">
        <v>4605</v>
      </c>
      <c r="G1155" s="695">
        <v>1</v>
      </c>
      <c r="H1155" s="695" t="s">
        <v>4605</v>
      </c>
      <c r="I1155" s="695">
        <v>246</v>
      </c>
      <c r="J1155" s="695" t="s">
        <v>8751</v>
      </c>
      <c r="K1155" s="695" t="s">
        <v>8544</v>
      </c>
      <c r="L1155" s="696">
        <v>0</v>
      </c>
      <c r="M1155" s="170"/>
    </row>
    <row r="1156" spans="2:13" x14ac:dyDescent="0.2">
      <c r="B1156" s="173"/>
      <c r="C1156" s="694">
        <v>1</v>
      </c>
      <c r="D1156" s="695" t="s">
        <v>3903</v>
      </c>
      <c r="E1156" s="695">
        <v>2</v>
      </c>
      <c r="F1156" s="695" t="s">
        <v>4605</v>
      </c>
      <c r="G1156" s="695">
        <v>1</v>
      </c>
      <c r="H1156" s="695" t="s">
        <v>4605</v>
      </c>
      <c r="I1156" s="695">
        <v>247</v>
      </c>
      <c r="J1156" s="695" t="s">
        <v>8752</v>
      </c>
      <c r="K1156" s="695" t="s">
        <v>8544</v>
      </c>
      <c r="L1156" s="696">
        <v>1</v>
      </c>
      <c r="M1156" s="170"/>
    </row>
    <row r="1157" spans="2:13" x14ac:dyDescent="0.2">
      <c r="B1157" s="173"/>
      <c r="C1157" s="694">
        <v>1</v>
      </c>
      <c r="D1157" s="695" t="s">
        <v>3903</v>
      </c>
      <c r="E1157" s="695">
        <v>2</v>
      </c>
      <c r="F1157" s="695" t="s">
        <v>4605</v>
      </c>
      <c r="G1157" s="695">
        <v>1</v>
      </c>
      <c r="H1157" s="695" t="s">
        <v>4605</v>
      </c>
      <c r="I1157" s="695">
        <v>248</v>
      </c>
      <c r="J1157" s="695" t="s">
        <v>8753</v>
      </c>
      <c r="K1157" s="695" t="s">
        <v>3907</v>
      </c>
      <c r="L1157" s="696">
        <v>2</v>
      </c>
      <c r="M1157" s="170"/>
    </row>
    <row r="1158" spans="2:13" x14ac:dyDescent="0.2">
      <c r="B1158" s="173"/>
      <c r="C1158" s="694">
        <v>1</v>
      </c>
      <c r="D1158" s="695" t="s">
        <v>3903</v>
      </c>
      <c r="E1158" s="695">
        <v>2</v>
      </c>
      <c r="F1158" s="695" t="s">
        <v>4605</v>
      </c>
      <c r="G1158" s="695">
        <v>1</v>
      </c>
      <c r="H1158" s="695" t="s">
        <v>4605</v>
      </c>
      <c r="I1158" s="695">
        <v>249</v>
      </c>
      <c r="J1158" s="695" t="s">
        <v>8754</v>
      </c>
      <c r="K1158" s="695" t="s">
        <v>8544</v>
      </c>
      <c r="L1158" s="696">
        <v>2</v>
      </c>
      <c r="M1158" s="170"/>
    </row>
    <row r="1159" spans="2:13" x14ac:dyDescent="0.2">
      <c r="B1159" s="173"/>
      <c r="C1159" s="694">
        <v>1</v>
      </c>
      <c r="D1159" s="695" t="s">
        <v>3903</v>
      </c>
      <c r="E1159" s="695">
        <v>2</v>
      </c>
      <c r="F1159" s="695" t="s">
        <v>4605</v>
      </c>
      <c r="G1159" s="695">
        <v>1</v>
      </c>
      <c r="H1159" s="695" t="s">
        <v>4605</v>
      </c>
      <c r="I1159" s="695">
        <v>250</v>
      </c>
      <c r="J1159" s="695" t="s">
        <v>8755</v>
      </c>
      <c r="K1159" s="695" t="s">
        <v>8544</v>
      </c>
      <c r="L1159" s="696">
        <v>2</v>
      </c>
      <c r="M1159" s="170"/>
    </row>
    <row r="1160" spans="2:13" x14ac:dyDescent="0.2">
      <c r="B1160" s="173"/>
      <c r="C1160" s="694">
        <v>1</v>
      </c>
      <c r="D1160" s="695" t="s">
        <v>3903</v>
      </c>
      <c r="E1160" s="695">
        <v>2</v>
      </c>
      <c r="F1160" s="695" t="s">
        <v>4605</v>
      </c>
      <c r="G1160" s="695">
        <v>1</v>
      </c>
      <c r="H1160" s="695" t="s">
        <v>4605</v>
      </c>
      <c r="I1160" s="695">
        <v>251</v>
      </c>
      <c r="J1160" s="695" t="s">
        <v>8756</v>
      </c>
      <c r="K1160" s="695" t="s">
        <v>3985</v>
      </c>
      <c r="L1160" s="696">
        <v>2</v>
      </c>
      <c r="M1160" s="170"/>
    </row>
    <row r="1161" spans="2:13" x14ac:dyDescent="0.2">
      <c r="B1161" s="173"/>
      <c r="C1161" s="694">
        <v>1</v>
      </c>
      <c r="D1161" s="695" t="s">
        <v>3903</v>
      </c>
      <c r="E1161" s="695">
        <v>2</v>
      </c>
      <c r="F1161" s="695" t="s">
        <v>4605</v>
      </c>
      <c r="G1161" s="695">
        <v>1</v>
      </c>
      <c r="H1161" s="695" t="s">
        <v>4605</v>
      </c>
      <c r="I1161" s="695">
        <v>252</v>
      </c>
      <c r="J1161" s="695" t="s">
        <v>8757</v>
      </c>
      <c r="K1161" s="695" t="s">
        <v>8544</v>
      </c>
      <c r="L1161" s="696">
        <v>0</v>
      </c>
      <c r="M1161" s="170"/>
    </row>
    <row r="1162" spans="2:13" x14ac:dyDescent="0.2">
      <c r="B1162" s="173"/>
      <c r="C1162" s="694">
        <v>1</v>
      </c>
      <c r="D1162" s="695" t="s">
        <v>3903</v>
      </c>
      <c r="E1162" s="695">
        <v>2</v>
      </c>
      <c r="F1162" s="695" t="s">
        <v>4605</v>
      </c>
      <c r="G1162" s="695">
        <v>1</v>
      </c>
      <c r="H1162" s="695" t="s">
        <v>4605</v>
      </c>
      <c r="I1162" s="695">
        <v>253</v>
      </c>
      <c r="J1162" s="695" t="s">
        <v>8758</v>
      </c>
      <c r="K1162" s="695" t="s">
        <v>8544</v>
      </c>
      <c r="L1162" s="696">
        <v>0</v>
      </c>
      <c r="M1162" s="170"/>
    </row>
    <row r="1163" spans="2:13" x14ac:dyDescent="0.2">
      <c r="B1163" s="173"/>
      <c r="C1163" s="694">
        <v>1</v>
      </c>
      <c r="D1163" s="695" t="s">
        <v>3903</v>
      </c>
      <c r="E1163" s="695">
        <v>2</v>
      </c>
      <c r="F1163" s="695" t="s">
        <v>4605</v>
      </c>
      <c r="G1163" s="695">
        <v>1</v>
      </c>
      <c r="H1163" s="695" t="s">
        <v>4605</v>
      </c>
      <c r="I1163" s="695">
        <v>254</v>
      </c>
      <c r="J1163" s="695" t="s">
        <v>8759</v>
      </c>
      <c r="K1163" s="695" t="s">
        <v>8544</v>
      </c>
      <c r="L1163" s="696">
        <v>0</v>
      </c>
      <c r="M1163" s="170"/>
    </row>
    <row r="1164" spans="2:13" x14ac:dyDescent="0.2">
      <c r="B1164" s="173"/>
      <c r="C1164" s="694">
        <v>1</v>
      </c>
      <c r="D1164" s="695" t="s">
        <v>3903</v>
      </c>
      <c r="E1164" s="695">
        <v>3</v>
      </c>
      <c r="F1164" s="695" t="s">
        <v>4822</v>
      </c>
      <c r="G1164" s="695">
        <v>1</v>
      </c>
      <c r="H1164" s="695" t="s">
        <v>4823</v>
      </c>
      <c r="I1164" s="695">
        <v>1</v>
      </c>
      <c r="J1164" s="695" t="s">
        <v>4824</v>
      </c>
      <c r="K1164" s="695" t="s">
        <v>3907</v>
      </c>
      <c r="L1164" s="696">
        <v>80</v>
      </c>
      <c r="M1164" s="170"/>
    </row>
    <row r="1165" spans="2:13" x14ac:dyDescent="0.2">
      <c r="B1165" s="173"/>
      <c r="C1165" s="694">
        <v>1</v>
      </c>
      <c r="D1165" s="695" t="s">
        <v>3903</v>
      </c>
      <c r="E1165" s="695">
        <v>3</v>
      </c>
      <c r="F1165" s="695" t="s">
        <v>4822</v>
      </c>
      <c r="G1165" s="695">
        <v>1</v>
      </c>
      <c r="H1165" s="695" t="s">
        <v>4823</v>
      </c>
      <c r="I1165" s="695">
        <v>2</v>
      </c>
      <c r="J1165" s="695" t="s">
        <v>4825</v>
      </c>
      <c r="K1165" s="695" t="s">
        <v>3907</v>
      </c>
      <c r="L1165" s="696">
        <v>5</v>
      </c>
      <c r="M1165" s="170"/>
    </row>
    <row r="1166" spans="2:13" x14ac:dyDescent="0.2">
      <c r="B1166" s="173"/>
      <c r="C1166" s="694">
        <v>1</v>
      </c>
      <c r="D1166" s="695" t="s">
        <v>3903</v>
      </c>
      <c r="E1166" s="695">
        <v>3</v>
      </c>
      <c r="F1166" s="695" t="s">
        <v>4822</v>
      </c>
      <c r="G1166" s="695">
        <v>1</v>
      </c>
      <c r="H1166" s="695" t="s">
        <v>4823</v>
      </c>
      <c r="I1166" s="695">
        <v>3</v>
      </c>
      <c r="J1166" s="695" t="s">
        <v>4826</v>
      </c>
      <c r="K1166" s="695" t="s">
        <v>3907</v>
      </c>
      <c r="L1166" s="696">
        <v>3</v>
      </c>
      <c r="M1166" s="170"/>
    </row>
    <row r="1167" spans="2:13" x14ac:dyDescent="0.2">
      <c r="B1167" s="173"/>
      <c r="C1167" s="694">
        <v>1</v>
      </c>
      <c r="D1167" s="695" t="s">
        <v>3903</v>
      </c>
      <c r="E1167" s="695">
        <v>3</v>
      </c>
      <c r="F1167" s="695" t="s">
        <v>4822</v>
      </c>
      <c r="G1167" s="695">
        <v>1</v>
      </c>
      <c r="H1167" s="695" t="s">
        <v>4823</v>
      </c>
      <c r="I1167" s="695">
        <v>4</v>
      </c>
      <c r="J1167" s="695" t="s">
        <v>4827</v>
      </c>
      <c r="K1167" s="695" t="s">
        <v>3907</v>
      </c>
      <c r="L1167" s="696">
        <v>83</v>
      </c>
      <c r="M1167" s="170"/>
    </row>
    <row r="1168" spans="2:13" x14ac:dyDescent="0.2">
      <c r="B1168" s="173"/>
      <c r="C1168" s="694">
        <v>1</v>
      </c>
      <c r="D1168" s="695" t="s">
        <v>3903</v>
      </c>
      <c r="E1168" s="695">
        <v>3</v>
      </c>
      <c r="F1168" s="695" t="s">
        <v>4822</v>
      </c>
      <c r="G1168" s="695">
        <v>1</v>
      </c>
      <c r="H1168" s="695" t="s">
        <v>4823</v>
      </c>
      <c r="I1168" s="695">
        <v>5</v>
      </c>
      <c r="J1168" s="695" t="s">
        <v>4828</v>
      </c>
      <c r="K1168" s="695" t="s">
        <v>3907</v>
      </c>
      <c r="L1168" s="696">
        <v>48</v>
      </c>
      <c r="M1168" s="170"/>
    </row>
    <row r="1169" spans="2:13" x14ac:dyDescent="0.2">
      <c r="B1169" s="173"/>
      <c r="C1169" s="694">
        <v>1</v>
      </c>
      <c r="D1169" s="695" t="s">
        <v>3903</v>
      </c>
      <c r="E1169" s="695">
        <v>3</v>
      </c>
      <c r="F1169" s="695" t="s">
        <v>4822</v>
      </c>
      <c r="G1169" s="695">
        <v>1</v>
      </c>
      <c r="H1169" s="695" t="s">
        <v>4823</v>
      </c>
      <c r="I1169" s="695">
        <v>6</v>
      </c>
      <c r="J1169" s="695" t="s">
        <v>4829</v>
      </c>
      <c r="K1169" s="695" t="s">
        <v>3907</v>
      </c>
      <c r="L1169" s="696">
        <v>1</v>
      </c>
      <c r="M1169" s="170"/>
    </row>
    <row r="1170" spans="2:13" x14ac:dyDescent="0.2">
      <c r="B1170" s="173"/>
      <c r="C1170" s="694">
        <v>1</v>
      </c>
      <c r="D1170" s="695" t="s">
        <v>3903</v>
      </c>
      <c r="E1170" s="695">
        <v>3</v>
      </c>
      <c r="F1170" s="695" t="s">
        <v>4822</v>
      </c>
      <c r="G1170" s="695">
        <v>1</v>
      </c>
      <c r="H1170" s="695" t="s">
        <v>4823</v>
      </c>
      <c r="I1170" s="695">
        <v>7</v>
      </c>
      <c r="J1170" s="695" t="s">
        <v>4830</v>
      </c>
      <c r="K1170" s="695" t="s">
        <v>3907</v>
      </c>
      <c r="L1170" s="696">
        <v>12</v>
      </c>
      <c r="M1170" s="170"/>
    </row>
    <row r="1171" spans="2:13" x14ac:dyDescent="0.2">
      <c r="B1171" s="173"/>
      <c r="C1171" s="694">
        <v>1</v>
      </c>
      <c r="D1171" s="695" t="s">
        <v>3903</v>
      </c>
      <c r="E1171" s="695">
        <v>3</v>
      </c>
      <c r="F1171" s="695" t="s">
        <v>4822</v>
      </c>
      <c r="G1171" s="695">
        <v>1</v>
      </c>
      <c r="H1171" s="695" t="s">
        <v>4823</v>
      </c>
      <c r="I1171" s="695">
        <v>8</v>
      </c>
      <c r="J1171" s="695" t="s">
        <v>4831</v>
      </c>
      <c r="K1171" s="695" t="s">
        <v>3907</v>
      </c>
      <c r="L1171" s="696">
        <v>3</v>
      </c>
      <c r="M1171" s="170"/>
    </row>
    <row r="1172" spans="2:13" x14ac:dyDescent="0.2">
      <c r="B1172" s="173"/>
      <c r="C1172" s="694">
        <v>1</v>
      </c>
      <c r="D1172" s="695" t="s">
        <v>3903</v>
      </c>
      <c r="E1172" s="695">
        <v>3</v>
      </c>
      <c r="F1172" s="695" t="s">
        <v>4822</v>
      </c>
      <c r="G1172" s="695">
        <v>1</v>
      </c>
      <c r="H1172" s="695" t="s">
        <v>4823</v>
      </c>
      <c r="I1172" s="695">
        <v>9</v>
      </c>
      <c r="J1172" s="695" t="s">
        <v>4832</v>
      </c>
      <c r="K1172" s="695" t="s">
        <v>3907</v>
      </c>
      <c r="L1172" s="696">
        <v>4</v>
      </c>
      <c r="M1172" s="170"/>
    </row>
    <row r="1173" spans="2:13" x14ac:dyDescent="0.2">
      <c r="B1173" s="173"/>
      <c r="C1173" s="694">
        <v>1</v>
      </c>
      <c r="D1173" s="695" t="s">
        <v>3903</v>
      </c>
      <c r="E1173" s="695">
        <v>3</v>
      </c>
      <c r="F1173" s="695" t="s">
        <v>4822</v>
      </c>
      <c r="G1173" s="695">
        <v>1</v>
      </c>
      <c r="H1173" s="695" t="s">
        <v>4823</v>
      </c>
      <c r="I1173" s="695">
        <v>10</v>
      </c>
      <c r="J1173" s="695" t="s">
        <v>4833</v>
      </c>
      <c r="K1173" s="695" t="s">
        <v>3907</v>
      </c>
      <c r="L1173" s="696">
        <v>77</v>
      </c>
      <c r="M1173" s="170"/>
    </row>
    <row r="1174" spans="2:13" x14ac:dyDescent="0.2">
      <c r="B1174" s="173"/>
      <c r="C1174" s="694">
        <v>1</v>
      </c>
      <c r="D1174" s="695" t="s">
        <v>3903</v>
      </c>
      <c r="E1174" s="695">
        <v>3</v>
      </c>
      <c r="F1174" s="695" t="s">
        <v>4822</v>
      </c>
      <c r="G1174" s="695">
        <v>1</v>
      </c>
      <c r="H1174" s="695" t="s">
        <v>4823</v>
      </c>
      <c r="I1174" s="695">
        <v>11</v>
      </c>
      <c r="J1174" s="695" t="s">
        <v>4834</v>
      </c>
      <c r="K1174" s="695" t="s">
        <v>3907</v>
      </c>
      <c r="L1174" s="696">
        <v>149</v>
      </c>
      <c r="M1174" s="170"/>
    </row>
    <row r="1175" spans="2:13" x14ac:dyDescent="0.2">
      <c r="B1175" s="173"/>
      <c r="C1175" s="694">
        <v>1</v>
      </c>
      <c r="D1175" s="695" t="s">
        <v>3903</v>
      </c>
      <c r="E1175" s="695">
        <v>3</v>
      </c>
      <c r="F1175" s="695" t="s">
        <v>4822</v>
      </c>
      <c r="G1175" s="695">
        <v>1</v>
      </c>
      <c r="H1175" s="695" t="s">
        <v>4823</v>
      </c>
      <c r="I1175" s="695">
        <v>12</v>
      </c>
      <c r="J1175" s="695" t="s">
        <v>4835</v>
      </c>
      <c r="K1175" s="695" t="s">
        <v>3907</v>
      </c>
      <c r="L1175" s="696">
        <v>1276</v>
      </c>
      <c r="M1175" s="170"/>
    </row>
    <row r="1176" spans="2:13" x14ac:dyDescent="0.2">
      <c r="B1176" s="173"/>
      <c r="C1176" s="694">
        <v>1</v>
      </c>
      <c r="D1176" s="695" t="s">
        <v>3903</v>
      </c>
      <c r="E1176" s="695">
        <v>3</v>
      </c>
      <c r="F1176" s="695" t="s">
        <v>4822</v>
      </c>
      <c r="G1176" s="695">
        <v>1</v>
      </c>
      <c r="H1176" s="695" t="s">
        <v>4823</v>
      </c>
      <c r="I1176" s="695">
        <v>13</v>
      </c>
      <c r="J1176" s="695" t="s">
        <v>4836</v>
      </c>
      <c r="K1176" s="695" t="s">
        <v>3907</v>
      </c>
      <c r="L1176" s="696">
        <v>6</v>
      </c>
      <c r="M1176" s="170"/>
    </row>
    <row r="1177" spans="2:13" x14ac:dyDescent="0.2">
      <c r="B1177" s="173"/>
      <c r="C1177" s="694">
        <v>1</v>
      </c>
      <c r="D1177" s="695" t="s">
        <v>3903</v>
      </c>
      <c r="E1177" s="695">
        <v>3</v>
      </c>
      <c r="F1177" s="695" t="s">
        <v>4822</v>
      </c>
      <c r="G1177" s="695">
        <v>1</v>
      </c>
      <c r="H1177" s="695" t="s">
        <v>4823</v>
      </c>
      <c r="I1177" s="695">
        <v>14</v>
      </c>
      <c r="J1177" s="695" t="s">
        <v>4837</v>
      </c>
      <c r="K1177" s="695" t="s">
        <v>3907</v>
      </c>
      <c r="L1177" s="696">
        <v>2</v>
      </c>
      <c r="M1177" s="170"/>
    </row>
    <row r="1178" spans="2:13" x14ac:dyDescent="0.2">
      <c r="B1178" s="173"/>
      <c r="C1178" s="694">
        <v>1</v>
      </c>
      <c r="D1178" s="695" t="s">
        <v>3903</v>
      </c>
      <c r="E1178" s="695">
        <v>3</v>
      </c>
      <c r="F1178" s="695" t="s">
        <v>4822</v>
      </c>
      <c r="G1178" s="695">
        <v>1</v>
      </c>
      <c r="H1178" s="695" t="s">
        <v>4823</v>
      </c>
      <c r="I1178" s="695">
        <v>15</v>
      </c>
      <c r="J1178" s="695" t="s">
        <v>4838</v>
      </c>
      <c r="K1178" s="695" t="s">
        <v>3907</v>
      </c>
      <c r="L1178" s="696">
        <v>3</v>
      </c>
      <c r="M1178" s="170"/>
    </row>
    <row r="1179" spans="2:13" x14ac:dyDescent="0.2">
      <c r="B1179" s="173"/>
      <c r="C1179" s="694">
        <v>1</v>
      </c>
      <c r="D1179" s="695" t="s">
        <v>3903</v>
      </c>
      <c r="E1179" s="695">
        <v>3</v>
      </c>
      <c r="F1179" s="695" t="s">
        <v>4822</v>
      </c>
      <c r="G1179" s="695">
        <v>1</v>
      </c>
      <c r="H1179" s="695" t="s">
        <v>4823</v>
      </c>
      <c r="I1179" s="695">
        <v>16</v>
      </c>
      <c r="J1179" s="695" t="s">
        <v>4839</v>
      </c>
      <c r="K1179" s="695" t="s">
        <v>3907</v>
      </c>
      <c r="L1179" s="696">
        <v>882</v>
      </c>
      <c r="M1179" s="170"/>
    </row>
    <row r="1180" spans="2:13" x14ac:dyDescent="0.2">
      <c r="B1180" s="173"/>
      <c r="C1180" s="694">
        <v>1</v>
      </c>
      <c r="D1180" s="695" t="s">
        <v>3903</v>
      </c>
      <c r="E1180" s="695">
        <v>3</v>
      </c>
      <c r="F1180" s="695" t="s">
        <v>4822</v>
      </c>
      <c r="G1180" s="695">
        <v>1</v>
      </c>
      <c r="H1180" s="695" t="s">
        <v>4823</v>
      </c>
      <c r="I1180" s="695">
        <v>17</v>
      </c>
      <c r="J1180" s="695" t="s">
        <v>4840</v>
      </c>
      <c r="K1180" s="695" t="s">
        <v>3907</v>
      </c>
      <c r="L1180" s="696">
        <v>3</v>
      </c>
      <c r="M1180" s="170"/>
    </row>
    <row r="1181" spans="2:13" x14ac:dyDescent="0.2">
      <c r="B1181" s="173"/>
      <c r="C1181" s="694">
        <v>1</v>
      </c>
      <c r="D1181" s="695" t="s">
        <v>3903</v>
      </c>
      <c r="E1181" s="695">
        <v>3</v>
      </c>
      <c r="F1181" s="695" t="s">
        <v>4822</v>
      </c>
      <c r="G1181" s="695">
        <v>1</v>
      </c>
      <c r="H1181" s="695" t="s">
        <v>4823</v>
      </c>
      <c r="I1181" s="695">
        <v>18</v>
      </c>
      <c r="J1181" s="695" t="s">
        <v>4841</v>
      </c>
      <c r="K1181" s="695" t="s">
        <v>3907</v>
      </c>
      <c r="L1181" s="696">
        <v>18</v>
      </c>
      <c r="M1181" s="170"/>
    </row>
    <row r="1182" spans="2:13" x14ac:dyDescent="0.2">
      <c r="B1182" s="173"/>
      <c r="C1182" s="694">
        <v>1</v>
      </c>
      <c r="D1182" s="695" t="s">
        <v>3903</v>
      </c>
      <c r="E1182" s="695">
        <v>3</v>
      </c>
      <c r="F1182" s="695" t="s">
        <v>4822</v>
      </c>
      <c r="G1182" s="695">
        <v>1</v>
      </c>
      <c r="H1182" s="695" t="s">
        <v>4823</v>
      </c>
      <c r="I1182" s="695">
        <v>19</v>
      </c>
      <c r="J1182" s="695" t="s">
        <v>4842</v>
      </c>
      <c r="K1182" s="695" t="s">
        <v>3907</v>
      </c>
      <c r="L1182" s="696">
        <v>173</v>
      </c>
      <c r="M1182" s="170"/>
    </row>
    <row r="1183" spans="2:13" x14ac:dyDescent="0.2">
      <c r="B1183" s="173"/>
      <c r="C1183" s="694">
        <v>1</v>
      </c>
      <c r="D1183" s="695" t="s">
        <v>3903</v>
      </c>
      <c r="E1183" s="695">
        <v>3</v>
      </c>
      <c r="F1183" s="695" t="s">
        <v>4822</v>
      </c>
      <c r="G1183" s="695">
        <v>1</v>
      </c>
      <c r="H1183" s="695" t="s">
        <v>4823</v>
      </c>
      <c r="I1183" s="695">
        <v>20</v>
      </c>
      <c r="J1183" s="695" t="s">
        <v>4843</v>
      </c>
      <c r="K1183" s="695" t="s">
        <v>8544</v>
      </c>
      <c r="L1183" s="696">
        <v>9</v>
      </c>
      <c r="M1183" s="170"/>
    </row>
    <row r="1184" spans="2:13" x14ac:dyDescent="0.2">
      <c r="B1184" s="173"/>
      <c r="C1184" s="694">
        <v>1</v>
      </c>
      <c r="D1184" s="695" t="s">
        <v>3903</v>
      </c>
      <c r="E1184" s="695">
        <v>3</v>
      </c>
      <c r="F1184" s="695" t="s">
        <v>4822</v>
      </c>
      <c r="G1184" s="695">
        <v>1</v>
      </c>
      <c r="H1184" s="695" t="s">
        <v>4823</v>
      </c>
      <c r="I1184" s="695">
        <v>21</v>
      </c>
      <c r="J1184" s="695" t="s">
        <v>4844</v>
      </c>
      <c r="K1184" s="695" t="s">
        <v>4045</v>
      </c>
      <c r="L1184" s="696">
        <v>341</v>
      </c>
      <c r="M1184" s="170"/>
    </row>
    <row r="1185" spans="2:13" x14ac:dyDescent="0.2">
      <c r="B1185" s="173"/>
      <c r="C1185" s="694">
        <v>1</v>
      </c>
      <c r="D1185" s="695" t="s">
        <v>3903</v>
      </c>
      <c r="E1185" s="695">
        <v>3</v>
      </c>
      <c r="F1185" s="695" t="s">
        <v>4822</v>
      </c>
      <c r="G1185" s="695">
        <v>1</v>
      </c>
      <c r="H1185" s="695" t="s">
        <v>4823</v>
      </c>
      <c r="I1185" s="695">
        <v>22</v>
      </c>
      <c r="J1185" s="695" t="s">
        <v>4845</v>
      </c>
      <c r="K1185" s="695" t="s">
        <v>8544</v>
      </c>
      <c r="L1185" s="696">
        <v>1</v>
      </c>
      <c r="M1185" s="170"/>
    </row>
    <row r="1186" spans="2:13" x14ac:dyDescent="0.2">
      <c r="B1186" s="173"/>
      <c r="C1186" s="694">
        <v>1</v>
      </c>
      <c r="D1186" s="695" t="s">
        <v>3903</v>
      </c>
      <c r="E1186" s="695">
        <v>3</v>
      </c>
      <c r="F1186" s="695" t="s">
        <v>4822</v>
      </c>
      <c r="G1186" s="695">
        <v>1</v>
      </c>
      <c r="H1186" s="695" t="s">
        <v>4823</v>
      </c>
      <c r="I1186" s="695">
        <v>23</v>
      </c>
      <c r="J1186" s="695" t="s">
        <v>4846</v>
      </c>
      <c r="K1186" s="695" t="s">
        <v>8544</v>
      </c>
      <c r="L1186" s="696">
        <v>3</v>
      </c>
      <c r="M1186" s="170"/>
    </row>
    <row r="1187" spans="2:13" x14ac:dyDescent="0.2">
      <c r="B1187" s="173"/>
      <c r="C1187" s="694">
        <v>1</v>
      </c>
      <c r="D1187" s="695" t="s">
        <v>3903</v>
      </c>
      <c r="E1187" s="695">
        <v>3</v>
      </c>
      <c r="F1187" s="695" t="s">
        <v>4822</v>
      </c>
      <c r="G1187" s="695">
        <v>1</v>
      </c>
      <c r="H1187" s="695" t="s">
        <v>4823</v>
      </c>
      <c r="I1187" s="695">
        <v>24</v>
      </c>
      <c r="J1187" s="695" t="s">
        <v>4847</v>
      </c>
      <c r="K1187" s="695" t="s">
        <v>3907</v>
      </c>
      <c r="L1187" s="696">
        <v>45</v>
      </c>
      <c r="M1187" s="170"/>
    </row>
    <row r="1188" spans="2:13" x14ac:dyDescent="0.2">
      <c r="B1188" s="173"/>
      <c r="C1188" s="694">
        <v>1</v>
      </c>
      <c r="D1188" s="695" t="s">
        <v>3903</v>
      </c>
      <c r="E1188" s="695">
        <v>3</v>
      </c>
      <c r="F1188" s="695" t="s">
        <v>4822</v>
      </c>
      <c r="G1188" s="695">
        <v>1</v>
      </c>
      <c r="H1188" s="695" t="s">
        <v>4823</v>
      </c>
      <c r="I1188" s="695">
        <v>25</v>
      </c>
      <c r="J1188" s="695" t="s">
        <v>4848</v>
      </c>
      <c r="K1188" s="695" t="s">
        <v>4045</v>
      </c>
      <c r="L1188" s="696">
        <v>224</v>
      </c>
      <c r="M1188" s="170"/>
    </row>
    <row r="1189" spans="2:13" x14ac:dyDescent="0.2">
      <c r="B1189" s="173"/>
      <c r="C1189" s="694">
        <v>1</v>
      </c>
      <c r="D1189" s="695" t="s">
        <v>3903</v>
      </c>
      <c r="E1189" s="695">
        <v>3</v>
      </c>
      <c r="F1189" s="695" t="s">
        <v>4822</v>
      </c>
      <c r="G1189" s="695">
        <v>1</v>
      </c>
      <c r="H1189" s="695" t="s">
        <v>4823</v>
      </c>
      <c r="I1189" s="695">
        <v>26</v>
      </c>
      <c r="J1189" s="695" t="s">
        <v>4849</v>
      </c>
      <c r="K1189" s="695" t="s">
        <v>8544</v>
      </c>
      <c r="L1189" s="696">
        <v>12</v>
      </c>
      <c r="M1189" s="170"/>
    </row>
    <row r="1190" spans="2:13" x14ac:dyDescent="0.2">
      <c r="B1190" s="173"/>
      <c r="C1190" s="694">
        <v>1</v>
      </c>
      <c r="D1190" s="695" t="s">
        <v>3903</v>
      </c>
      <c r="E1190" s="695">
        <v>3</v>
      </c>
      <c r="F1190" s="695" t="s">
        <v>4822</v>
      </c>
      <c r="G1190" s="695">
        <v>1</v>
      </c>
      <c r="H1190" s="695" t="s">
        <v>4823</v>
      </c>
      <c r="I1190" s="695">
        <v>27</v>
      </c>
      <c r="J1190" s="695" t="s">
        <v>4850</v>
      </c>
      <c r="K1190" s="695" t="s">
        <v>8544</v>
      </c>
      <c r="L1190" s="696">
        <v>9</v>
      </c>
      <c r="M1190" s="170"/>
    </row>
    <row r="1191" spans="2:13" x14ac:dyDescent="0.2">
      <c r="B1191" s="173"/>
      <c r="C1191" s="694">
        <v>1</v>
      </c>
      <c r="D1191" s="695" t="s">
        <v>3903</v>
      </c>
      <c r="E1191" s="695">
        <v>3</v>
      </c>
      <c r="F1191" s="695" t="s">
        <v>4822</v>
      </c>
      <c r="G1191" s="695">
        <v>1</v>
      </c>
      <c r="H1191" s="695" t="s">
        <v>4823</v>
      </c>
      <c r="I1191" s="695">
        <v>28</v>
      </c>
      <c r="J1191" s="695" t="s">
        <v>4851</v>
      </c>
      <c r="K1191" s="695" t="s">
        <v>8544</v>
      </c>
      <c r="L1191" s="696">
        <v>0</v>
      </c>
      <c r="M1191" s="170"/>
    </row>
    <row r="1192" spans="2:13" x14ac:dyDescent="0.2">
      <c r="B1192" s="173"/>
      <c r="C1192" s="694">
        <v>1</v>
      </c>
      <c r="D1192" s="695" t="s">
        <v>3903</v>
      </c>
      <c r="E1192" s="695">
        <v>3</v>
      </c>
      <c r="F1192" s="695" t="s">
        <v>4822</v>
      </c>
      <c r="G1192" s="695">
        <v>1</v>
      </c>
      <c r="H1192" s="695" t="s">
        <v>4823</v>
      </c>
      <c r="I1192" s="695">
        <v>29</v>
      </c>
      <c r="J1192" s="695" t="s">
        <v>4852</v>
      </c>
      <c r="K1192" s="695" t="s">
        <v>8544</v>
      </c>
      <c r="L1192" s="696">
        <v>0</v>
      </c>
      <c r="M1192" s="170"/>
    </row>
    <row r="1193" spans="2:13" x14ac:dyDescent="0.2">
      <c r="B1193" s="173"/>
      <c r="C1193" s="694">
        <v>1</v>
      </c>
      <c r="D1193" s="695" t="s">
        <v>3903</v>
      </c>
      <c r="E1193" s="695">
        <v>3</v>
      </c>
      <c r="F1193" s="695" t="s">
        <v>4822</v>
      </c>
      <c r="G1193" s="695">
        <v>1</v>
      </c>
      <c r="H1193" s="695" t="s">
        <v>4823</v>
      </c>
      <c r="I1193" s="695">
        <v>30</v>
      </c>
      <c r="J1193" s="695" t="s">
        <v>4853</v>
      </c>
      <c r="K1193" s="695" t="s">
        <v>8544</v>
      </c>
      <c r="L1193" s="696">
        <v>12</v>
      </c>
      <c r="M1193" s="170"/>
    </row>
    <row r="1194" spans="2:13" x14ac:dyDescent="0.2">
      <c r="B1194" s="173"/>
      <c r="C1194" s="694">
        <v>1</v>
      </c>
      <c r="D1194" s="695" t="s">
        <v>3903</v>
      </c>
      <c r="E1194" s="695">
        <v>3</v>
      </c>
      <c r="F1194" s="695" t="s">
        <v>4822</v>
      </c>
      <c r="G1194" s="695">
        <v>1</v>
      </c>
      <c r="H1194" s="695" t="s">
        <v>4823</v>
      </c>
      <c r="I1194" s="695">
        <v>31</v>
      </c>
      <c r="J1194" s="695" t="s">
        <v>4854</v>
      </c>
      <c r="K1194" s="695" t="s">
        <v>8544</v>
      </c>
      <c r="L1194" s="696">
        <v>2</v>
      </c>
      <c r="M1194" s="170"/>
    </row>
    <row r="1195" spans="2:13" x14ac:dyDescent="0.2">
      <c r="B1195" s="173"/>
      <c r="C1195" s="694">
        <v>1</v>
      </c>
      <c r="D1195" s="695" t="s">
        <v>3903</v>
      </c>
      <c r="E1195" s="695">
        <v>3</v>
      </c>
      <c r="F1195" s="695" t="s">
        <v>4822</v>
      </c>
      <c r="G1195" s="695">
        <v>1</v>
      </c>
      <c r="H1195" s="695" t="s">
        <v>4823</v>
      </c>
      <c r="I1195" s="695">
        <v>32</v>
      </c>
      <c r="J1195" s="695" t="s">
        <v>4855</v>
      </c>
      <c r="K1195" s="695" t="s">
        <v>8544</v>
      </c>
      <c r="L1195" s="696">
        <v>2</v>
      </c>
      <c r="M1195" s="170"/>
    </row>
    <row r="1196" spans="2:13" x14ac:dyDescent="0.2">
      <c r="B1196" s="173"/>
      <c r="C1196" s="694">
        <v>1</v>
      </c>
      <c r="D1196" s="695" t="s">
        <v>3903</v>
      </c>
      <c r="E1196" s="695">
        <v>3</v>
      </c>
      <c r="F1196" s="695" t="s">
        <v>4822</v>
      </c>
      <c r="G1196" s="695">
        <v>1</v>
      </c>
      <c r="H1196" s="695" t="s">
        <v>4823</v>
      </c>
      <c r="I1196" s="695">
        <v>33</v>
      </c>
      <c r="J1196" s="695" t="s">
        <v>4856</v>
      </c>
      <c r="K1196" s="695" t="s">
        <v>8544</v>
      </c>
      <c r="L1196" s="696">
        <v>2</v>
      </c>
      <c r="M1196" s="170"/>
    </row>
    <row r="1197" spans="2:13" x14ac:dyDescent="0.2">
      <c r="B1197" s="173"/>
      <c r="C1197" s="694">
        <v>1</v>
      </c>
      <c r="D1197" s="695" t="s">
        <v>3903</v>
      </c>
      <c r="E1197" s="695">
        <v>3</v>
      </c>
      <c r="F1197" s="695" t="s">
        <v>4822</v>
      </c>
      <c r="G1197" s="695">
        <v>1</v>
      </c>
      <c r="H1197" s="695" t="s">
        <v>4823</v>
      </c>
      <c r="I1197" s="695">
        <v>34</v>
      </c>
      <c r="J1197" s="695" t="s">
        <v>4857</v>
      </c>
      <c r="K1197" s="695" t="s">
        <v>8544</v>
      </c>
      <c r="L1197" s="696">
        <v>6</v>
      </c>
      <c r="M1197" s="170"/>
    </row>
    <row r="1198" spans="2:13" x14ac:dyDescent="0.2">
      <c r="B1198" s="173"/>
      <c r="C1198" s="694">
        <v>1</v>
      </c>
      <c r="D1198" s="695" t="s">
        <v>3903</v>
      </c>
      <c r="E1198" s="695">
        <v>3</v>
      </c>
      <c r="F1198" s="695" t="s">
        <v>4822</v>
      </c>
      <c r="G1198" s="695">
        <v>1</v>
      </c>
      <c r="H1198" s="695" t="s">
        <v>4823</v>
      </c>
      <c r="I1198" s="695">
        <v>35</v>
      </c>
      <c r="J1198" s="695" t="s">
        <v>4858</v>
      </c>
      <c r="K1198" s="695" t="s">
        <v>8544</v>
      </c>
      <c r="L1198" s="696">
        <v>1</v>
      </c>
      <c r="M1198" s="170"/>
    </row>
    <row r="1199" spans="2:13" x14ac:dyDescent="0.2">
      <c r="B1199" s="173"/>
      <c r="C1199" s="694">
        <v>1</v>
      </c>
      <c r="D1199" s="695" t="s">
        <v>3903</v>
      </c>
      <c r="E1199" s="695">
        <v>3</v>
      </c>
      <c r="F1199" s="695" t="s">
        <v>4822</v>
      </c>
      <c r="G1199" s="695">
        <v>1</v>
      </c>
      <c r="H1199" s="695" t="s">
        <v>4823</v>
      </c>
      <c r="I1199" s="695">
        <v>36</v>
      </c>
      <c r="J1199" s="695" t="s">
        <v>4148</v>
      </c>
      <c r="K1199" s="695" t="s">
        <v>8544</v>
      </c>
      <c r="L1199" s="696">
        <v>6</v>
      </c>
      <c r="M1199" s="170"/>
    </row>
    <row r="1200" spans="2:13" x14ac:dyDescent="0.2">
      <c r="B1200" s="173"/>
      <c r="C1200" s="694">
        <v>1</v>
      </c>
      <c r="D1200" s="695" t="s">
        <v>3903</v>
      </c>
      <c r="E1200" s="695">
        <v>3</v>
      </c>
      <c r="F1200" s="695" t="s">
        <v>4822</v>
      </c>
      <c r="G1200" s="695">
        <v>1</v>
      </c>
      <c r="H1200" s="695" t="s">
        <v>4823</v>
      </c>
      <c r="I1200" s="695">
        <v>37</v>
      </c>
      <c r="J1200" s="695" t="s">
        <v>4859</v>
      </c>
      <c r="K1200" s="695" t="s">
        <v>8544</v>
      </c>
      <c r="L1200" s="696">
        <v>1</v>
      </c>
      <c r="M1200" s="170"/>
    </row>
    <row r="1201" spans="2:13" x14ac:dyDescent="0.2">
      <c r="B1201" s="173"/>
      <c r="C1201" s="694">
        <v>1</v>
      </c>
      <c r="D1201" s="695" t="s">
        <v>3903</v>
      </c>
      <c r="E1201" s="695">
        <v>3</v>
      </c>
      <c r="F1201" s="695" t="s">
        <v>4822</v>
      </c>
      <c r="G1201" s="695">
        <v>1</v>
      </c>
      <c r="H1201" s="695" t="s">
        <v>4823</v>
      </c>
      <c r="I1201" s="695">
        <v>38</v>
      </c>
      <c r="J1201" s="695" t="s">
        <v>4860</v>
      </c>
      <c r="K1201" s="695" t="s">
        <v>8544</v>
      </c>
      <c r="L1201" s="696">
        <v>6</v>
      </c>
      <c r="M1201" s="170"/>
    </row>
    <row r="1202" spans="2:13" x14ac:dyDescent="0.2">
      <c r="B1202" s="173"/>
      <c r="C1202" s="694">
        <v>1</v>
      </c>
      <c r="D1202" s="695" t="s">
        <v>3903</v>
      </c>
      <c r="E1202" s="695">
        <v>3</v>
      </c>
      <c r="F1202" s="695" t="s">
        <v>4822</v>
      </c>
      <c r="G1202" s="695">
        <v>1</v>
      </c>
      <c r="H1202" s="695" t="s">
        <v>4823</v>
      </c>
      <c r="I1202" s="695">
        <v>39</v>
      </c>
      <c r="J1202" s="695" t="s">
        <v>4861</v>
      </c>
      <c r="K1202" s="695" t="s">
        <v>8544</v>
      </c>
      <c r="L1202" s="696">
        <v>3</v>
      </c>
      <c r="M1202" s="170"/>
    </row>
    <row r="1203" spans="2:13" x14ac:dyDescent="0.2">
      <c r="B1203" s="173"/>
      <c r="C1203" s="694">
        <v>1</v>
      </c>
      <c r="D1203" s="695" t="s">
        <v>3903</v>
      </c>
      <c r="E1203" s="695">
        <v>3</v>
      </c>
      <c r="F1203" s="695" t="s">
        <v>4822</v>
      </c>
      <c r="G1203" s="695">
        <v>1</v>
      </c>
      <c r="H1203" s="695" t="s">
        <v>4823</v>
      </c>
      <c r="I1203" s="695">
        <v>40</v>
      </c>
      <c r="J1203" s="695" t="s">
        <v>4862</v>
      </c>
      <c r="K1203" s="695" t="s">
        <v>8544</v>
      </c>
      <c r="L1203" s="696">
        <v>112</v>
      </c>
      <c r="M1203" s="170"/>
    </row>
    <row r="1204" spans="2:13" x14ac:dyDescent="0.2">
      <c r="B1204" s="173"/>
      <c r="C1204" s="694">
        <v>1</v>
      </c>
      <c r="D1204" s="695" t="s">
        <v>3903</v>
      </c>
      <c r="E1204" s="695">
        <v>3</v>
      </c>
      <c r="F1204" s="695" t="s">
        <v>4822</v>
      </c>
      <c r="G1204" s="695">
        <v>1</v>
      </c>
      <c r="H1204" s="695" t="s">
        <v>4823</v>
      </c>
      <c r="I1204" s="695">
        <v>41</v>
      </c>
      <c r="J1204" s="695" t="s">
        <v>4863</v>
      </c>
      <c r="K1204" s="695" t="s">
        <v>3907</v>
      </c>
      <c r="L1204" s="696">
        <v>267</v>
      </c>
      <c r="M1204" s="170"/>
    </row>
    <row r="1205" spans="2:13" x14ac:dyDescent="0.2">
      <c r="B1205" s="173"/>
      <c r="C1205" s="694">
        <v>1</v>
      </c>
      <c r="D1205" s="695" t="s">
        <v>3903</v>
      </c>
      <c r="E1205" s="695">
        <v>3</v>
      </c>
      <c r="F1205" s="695" t="s">
        <v>4822</v>
      </c>
      <c r="G1205" s="695">
        <v>1</v>
      </c>
      <c r="H1205" s="695" t="s">
        <v>4823</v>
      </c>
      <c r="I1205" s="695">
        <v>42</v>
      </c>
      <c r="J1205" s="695" t="s">
        <v>4864</v>
      </c>
      <c r="K1205" s="695" t="s">
        <v>3907</v>
      </c>
      <c r="L1205" s="696">
        <v>136</v>
      </c>
      <c r="M1205" s="170"/>
    </row>
    <row r="1206" spans="2:13" x14ac:dyDescent="0.2">
      <c r="B1206" s="173"/>
      <c r="C1206" s="694">
        <v>1</v>
      </c>
      <c r="D1206" s="695" t="s">
        <v>3903</v>
      </c>
      <c r="E1206" s="695">
        <v>3</v>
      </c>
      <c r="F1206" s="695" t="s">
        <v>4822</v>
      </c>
      <c r="G1206" s="695">
        <v>1</v>
      </c>
      <c r="H1206" s="695" t="s">
        <v>4823</v>
      </c>
      <c r="I1206" s="695">
        <v>43</v>
      </c>
      <c r="J1206" s="695" t="s">
        <v>4865</v>
      </c>
      <c r="K1206" s="695" t="s">
        <v>3907</v>
      </c>
      <c r="L1206" s="696">
        <v>128</v>
      </c>
      <c r="M1206" s="170"/>
    </row>
    <row r="1207" spans="2:13" x14ac:dyDescent="0.2">
      <c r="B1207" s="173"/>
      <c r="C1207" s="694">
        <v>1</v>
      </c>
      <c r="D1207" s="695" t="s">
        <v>3903</v>
      </c>
      <c r="E1207" s="695">
        <v>3</v>
      </c>
      <c r="F1207" s="695" t="s">
        <v>4822</v>
      </c>
      <c r="G1207" s="695">
        <v>1</v>
      </c>
      <c r="H1207" s="695" t="s">
        <v>4823</v>
      </c>
      <c r="I1207" s="695">
        <v>44</v>
      </c>
      <c r="J1207" s="695" t="s">
        <v>4866</v>
      </c>
      <c r="K1207" s="695" t="s">
        <v>8544</v>
      </c>
      <c r="L1207" s="696">
        <v>26</v>
      </c>
      <c r="M1207" s="170"/>
    </row>
    <row r="1208" spans="2:13" x14ac:dyDescent="0.2">
      <c r="B1208" s="173"/>
      <c r="C1208" s="694">
        <v>1</v>
      </c>
      <c r="D1208" s="695" t="s">
        <v>3903</v>
      </c>
      <c r="E1208" s="695">
        <v>3</v>
      </c>
      <c r="F1208" s="695" t="s">
        <v>4822</v>
      </c>
      <c r="G1208" s="695">
        <v>1</v>
      </c>
      <c r="H1208" s="695" t="s">
        <v>4823</v>
      </c>
      <c r="I1208" s="695">
        <v>45</v>
      </c>
      <c r="J1208" s="695" t="s">
        <v>4867</v>
      </c>
      <c r="K1208" s="695" t="s">
        <v>8544</v>
      </c>
      <c r="L1208" s="696">
        <v>70</v>
      </c>
      <c r="M1208" s="170"/>
    </row>
    <row r="1209" spans="2:13" x14ac:dyDescent="0.2">
      <c r="B1209" s="173"/>
      <c r="C1209" s="694">
        <v>1</v>
      </c>
      <c r="D1209" s="695" t="s">
        <v>3903</v>
      </c>
      <c r="E1209" s="695">
        <v>3</v>
      </c>
      <c r="F1209" s="695" t="s">
        <v>4822</v>
      </c>
      <c r="G1209" s="695">
        <v>1</v>
      </c>
      <c r="H1209" s="695" t="s">
        <v>4823</v>
      </c>
      <c r="I1209" s="695">
        <v>46</v>
      </c>
      <c r="J1209" s="695" t="s">
        <v>4868</v>
      </c>
      <c r="K1209" s="695" t="s">
        <v>8544</v>
      </c>
      <c r="L1209" s="696">
        <v>8</v>
      </c>
      <c r="M1209" s="170"/>
    </row>
    <row r="1210" spans="2:13" x14ac:dyDescent="0.2">
      <c r="B1210" s="173"/>
      <c r="C1210" s="694">
        <v>1</v>
      </c>
      <c r="D1210" s="695" t="s">
        <v>3903</v>
      </c>
      <c r="E1210" s="695">
        <v>3</v>
      </c>
      <c r="F1210" s="695" t="s">
        <v>4822</v>
      </c>
      <c r="G1210" s="695">
        <v>1</v>
      </c>
      <c r="H1210" s="695" t="s">
        <v>4823</v>
      </c>
      <c r="I1210" s="695">
        <v>47</v>
      </c>
      <c r="J1210" s="695" t="s">
        <v>4869</v>
      </c>
      <c r="K1210" s="695" t="s">
        <v>8544</v>
      </c>
      <c r="L1210" s="696">
        <v>19</v>
      </c>
      <c r="M1210" s="170"/>
    </row>
    <row r="1211" spans="2:13" x14ac:dyDescent="0.2">
      <c r="B1211" s="173"/>
      <c r="C1211" s="694">
        <v>1</v>
      </c>
      <c r="D1211" s="695" t="s">
        <v>3903</v>
      </c>
      <c r="E1211" s="695">
        <v>3</v>
      </c>
      <c r="F1211" s="695" t="s">
        <v>4822</v>
      </c>
      <c r="G1211" s="695">
        <v>1</v>
      </c>
      <c r="H1211" s="695" t="s">
        <v>4823</v>
      </c>
      <c r="I1211" s="695">
        <v>48</v>
      </c>
      <c r="J1211" s="695" t="s">
        <v>4870</v>
      </c>
      <c r="K1211" s="695" t="s">
        <v>8544</v>
      </c>
      <c r="L1211" s="696">
        <v>5</v>
      </c>
      <c r="M1211" s="170"/>
    </row>
    <row r="1212" spans="2:13" x14ac:dyDescent="0.2">
      <c r="B1212" s="173"/>
      <c r="C1212" s="694">
        <v>1</v>
      </c>
      <c r="D1212" s="695" t="s">
        <v>3903</v>
      </c>
      <c r="E1212" s="695">
        <v>3</v>
      </c>
      <c r="F1212" s="695" t="s">
        <v>4822</v>
      </c>
      <c r="G1212" s="695">
        <v>1</v>
      </c>
      <c r="H1212" s="695" t="s">
        <v>4823</v>
      </c>
      <c r="I1212" s="695">
        <v>49</v>
      </c>
      <c r="J1212" s="695" t="s">
        <v>4871</v>
      </c>
      <c r="K1212" s="695" t="s">
        <v>3907</v>
      </c>
      <c r="L1212" s="696">
        <v>49</v>
      </c>
      <c r="M1212" s="170"/>
    </row>
    <row r="1213" spans="2:13" x14ac:dyDescent="0.2">
      <c r="B1213" s="173"/>
      <c r="C1213" s="694">
        <v>1</v>
      </c>
      <c r="D1213" s="695" t="s">
        <v>3903</v>
      </c>
      <c r="E1213" s="695">
        <v>3</v>
      </c>
      <c r="F1213" s="695" t="s">
        <v>4822</v>
      </c>
      <c r="G1213" s="695">
        <v>1</v>
      </c>
      <c r="H1213" s="695" t="s">
        <v>4823</v>
      </c>
      <c r="I1213" s="695">
        <v>50</v>
      </c>
      <c r="J1213" s="695" t="s">
        <v>4872</v>
      </c>
      <c r="K1213" s="695" t="s">
        <v>8544</v>
      </c>
      <c r="L1213" s="696">
        <v>39</v>
      </c>
      <c r="M1213" s="170"/>
    </row>
    <row r="1214" spans="2:13" x14ac:dyDescent="0.2">
      <c r="B1214" s="173"/>
      <c r="C1214" s="694">
        <v>1</v>
      </c>
      <c r="D1214" s="695" t="s">
        <v>3903</v>
      </c>
      <c r="E1214" s="695">
        <v>3</v>
      </c>
      <c r="F1214" s="695" t="s">
        <v>4822</v>
      </c>
      <c r="G1214" s="695">
        <v>1</v>
      </c>
      <c r="H1214" s="695" t="s">
        <v>4823</v>
      </c>
      <c r="I1214" s="695">
        <v>51</v>
      </c>
      <c r="J1214" s="695" t="s">
        <v>4873</v>
      </c>
      <c r="K1214" s="695" t="s">
        <v>3907</v>
      </c>
      <c r="L1214" s="696">
        <v>81</v>
      </c>
      <c r="M1214" s="170"/>
    </row>
    <row r="1215" spans="2:13" x14ac:dyDescent="0.2">
      <c r="B1215" s="173"/>
      <c r="C1215" s="694">
        <v>1</v>
      </c>
      <c r="D1215" s="695" t="s">
        <v>3903</v>
      </c>
      <c r="E1215" s="695">
        <v>3</v>
      </c>
      <c r="F1215" s="695" t="s">
        <v>4822</v>
      </c>
      <c r="G1215" s="695">
        <v>1</v>
      </c>
      <c r="H1215" s="695" t="s">
        <v>4823</v>
      </c>
      <c r="I1215" s="695">
        <v>52</v>
      </c>
      <c r="J1215" s="695" t="s">
        <v>4874</v>
      </c>
      <c r="K1215" s="695" t="s">
        <v>3907</v>
      </c>
      <c r="L1215" s="696">
        <v>13</v>
      </c>
      <c r="M1215" s="170"/>
    </row>
    <row r="1216" spans="2:13" x14ac:dyDescent="0.2">
      <c r="B1216" s="173"/>
      <c r="C1216" s="694">
        <v>1</v>
      </c>
      <c r="D1216" s="695" t="s">
        <v>3903</v>
      </c>
      <c r="E1216" s="695">
        <v>3</v>
      </c>
      <c r="F1216" s="695" t="s">
        <v>4822</v>
      </c>
      <c r="G1216" s="695">
        <v>1</v>
      </c>
      <c r="H1216" s="695" t="s">
        <v>4823</v>
      </c>
      <c r="I1216" s="695">
        <v>53</v>
      </c>
      <c r="J1216" s="695" t="s">
        <v>4875</v>
      </c>
      <c r="K1216" s="695" t="s">
        <v>8544</v>
      </c>
      <c r="L1216" s="696">
        <v>18</v>
      </c>
      <c r="M1216" s="170"/>
    </row>
    <row r="1217" spans="2:13" x14ac:dyDescent="0.2">
      <c r="B1217" s="173"/>
      <c r="C1217" s="694">
        <v>1</v>
      </c>
      <c r="D1217" s="695" t="s">
        <v>3903</v>
      </c>
      <c r="E1217" s="695">
        <v>3</v>
      </c>
      <c r="F1217" s="695" t="s">
        <v>4822</v>
      </c>
      <c r="G1217" s="695">
        <v>1</v>
      </c>
      <c r="H1217" s="695" t="s">
        <v>4823</v>
      </c>
      <c r="I1217" s="695">
        <v>54</v>
      </c>
      <c r="J1217" s="695" t="s">
        <v>4876</v>
      </c>
      <c r="K1217" s="695" t="s">
        <v>3907</v>
      </c>
      <c r="L1217" s="696">
        <v>67</v>
      </c>
      <c r="M1217" s="170"/>
    </row>
    <row r="1218" spans="2:13" x14ac:dyDescent="0.2">
      <c r="B1218" s="173"/>
      <c r="C1218" s="694">
        <v>1</v>
      </c>
      <c r="D1218" s="695" t="s">
        <v>3903</v>
      </c>
      <c r="E1218" s="695">
        <v>3</v>
      </c>
      <c r="F1218" s="695" t="s">
        <v>4822</v>
      </c>
      <c r="G1218" s="695">
        <v>1</v>
      </c>
      <c r="H1218" s="695" t="s">
        <v>4823</v>
      </c>
      <c r="I1218" s="695">
        <v>55</v>
      </c>
      <c r="J1218" s="695" t="s">
        <v>4877</v>
      </c>
      <c r="K1218" s="695" t="s">
        <v>8544</v>
      </c>
      <c r="L1218" s="696">
        <v>1</v>
      </c>
      <c r="M1218" s="170"/>
    </row>
    <row r="1219" spans="2:13" x14ac:dyDescent="0.2">
      <c r="B1219" s="173"/>
      <c r="C1219" s="694">
        <v>1</v>
      </c>
      <c r="D1219" s="695" t="s">
        <v>3903</v>
      </c>
      <c r="E1219" s="695">
        <v>3</v>
      </c>
      <c r="F1219" s="695" t="s">
        <v>4822</v>
      </c>
      <c r="G1219" s="695">
        <v>1</v>
      </c>
      <c r="H1219" s="695" t="s">
        <v>4823</v>
      </c>
      <c r="I1219" s="695">
        <v>56</v>
      </c>
      <c r="J1219" s="695" t="s">
        <v>4878</v>
      </c>
      <c r="K1219" s="695" t="s">
        <v>3907</v>
      </c>
      <c r="L1219" s="696">
        <v>46</v>
      </c>
      <c r="M1219" s="170"/>
    </row>
    <row r="1220" spans="2:13" x14ac:dyDescent="0.2">
      <c r="B1220" s="173"/>
      <c r="C1220" s="694">
        <v>1</v>
      </c>
      <c r="D1220" s="695" t="s">
        <v>3903</v>
      </c>
      <c r="E1220" s="695">
        <v>3</v>
      </c>
      <c r="F1220" s="695" t="s">
        <v>4822</v>
      </c>
      <c r="G1220" s="695">
        <v>1</v>
      </c>
      <c r="H1220" s="695" t="s">
        <v>4823</v>
      </c>
      <c r="I1220" s="695">
        <v>57</v>
      </c>
      <c r="J1220" s="695" t="s">
        <v>4879</v>
      </c>
      <c r="K1220" s="695" t="s">
        <v>8544</v>
      </c>
      <c r="L1220" s="696">
        <v>0</v>
      </c>
      <c r="M1220" s="170"/>
    </row>
    <row r="1221" spans="2:13" x14ac:dyDescent="0.2">
      <c r="B1221" s="173"/>
      <c r="C1221" s="694">
        <v>1</v>
      </c>
      <c r="D1221" s="695" t="s">
        <v>3903</v>
      </c>
      <c r="E1221" s="695">
        <v>3</v>
      </c>
      <c r="F1221" s="695" t="s">
        <v>4822</v>
      </c>
      <c r="G1221" s="695">
        <v>1</v>
      </c>
      <c r="H1221" s="695" t="s">
        <v>4823</v>
      </c>
      <c r="I1221" s="695">
        <v>58</v>
      </c>
      <c r="J1221" s="695" t="s">
        <v>4880</v>
      </c>
      <c r="K1221" s="695" t="s">
        <v>3907</v>
      </c>
      <c r="L1221" s="696">
        <v>3</v>
      </c>
      <c r="M1221" s="170"/>
    </row>
    <row r="1222" spans="2:13" x14ac:dyDescent="0.2">
      <c r="B1222" s="173"/>
      <c r="C1222" s="694">
        <v>1</v>
      </c>
      <c r="D1222" s="695" t="s">
        <v>3903</v>
      </c>
      <c r="E1222" s="695">
        <v>3</v>
      </c>
      <c r="F1222" s="695" t="s">
        <v>4822</v>
      </c>
      <c r="G1222" s="695">
        <v>1</v>
      </c>
      <c r="H1222" s="695" t="s">
        <v>4823</v>
      </c>
      <c r="I1222" s="695">
        <v>59</v>
      </c>
      <c r="J1222" s="695" t="s">
        <v>4881</v>
      </c>
      <c r="K1222" s="695" t="s">
        <v>3907</v>
      </c>
      <c r="L1222" s="696">
        <v>3</v>
      </c>
      <c r="M1222" s="170"/>
    </row>
    <row r="1223" spans="2:13" x14ac:dyDescent="0.2">
      <c r="B1223" s="173"/>
      <c r="C1223" s="694">
        <v>1</v>
      </c>
      <c r="D1223" s="695" t="s">
        <v>3903</v>
      </c>
      <c r="E1223" s="695">
        <v>3</v>
      </c>
      <c r="F1223" s="695" t="s">
        <v>4822</v>
      </c>
      <c r="G1223" s="695">
        <v>1</v>
      </c>
      <c r="H1223" s="695" t="s">
        <v>4823</v>
      </c>
      <c r="I1223" s="695">
        <v>60</v>
      </c>
      <c r="J1223" s="695" t="s">
        <v>4882</v>
      </c>
      <c r="K1223" s="695" t="s">
        <v>3907</v>
      </c>
      <c r="L1223" s="696">
        <v>4</v>
      </c>
      <c r="M1223" s="170"/>
    </row>
    <row r="1224" spans="2:13" x14ac:dyDescent="0.2">
      <c r="B1224" s="173"/>
      <c r="C1224" s="694">
        <v>1</v>
      </c>
      <c r="D1224" s="695" t="s">
        <v>3903</v>
      </c>
      <c r="E1224" s="695">
        <v>3</v>
      </c>
      <c r="F1224" s="695" t="s">
        <v>4822</v>
      </c>
      <c r="G1224" s="695">
        <v>1</v>
      </c>
      <c r="H1224" s="695" t="s">
        <v>4823</v>
      </c>
      <c r="I1224" s="695">
        <v>61</v>
      </c>
      <c r="J1224" s="695" t="s">
        <v>4883</v>
      </c>
      <c r="K1224" s="695" t="s">
        <v>3907</v>
      </c>
      <c r="L1224" s="696">
        <v>18</v>
      </c>
      <c r="M1224" s="170"/>
    </row>
    <row r="1225" spans="2:13" x14ac:dyDescent="0.2">
      <c r="B1225" s="173"/>
      <c r="C1225" s="694">
        <v>1</v>
      </c>
      <c r="D1225" s="695" t="s">
        <v>3903</v>
      </c>
      <c r="E1225" s="695">
        <v>3</v>
      </c>
      <c r="F1225" s="695" t="s">
        <v>4822</v>
      </c>
      <c r="G1225" s="695">
        <v>1</v>
      </c>
      <c r="H1225" s="695" t="s">
        <v>4823</v>
      </c>
      <c r="I1225" s="695">
        <v>62</v>
      </c>
      <c r="J1225" s="695" t="s">
        <v>4884</v>
      </c>
      <c r="K1225" s="695" t="s">
        <v>3907</v>
      </c>
      <c r="L1225" s="696">
        <v>8</v>
      </c>
      <c r="M1225" s="170"/>
    </row>
    <row r="1226" spans="2:13" x14ac:dyDescent="0.2">
      <c r="B1226" s="173"/>
      <c r="C1226" s="694">
        <v>1</v>
      </c>
      <c r="D1226" s="695" t="s">
        <v>3903</v>
      </c>
      <c r="E1226" s="695">
        <v>3</v>
      </c>
      <c r="F1226" s="695" t="s">
        <v>4822</v>
      </c>
      <c r="G1226" s="695">
        <v>1</v>
      </c>
      <c r="H1226" s="695" t="s">
        <v>4823</v>
      </c>
      <c r="I1226" s="695">
        <v>63</v>
      </c>
      <c r="J1226" s="695" t="s">
        <v>4885</v>
      </c>
      <c r="K1226" s="695" t="s">
        <v>3907</v>
      </c>
      <c r="L1226" s="696">
        <v>6</v>
      </c>
      <c r="M1226" s="170"/>
    </row>
    <row r="1227" spans="2:13" x14ac:dyDescent="0.2">
      <c r="B1227" s="173"/>
      <c r="C1227" s="694">
        <v>1</v>
      </c>
      <c r="D1227" s="695" t="s">
        <v>3903</v>
      </c>
      <c r="E1227" s="695">
        <v>3</v>
      </c>
      <c r="F1227" s="695" t="s">
        <v>4822</v>
      </c>
      <c r="G1227" s="695">
        <v>1</v>
      </c>
      <c r="H1227" s="695" t="s">
        <v>4823</v>
      </c>
      <c r="I1227" s="695">
        <v>64</v>
      </c>
      <c r="J1227" s="695" t="s">
        <v>4886</v>
      </c>
      <c r="K1227" s="695" t="s">
        <v>3907</v>
      </c>
      <c r="L1227" s="696">
        <v>3</v>
      </c>
      <c r="M1227" s="170"/>
    </row>
    <row r="1228" spans="2:13" x14ac:dyDescent="0.2">
      <c r="B1228" s="173"/>
      <c r="C1228" s="694">
        <v>1</v>
      </c>
      <c r="D1228" s="695" t="s">
        <v>3903</v>
      </c>
      <c r="E1228" s="695">
        <v>3</v>
      </c>
      <c r="F1228" s="695" t="s">
        <v>4822</v>
      </c>
      <c r="G1228" s="695">
        <v>1</v>
      </c>
      <c r="H1228" s="695" t="s">
        <v>4823</v>
      </c>
      <c r="I1228" s="695">
        <v>65</v>
      </c>
      <c r="J1228" s="695" t="s">
        <v>4887</v>
      </c>
      <c r="K1228" s="695" t="s">
        <v>3907</v>
      </c>
      <c r="L1228" s="696">
        <v>24</v>
      </c>
      <c r="M1228" s="170"/>
    </row>
    <row r="1229" spans="2:13" x14ac:dyDescent="0.2">
      <c r="B1229" s="173"/>
      <c r="C1229" s="694">
        <v>1</v>
      </c>
      <c r="D1229" s="695" t="s">
        <v>3903</v>
      </c>
      <c r="E1229" s="695">
        <v>3</v>
      </c>
      <c r="F1229" s="695" t="s">
        <v>4822</v>
      </c>
      <c r="G1229" s="695">
        <v>1</v>
      </c>
      <c r="H1229" s="695" t="s">
        <v>4823</v>
      </c>
      <c r="I1229" s="695">
        <v>66</v>
      </c>
      <c r="J1229" s="695" t="s">
        <v>4888</v>
      </c>
      <c r="K1229" s="695" t="s">
        <v>3907</v>
      </c>
      <c r="L1229" s="696">
        <v>2</v>
      </c>
      <c r="M1229" s="170"/>
    </row>
    <row r="1230" spans="2:13" x14ac:dyDescent="0.2">
      <c r="B1230" s="173"/>
      <c r="C1230" s="694">
        <v>1</v>
      </c>
      <c r="D1230" s="695" t="s">
        <v>3903</v>
      </c>
      <c r="E1230" s="695">
        <v>3</v>
      </c>
      <c r="F1230" s="695" t="s">
        <v>4822</v>
      </c>
      <c r="G1230" s="695">
        <v>1</v>
      </c>
      <c r="H1230" s="695" t="s">
        <v>4823</v>
      </c>
      <c r="I1230" s="695">
        <v>67</v>
      </c>
      <c r="J1230" s="695" t="s">
        <v>4889</v>
      </c>
      <c r="K1230" s="695" t="s">
        <v>3907</v>
      </c>
      <c r="L1230" s="696">
        <v>15</v>
      </c>
      <c r="M1230" s="170"/>
    </row>
    <row r="1231" spans="2:13" x14ac:dyDescent="0.2">
      <c r="B1231" s="173"/>
      <c r="C1231" s="694">
        <v>1</v>
      </c>
      <c r="D1231" s="695" t="s">
        <v>3903</v>
      </c>
      <c r="E1231" s="695">
        <v>3</v>
      </c>
      <c r="F1231" s="695" t="s">
        <v>4822</v>
      </c>
      <c r="G1231" s="695">
        <v>1</v>
      </c>
      <c r="H1231" s="695" t="s">
        <v>4823</v>
      </c>
      <c r="I1231" s="695">
        <v>68</v>
      </c>
      <c r="J1231" s="695" t="s">
        <v>4890</v>
      </c>
      <c r="K1231" s="695" t="s">
        <v>3907</v>
      </c>
      <c r="L1231" s="696">
        <v>1</v>
      </c>
      <c r="M1231" s="170"/>
    </row>
    <row r="1232" spans="2:13" x14ac:dyDescent="0.2">
      <c r="B1232" s="173"/>
      <c r="C1232" s="694">
        <v>1</v>
      </c>
      <c r="D1232" s="695" t="s">
        <v>3903</v>
      </c>
      <c r="E1232" s="695">
        <v>3</v>
      </c>
      <c r="F1232" s="695" t="s">
        <v>4822</v>
      </c>
      <c r="G1232" s="695">
        <v>1</v>
      </c>
      <c r="H1232" s="695" t="s">
        <v>4823</v>
      </c>
      <c r="I1232" s="695">
        <v>69</v>
      </c>
      <c r="J1232" s="695" t="s">
        <v>4891</v>
      </c>
      <c r="K1232" s="695" t="s">
        <v>3907</v>
      </c>
      <c r="L1232" s="696">
        <v>3</v>
      </c>
      <c r="M1232" s="170"/>
    </row>
    <row r="1233" spans="2:13" x14ac:dyDescent="0.2">
      <c r="B1233" s="173"/>
      <c r="C1233" s="694">
        <v>1</v>
      </c>
      <c r="D1233" s="695" t="s">
        <v>3903</v>
      </c>
      <c r="E1233" s="695">
        <v>3</v>
      </c>
      <c r="F1233" s="695" t="s">
        <v>4822</v>
      </c>
      <c r="G1233" s="695">
        <v>1</v>
      </c>
      <c r="H1233" s="695" t="s">
        <v>4823</v>
      </c>
      <c r="I1233" s="695">
        <v>70</v>
      </c>
      <c r="J1233" s="695" t="s">
        <v>4892</v>
      </c>
      <c r="K1233" s="695" t="s">
        <v>3907</v>
      </c>
      <c r="L1233" s="696">
        <v>5</v>
      </c>
      <c r="M1233" s="170"/>
    </row>
    <row r="1234" spans="2:13" x14ac:dyDescent="0.2">
      <c r="B1234" s="173"/>
      <c r="C1234" s="694">
        <v>1</v>
      </c>
      <c r="D1234" s="695" t="s">
        <v>3903</v>
      </c>
      <c r="E1234" s="695">
        <v>3</v>
      </c>
      <c r="F1234" s="695" t="s">
        <v>4822</v>
      </c>
      <c r="G1234" s="695">
        <v>1</v>
      </c>
      <c r="H1234" s="695" t="s">
        <v>4823</v>
      </c>
      <c r="I1234" s="695">
        <v>71</v>
      </c>
      <c r="J1234" s="695" t="s">
        <v>4893</v>
      </c>
      <c r="K1234" s="695" t="s">
        <v>3907</v>
      </c>
      <c r="L1234" s="696">
        <v>5</v>
      </c>
      <c r="M1234" s="170"/>
    </row>
    <row r="1235" spans="2:13" x14ac:dyDescent="0.2">
      <c r="B1235" s="173"/>
      <c r="C1235" s="694">
        <v>1</v>
      </c>
      <c r="D1235" s="695" t="s">
        <v>3903</v>
      </c>
      <c r="E1235" s="695">
        <v>3</v>
      </c>
      <c r="F1235" s="695" t="s">
        <v>4822</v>
      </c>
      <c r="G1235" s="695">
        <v>1</v>
      </c>
      <c r="H1235" s="695" t="s">
        <v>4823</v>
      </c>
      <c r="I1235" s="695">
        <v>72</v>
      </c>
      <c r="J1235" s="695" t="s">
        <v>4894</v>
      </c>
      <c r="K1235" s="695" t="s">
        <v>3907</v>
      </c>
      <c r="L1235" s="696">
        <v>23</v>
      </c>
      <c r="M1235" s="170"/>
    </row>
    <row r="1236" spans="2:13" x14ac:dyDescent="0.2">
      <c r="B1236" s="173"/>
      <c r="C1236" s="694">
        <v>1</v>
      </c>
      <c r="D1236" s="695" t="s">
        <v>3903</v>
      </c>
      <c r="E1236" s="695">
        <v>3</v>
      </c>
      <c r="F1236" s="695" t="s">
        <v>4822</v>
      </c>
      <c r="G1236" s="695">
        <v>1</v>
      </c>
      <c r="H1236" s="695" t="s">
        <v>4823</v>
      </c>
      <c r="I1236" s="695">
        <v>73</v>
      </c>
      <c r="J1236" s="695" t="s">
        <v>4895</v>
      </c>
      <c r="K1236" s="695" t="s">
        <v>3907</v>
      </c>
      <c r="L1236" s="696">
        <v>1</v>
      </c>
      <c r="M1236" s="170"/>
    </row>
    <row r="1237" spans="2:13" x14ac:dyDescent="0.2">
      <c r="B1237" s="173"/>
      <c r="C1237" s="694">
        <v>1</v>
      </c>
      <c r="D1237" s="695" t="s">
        <v>3903</v>
      </c>
      <c r="E1237" s="695">
        <v>3</v>
      </c>
      <c r="F1237" s="695" t="s">
        <v>4822</v>
      </c>
      <c r="G1237" s="695">
        <v>1</v>
      </c>
      <c r="H1237" s="695" t="s">
        <v>4823</v>
      </c>
      <c r="I1237" s="695">
        <v>74</v>
      </c>
      <c r="J1237" s="695" t="s">
        <v>4896</v>
      </c>
      <c r="K1237" s="695" t="s">
        <v>3907</v>
      </c>
      <c r="L1237" s="696">
        <v>0</v>
      </c>
      <c r="M1237" s="170"/>
    </row>
    <row r="1238" spans="2:13" x14ac:dyDescent="0.2">
      <c r="B1238" s="173"/>
      <c r="C1238" s="694">
        <v>1</v>
      </c>
      <c r="D1238" s="695" t="s">
        <v>3903</v>
      </c>
      <c r="E1238" s="695">
        <v>3</v>
      </c>
      <c r="F1238" s="695" t="s">
        <v>4822</v>
      </c>
      <c r="G1238" s="695">
        <v>1</v>
      </c>
      <c r="H1238" s="695" t="s">
        <v>4823</v>
      </c>
      <c r="I1238" s="695">
        <v>75</v>
      </c>
      <c r="J1238" s="695" t="s">
        <v>4897</v>
      </c>
      <c r="K1238" s="695" t="s">
        <v>3907</v>
      </c>
      <c r="L1238" s="696">
        <v>4</v>
      </c>
      <c r="M1238" s="170"/>
    </row>
    <row r="1239" spans="2:13" x14ac:dyDescent="0.2">
      <c r="B1239" s="173"/>
      <c r="C1239" s="694">
        <v>1</v>
      </c>
      <c r="D1239" s="695" t="s">
        <v>3903</v>
      </c>
      <c r="E1239" s="695">
        <v>3</v>
      </c>
      <c r="F1239" s="695" t="s">
        <v>4822</v>
      </c>
      <c r="G1239" s="695">
        <v>1</v>
      </c>
      <c r="H1239" s="695" t="s">
        <v>4823</v>
      </c>
      <c r="I1239" s="695">
        <v>76</v>
      </c>
      <c r="J1239" s="695" t="s">
        <v>4898</v>
      </c>
      <c r="K1239" s="695" t="s">
        <v>3907</v>
      </c>
      <c r="L1239" s="696">
        <v>2</v>
      </c>
      <c r="M1239" s="170"/>
    </row>
    <row r="1240" spans="2:13" x14ac:dyDescent="0.2">
      <c r="B1240" s="173"/>
      <c r="C1240" s="694">
        <v>1</v>
      </c>
      <c r="D1240" s="695" t="s">
        <v>3903</v>
      </c>
      <c r="E1240" s="695">
        <v>3</v>
      </c>
      <c r="F1240" s="695" t="s">
        <v>4822</v>
      </c>
      <c r="G1240" s="695">
        <v>1</v>
      </c>
      <c r="H1240" s="695" t="s">
        <v>4823</v>
      </c>
      <c r="I1240" s="695">
        <v>77</v>
      </c>
      <c r="J1240" s="695" t="s">
        <v>4899</v>
      </c>
      <c r="K1240" s="695" t="s">
        <v>3907</v>
      </c>
      <c r="L1240" s="696">
        <v>4</v>
      </c>
      <c r="M1240" s="170"/>
    </row>
    <row r="1241" spans="2:13" x14ac:dyDescent="0.2">
      <c r="B1241" s="173"/>
      <c r="C1241" s="694">
        <v>1</v>
      </c>
      <c r="D1241" s="695" t="s">
        <v>3903</v>
      </c>
      <c r="E1241" s="695">
        <v>3</v>
      </c>
      <c r="F1241" s="695" t="s">
        <v>4822</v>
      </c>
      <c r="G1241" s="695">
        <v>1</v>
      </c>
      <c r="H1241" s="695" t="s">
        <v>4823</v>
      </c>
      <c r="I1241" s="695">
        <v>78</v>
      </c>
      <c r="J1241" s="695" t="s">
        <v>4900</v>
      </c>
      <c r="K1241" s="695" t="s">
        <v>3907</v>
      </c>
      <c r="L1241" s="696">
        <v>21</v>
      </c>
      <c r="M1241" s="170"/>
    </row>
    <row r="1242" spans="2:13" x14ac:dyDescent="0.2">
      <c r="B1242" s="173"/>
      <c r="C1242" s="694">
        <v>1</v>
      </c>
      <c r="D1242" s="695" t="s">
        <v>3903</v>
      </c>
      <c r="E1242" s="695">
        <v>3</v>
      </c>
      <c r="F1242" s="695" t="s">
        <v>4822</v>
      </c>
      <c r="G1242" s="695">
        <v>1</v>
      </c>
      <c r="H1242" s="695" t="s">
        <v>4823</v>
      </c>
      <c r="I1242" s="695">
        <v>79</v>
      </c>
      <c r="J1242" s="695" t="s">
        <v>4901</v>
      </c>
      <c r="K1242" s="695" t="s">
        <v>3907</v>
      </c>
      <c r="L1242" s="696">
        <v>9</v>
      </c>
      <c r="M1242" s="170"/>
    </row>
    <row r="1243" spans="2:13" x14ac:dyDescent="0.2">
      <c r="B1243" s="173"/>
      <c r="C1243" s="694">
        <v>1</v>
      </c>
      <c r="D1243" s="695" t="s">
        <v>3903</v>
      </c>
      <c r="E1243" s="695">
        <v>3</v>
      </c>
      <c r="F1243" s="695" t="s">
        <v>4822</v>
      </c>
      <c r="G1243" s="695">
        <v>1</v>
      </c>
      <c r="H1243" s="695" t="s">
        <v>4823</v>
      </c>
      <c r="I1243" s="695">
        <v>80</v>
      </c>
      <c r="J1243" s="695" t="s">
        <v>4902</v>
      </c>
      <c r="K1243" s="695" t="s">
        <v>3907</v>
      </c>
      <c r="L1243" s="696">
        <v>1</v>
      </c>
      <c r="M1243" s="170"/>
    </row>
    <row r="1244" spans="2:13" x14ac:dyDescent="0.2">
      <c r="B1244" s="173"/>
      <c r="C1244" s="694">
        <v>1</v>
      </c>
      <c r="D1244" s="695" t="s">
        <v>3903</v>
      </c>
      <c r="E1244" s="695">
        <v>3</v>
      </c>
      <c r="F1244" s="695" t="s">
        <v>4822</v>
      </c>
      <c r="G1244" s="695">
        <v>1</v>
      </c>
      <c r="H1244" s="695" t="s">
        <v>4823</v>
      </c>
      <c r="I1244" s="695">
        <v>81</v>
      </c>
      <c r="J1244" s="695" t="s">
        <v>4903</v>
      </c>
      <c r="K1244" s="695" t="s">
        <v>3907</v>
      </c>
      <c r="L1244" s="696">
        <v>1</v>
      </c>
      <c r="M1244" s="170"/>
    </row>
    <row r="1245" spans="2:13" x14ac:dyDescent="0.2">
      <c r="B1245" s="173"/>
      <c r="C1245" s="694">
        <v>1</v>
      </c>
      <c r="D1245" s="695" t="s">
        <v>3903</v>
      </c>
      <c r="E1245" s="695">
        <v>3</v>
      </c>
      <c r="F1245" s="695" t="s">
        <v>4822</v>
      </c>
      <c r="G1245" s="695">
        <v>1</v>
      </c>
      <c r="H1245" s="695" t="s">
        <v>4823</v>
      </c>
      <c r="I1245" s="695">
        <v>82</v>
      </c>
      <c r="J1245" s="695" t="s">
        <v>4904</v>
      </c>
      <c r="K1245" s="695" t="s">
        <v>3907</v>
      </c>
      <c r="L1245" s="696">
        <v>1</v>
      </c>
      <c r="M1245" s="170"/>
    </row>
    <row r="1246" spans="2:13" x14ac:dyDescent="0.2">
      <c r="B1246" s="173"/>
      <c r="C1246" s="694">
        <v>1</v>
      </c>
      <c r="D1246" s="695" t="s">
        <v>3903</v>
      </c>
      <c r="E1246" s="695">
        <v>3</v>
      </c>
      <c r="F1246" s="695" t="s">
        <v>4822</v>
      </c>
      <c r="G1246" s="695">
        <v>1</v>
      </c>
      <c r="H1246" s="695" t="s">
        <v>4823</v>
      </c>
      <c r="I1246" s="695">
        <v>83</v>
      </c>
      <c r="J1246" s="695" t="s">
        <v>4905</v>
      </c>
      <c r="K1246" s="695" t="s">
        <v>3907</v>
      </c>
      <c r="L1246" s="696">
        <v>15</v>
      </c>
      <c r="M1246" s="170"/>
    </row>
    <row r="1247" spans="2:13" x14ac:dyDescent="0.2">
      <c r="B1247" s="173"/>
      <c r="C1247" s="694">
        <v>1</v>
      </c>
      <c r="D1247" s="695" t="s">
        <v>3903</v>
      </c>
      <c r="E1247" s="695">
        <v>3</v>
      </c>
      <c r="F1247" s="695" t="s">
        <v>4822</v>
      </c>
      <c r="G1247" s="695">
        <v>1</v>
      </c>
      <c r="H1247" s="695" t="s">
        <v>4823</v>
      </c>
      <c r="I1247" s="695">
        <v>84</v>
      </c>
      <c r="J1247" s="695" t="s">
        <v>4906</v>
      </c>
      <c r="K1247" s="695" t="s">
        <v>3907</v>
      </c>
      <c r="L1247" s="696">
        <v>17</v>
      </c>
      <c r="M1247" s="170"/>
    </row>
    <row r="1248" spans="2:13" x14ac:dyDescent="0.2">
      <c r="B1248" s="173"/>
      <c r="C1248" s="694">
        <v>1</v>
      </c>
      <c r="D1248" s="695" t="s">
        <v>3903</v>
      </c>
      <c r="E1248" s="695">
        <v>3</v>
      </c>
      <c r="F1248" s="695" t="s">
        <v>4822</v>
      </c>
      <c r="G1248" s="695">
        <v>1</v>
      </c>
      <c r="H1248" s="695" t="s">
        <v>4823</v>
      </c>
      <c r="I1248" s="695">
        <v>85</v>
      </c>
      <c r="J1248" s="695" t="s">
        <v>4907</v>
      </c>
      <c r="K1248" s="695" t="s">
        <v>3907</v>
      </c>
      <c r="L1248" s="696">
        <v>23</v>
      </c>
      <c r="M1248" s="170"/>
    </row>
    <row r="1249" spans="2:13" x14ac:dyDescent="0.2">
      <c r="B1249" s="173"/>
      <c r="C1249" s="694">
        <v>1</v>
      </c>
      <c r="D1249" s="695" t="s">
        <v>3903</v>
      </c>
      <c r="E1249" s="695">
        <v>3</v>
      </c>
      <c r="F1249" s="695" t="s">
        <v>4822</v>
      </c>
      <c r="G1249" s="695">
        <v>1</v>
      </c>
      <c r="H1249" s="695" t="s">
        <v>4823</v>
      </c>
      <c r="I1249" s="695">
        <v>86</v>
      </c>
      <c r="J1249" s="695" t="s">
        <v>8760</v>
      </c>
      <c r="K1249" s="695" t="s">
        <v>3907</v>
      </c>
      <c r="L1249" s="696">
        <v>3</v>
      </c>
      <c r="M1249" s="170"/>
    </row>
    <row r="1250" spans="2:13" x14ac:dyDescent="0.2">
      <c r="B1250" s="173"/>
      <c r="C1250" s="694">
        <v>1</v>
      </c>
      <c r="D1250" s="695" t="s">
        <v>3903</v>
      </c>
      <c r="E1250" s="695">
        <v>3</v>
      </c>
      <c r="F1250" s="695" t="s">
        <v>4822</v>
      </c>
      <c r="G1250" s="695">
        <v>1</v>
      </c>
      <c r="H1250" s="695" t="s">
        <v>4823</v>
      </c>
      <c r="I1250" s="695">
        <v>87</v>
      </c>
      <c r="J1250" s="695" t="s">
        <v>8761</v>
      </c>
      <c r="K1250" s="695" t="s">
        <v>8544</v>
      </c>
      <c r="L1250" s="696">
        <v>12</v>
      </c>
      <c r="M1250" s="170"/>
    </row>
    <row r="1251" spans="2:13" x14ac:dyDescent="0.2">
      <c r="B1251" s="173"/>
      <c r="C1251" s="694">
        <v>1</v>
      </c>
      <c r="D1251" s="695" t="s">
        <v>3903</v>
      </c>
      <c r="E1251" s="695">
        <v>3</v>
      </c>
      <c r="F1251" s="695" t="s">
        <v>4822</v>
      </c>
      <c r="G1251" s="695">
        <v>1</v>
      </c>
      <c r="H1251" s="695" t="s">
        <v>4823</v>
      </c>
      <c r="I1251" s="695">
        <v>88</v>
      </c>
      <c r="J1251" s="695" t="s">
        <v>8762</v>
      </c>
      <c r="K1251" s="695" t="s">
        <v>3907</v>
      </c>
      <c r="L1251" s="696">
        <v>8</v>
      </c>
      <c r="M1251" s="170"/>
    </row>
    <row r="1252" spans="2:13" x14ac:dyDescent="0.2">
      <c r="B1252" s="173"/>
      <c r="C1252" s="694">
        <v>1</v>
      </c>
      <c r="D1252" s="695" t="s">
        <v>3903</v>
      </c>
      <c r="E1252" s="695">
        <v>3</v>
      </c>
      <c r="F1252" s="695" t="s">
        <v>4822</v>
      </c>
      <c r="G1252" s="695">
        <v>1</v>
      </c>
      <c r="H1252" s="695" t="s">
        <v>4823</v>
      </c>
      <c r="I1252" s="695">
        <v>89</v>
      </c>
      <c r="J1252" s="695" t="s">
        <v>8763</v>
      </c>
      <c r="K1252" s="695" t="s">
        <v>3907</v>
      </c>
      <c r="L1252" s="696">
        <v>4</v>
      </c>
      <c r="M1252" s="170"/>
    </row>
    <row r="1253" spans="2:13" x14ac:dyDescent="0.2">
      <c r="B1253" s="173"/>
      <c r="C1253" s="694">
        <v>1</v>
      </c>
      <c r="D1253" s="695" t="s">
        <v>3903</v>
      </c>
      <c r="E1253" s="695">
        <v>3</v>
      </c>
      <c r="F1253" s="695" t="s">
        <v>4822</v>
      </c>
      <c r="G1253" s="695">
        <v>1</v>
      </c>
      <c r="H1253" s="695" t="s">
        <v>4823</v>
      </c>
      <c r="I1253" s="695">
        <v>90</v>
      </c>
      <c r="J1253" s="695" t="s">
        <v>8764</v>
      </c>
      <c r="K1253" s="695" t="s">
        <v>4045</v>
      </c>
      <c r="L1253" s="696">
        <v>3</v>
      </c>
      <c r="M1253" s="170"/>
    </row>
    <row r="1254" spans="2:13" x14ac:dyDescent="0.2">
      <c r="B1254" s="173"/>
      <c r="C1254" s="694">
        <v>1</v>
      </c>
      <c r="D1254" s="695" t="s">
        <v>3903</v>
      </c>
      <c r="E1254" s="695">
        <v>3</v>
      </c>
      <c r="F1254" s="695" t="s">
        <v>4822</v>
      </c>
      <c r="G1254" s="695">
        <v>1</v>
      </c>
      <c r="H1254" s="695" t="s">
        <v>4823</v>
      </c>
      <c r="I1254" s="695">
        <v>91</v>
      </c>
      <c r="J1254" s="695" t="s">
        <v>8765</v>
      </c>
      <c r="K1254" s="695" t="s">
        <v>4045</v>
      </c>
      <c r="L1254" s="696">
        <v>2</v>
      </c>
      <c r="M1254" s="170"/>
    </row>
    <row r="1255" spans="2:13" x14ac:dyDescent="0.2">
      <c r="B1255" s="173"/>
      <c r="C1255" s="694">
        <v>1</v>
      </c>
      <c r="D1255" s="695" t="s">
        <v>3903</v>
      </c>
      <c r="E1255" s="695">
        <v>3</v>
      </c>
      <c r="F1255" s="695" t="s">
        <v>4822</v>
      </c>
      <c r="G1255" s="695">
        <v>1</v>
      </c>
      <c r="H1255" s="695" t="s">
        <v>4823</v>
      </c>
      <c r="I1255" s="695">
        <v>92</v>
      </c>
      <c r="J1255" s="695" t="s">
        <v>8766</v>
      </c>
      <c r="K1255" s="695" t="s">
        <v>4045</v>
      </c>
      <c r="L1255" s="696">
        <v>3</v>
      </c>
      <c r="M1255" s="170"/>
    </row>
    <row r="1256" spans="2:13" x14ac:dyDescent="0.2">
      <c r="B1256" s="173"/>
      <c r="C1256" s="694">
        <v>1</v>
      </c>
      <c r="D1256" s="695" t="s">
        <v>3903</v>
      </c>
      <c r="E1256" s="695">
        <v>3</v>
      </c>
      <c r="F1256" s="695" t="s">
        <v>4822</v>
      </c>
      <c r="G1256" s="695">
        <v>1</v>
      </c>
      <c r="H1256" s="695" t="s">
        <v>4823</v>
      </c>
      <c r="I1256" s="695">
        <v>93</v>
      </c>
      <c r="J1256" s="695" t="s">
        <v>8767</v>
      </c>
      <c r="K1256" s="695" t="s">
        <v>4045</v>
      </c>
      <c r="L1256" s="696">
        <v>3</v>
      </c>
      <c r="M1256" s="170"/>
    </row>
    <row r="1257" spans="2:13" x14ac:dyDescent="0.2">
      <c r="B1257" s="173"/>
      <c r="C1257" s="694">
        <v>1</v>
      </c>
      <c r="D1257" s="695" t="s">
        <v>3903</v>
      </c>
      <c r="E1257" s="695">
        <v>3</v>
      </c>
      <c r="F1257" s="695" t="s">
        <v>4822</v>
      </c>
      <c r="G1257" s="695">
        <v>1</v>
      </c>
      <c r="H1257" s="695" t="s">
        <v>4823</v>
      </c>
      <c r="I1257" s="695">
        <v>94</v>
      </c>
      <c r="J1257" s="695" t="s">
        <v>8768</v>
      </c>
      <c r="K1257" s="695" t="s">
        <v>8544</v>
      </c>
      <c r="L1257" s="696">
        <v>3</v>
      </c>
      <c r="M1257" s="170"/>
    </row>
    <row r="1258" spans="2:13" x14ac:dyDescent="0.2">
      <c r="B1258" s="173"/>
      <c r="C1258" s="694">
        <v>1</v>
      </c>
      <c r="D1258" s="695" t="s">
        <v>3903</v>
      </c>
      <c r="E1258" s="695">
        <v>3</v>
      </c>
      <c r="F1258" s="695" t="s">
        <v>4822</v>
      </c>
      <c r="G1258" s="695">
        <v>1</v>
      </c>
      <c r="H1258" s="695" t="s">
        <v>4823</v>
      </c>
      <c r="I1258" s="695">
        <v>95</v>
      </c>
      <c r="J1258" s="695" t="s">
        <v>8769</v>
      </c>
      <c r="K1258" s="695" t="s">
        <v>4045</v>
      </c>
      <c r="L1258" s="696">
        <v>1</v>
      </c>
      <c r="M1258" s="170"/>
    </row>
    <row r="1259" spans="2:13" x14ac:dyDescent="0.2">
      <c r="B1259" s="173"/>
      <c r="C1259" s="694">
        <v>1</v>
      </c>
      <c r="D1259" s="695" t="s">
        <v>3903</v>
      </c>
      <c r="E1259" s="695">
        <v>3</v>
      </c>
      <c r="F1259" s="695" t="s">
        <v>4822</v>
      </c>
      <c r="G1259" s="695">
        <v>1</v>
      </c>
      <c r="H1259" s="695" t="s">
        <v>4823</v>
      </c>
      <c r="I1259" s="695">
        <v>96</v>
      </c>
      <c r="J1259" s="695" t="s">
        <v>8770</v>
      </c>
      <c r="K1259" s="695" t="s">
        <v>8544</v>
      </c>
      <c r="L1259" s="696">
        <v>2</v>
      </c>
      <c r="M1259" s="170"/>
    </row>
    <row r="1260" spans="2:13" x14ac:dyDescent="0.2">
      <c r="B1260" s="173"/>
      <c r="C1260" s="694">
        <v>1</v>
      </c>
      <c r="D1260" s="695" t="s">
        <v>3903</v>
      </c>
      <c r="E1260" s="695">
        <v>3</v>
      </c>
      <c r="F1260" s="695" t="s">
        <v>4822</v>
      </c>
      <c r="G1260" s="695">
        <v>1</v>
      </c>
      <c r="H1260" s="695" t="s">
        <v>4823</v>
      </c>
      <c r="I1260" s="695">
        <v>97</v>
      </c>
      <c r="J1260" s="695" t="s">
        <v>8771</v>
      </c>
      <c r="K1260" s="695" t="s">
        <v>8544</v>
      </c>
      <c r="L1260" s="696">
        <v>0</v>
      </c>
      <c r="M1260" s="170"/>
    </row>
    <row r="1261" spans="2:13" x14ac:dyDescent="0.2">
      <c r="B1261" s="173"/>
      <c r="C1261" s="694">
        <v>1</v>
      </c>
      <c r="D1261" s="695" t="s">
        <v>3903</v>
      </c>
      <c r="E1261" s="695">
        <v>3</v>
      </c>
      <c r="F1261" s="695" t="s">
        <v>4822</v>
      </c>
      <c r="G1261" s="695">
        <v>1</v>
      </c>
      <c r="H1261" s="695" t="s">
        <v>4823</v>
      </c>
      <c r="I1261" s="695">
        <v>98</v>
      </c>
      <c r="J1261" s="695" t="s">
        <v>8772</v>
      </c>
      <c r="K1261" s="695" t="s">
        <v>8773</v>
      </c>
      <c r="L1261" s="696">
        <v>1</v>
      </c>
      <c r="M1261" s="170"/>
    </row>
    <row r="1262" spans="2:13" x14ac:dyDescent="0.2">
      <c r="B1262" s="173"/>
      <c r="C1262" s="694">
        <v>1</v>
      </c>
      <c r="D1262" s="695" t="s">
        <v>3903</v>
      </c>
      <c r="E1262" s="695">
        <v>3</v>
      </c>
      <c r="F1262" s="695" t="s">
        <v>4822</v>
      </c>
      <c r="G1262" s="695">
        <v>1</v>
      </c>
      <c r="H1262" s="695" t="s">
        <v>4823</v>
      </c>
      <c r="I1262" s="695">
        <v>99</v>
      </c>
      <c r="J1262" s="695" t="s">
        <v>8774</v>
      </c>
      <c r="K1262" s="695" t="s">
        <v>8544</v>
      </c>
      <c r="L1262" s="696">
        <v>0</v>
      </c>
      <c r="M1262" s="170"/>
    </row>
    <row r="1263" spans="2:13" x14ac:dyDescent="0.2">
      <c r="B1263" s="173"/>
      <c r="C1263" s="694">
        <v>1</v>
      </c>
      <c r="D1263" s="695" t="s">
        <v>3903</v>
      </c>
      <c r="E1263" s="695">
        <v>3</v>
      </c>
      <c r="F1263" s="695" t="s">
        <v>4822</v>
      </c>
      <c r="G1263" s="695">
        <v>2</v>
      </c>
      <c r="H1263" s="695" t="s">
        <v>4908</v>
      </c>
      <c r="I1263" s="695">
        <v>1</v>
      </c>
      <c r="J1263" s="695" t="s">
        <v>4909</v>
      </c>
      <c r="K1263" s="695" t="s">
        <v>3907</v>
      </c>
      <c r="L1263" s="696">
        <v>16</v>
      </c>
      <c r="M1263" s="170"/>
    </row>
    <row r="1264" spans="2:13" x14ac:dyDescent="0.2">
      <c r="B1264" s="173"/>
      <c r="C1264" s="694">
        <v>1</v>
      </c>
      <c r="D1264" s="695" t="s">
        <v>3903</v>
      </c>
      <c r="E1264" s="695">
        <v>3</v>
      </c>
      <c r="F1264" s="695" t="s">
        <v>4822</v>
      </c>
      <c r="G1264" s="695">
        <v>2</v>
      </c>
      <c r="H1264" s="695" t="s">
        <v>4908</v>
      </c>
      <c r="I1264" s="695">
        <v>2</v>
      </c>
      <c r="J1264" s="695" t="s">
        <v>4910</v>
      </c>
      <c r="K1264" s="695" t="s">
        <v>3907</v>
      </c>
      <c r="L1264" s="696">
        <v>19</v>
      </c>
      <c r="M1264" s="170"/>
    </row>
    <row r="1265" spans="2:13" x14ac:dyDescent="0.2">
      <c r="B1265" s="173"/>
      <c r="C1265" s="694">
        <v>1</v>
      </c>
      <c r="D1265" s="695" t="s">
        <v>3903</v>
      </c>
      <c r="E1265" s="695">
        <v>3</v>
      </c>
      <c r="F1265" s="695" t="s">
        <v>4822</v>
      </c>
      <c r="G1265" s="695">
        <v>2</v>
      </c>
      <c r="H1265" s="695" t="s">
        <v>4908</v>
      </c>
      <c r="I1265" s="695">
        <v>3</v>
      </c>
      <c r="J1265" s="695" t="s">
        <v>4911</v>
      </c>
      <c r="K1265" s="695" t="s">
        <v>3907</v>
      </c>
      <c r="L1265" s="696">
        <v>543</v>
      </c>
      <c r="M1265" s="170"/>
    </row>
    <row r="1266" spans="2:13" x14ac:dyDescent="0.2">
      <c r="B1266" s="173"/>
      <c r="C1266" s="694">
        <v>1</v>
      </c>
      <c r="D1266" s="695" t="s">
        <v>3903</v>
      </c>
      <c r="E1266" s="695">
        <v>3</v>
      </c>
      <c r="F1266" s="695" t="s">
        <v>4822</v>
      </c>
      <c r="G1266" s="695">
        <v>2</v>
      </c>
      <c r="H1266" s="695" t="s">
        <v>4908</v>
      </c>
      <c r="I1266" s="695">
        <v>4</v>
      </c>
      <c r="J1266" s="695" t="s">
        <v>4912</v>
      </c>
      <c r="K1266" s="695" t="s">
        <v>3907</v>
      </c>
      <c r="L1266" s="696">
        <v>20</v>
      </c>
      <c r="M1266" s="170"/>
    </row>
    <row r="1267" spans="2:13" x14ac:dyDescent="0.2">
      <c r="B1267" s="173"/>
      <c r="C1267" s="694">
        <v>1</v>
      </c>
      <c r="D1267" s="695" t="s">
        <v>3903</v>
      </c>
      <c r="E1267" s="695">
        <v>3</v>
      </c>
      <c r="F1267" s="695" t="s">
        <v>4822</v>
      </c>
      <c r="G1267" s="695">
        <v>2</v>
      </c>
      <c r="H1267" s="695" t="s">
        <v>4908</v>
      </c>
      <c r="I1267" s="695">
        <v>5</v>
      </c>
      <c r="J1267" s="695" t="s">
        <v>4913</v>
      </c>
      <c r="K1267" s="695" t="s">
        <v>3907</v>
      </c>
      <c r="L1267" s="696">
        <v>76</v>
      </c>
      <c r="M1267" s="170"/>
    </row>
    <row r="1268" spans="2:13" x14ac:dyDescent="0.2">
      <c r="B1268" s="173"/>
      <c r="C1268" s="694">
        <v>1</v>
      </c>
      <c r="D1268" s="695" t="s">
        <v>3903</v>
      </c>
      <c r="E1268" s="695">
        <v>3</v>
      </c>
      <c r="F1268" s="695" t="s">
        <v>4822</v>
      </c>
      <c r="G1268" s="695">
        <v>2</v>
      </c>
      <c r="H1268" s="695" t="s">
        <v>4908</v>
      </c>
      <c r="I1268" s="695">
        <v>6</v>
      </c>
      <c r="J1268" s="695" t="s">
        <v>4914</v>
      </c>
      <c r="K1268" s="695" t="s">
        <v>3907</v>
      </c>
      <c r="L1268" s="696">
        <v>55</v>
      </c>
      <c r="M1268" s="170"/>
    </row>
    <row r="1269" spans="2:13" x14ac:dyDescent="0.2">
      <c r="B1269" s="173"/>
      <c r="C1269" s="694">
        <v>1</v>
      </c>
      <c r="D1269" s="695" t="s">
        <v>3903</v>
      </c>
      <c r="E1269" s="695">
        <v>3</v>
      </c>
      <c r="F1269" s="695" t="s">
        <v>4822</v>
      </c>
      <c r="G1269" s="695">
        <v>2</v>
      </c>
      <c r="H1269" s="695" t="s">
        <v>4908</v>
      </c>
      <c r="I1269" s="695">
        <v>7</v>
      </c>
      <c r="J1269" s="695" t="s">
        <v>8775</v>
      </c>
      <c r="K1269" s="695" t="s">
        <v>3907</v>
      </c>
      <c r="L1269" s="696">
        <v>19</v>
      </c>
      <c r="M1269" s="170"/>
    </row>
    <row r="1270" spans="2:13" x14ac:dyDescent="0.2">
      <c r="B1270" s="173"/>
      <c r="C1270" s="694">
        <v>1</v>
      </c>
      <c r="D1270" s="695" t="s">
        <v>3903</v>
      </c>
      <c r="E1270" s="695">
        <v>3</v>
      </c>
      <c r="F1270" s="695" t="s">
        <v>4822</v>
      </c>
      <c r="G1270" s="695">
        <v>2</v>
      </c>
      <c r="H1270" s="695" t="s">
        <v>4908</v>
      </c>
      <c r="I1270" s="695">
        <v>8</v>
      </c>
      <c r="J1270" s="695" t="s">
        <v>4915</v>
      </c>
      <c r="K1270" s="695" t="s">
        <v>3907</v>
      </c>
      <c r="L1270" s="696">
        <v>82</v>
      </c>
      <c r="M1270" s="170"/>
    </row>
    <row r="1271" spans="2:13" x14ac:dyDescent="0.2">
      <c r="B1271" s="173"/>
      <c r="C1271" s="694">
        <v>1</v>
      </c>
      <c r="D1271" s="695" t="s">
        <v>3903</v>
      </c>
      <c r="E1271" s="695">
        <v>3</v>
      </c>
      <c r="F1271" s="695" t="s">
        <v>4822</v>
      </c>
      <c r="G1271" s="695">
        <v>2</v>
      </c>
      <c r="H1271" s="695" t="s">
        <v>4908</v>
      </c>
      <c r="I1271" s="695">
        <v>9</v>
      </c>
      <c r="J1271" s="695" t="s">
        <v>4916</v>
      </c>
      <c r="K1271" s="695" t="s">
        <v>3907</v>
      </c>
      <c r="L1271" s="696">
        <v>7087</v>
      </c>
      <c r="M1271" s="170"/>
    </row>
    <row r="1272" spans="2:13" x14ac:dyDescent="0.2">
      <c r="B1272" s="173"/>
      <c r="C1272" s="694">
        <v>1</v>
      </c>
      <c r="D1272" s="695" t="s">
        <v>3903</v>
      </c>
      <c r="E1272" s="695">
        <v>3</v>
      </c>
      <c r="F1272" s="695" t="s">
        <v>4822</v>
      </c>
      <c r="G1272" s="695">
        <v>2</v>
      </c>
      <c r="H1272" s="695" t="s">
        <v>4908</v>
      </c>
      <c r="I1272" s="695">
        <v>10</v>
      </c>
      <c r="J1272" s="695" t="s">
        <v>4917</v>
      </c>
      <c r="K1272" s="695" t="s">
        <v>3907</v>
      </c>
      <c r="L1272" s="696">
        <v>2586</v>
      </c>
      <c r="M1272" s="170"/>
    </row>
    <row r="1273" spans="2:13" x14ac:dyDescent="0.2">
      <c r="B1273" s="173"/>
      <c r="C1273" s="694">
        <v>1</v>
      </c>
      <c r="D1273" s="695" t="s">
        <v>3903</v>
      </c>
      <c r="E1273" s="695">
        <v>3</v>
      </c>
      <c r="F1273" s="695" t="s">
        <v>4822</v>
      </c>
      <c r="G1273" s="695">
        <v>2</v>
      </c>
      <c r="H1273" s="695" t="s">
        <v>4908</v>
      </c>
      <c r="I1273" s="695">
        <v>11</v>
      </c>
      <c r="J1273" s="695" t="s">
        <v>4918</v>
      </c>
      <c r="K1273" s="695" t="s">
        <v>3907</v>
      </c>
      <c r="L1273" s="696">
        <v>9451</v>
      </c>
      <c r="M1273" s="170"/>
    </row>
    <row r="1274" spans="2:13" x14ac:dyDescent="0.2">
      <c r="B1274" s="173"/>
      <c r="C1274" s="694">
        <v>1</v>
      </c>
      <c r="D1274" s="695" t="s">
        <v>3903</v>
      </c>
      <c r="E1274" s="695">
        <v>3</v>
      </c>
      <c r="F1274" s="695" t="s">
        <v>4822</v>
      </c>
      <c r="G1274" s="695">
        <v>2</v>
      </c>
      <c r="H1274" s="695" t="s">
        <v>4908</v>
      </c>
      <c r="I1274" s="695">
        <v>12</v>
      </c>
      <c r="J1274" s="695" t="s">
        <v>4919</v>
      </c>
      <c r="K1274" s="695" t="s">
        <v>3907</v>
      </c>
      <c r="L1274" s="696">
        <v>12903</v>
      </c>
      <c r="M1274" s="170"/>
    </row>
    <row r="1275" spans="2:13" x14ac:dyDescent="0.2">
      <c r="B1275" s="173"/>
      <c r="C1275" s="694">
        <v>1</v>
      </c>
      <c r="D1275" s="695" t="s">
        <v>3903</v>
      </c>
      <c r="E1275" s="695">
        <v>3</v>
      </c>
      <c r="F1275" s="695" t="s">
        <v>4822</v>
      </c>
      <c r="G1275" s="695">
        <v>2</v>
      </c>
      <c r="H1275" s="695" t="s">
        <v>4908</v>
      </c>
      <c r="I1275" s="695">
        <v>13</v>
      </c>
      <c r="J1275" s="695" t="s">
        <v>4920</v>
      </c>
      <c r="K1275" s="695" t="s">
        <v>3907</v>
      </c>
      <c r="L1275" s="696">
        <v>53</v>
      </c>
      <c r="M1275" s="170"/>
    </row>
    <row r="1276" spans="2:13" x14ac:dyDescent="0.2">
      <c r="B1276" s="173"/>
      <c r="C1276" s="694">
        <v>1</v>
      </c>
      <c r="D1276" s="695" t="s">
        <v>3903</v>
      </c>
      <c r="E1276" s="695">
        <v>3</v>
      </c>
      <c r="F1276" s="695" t="s">
        <v>4822</v>
      </c>
      <c r="G1276" s="695">
        <v>2</v>
      </c>
      <c r="H1276" s="695" t="s">
        <v>4908</v>
      </c>
      <c r="I1276" s="695">
        <v>14</v>
      </c>
      <c r="J1276" s="695" t="s">
        <v>4921</v>
      </c>
      <c r="K1276" s="695" t="s">
        <v>3907</v>
      </c>
      <c r="L1276" s="696">
        <v>14</v>
      </c>
      <c r="M1276" s="170"/>
    </row>
    <row r="1277" spans="2:13" x14ac:dyDescent="0.2">
      <c r="B1277" s="173"/>
      <c r="C1277" s="694">
        <v>1</v>
      </c>
      <c r="D1277" s="695" t="s">
        <v>3903</v>
      </c>
      <c r="E1277" s="695">
        <v>3</v>
      </c>
      <c r="F1277" s="695" t="s">
        <v>4822</v>
      </c>
      <c r="G1277" s="695">
        <v>2</v>
      </c>
      <c r="H1277" s="695" t="s">
        <v>4908</v>
      </c>
      <c r="I1277" s="695">
        <v>15</v>
      </c>
      <c r="J1277" s="695" t="s">
        <v>4922</v>
      </c>
      <c r="K1277" s="695" t="s">
        <v>3907</v>
      </c>
      <c r="L1277" s="696">
        <v>1</v>
      </c>
      <c r="M1277" s="170"/>
    </row>
    <row r="1278" spans="2:13" x14ac:dyDescent="0.2">
      <c r="B1278" s="173"/>
      <c r="C1278" s="694">
        <v>1</v>
      </c>
      <c r="D1278" s="695" t="s">
        <v>3903</v>
      </c>
      <c r="E1278" s="695">
        <v>3</v>
      </c>
      <c r="F1278" s="695" t="s">
        <v>4822</v>
      </c>
      <c r="G1278" s="695">
        <v>2</v>
      </c>
      <c r="H1278" s="695" t="s">
        <v>4908</v>
      </c>
      <c r="I1278" s="695">
        <v>16</v>
      </c>
      <c r="J1278" s="695" t="s">
        <v>4923</v>
      </c>
      <c r="K1278" s="695" t="s">
        <v>3985</v>
      </c>
      <c r="L1278" s="696">
        <v>8843</v>
      </c>
      <c r="M1278" s="170"/>
    </row>
    <row r="1279" spans="2:13" x14ac:dyDescent="0.2">
      <c r="B1279" s="173"/>
      <c r="C1279" s="694">
        <v>1</v>
      </c>
      <c r="D1279" s="695" t="s">
        <v>3903</v>
      </c>
      <c r="E1279" s="695">
        <v>3</v>
      </c>
      <c r="F1279" s="695" t="s">
        <v>4822</v>
      </c>
      <c r="G1279" s="695">
        <v>2</v>
      </c>
      <c r="H1279" s="695" t="s">
        <v>4908</v>
      </c>
      <c r="I1279" s="695">
        <v>17</v>
      </c>
      <c r="J1279" s="695" t="s">
        <v>4924</v>
      </c>
      <c r="K1279" s="695" t="s">
        <v>3985</v>
      </c>
      <c r="L1279" s="696">
        <v>30</v>
      </c>
      <c r="M1279" s="170"/>
    </row>
    <row r="1280" spans="2:13" x14ac:dyDescent="0.2">
      <c r="B1280" s="173"/>
      <c r="C1280" s="694">
        <v>1</v>
      </c>
      <c r="D1280" s="695" t="s">
        <v>3903</v>
      </c>
      <c r="E1280" s="695">
        <v>3</v>
      </c>
      <c r="F1280" s="695" t="s">
        <v>4822</v>
      </c>
      <c r="G1280" s="695">
        <v>2</v>
      </c>
      <c r="H1280" s="695" t="s">
        <v>4908</v>
      </c>
      <c r="I1280" s="695">
        <v>18</v>
      </c>
      <c r="J1280" s="695" t="s">
        <v>4925</v>
      </c>
      <c r="K1280" s="695" t="s">
        <v>8544</v>
      </c>
      <c r="L1280" s="696">
        <v>190</v>
      </c>
      <c r="M1280" s="170"/>
    </row>
    <row r="1281" spans="2:13" x14ac:dyDescent="0.2">
      <c r="B1281" s="173"/>
      <c r="C1281" s="694">
        <v>1</v>
      </c>
      <c r="D1281" s="695" t="s">
        <v>3903</v>
      </c>
      <c r="E1281" s="695">
        <v>3</v>
      </c>
      <c r="F1281" s="695" t="s">
        <v>4822</v>
      </c>
      <c r="G1281" s="695">
        <v>2</v>
      </c>
      <c r="H1281" s="695" t="s">
        <v>4908</v>
      </c>
      <c r="I1281" s="695">
        <v>19</v>
      </c>
      <c r="J1281" s="695" t="s">
        <v>4926</v>
      </c>
      <c r="K1281" s="695" t="s">
        <v>8544</v>
      </c>
      <c r="L1281" s="696">
        <v>62</v>
      </c>
      <c r="M1281" s="170"/>
    </row>
    <row r="1282" spans="2:13" x14ac:dyDescent="0.2">
      <c r="B1282" s="173"/>
      <c r="C1282" s="694">
        <v>1</v>
      </c>
      <c r="D1282" s="695" t="s">
        <v>3903</v>
      </c>
      <c r="E1282" s="695">
        <v>3</v>
      </c>
      <c r="F1282" s="695" t="s">
        <v>4822</v>
      </c>
      <c r="G1282" s="695">
        <v>2</v>
      </c>
      <c r="H1282" s="695" t="s">
        <v>4908</v>
      </c>
      <c r="I1282" s="695">
        <v>20</v>
      </c>
      <c r="J1282" s="695" t="s">
        <v>4927</v>
      </c>
      <c r="K1282" s="695" t="s">
        <v>8544</v>
      </c>
      <c r="L1282" s="696">
        <v>97</v>
      </c>
      <c r="M1282" s="170"/>
    </row>
    <row r="1283" spans="2:13" x14ac:dyDescent="0.2">
      <c r="B1283" s="173"/>
      <c r="C1283" s="694">
        <v>1</v>
      </c>
      <c r="D1283" s="695" t="s">
        <v>3903</v>
      </c>
      <c r="E1283" s="695">
        <v>3</v>
      </c>
      <c r="F1283" s="695" t="s">
        <v>4822</v>
      </c>
      <c r="G1283" s="695">
        <v>2</v>
      </c>
      <c r="H1283" s="695" t="s">
        <v>4908</v>
      </c>
      <c r="I1283" s="695">
        <v>21</v>
      </c>
      <c r="J1283" s="695" t="s">
        <v>4928</v>
      </c>
      <c r="K1283" s="695" t="s">
        <v>8544</v>
      </c>
      <c r="L1283" s="696">
        <v>55</v>
      </c>
      <c r="M1283" s="170"/>
    </row>
    <row r="1284" spans="2:13" x14ac:dyDescent="0.2">
      <c r="B1284" s="173"/>
      <c r="C1284" s="694">
        <v>1</v>
      </c>
      <c r="D1284" s="695" t="s">
        <v>3903</v>
      </c>
      <c r="E1284" s="695">
        <v>3</v>
      </c>
      <c r="F1284" s="695" t="s">
        <v>4822</v>
      </c>
      <c r="G1284" s="695">
        <v>2</v>
      </c>
      <c r="H1284" s="695" t="s">
        <v>4908</v>
      </c>
      <c r="I1284" s="695">
        <v>22</v>
      </c>
      <c r="J1284" s="695" t="s">
        <v>4690</v>
      </c>
      <c r="K1284" s="695" t="s">
        <v>8544</v>
      </c>
      <c r="L1284" s="696">
        <v>17</v>
      </c>
      <c r="M1284" s="170"/>
    </row>
    <row r="1285" spans="2:13" x14ac:dyDescent="0.2">
      <c r="B1285" s="173"/>
      <c r="C1285" s="694">
        <v>1</v>
      </c>
      <c r="D1285" s="695" t="s">
        <v>3903</v>
      </c>
      <c r="E1285" s="695">
        <v>3</v>
      </c>
      <c r="F1285" s="695" t="s">
        <v>4822</v>
      </c>
      <c r="G1285" s="695">
        <v>2</v>
      </c>
      <c r="H1285" s="695" t="s">
        <v>4908</v>
      </c>
      <c r="I1285" s="695">
        <v>23</v>
      </c>
      <c r="J1285" s="695" t="s">
        <v>4929</v>
      </c>
      <c r="K1285" s="695" t="s">
        <v>8544</v>
      </c>
      <c r="L1285" s="696">
        <v>4</v>
      </c>
      <c r="M1285" s="170"/>
    </row>
    <row r="1286" spans="2:13" x14ac:dyDescent="0.2">
      <c r="B1286" s="173"/>
      <c r="C1286" s="694">
        <v>1</v>
      </c>
      <c r="D1286" s="695" t="s">
        <v>3903</v>
      </c>
      <c r="E1286" s="695">
        <v>3</v>
      </c>
      <c r="F1286" s="695" t="s">
        <v>4822</v>
      </c>
      <c r="G1286" s="695">
        <v>2</v>
      </c>
      <c r="H1286" s="695" t="s">
        <v>4908</v>
      </c>
      <c r="I1286" s="695">
        <v>24</v>
      </c>
      <c r="J1286" s="695" t="s">
        <v>4930</v>
      </c>
      <c r="K1286" s="695" t="s">
        <v>8544</v>
      </c>
      <c r="L1286" s="696">
        <v>7</v>
      </c>
      <c r="M1286" s="170"/>
    </row>
    <row r="1287" spans="2:13" x14ac:dyDescent="0.2">
      <c r="B1287" s="173"/>
      <c r="C1287" s="694">
        <v>1</v>
      </c>
      <c r="D1287" s="695" t="s">
        <v>3903</v>
      </c>
      <c r="E1287" s="695">
        <v>3</v>
      </c>
      <c r="F1287" s="695" t="s">
        <v>4822</v>
      </c>
      <c r="G1287" s="695">
        <v>2</v>
      </c>
      <c r="H1287" s="695" t="s">
        <v>4908</v>
      </c>
      <c r="I1287" s="695">
        <v>25</v>
      </c>
      <c r="J1287" s="695" t="s">
        <v>4931</v>
      </c>
      <c r="K1287" s="695" t="s">
        <v>8544</v>
      </c>
      <c r="L1287" s="696">
        <v>2</v>
      </c>
      <c r="M1287" s="170"/>
    </row>
    <row r="1288" spans="2:13" x14ac:dyDescent="0.2">
      <c r="B1288" s="173"/>
      <c r="C1288" s="694">
        <v>1</v>
      </c>
      <c r="D1288" s="695" t="s">
        <v>3903</v>
      </c>
      <c r="E1288" s="695">
        <v>3</v>
      </c>
      <c r="F1288" s="695" t="s">
        <v>4822</v>
      </c>
      <c r="G1288" s="695">
        <v>2</v>
      </c>
      <c r="H1288" s="695" t="s">
        <v>4908</v>
      </c>
      <c r="I1288" s="695">
        <v>26</v>
      </c>
      <c r="J1288" s="695" t="s">
        <v>4932</v>
      </c>
      <c r="K1288" s="695" t="s">
        <v>8544</v>
      </c>
      <c r="L1288" s="696">
        <v>15</v>
      </c>
      <c r="M1288" s="170"/>
    </row>
    <row r="1289" spans="2:13" x14ac:dyDescent="0.2">
      <c r="B1289" s="173"/>
      <c r="C1289" s="694">
        <v>1</v>
      </c>
      <c r="D1289" s="695" t="s">
        <v>3903</v>
      </c>
      <c r="E1289" s="695">
        <v>3</v>
      </c>
      <c r="F1289" s="695" t="s">
        <v>4822</v>
      </c>
      <c r="G1289" s="695">
        <v>2</v>
      </c>
      <c r="H1289" s="695" t="s">
        <v>4908</v>
      </c>
      <c r="I1289" s="695">
        <v>27</v>
      </c>
      <c r="J1289" s="695" t="s">
        <v>4933</v>
      </c>
      <c r="K1289" s="695" t="s">
        <v>8544</v>
      </c>
      <c r="L1289" s="696">
        <v>668</v>
      </c>
      <c r="M1289" s="170"/>
    </row>
    <row r="1290" spans="2:13" x14ac:dyDescent="0.2">
      <c r="B1290" s="173"/>
      <c r="C1290" s="694">
        <v>1</v>
      </c>
      <c r="D1290" s="695" t="s">
        <v>3903</v>
      </c>
      <c r="E1290" s="695">
        <v>3</v>
      </c>
      <c r="F1290" s="695" t="s">
        <v>4822</v>
      </c>
      <c r="G1290" s="695">
        <v>2</v>
      </c>
      <c r="H1290" s="695" t="s">
        <v>4908</v>
      </c>
      <c r="I1290" s="695">
        <v>28</v>
      </c>
      <c r="J1290" s="695" t="s">
        <v>4934</v>
      </c>
      <c r="K1290" s="695" t="s">
        <v>8544</v>
      </c>
      <c r="L1290" s="696">
        <v>14</v>
      </c>
      <c r="M1290" s="170"/>
    </row>
    <row r="1291" spans="2:13" x14ac:dyDescent="0.2">
      <c r="B1291" s="173"/>
      <c r="C1291" s="694">
        <v>1</v>
      </c>
      <c r="D1291" s="695" t="s">
        <v>3903</v>
      </c>
      <c r="E1291" s="695">
        <v>3</v>
      </c>
      <c r="F1291" s="695" t="s">
        <v>4822</v>
      </c>
      <c r="G1291" s="695">
        <v>2</v>
      </c>
      <c r="H1291" s="695" t="s">
        <v>4908</v>
      </c>
      <c r="I1291" s="695">
        <v>29</v>
      </c>
      <c r="J1291" s="695" t="s">
        <v>4935</v>
      </c>
      <c r="K1291" s="695" t="s">
        <v>8544</v>
      </c>
      <c r="L1291" s="696">
        <v>4</v>
      </c>
      <c r="M1291" s="170"/>
    </row>
    <row r="1292" spans="2:13" x14ac:dyDescent="0.2">
      <c r="B1292" s="173"/>
      <c r="C1292" s="694">
        <v>1</v>
      </c>
      <c r="D1292" s="695" t="s">
        <v>3903</v>
      </c>
      <c r="E1292" s="695">
        <v>3</v>
      </c>
      <c r="F1292" s="695" t="s">
        <v>4822</v>
      </c>
      <c r="G1292" s="695">
        <v>2</v>
      </c>
      <c r="H1292" s="695" t="s">
        <v>4908</v>
      </c>
      <c r="I1292" s="695">
        <v>30</v>
      </c>
      <c r="J1292" s="695" t="s">
        <v>4930</v>
      </c>
      <c r="K1292" s="695" t="s">
        <v>8544</v>
      </c>
      <c r="L1292" s="696">
        <v>6</v>
      </c>
      <c r="M1292" s="170"/>
    </row>
    <row r="1293" spans="2:13" x14ac:dyDescent="0.2">
      <c r="B1293" s="173"/>
      <c r="C1293" s="694">
        <v>1</v>
      </c>
      <c r="D1293" s="695" t="s">
        <v>3903</v>
      </c>
      <c r="E1293" s="695">
        <v>3</v>
      </c>
      <c r="F1293" s="695" t="s">
        <v>4822</v>
      </c>
      <c r="G1293" s="695">
        <v>2</v>
      </c>
      <c r="H1293" s="695" t="s">
        <v>4908</v>
      </c>
      <c r="I1293" s="695">
        <v>31</v>
      </c>
      <c r="J1293" s="695" t="s">
        <v>4936</v>
      </c>
      <c r="K1293" s="695" t="s">
        <v>8544</v>
      </c>
      <c r="L1293" s="696">
        <v>35</v>
      </c>
      <c r="M1293" s="170"/>
    </row>
    <row r="1294" spans="2:13" x14ac:dyDescent="0.2">
      <c r="B1294" s="173"/>
      <c r="C1294" s="694">
        <v>1</v>
      </c>
      <c r="D1294" s="695" t="s">
        <v>3903</v>
      </c>
      <c r="E1294" s="695">
        <v>3</v>
      </c>
      <c r="F1294" s="695" t="s">
        <v>4822</v>
      </c>
      <c r="G1294" s="695">
        <v>2</v>
      </c>
      <c r="H1294" s="695" t="s">
        <v>4908</v>
      </c>
      <c r="I1294" s="695">
        <v>32</v>
      </c>
      <c r="J1294" s="695" t="s">
        <v>4937</v>
      </c>
      <c r="K1294" s="695" t="s">
        <v>8544</v>
      </c>
      <c r="L1294" s="696">
        <v>97</v>
      </c>
      <c r="M1294" s="170"/>
    </row>
    <row r="1295" spans="2:13" x14ac:dyDescent="0.2">
      <c r="B1295" s="173"/>
      <c r="C1295" s="694">
        <v>1</v>
      </c>
      <c r="D1295" s="695" t="s">
        <v>3903</v>
      </c>
      <c r="E1295" s="695">
        <v>3</v>
      </c>
      <c r="F1295" s="695" t="s">
        <v>4822</v>
      </c>
      <c r="G1295" s="695">
        <v>2</v>
      </c>
      <c r="H1295" s="695" t="s">
        <v>4908</v>
      </c>
      <c r="I1295" s="695">
        <v>33</v>
      </c>
      <c r="J1295" s="695" t="s">
        <v>4938</v>
      </c>
      <c r="K1295" s="695" t="s">
        <v>8544</v>
      </c>
      <c r="L1295" s="696">
        <v>28</v>
      </c>
      <c r="M1295" s="170"/>
    </row>
    <row r="1296" spans="2:13" x14ac:dyDescent="0.2">
      <c r="B1296" s="173"/>
      <c r="C1296" s="694">
        <v>1</v>
      </c>
      <c r="D1296" s="695" t="s">
        <v>3903</v>
      </c>
      <c r="E1296" s="695">
        <v>3</v>
      </c>
      <c r="F1296" s="695" t="s">
        <v>4822</v>
      </c>
      <c r="G1296" s="695">
        <v>2</v>
      </c>
      <c r="H1296" s="695" t="s">
        <v>4908</v>
      </c>
      <c r="I1296" s="695">
        <v>34</v>
      </c>
      <c r="J1296" s="695" t="s">
        <v>4939</v>
      </c>
      <c r="K1296" s="695" t="s">
        <v>8544</v>
      </c>
      <c r="L1296" s="696">
        <v>216</v>
      </c>
      <c r="M1296" s="170"/>
    </row>
    <row r="1297" spans="2:13" x14ac:dyDescent="0.2">
      <c r="B1297" s="173"/>
      <c r="C1297" s="694">
        <v>1</v>
      </c>
      <c r="D1297" s="695" t="s">
        <v>3903</v>
      </c>
      <c r="E1297" s="695">
        <v>3</v>
      </c>
      <c r="F1297" s="695" t="s">
        <v>4822</v>
      </c>
      <c r="G1297" s="695">
        <v>2</v>
      </c>
      <c r="H1297" s="695" t="s">
        <v>4908</v>
      </c>
      <c r="I1297" s="695">
        <v>35</v>
      </c>
      <c r="J1297" s="695" t="s">
        <v>4940</v>
      </c>
      <c r="K1297" s="695" t="s">
        <v>8544</v>
      </c>
      <c r="L1297" s="696">
        <v>50</v>
      </c>
      <c r="M1297" s="170"/>
    </row>
    <row r="1298" spans="2:13" x14ac:dyDescent="0.2">
      <c r="B1298" s="173"/>
      <c r="C1298" s="694">
        <v>1</v>
      </c>
      <c r="D1298" s="695" t="s">
        <v>3903</v>
      </c>
      <c r="E1298" s="695">
        <v>3</v>
      </c>
      <c r="F1298" s="695" t="s">
        <v>4822</v>
      </c>
      <c r="G1298" s="695">
        <v>2</v>
      </c>
      <c r="H1298" s="695" t="s">
        <v>4908</v>
      </c>
      <c r="I1298" s="695">
        <v>36</v>
      </c>
      <c r="J1298" s="695" t="s">
        <v>4941</v>
      </c>
      <c r="K1298" s="695" t="s">
        <v>8544</v>
      </c>
      <c r="L1298" s="696">
        <v>91</v>
      </c>
      <c r="M1298" s="170"/>
    </row>
    <row r="1299" spans="2:13" x14ac:dyDescent="0.2">
      <c r="B1299" s="173"/>
      <c r="C1299" s="694">
        <v>1</v>
      </c>
      <c r="D1299" s="695" t="s">
        <v>3903</v>
      </c>
      <c r="E1299" s="695">
        <v>3</v>
      </c>
      <c r="F1299" s="695" t="s">
        <v>4822</v>
      </c>
      <c r="G1299" s="695">
        <v>2</v>
      </c>
      <c r="H1299" s="695" t="s">
        <v>4908</v>
      </c>
      <c r="I1299" s="695">
        <v>37</v>
      </c>
      <c r="J1299" s="695" t="s">
        <v>4942</v>
      </c>
      <c r="K1299" s="695" t="s">
        <v>8544</v>
      </c>
      <c r="L1299" s="696">
        <v>40</v>
      </c>
      <c r="M1299" s="170"/>
    </row>
    <row r="1300" spans="2:13" x14ac:dyDescent="0.2">
      <c r="B1300" s="173"/>
      <c r="C1300" s="694">
        <v>1</v>
      </c>
      <c r="D1300" s="695" t="s">
        <v>3903</v>
      </c>
      <c r="E1300" s="695">
        <v>3</v>
      </c>
      <c r="F1300" s="695" t="s">
        <v>4822</v>
      </c>
      <c r="G1300" s="695">
        <v>2</v>
      </c>
      <c r="H1300" s="695" t="s">
        <v>4908</v>
      </c>
      <c r="I1300" s="695">
        <v>38</v>
      </c>
      <c r="J1300" s="695" t="s">
        <v>4943</v>
      </c>
      <c r="K1300" s="695" t="s">
        <v>8544</v>
      </c>
      <c r="L1300" s="696">
        <v>18</v>
      </c>
      <c r="M1300" s="170"/>
    </row>
    <row r="1301" spans="2:13" x14ac:dyDescent="0.2">
      <c r="B1301" s="173"/>
      <c r="C1301" s="694">
        <v>1</v>
      </c>
      <c r="D1301" s="695" t="s">
        <v>3903</v>
      </c>
      <c r="E1301" s="695">
        <v>3</v>
      </c>
      <c r="F1301" s="695" t="s">
        <v>4822</v>
      </c>
      <c r="G1301" s="695">
        <v>2</v>
      </c>
      <c r="H1301" s="695" t="s">
        <v>4908</v>
      </c>
      <c r="I1301" s="695">
        <v>39</v>
      </c>
      <c r="J1301" s="695" t="s">
        <v>4944</v>
      </c>
      <c r="K1301" s="695" t="s">
        <v>8544</v>
      </c>
      <c r="L1301" s="696">
        <v>198</v>
      </c>
      <c r="M1301" s="170"/>
    </row>
    <row r="1302" spans="2:13" x14ac:dyDescent="0.2">
      <c r="B1302" s="173"/>
      <c r="C1302" s="694">
        <v>1</v>
      </c>
      <c r="D1302" s="695" t="s">
        <v>3903</v>
      </c>
      <c r="E1302" s="695">
        <v>3</v>
      </c>
      <c r="F1302" s="695" t="s">
        <v>4822</v>
      </c>
      <c r="G1302" s="695">
        <v>2</v>
      </c>
      <c r="H1302" s="695" t="s">
        <v>4908</v>
      </c>
      <c r="I1302" s="695">
        <v>40</v>
      </c>
      <c r="J1302" s="695" t="s">
        <v>4945</v>
      </c>
      <c r="K1302" s="695" t="s">
        <v>8544</v>
      </c>
      <c r="L1302" s="696">
        <v>22</v>
      </c>
      <c r="M1302" s="170"/>
    </row>
    <row r="1303" spans="2:13" x14ac:dyDescent="0.2">
      <c r="B1303" s="173"/>
      <c r="C1303" s="694">
        <v>1</v>
      </c>
      <c r="D1303" s="695" t="s">
        <v>3903</v>
      </c>
      <c r="E1303" s="695">
        <v>3</v>
      </c>
      <c r="F1303" s="695" t="s">
        <v>4822</v>
      </c>
      <c r="G1303" s="695">
        <v>2</v>
      </c>
      <c r="H1303" s="695" t="s">
        <v>4908</v>
      </c>
      <c r="I1303" s="695">
        <v>41</v>
      </c>
      <c r="J1303" s="695" t="s">
        <v>4946</v>
      </c>
      <c r="K1303" s="695" t="s">
        <v>8544</v>
      </c>
      <c r="L1303" s="696">
        <v>0</v>
      </c>
      <c r="M1303" s="170"/>
    </row>
    <row r="1304" spans="2:13" x14ac:dyDescent="0.2">
      <c r="B1304" s="173"/>
      <c r="C1304" s="694">
        <v>1</v>
      </c>
      <c r="D1304" s="695" t="s">
        <v>3903</v>
      </c>
      <c r="E1304" s="695">
        <v>3</v>
      </c>
      <c r="F1304" s="695" t="s">
        <v>4822</v>
      </c>
      <c r="G1304" s="695">
        <v>2</v>
      </c>
      <c r="H1304" s="695" t="s">
        <v>4908</v>
      </c>
      <c r="I1304" s="695">
        <v>42</v>
      </c>
      <c r="J1304" s="695" t="s">
        <v>4933</v>
      </c>
      <c r="K1304" s="695" t="s">
        <v>8544</v>
      </c>
      <c r="L1304" s="696">
        <v>403</v>
      </c>
      <c r="M1304" s="170"/>
    </row>
    <row r="1305" spans="2:13" x14ac:dyDescent="0.2">
      <c r="B1305" s="173"/>
      <c r="C1305" s="694">
        <v>1</v>
      </c>
      <c r="D1305" s="695" t="s">
        <v>3903</v>
      </c>
      <c r="E1305" s="695">
        <v>3</v>
      </c>
      <c r="F1305" s="695" t="s">
        <v>4822</v>
      </c>
      <c r="G1305" s="695">
        <v>2</v>
      </c>
      <c r="H1305" s="695" t="s">
        <v>4908</v>
      </c>
      <c r="I1305" s="695">
        <v>43</v>
      </c>
      <c r="J1305" s="695" t="s">
        <v>4947</v>
      </c>
      <c r="K1305" s="695" t="s">
        <v>8544</v>
      </c>
      <c r="L1305" s="696">
        <v>48</v>
      </c>
      <c r="M1305" s="170"/>
    </row>
    <row r="1306" spans="2:13" x14ac:dyDescent="0.2">
      <c r="B1306" s="173"/>
      <c r="C1306" s="694">
        <v>1</v>
      </c>
      <c r="D1306" s="695" t="s">
        <v>3903</v>
      </c>
      <c r="E1306" s="695">
        <v>3</v>
      </c>
      <c r="F1306" s="695" t="s">
        <v>4822</v>
      </c>
      <c r="G1306" s="695">
        <v>2</v>
      </c>
      <c r="H1306" s="695" t="s">
        <v>4908</v>
      </c>
      <c r="I1306" s="695">
        <v>44</v>
      </c>
      <c r="J1306" s="695" t="s">
        <v>4948</v>
      </c>
      <c r="K1306" s="695" t="s">
        <v>8544</v>
      </c>
      <c r="L1306" s="696">
        <v>128</v>
      </c>
      <c r="M1306" s="170"/>
    </row>
    <row r="1307" spans="2:13" x14ac:dyDescent="0.2">
      <c r="B1307" s="173"/>
      <c r="C1307" s="694">
        <v>1</v>
      </c>
      <c r="D1307" s="695" t="s">
        <v>3903</v>
      </c>
      <c r="E1307" s="695">
        <v>3</v>
      </c>
      <c r="F1307" s="695" t="s">
        <v>4822</v>
      </c>
      <c r="G1307" s="695">
        <v>2</v>
      </c>
      <c r="H1307" s="695" t="s">
        <v>4908</v>
      </c>
      <c r="I1307" s="695">
        <v>45</v>
      </c>
      <c r="J1307" s="695" t="s">
        <v>4949</v>
      </c>
      <c r="K1307" s="695" t="s">
        <v>8544</v>
      </c>
      <c r="L1307" s="696">
        <v>34</v>
      </c>
      <c r="M1307" s="170"/>
    </row>
    <row r="1308" spans="2:13" x14ac:dyDescent="0.2">
      <c r="B1308" s="173"/>
      <c r="C1308" s="694">
        <v>1</v>
      </c>
      <c r="D1308" s="695" t="s">
        <v>3903</v>
      </c>
      <c r="E1308" s="695">
        <v>3</v>
      </c>
      <c r="F1308" s="695" t="s">
        <v>4822</v>
      </c>
      <c r="G1308" s="695">
        <v>2</v>
      </c>
      <c r="H1308" s="695" t="s">
        <v>4908</v>
      </c>
      <c r="I1308" s="695">
        <v>46</v>
      </c>
      <c r="J1308" s="695" t="s">
        <v>4950</v>
      </c>
      <c r="K1308" s="695" t="s">
        <v>8544</v>
      </c>
      <c r="L1308" s="696">
        <v>54</v>
      </c>
      <c r="M1308" s="170"/>
    </row>
    <row r="1309" spans="2:13" x14ac:dyDescent="0.2">
      <c r="B1309" s="173"/>
      <c r="C1309" s="694">
        <v>1</v>
      </c>
      <c r="D1309" s="695" t="s">
        <v>3903</v>
      </c>
      <c r="E1309" s="695">
        <v>3</v>
      </c>
      <c r="F1309" s="695" t="s">
        <v>4822</v>
      </c>
      <c r="G1309" s="695">
        <v>2</v>
      </c>
      <c r="H1309" s="695" t="s">
        <v>4908</v>
      </c>
      <c r="I1309" s="695">
        <v>47</v>
      </c>
      <c r="J1309" s="695" t="s">
        <v>4950</v>
      </c>
      <c r="K1309" s="695" t="s">
        <v>8544</v>
      </c>
      <c r="L1309" s="696">
        <v>3</v>
      </c>
      <c r="M1309" s="170"/>
    </row>
    <row r="1310" spans="2:13" x14ac:dyDescent="0.2">
      <c r="B1310" s="173"/>
      <c r="C1310" s="694">
        <v>1</v>
      </c>
      <c r="D1310" s="695" t="s">
        <v>3903</v>
      </c>
      <c r="E1310" s="695">
        <v>3</v>
      </c>
      <c r="F1310" s="695" t="s">
        <v>4822</v>
      </c>
      <c r="G1310" s="695">
        <v>2</v>
      </c>
      <c r="H1310" s="695" t="s">
        <v>4908</v>
      </c>
      <c r="I1310" s="695">
        <v>48</v>
      </c>
      <c r="J1310" s="695" t="s">
        <v>4951</v>
      </c>
      <c r="K1310" s="695" t="s">
        <v>8544</v>
      </c>
      <c r="L1310" s="696">
        <v>194</v>
      </c>
      <c r="M1310" s="170"/>
    </row>
    <row r="1311" spans="2:13" x14ac:dyDescent="0.2">
      <c r="B1311" s="173"/>
      <c r="C1311" s="694">
        <v>1</v>
      </c>
      <c r="D1311" s="695" t="s">
        <v>3903</v>
      </c>
      <c r="E1311" s="695">
        <v>3</v>
      </c>
      <c r="F1311" s="695" t="s">
        <v>4822</v>
      </c>
      <c r="G1311" s="695">
        <v>2</v>
      </c>
      <c r="H1311" s="695" t="s">
        <v>4908</v>
      </c>
      <c r="I1311" s="695">
        <v>49</v>
      </c>
      <c r="J1311" s="695" t="s">
        <v>4924</v>
      </c>
      <c r="K1311" s="695" t="s">
        <v>8544</v>
      </c>
      <c r="L1311" s="696">
        <v>10</v>
      </c>
      <c r="M1311" s="170"/>
    </row>
    <row r="1312" spans="2:13" x14ac:dyDescent="0.2">
      <c r="B1312" s="173"/>
      <c r="C1312" s="694">
        <v>1</v>
      </c>
      <c r="D1312" s="695" t="s">
        <v>3903</v>
      </c>
      <c r="E1312" s="695">
        <v>3</v>
      </c>
      <c r="F1312" s="695" t="s">
        <v>4822</v>
      </c>
      <c r="G1312" s="695">
        <v>2</v>
      </c>
      <c r="H1312" s="695" t="s">
        <v>4908</v>
      </c>
      <c r="I1312" s="695">
        <v>50</v>
      </c>
      <c r="J1312" s="695" t="s">
        <v>4952</v>
      </c>
      <c r="K1312" s="695" t="s">
        <v>8544</v>
      </c>
      <c r="L1312" s="696">
        <v>0</v>
      </c>
      <c r="M1312" s="170"/>
    </row>
    <row r="1313" spans="2:13" x14ac:dyDescent="0.2">
      <c r="B1313" s="173"/>
      <c r="C1313" s="694">
        <v>1</v>
      </c>
      <c r="D1313" s="695" t="s">
        <v>3903</v>
      </c>
      <c r="E1313" s="695">
        <v>3</v>
      </c>
      <c r="F1313" s="695" t="s">
        <v>4822</v>
      </c>
      <c r="G1313" s="695">
        <v>2</v>
      </c>
      <c r="H1313" s="695" t="s">
        <v>4908</v>
      </c>
      <c r="I1313" s="695">
        <v>51</v>
      </c>
      <c r="J1313" s="695" t="s">
        <v>4953</v>
      </c>
      <c r="K1313" s="695" t="s">
        <v>8544</v>
      </c>
      <c r="L1313" s="696">
        <v>453</v>
      </c>
      <c r="M1313" s="170"/>
    </row>
    <row r="1314" spans="2:13" x14ac:dyDescent="0.2">
      <c r="B1314" s="173"/>
      <c r="C1314" s="694">
        <v>1</v>
      </c>
      <c r="D1314" s="695" t="s">
        <v>3903</v>
      </c>
      <c r="E1314" s="695">
        <v>3</v>
      </c>
      <c r="F1314" s="695" t="s">
        <v>4822</v>
      </c>
      <c r="G1314" s="695">
        <v>2</v>
      </c>
      <c r="H1314" s="695" t="s">
        <v>4908</v>
      </c>
      <c r="I1314" s="695">
        <v>52</v>
      </c>
      <c r="J1314" s="695" t="s">
        <v>4954</v>
      </c>
      <c r="K1314" s="695" t="s">
        <v>8544</v>
      </c>
      <c r="L1314" s="696">
        <v>2102</v>
      </c>
      <c r="M1314" s="170"/>
    </row>
    <row r="1315" spans="2:13" x14ac:dyDescent="0.2">
      <c r="B1315" s="173"/>
      <c r="C1315" s="694">
        <v>1</v>
      </c>
      <c r="D1315" s="695" t="s">
        <v>3903</v>
      </c>
      <c r="E1315" s="695">
        <v>3</v>
      </c>
      <c r="F1315" s="695" t="s">
        <v>4822</v>
      </c>
      <c r="G1315" s="695">
        <v>2</v>
      </c>
      <c r="H1315" s="695" t="s">
        <v>4908</v>
      </c>
      <c r="I1315" s="695">
        <v>53</v>
      </c>
      <c r="J1315" s="695" t="s">
        <v>4955</v>
      </c>
      <c r="K1315" s="695" t="s">
        <v>3985</v>
      </c>
      <c r="L1315" s="696">
        <v>27</v>
      </c>
      <c r="M1315" s="170"/>
    </row>
    <row r="1316" spans="2:13" x14ac:dyDescent="0.2">
      <c r="B1316" s="173"/>
      <c r="C1316" s="694">
        <v>1</v>
      </c>
      <c r="D1316" s="695" t="s">
        <v>3903</v>
      </c>
      <c r="E1316" s="695">
        <v>3</v>
      </c>
      <c r="F1316" s="695" t="s">
        <v>4822</v>
      </c>
      <c r="G1316" s="695">
        <v>2</v>
      </c>
      <c r="H1316" s="695" t="s">
        <v>4908</v>
      </c>
      <c r="I1316" s="695">
        <v>54</v>
      </c>
      <c r="J1316" s="695" t="s">
        <v>4956</v>
      </c>
      <c r="K1316" s="695" t="s">
        <v>3985</v>
      </c>
      <c r="L1316" s="696">
        <v>184</v>
      </c>
      <c r="M1316" s="170"/>
    </row>
    <row r="1317" spans="2:13" x14ac:dyDescent="0.2">
      <c r="B1317" s="173"/>
      <c r="C1317" s="694">
        <v>1</v>
      </c>
      <c r="D1317" s="695" t="s">
        <v>3903</v>
      </c>
      <c r="E1317" s="695">
        <v>3</v>
      </c>
      <c r="F1317" s="695" t="s">
        <v>4822</v>
      </c>
      <c r="G1317" s="695">
        <v>2</v>
      </c>
      <c r="H1317" s="695" t="s">
        <v>4908</v>
      </c>
      <c r="I1317" s="695">
        <v>55</v>
      </c>
      <c r="J1317" s="695" t="s">
        <v>4957</v>
      </c>
      <c r="K1317" s="695" t="s">
        <v>8544</v>
      </c>
      <c r="L1317" s="696">
        <v>5</v>
      </c>
      <c r="M1317" s="170"/>
    </row>
    <row r="1318" spans="2:13" x14ac:dyDescent="0.2">
      <c r="B1318" s="173"/>
      <c r="C1318" s="694">
        <v>1</v>
      </c>
      <c r="D1318" s="695" t="s">
        <v>3903</v>
      </c>
      <c r="E1318" s="695">
        <v>3</v>
      </c>
      <c r="F1318" s="695" t="s">
        <v>4822</v>
      </c>
      <c r="G1318" s="695">
        <v>2</v>
      </c>
      <c r="H1318" s="695" t="s">
        <v>4908</v>
      </c>
      <c r="I1318" s="695">
        <v>56</v>
      </c>
      <c r="J1318" s="695" t="s">
        <v>4958</v>
      </c>
      <c r="K1318" s="695" t="s">
        <v>8544</v>
      </c>
      <c r="L1318" s="696">
        <v>3</v>
      </c>
      <c r="M1318" s="170"/>
    </row>
    <row r="1319" spans="2:13" x14ac:dyDescent="0.2">
      <c r="B1319" s="173"/>
      <c r="C1319" s="694">
        <v>1</v>
      </c>
      <c r="D1319" s="695" t="s">
        <v>3903</v>
      </c>
      <c r="E1319" s="695">
        <v>3</v>
      </c>
      <c r="F1319" s="695" t="s">
        <v>4822</v>
      </c>
      <c r="G1319" s="695">
        <v>2</v>
      </c>
      <c r="H1319" s="695" t="s">
        <v>4908</v>
      </c>
      <c r="I1319" s="695">
        <v>57</v>
      </c>
      <c r="J1319" s="695" t="s">
        <v>4959</v>
      </c>
      <c r="K1319" s="695" t="s">
        <v>3985</v>
      </c>
      <c r="L1319" s="696">
        <v>10</v>
      </c>
      <c r="M1319" s="170"/>
    </row>
    <row r="1320" spans="2:13" x14ac:dyDescent="0.2">
      <c r="B1320" s="173"/>
      <c r="C1320" s="694">
        <v>1</v>
      </c>
      <c r="D1320" s="695" t="s">
        <v>3903</v>
      </c>
      <c r="E1320" s="695">
        <v>3</v>
      </c>
      <c r="F1320" s="695" t="s">
        <v>4822</v>
      </c>
      <c r="G1320" s="695">
        <v>2</v>
      </c>
      <c r="H1320" s="695" t="s">
        <v>4908</v>
      </c>
      <c r="I1320" s="695">
        <v>58</v>
      </c>
      <c r="J1320" s="695" t="s">
        <v>4960</v>
      </c>
      <c r="K1320" s="695" t="s">
        <v>3985</v>
      </c>
      <c r="L1320" s="696">
        <v>0</v>
      </c>
      <c r="M1320" s="170"/>
    </row>
    <row r="1321" spans="2:13" x14ac:dyDescent="0.2">
      <c r="B1321" s="173"/>
      <c r="C1321" s="694">
        <v>1</v>
      </c>
      <c r="D1321" s="695" t="s">
        <v>3903</v>
      </c>
      <c r="E1321" s="695">
        <v>3</v>
      </c>
      <c r="F1321" s="695" t="s">
        <v>4822</v>
      </c>
      <c r="G1321" s="695">
        <v>2</v>
      </c>
      <c r="H1321" s="695" t="s">
        <v>4908</v>
      </c>
      <c r="I1321" s="695">
        <v>59</v>
      </c>
      <c r="J1321" s="695" t="s">
        <v>4961</v>
      </c>
      <c r="K1321" s="695" t="s">
        <v>4009</v>
      </c>
      <c r="L1321" s="696">
        <v>2</v>
      </c>
      <c r="M1321" s="170"/>
    </row>
    <row r="1322" spans="2:13" x14ac:dyDescent="0.2">
      <c r="B1322" s="173"/>
      <c r="C1322" s="694">
        <v>1</v>
      </c>
      <c r="D1322" s="695" t="s">
        <v>3903</v>
      </c>
      <c r="E1322" s="695">
        <v>3</v>
      </c>
      <c r="F1322" s="695" t="s">
        <v>4822</v>
      </c>
      <c r="G1322" s="695">
        <v>2</v>
      </c>
      <c r="H1322" s="695" t="s">
        <v>4908</v>
      </c>
      <c r="I1322" s="695">
        <v>60</v>
      </c>
      <c r="J1322" s="695" t="s">
        <v>4962</v>
      </c>
      <c r="K1322" s="695" t="s">
        <v>3907</v>
      </c>
      <c r="L1322" s="696">
        <v>5</v>
      </c>
      <c r="M1322" s="170"/>
    </row>
    <row r="1323" spans="2:13" x14ac:dyDescent="0.2">
      <c r="B1323" s="173"/>
      <c r="C1323" s="694">
        <v>1</v>
      </c>
      <c r="D1323" s="695" t="s">
        <v>3903</v>
      </c>
      <c r="E1323" s="695">
        <v>3</v>
      </c>
      <c r="F1323" s="695" t="s">
        <v>4822</v>
      </c>
      <c r="G1323" s="695">
        <v>2</v>
      </c>
      <c r="H1323" s="695" t="s">
        <v>4908</v>
      </c>
      <c r="I1323" s="695">
        <v>61</v>
      </c>
      <c r="J1323" s="695" t="s">
        <v>4963</v>
      </c>
      <c r="K1323" s="695" t="s">
        <v>8544</v>
      </c>
      <c r="L1323" s="696">
        <v>4</v>
      </c>
      <c r="M1323" s="170"/>
    </row>
    <row r="1324" spans="2:13" x14ac:dyDescent="0.2">
      <c r="B1324" s="173"/>
      <c r="C1324" s="694">
        <v>1</v>
      </c>
      <c r="D1324" s="695" t="s">
        <v>3903</v>
      </c>
      <c r="E1324" s="695">
        <v>3</v>
      </c>
      <c r="F1324" s="695" t="s">
        <v>4822</v>
      </c>
      <c r="G1324" s="695">
        <v>2</v>
      </c>
      <c r="H1324" s="695" t="s">
        <v>4908</v>
      </c>
      <c r="I1324" s="695">
        <v>62</v>
      </c>
      <c r="J1324" s="695" t="s">
        <v>4964</v>
      </c>
      <c r="K1324" s="695" t="s">
        <v>8544</v>
      </c>
      <c r="L1324" s="696">
        <v>4</v>
      </c>
      <c r="M1324" s="170"/>
    </row>
    <row r="1325" spans="2:13" x14ac:dyDescent="0.2">
      <c r="B1325" s="173"/>
      <c r="C1325" s="694">
        <v>1</v>
      </c>
      <c r="D1325" s="695" t="s">
        <v>3903</v>
      </c>
      <c r="E1325" s="695">
        <v>3</v>
      </c>
      <c r="F1325" s="695" t="s">
        <v>4822</v>
      </c>
      <c r="G1325" s="695">
        <v>2</v>
      </c>
      <c r="H1325" s="695" t="s">
        <v>4908</v>
      </c>
      <c r="I1325" s="695">
        <v>63</v>
      </c>
      <c r="J1325" s="695" t="s">
        <v>4965</v>
      </c>
      <c r="K1325" s="695" t="s">
        <v>8544</v>
      </c>
      <c r="L1325" s="696">
        <v>5</v>
      </c>
      <c r="M1325" s="170"/>
    </row>
    <row r="1326" spans="2:13" x14ac:dyDescent="0.2">
      <c r="B1326" s="173"/>
      <c r="C1326" s="694">
        <v>1</v>
      </c>
      <c r="D1326" s="695" t="s">
        <v>3903</v>
      </c>
      <c r="E1326" s="695">
        <v>3</v>
      </c>
      <c r="F1326" s="695" t="s">
        <v>4822</v>
      </c>
      <c r="G1326" s="695">
        <v>2</v>
      </c>
      <c r="H1326" s="695" t="s">
        <v>4908</v>
      </c>
      <c r="I1326" s="695">
        <v>64</v>
      </c>
      <c r="J1326" s="695" t="s">
        <v>4966</v>
      </c>
      <c r="K1326" s="695" t="s">
        <v>8544</v>
      </c>
      <c r="L1326" s="696">
        <v>27</v>
      </c>
      <c r="M1326" s="170"/>
    </row>
    <row r="1327" spans="2:13" x14ac:dyDescent="0.2">
      <c r="B1327" s="173"/>
      <c r="C1327" s="694">
        <v>1</v>
      </c>
      <c r="D1327" s="695" t="s">
        <v>3903</v>
      </c>
      <c r="E1327" s="695">
        <v>3</v>
      </c>
      <c r="F1327" s="695" t="s">
        <v>4822</v>
      </c>
      <c r="G1327" s="695">
        <v>2</v>
      </c>
      <c r="H1327" s="695" t="s">
        <v>4908</v>
      </c>
      <c r="I1327" s="695">
        <v>65</v>
      </c>
      <c r="J1327" s="695" t="s">
        <v>4967</v>
      </c>
      <c r="K1327" s="695" t="s">
        <v>4045</v>
      </c>
      <c r="L1327" s="696">
        <v>15006</v>
      </c>
      <c r="M1327" s="170"/>
    </row>
    <row r="1328" spans="2:13" x14ac:dyDescent="0.2">
      <c r="B1328" s="173"/>
      <c r="C1328" s="694">
        <v>1</v>
      </c>
      <c r="D1328" s="695" t="s">
        <v>3903</v>
      </c>
      <c r="E1328" s="695">
        <v>3</v>
      </c>
      <c r="F1328" s="695" t="s">
        <v>4822</v>
      </c>
      <c r="G1328" s="695">
        <v>2</v>
      </c>
      <c r="H1328" s="695" t="s">
        <v>4908</v>
      </c>
      <c r="I1328" s="695">
        <v>66</v>
      </c>
      <c r="J1328" s="695" t="s">
        <v>4968</v>
      </c>
      <c r="K1328" s="695" t="s">
        <v>4045</v>
      </c>
      <c r="L1328" s="696">
        <v>2877</v>
      </c>
      <c r="M1328" s="170"/>
    </row>
    <row r="1329" spans="2:13" x14ac:dyDescent="0.2">
      <c r="B1329" s="173"/>
      <c r="C1329" s="694">
        <v>1</v>
      </c>
      <c r="D1329" s="695" t="s">
        <v>3903</v>
      </c>
      <c r="E1329" s="695">
        <v>3</v>
      </c>
      <c r="F1329" s="695" t="s">
        <v>4822</v>
      </c>
      <c r="G1329" s="695">
        <v>2</v>
      </c>
      <c r="H1329" s="695" t="s">
        <v>4908</v>
      </c>
      <c r="I1329" s="695">
        <v>67</v>
      </c>
      <c r="J1329" s="695" t="s">
        <v>4969</v>
      </c>
      <c r="K1329" s="695" t="s">
        <v>4045</v>
      </c>
      <c r="L1329" s="696">
        <v>1972</v>
      </c>
      <c r="M1329" s="170"/>
    </row>
    <row r="1330" spans="2:13" x14ac:dyDescent="0.2">
      <c r="B1330" s="173"/>
      <c r="C1330" s="694">
        <v>1</v>
      </c>
      <c r="D1330" s="695" t="s">
        <v>3903</v>
      </c>
      <c r="E1330" s="695">
        <v>3</v>
      </c>
      <c r="F1330" s="695" t="s">
        <v>4822</v>
      </c>
      <c r="G1330" s="695">
        <v>2</v>
      </c>
      <c r="H1330" s="695" t="s">
        <v>4908</v>
      </c>
      <c r="I1330" s="695">
        <v>68</v>
      </c>
      <c r="J1330" s="695" t="s">
        <v>4970</v>
      </c>
      <c r="K1330" s="695" t="s">
        <v>4045</v>
      </c>
      <c r="L1330" s="696">
        <v>2821</v>
      </c>
      <c r="M1330" s="170"/>
    </row>
    <row r="1331" spans="2:13" x14ac:dyDescent="0.2">
      <c r="B1331" s="173"/>
      <c r="C1331" s="694">
        <v>1</v>
      </c>
      <c r="D1331" s="695" t="s">
        <v>3903</v>
      </c>
      <c r="E1331" s="695">
        <v>3</v>
      </c>
      <c r="F1331" s="695" t="s">
        <v>4822</v>
      </c>
      <c r="G1331" s="695">
        <v>2</v>
      </c>
      <c r="H1331" s="695" t="s">
        <v>4908</v>
      </c>
      <c r="I1331" s="695">
        <v>69</v>
      </c>
      <c r="J1331" s="695" t="s">
        <v>4971</v>
      </c>
      <c r="K1331" s="695" t="s">
        <v>4045</v>
      </c>
      <c r="L1331" s="696">
        <v>855</v>
      </c>
      <c r="M1331" s="170"/>
    </row>
    <row r="1332" spans="2:13" x14ac:dyDescent="0.2">
      <c r="B1332" s="173"/>
      <c r="C1332" s="694">
        <v>1</v>
      </c>
      <c r="D1332" s="695" t="s">
        <v>3903</v>
      </c>
      <c r="E1332" s="695">
        <v>3</v>
      </c>
      <c r="F1332" s="695" t="s">
        <v>4822</v>
      </c>
      <c r="G1332" s="695">
        <v>2</v>
      </c>
      <c r="H1332" s="695" t="s">
        <v>4908</v>
      </c>
      <c r="I1332" s="695">
        <v>70</v>
      </c>
      <c r="J1332" s="695" t="s">
        <v>4972</v>
      </c>
      <c r="K1332" s="695" t="s">
        <v>4045</v>
      </c>
      <c r="L1332" s="696">
        <v>74</v>
      </c>
      <c r="M1332" s="170"/>
    </row>
    <row r="1333" spans="2:13" x14ac:dyDescent="0.2">
      <c r="B1333" s="173"/>
      <c r="C1333" s="694">
        <v>1</v>
      </c>
      <c r="D1333" s="695" t="s">
        <v>3903</v>
      </c>
      <c r="E1333" s="695">
        <v>3</v>
      </c>
      <c r="F1333" s="695" t="s">
        <v>4822</v>
      </c>
      <c r="G1333" s="695">
        <v>2</v>
      </c>
      <c r="H1333" s="695" t="s">
        <v>4908</v>
      </c>
      <c r="I1333" s="695">
        <v>71</v>
      </c>
      <c r="J1333" s="695" t="s">
        <v>4973</v>
      </c>
      <c r="K1333" s="695" t="s">
        <v>4045</v>
      </c>
      <c r="L1333" s="696">
        <v>58</v>
      </c>
      <c r="M1333" s="170"/>
    </row>
    <row r="1334" spans="2:13" x14ac:dyDescent="0.2">
      <c r="B1334" s="173"/>
      <c r="C1334" s="694">
        <v>1</v>
      </c>
      <c r="D1334" s="695" t="s">
        <v>3903</v>
      </c>
      <c r="E1334" s="695">
        <v>3</v>
      </c>
      <c r="F1334" s="695" t="s">
        <v>4822</v>
      </c>
      <c r="G1334" s="695">
        <v>2</v>
      </c>
      <c r="H1334" s="695" t="s">
        <v>4908</v>
      </c>
      <c r="I1334" s="695">
        <v>72</v>
      </c>
      <c r="J1334" s="695" t="s">
        <v>4974</v>
      </c>
      <c r="K1334" s="695" t="s">
        <v>4045</v>
      </c>
      <c r="L1334" s="696">
        <v>299</v>
      </c>
      <c r="M1334" s="170"/>
    </row>
    <row r="1335" spans="2:13" x14ac:dyDescent="0.2">
      <c r="B1335" s="173"/>
      <c r="C1335" s="694">
        <v>1</v>
      </c>
      <c r="D1335" s="695" t="s">
        <v>3903</v>
      </c>
      <c r="E1335" s="695">
        <v>3</v>
      </c>
      <c r="F1335" s="695" t="s">
        <v>4822</v>
      </c>
      <c r="G1335" s="695">
        <v>2</v>
      </c>
      <c r="H1335" s="695" t="s">
        <v>4908</v>
      </c>
      <c r="I1335" s="695">
        <v>73</v>
      </c>
      <c r="J1335" s="695" t="s">
        <v>4975</v>
      </c>
      <c r="K1335" s="695" t="s">
        <v>8544</v>
      </c>
      <c r="L1335" s="696">
        <v>52</v>
      </c>
      <c r="M1335" s="170"/>
    </row>
    <row r="1336" spans="2:13" x14ac:dyDescent="0.2">
      <c r="B1336" s="173"/>
      <c r="C1336" s="694">
        <v>1</v>
      </c>
      <c r="D1336" s="695" t="s">
        <v>3903</v>
      </c>
      <c r="E1336" s="695">
        <v>3</v>
      </c>
      <c r="F1336" s="695" t="s">
        <v>4822</v>
      </c>
      <c r="G1336" s="695">
        <v>2</v>
      </c>
      <c r="H1336" s="695" t="s">
        <v>4908</v>
      </c>
      <c r="I1336" s="695">
        <v>74</v>
      </c>
      <c r="J1336" s="695" t="s">
        <v>4976</v>
      </c>
      <c r="K1336" s="695" t="s">
        <v>8544</v>
      </c>
      <c r="L1336" s="696">
        <v>37</v>
      </c>
      <c r="M1336" s="170"/>
    </row>
    <row r="1337" spans="2:13" x14ac:dyDescent="0.2">
      <c r="B1337" s="173"/>
      <c r="C1337" s="694">
        <v>1</v>
      </c>
      <c r="D1337" s="695" t="s">
        <v>3903</v>
      </c>
      <c r="E1337" s="695">
        <v>3</v>
      </c>
      <c r="F1337" s="695" t="s">
        <v>4822</v>
      </c>
      <c r="G1337" s="695">
        <v>2</v>
      </c>
      <c r="H1337" s="695" t="s">
        <v>4908</v>
      </c>
      <c r="I1337" s="695">
        <v>75</v>
      </c>
      <c r="J1337" s="695" t="s">
        <v>4977</v>
      </c>
      <c r="K1337" s="695" t="s">
        <v>8544</v>
      </c>
      <c r="L1337" s="696">
        <v>211</v>
      </c>
      <c r="M1337" s="170"/>
    </row>
    <row r="1338" spans="2:13" x14ac:dyDescent="0.2">
      <c r="B1338" s="173"/>
      <c r="C1338" s="694">
        <v>1</v>
      </c>
      <c r="D1338" s="695" t="s">
        <v>3903</v>
      </c>
      <c r="E1338" s="695">
        <v>3</v>
      </c>
      <c r="F1338" s="695" t="s">
        <v>4822</v>
      </c>
      <c r="G1338" s="695">
        <v>2</v>
      </c>
      <c r="H1338" s="695" t="s">
        <v>4908</v>
      </c>
      <c r="I1338" s="695">
        <v>76</v>
      </c>
      <c r="J1338" s="695" t="s">
        <v>4978</v>
      </c>
      <c r="K1338" s="695" t="s">
        <v>8544</v>
      </c>
      <c r="L1338" s="696">
        <v>8</v>
      </c>
      <c r="M1338" s="170"/>
    </row>
    <row r="1339" spans="2:13" x14ac:dyDescent="0.2">
      <c r="B1339" s="173"/>
      <c r="C1339" s="694">
        <v>1</v>
      </c>
      <c r="D1339" s="695" t="s">
        <v>3903</v>
      </c>
      <c r="E1339" s="695">
        <v>3</v>
      </c>
      <c r="F1339" s="695" t="s">
        <v>4822</v>
      </c>
      <c r="G1339" s="695">
        <v>2</v>
      </c>
      <c r="H1339" s="695" t="s">
        <v>4908</v>
      </c>
      <c r="I1339" s="695">
        <v>77</v>
      </c>
      <c r="J1339" s="695" t="s">
        <v>4979</v>
      </c>
      <c r="K1339" s="695" t="s">
        <v>8544</v>
      </c>
      <c r="L1339" s="696">
        <v>27</v>
      </c>
      <c r="M1339" s="170"/>
    </row>
    <row r="1340" spans="2:13" x14ac:dyDescent="0.2">
      <c r="B1340" s="173"/>
      <c r="C1340" s="694">
        <v>1</v>
      </c>
      <c r="D1340" s="695" t="s">
        <v>3903</v>
      </c>
      <c r="E1340" s="695">
        <v>3</v>
      </c>
      <c r="F1340" s="695" t="s">
        <v>4822</v>
      </c>
      <c r="G1340" s="695">
        <v>2</v>
      </c>
      <c r="H1340" s="695" t="s">
        <v>4908</v>
      </c>
      <c r="I1340" s="695">
        <v>78</v>
      </c>
      <c r="J1340" s="695" t="s">
        <v>4980</v>
      </c>
      <c r="K1340" s="695" t="s">
        <v>8544</v>
      </c>
      <c r="L1340" s="696">
        <v>52</v>
      </c>
      <c r="M1340" s="170"/>
    </row>
    <row r="1341" spans="2:13" x14ac:dyDescent="0.2">
      <c r="B1341" s="173"/>
      <c r="C1341" s="694">
        <v>1</v>
      </c>
      <c r="D1341" s="695" t="s">
        <v>3903</v>
      </c>
      <c r="E1341" s="695">
        <v>3</v>
      </c>
      <c r="F1341" s="695" t="s">
        <v>4822</v>
      </c>
      <c r="G1341" s="695">
        <v>2</v>
      </c>
      <c r="H1341" s="695" t="s">
        <v>4908</v>
      </c>
      <c r="I1341" s="695">
        <v>79</v>
      </c>
      <c r="J1341" s="695" t="s">
        <v>4942</v>
      </c>
      <c r="K1341" s="695" t="s">
        <v>8544</v>
      </c>
      <c r="L1341" s="696">
        <v>7</v>
      </c>
      <c r="M1341" s="170"/>
    </row>
    <row r="1342" spans="2:13" x14ac:dyDescent="0.2">
      <c r="B1342" s="173"/>
      <c r="C1342" s="694">
        <v>1</v>
      </c>
      <c r="D1342" s="695" t="s">
        <v>3903</v>
      </c>
      <c r="E1342" s="695">
        <v>3</v>
      </c>
      <c r="F1342" s="695" t="s">
        <v>4822</v>
      </c>
      <c r="G1342" s="695">
        <v>2</v>
      </c>
      <c r="H1342" s="695" t="s">
        <v>4908</v>
      </c>
      <c r="I1342" s="695">
        <v>80</v>
      </c>
      <c r="J1342" s="695" t="s">
        <v>4981</v>
      </c>
      <c r="K1342" s="695" t="s">
        <v>8544</v>
      </c>
      <c r="L1342" s="696">
        <v>1</v>
      </c>
      <c r="M1342" s="170"/>
    </row>
    <row r="1343" spans="2:13" x14ac:dyDescent="0.2">
      <c r="B1343" s="173"/>
      <c r="C1343" s="694">
        <v>1</v>
      </c>
      <c r="D1343" s="695" t="s">
        <v>3903</v>
      </c>
      <c r="E1343" s="695">
        <v>3</v>
      </c>
      <c r="F1343" s="695" t="s">
        <v>4822</v>
      </c>
      <c r="G1343" s="695">
        <v>2</v>
      </c>
      <c r="H1343" s="695" t="s">
        <v>4908</v>
      </c>
      <c r="I1343" s="695">
        <v>81</v>
      </c>
      <c r="J1343" s="695" t="s">
        <v>4982</v>
      </c>
      <c r="K1343" s="695" t="s">
        <v>8544</v>
      </c>
      <c r="L1343" s="696">
        <v>65</v>
      </c>
      <c r="M1343" s="170"/>
    </row>
    <row r="1344" spans="2:13" x14ac:dyDescent="0.2">
      <c r="B1344" s="173"/>
      <c r="C1344" s="694">
        <v>1</v>
      </c>
      <c r="D1344" s="695" t="s">
        <v>3903</v>
      </c>
      <c r="E1344" s="695">
        <v>3</v>
      </c>
      <c r="F1344" s="695" t="s">
        <v>4822</v>
      </c>
      <c r="G1344" s="695">
        <v>2</v>
      </c>
      <c r="H1344" s="695" t="s">
        <v>4908</v>
      </c>
      <c r="I1344" s="695">
        <v>82</v>
      </c>
      <c r="J1344" s="695" t="s">
        <v>4983</v>
      </c>
      <c r="K1344" s="695" t="s">
        <v>8544</v>
      </c>
      <c r="L1344" s="696">
        <v>78</v>
      </c>
      <c r="M1344" s="170"/>
    </row>
    <row r="1345" spans="2:13" x14ac:dyDescent="0.2">
      <c r="B1345" s="173"/>
      <c r="C1345" s="694">
        <v>1</v>
      </c>
      <c r="D1345" s="695" t="s">
        <v>3903</v>
      </c>
      <c r="E1345" s="695">
        <v>3</v>
      </c>
      <c r="F1345" s="695" t="s">
        <v>4822</v>
      </c>
      <c r="G1345" s="695">
        <v>2</v>
      </c>
      <c r="H1345" s="695" t="s">
        <v>4908</v>
      </c>
      <c r="I1345" s="695">
        <v>83</v>
      </c>
      <c r="J1345" s="695" t="s">
        <v>4984</v>
      </c>
      <c r="K1345" s="695" t="s">
        <v>8544</v>
      </c>
      <c r="L1345" s="696">
        <v>60</v>
      </c>
      <c r="M1345" s="170"/>
    </row>
    <row r="1346" spans="2:13" x14ac:dyDescent="0.2">
      <c r="B1346" s="173"/>
      <c r="C1346" s="694">
        <v>1</v>
      </c>
      <c r="D1346" s="695" t="s">
        <v>3903</v>
      </c>
      <c r="E1346" s="695">
        <v>3</v>
      </c>
      <c r="F1346" s="695" t="s">
        <v>4822</v>
      </c>
      <c r="G1346" s="695">
        <v>2</v>
      </c>
      <c r="H1346" s="695" t="s">
        <v>4908</v>
      </c>
      <c r="I1346" s="695">
        <v>84</v>
      </c>
      <c r="J1346" s="695" t="s">
        <v>4985</v>
      </c>
      <c r="K1346" s="695" t="s">
        <v>8544</v>
      </c>
      <c r="L1346" s="696">
        <v>0</v>
      </c>
      <c r="M1346" s="170"/>
    </row>
    <row r="1347" spans="2:13" x14ac:dyDescent="0.2">
      <c r="B1347" s="173"/>
      <c r="C1347" s="694">
        <v>1</v>
      </c>
      <c r="D1347" s="695" t="s">
        <v>3903</v>
      </c>
      <c r="E1347" s="695">
        <v>3</v>
      </c>
      <c r="F1347" s="695" t="s">
        <v>4822</v>
      </c>
      <c r="G1347" s="695">
        <v>2</v>
      </c>
      <c r="H1347" s="695" t="s">
        <v>4908</v>
      </c>
      <c r="I1347" s="695">
        <v>85</v>
      </c>
      <c r="J1347" s="695" t="s">
        <v>4986</v>
      </c>
      <c r="K1347" s="695" t="s">
        <v>8544</v>
      </c>
      <c r="L1347" s="696">
        <v>9</v>
      </c>
      <c r="M1347" s="170"/>
    </row>
    <row r="1348" spans="2:13" x14ac:dyDescent="0.2">
      <c r="B1348" s="173"/>
      <c r="C1348" s="694">
        <v>1</v>
      </c>
      <c r="D1348" s="695" t="s">
        <v>3903</v>
      </c>
      <c r="E1348" s="695">
        <v>3</v>
      </c>
      <c r="F1348" s="695" t="s">
        <v>4822</v>
      </c>
      <c r="G1348" s="695">
        <v>2</v>
      </c>
      <c r="H1348" s="695" t="s">
        <v>4908</v>
      </c>
      <c r="I1348" s="695">
        <v>86</v>
      </c>
      <c r="J1348" s="695" t="s">
        <v>4987</v>
      </c>
      <c r="K1348" s="695" t="s">
        <v>8544</v>
      </c>
      <c r="L1348" s="696">
        <v>14</v>
      </c>
      <c r="M1348" s="170"/>
    </row>
    <row r="1349" spans="2:13" x14ac:dyDescent="0.2">
      <c r="B1349" s="173"/>
      <c r="C1349" s="694">
        <v>1</v>
      </c>
      <c r="D1349" s="695" t="s">
        <v>3903</v>
      </c>
      <c r="E1349" s="695">
        <v>3</v>
      </c>
      <c r="F1349" s="695" t="s">
        <v>4822</v>
      </c>
      <c r="G1349" s="695">
        <v>2</v>
      </c>
      <c r="H1349" s="695" t="s">
        <v>4908</v>
      </c>
      <c r="I1349" s="695">
        <v>87</v>
      </c>
      <c r="J1349" s="695" t="s">
        <v>4988</v>
      </c>
      <c r="K1349" s="695" t="s">
        <v>8544</v>
      </c>
      <c r="L1349" s="696">
        <v>44</v>
      </c>
      <c r="M1349" s="170"/>
    </row>
    <row r="1350" spans="2:13" x14ac:dyDescent="0.2">
      <c r="B1350" s="173"/>
      <c r="C1350" s="694">
        <v>1</v>
      </c>
      <c r="D1350" s="695" t="s">
        <v>3903</v>
      </c>
      <c r="E1350" s="695">
        <v>3</v>
      </c>
      <c r="F1350" s="695" t="s">
        <v>4822</v>
      </c>
      <c r="G1350" s="695">
        <v>2</v>
      </c>
      <c r="H1350" s="695" t="s">
        <v>4908</v>
      </c>
      <c r="I1350" s="695">
        <v>88</v>
      </c>
      <c r="J1350" s="695" t="s">
        <v>4989</v>
      </c>
      <c r="K1350" s="695" t="s">
        <v>8544</v>
      </c>
      <c r="L1350" s="696">
        <v>27</v>
      </c>
      <c r="M1350" s="170"/>
    </row>
    <row r="1351" spans="2:13" x14ac:dyDescent="0.2">
      <c r="B1351" s="173"/>
      <c r="C1351" s="694">
        <v>1</v>
      </c>
      <c r="D1351" s="695" t="s">
        <v>3903</v>
      </c>
      <c r="E1351" s="695">
        <v>3</v>
      </c>
      <c r="F1351" s="695" t="s">
        <v>4822</v>
      </c>
      <c r="G1351" s="695">
        <v>2</v>
      </c>
      <c r="H1351" s="695" t="s">
        <v>4908</v>
      </c>
      <c r="I1351" s="695">
        <v>89</v>
      </c>
      <c r="J1351" s="695" t="s">
        <v>4990</v>
      </c>
      <c r="K1351" s="695" t="s">
        <v>8544</v>
      </c>
      <c r="L1351" s="696">
        <v>158</v>
      </c>
      <c r="M1351" s="170"/>
    </row>
    <row r="1352" spans="2:13" x14ac:dyDescent="0.2">
      <c r="B1352" s="173"/>
      <c r="C1352" s="694">
        <v>1</v>
      </c>
      <c r="D1352" s="695" t="s">
        <v>3903</v>
      </c>
      <c r="E1352" s="695">
        <v>3</v>
      </c>
      <c r="F1352" s="695" t="s">
        <v>4822</v>
      </c>
      <c r="G1352" s="695">
        <v>2</v>
      </c>
      <c r="H1352" s="695" t="s">
        <v>4908</v>
      </c>
      <c r="I1352" s="695">
        <v>90</v>
      </c>
      <c r="J1352" s="695" t="s">
        <v>4991</v>
      </c>
      <c r="K1352" s="695" t="s">
        <v>8544</v>
      </c>
      <c r="L1352" s="696">
        <v>43</v>
      </c>
      <c r="M1352" s="170"/>
    </row>
    <row r="1353" spans="2:13" x14ac:dyDescent="0.2">
      <c r="B1353" s="173"/>
      <c r="C1353" s="694">
        <v>1</v>
      </c>
      <c r="D1353" s="695" t="s">
        <v>3903</v>
      </c>
      <c r="E1353" s="695">
        <v>3</v>
      </c>
      <c r="F1353" s="695" t="s">
        <v>4822</v>
      </c>
      <c r="G1353" s="695">
        <v>2</v>
      </c>
      <c r="H1353" s="695" t="s">
        <v>4908</v>
      </c>
      <c r="I1353" s="695">
        <v>91</v>
      </c>
      <c r="J1353" s="695" t="s">
        <v>4992</v>
      </c>
      <c r="K1353" s="695" t="s">
        <v>8544</v>
      </c>
      <c r="L1353" s="696">
        <v>25</v>
      </c>
      <c r="M1353" s="170"/>
    </row>
    <row r="1354" spans="2:13" x14ac:dyDescent="0.2">
      <c r="B1354" s="173"/>
      <c r="C1354" s="694">
        <v>1</v>
      </c>
      <c r="D1354" s="695" t="s">
        <v>3903</v>
      </c>
      <c r="E1354" s="695">
        <v>3</v>
      </c>
      <c r="F1354" s="695" t="s">
        <v>4822</v>
      </c>
      <c r="G1354" s="695">
        <v>2</v>
      </c>
      <c r="H1354" s="695" t="s">
        <v>4908</v>
      </c>
      <c r="I1354" s="695">
        <v>92</v>
      </c>
      <c r="J1354" s="695" t="s">
        <v>4993</v>
      </c>
      <c r="K1354" s="695" t="s">
        <v>8544</v>
      </c>
      <c r="L1354" s="696">
        <v>25</v>
      </c>
      <c r="M1354" s="170"/>
    </row>
    <row r="1355" spans="2:13" x14ac:dyDescent="0.2">
      <c r="B1355" s="173"/>
      <c r="C1355" s="694">
        <v>1</v>
      </c>
      <c r="D1355" s="695" t="s">
        <v>3903</v>
      </c>
      <c r="E1355" s="695">
        <v>3</v>
      </c>
      <c r="F1355" s="695" t="s">
        <v>4822</v>
      </c>
      <c r="G1355" s="695">
        <v>2</v>
      </c>
      <c r="H1355" s="695" t="s">
        <v>4908</v>
      </c>
      <c r="I1355" s="695">
        <v>93</v>
      </c>
      <c r="J1355" s="695" t="s">
        <v>4994</v>
      </c>
      <c r="K1355" s="695" t="s">
        <v>8544</v>
      </c>
      <c r="L1355" s="696">
        <v>11</v>
      </c>
      <c r="M1355" s="170"/>
    </row>
    <row r="1356" spans="2:13" x14ac:dyDescent="0.2">
      <c r="B1356" s="173"/>
      <c r="C1356" s="694">
        <v>1</v>
      </c>
      <c r="D1356" s="695" t="s">
        <v>3903</v>
      </c>
      <c r="E1356" s="695">
        <v>3</v>
      </c>
      <c r="F1356" s="695" t="s">
        <v>4822</v>
      </c>
      <c r="G1356" s="695">
        <v>2</v>
      </c>
      <c r="H1356" s="695" t="s">
        <v>4908</v>
      </c>
      <c r="I1356" s="695">
        <v>94</v>
      </c>
      <c r="J1356" s="695" t="s">
        <v>4995</v>
      </c>
      <c r="K1356" s="695" t="s">
        <v>8544</v>
      </c>
      <c r="L1356" s="696">
        <v>24</v>
      </c>
      <c r="M1356" s="170"/>
    </row>
    <row r="1357" spans="2:13" x14ac:dyDescent="0.2">
      <c r="B1357" s="173"/>
      <c r="C1357" s="694">
        <v>1</v>
      </c>
      <c r="D1357" s="695" t="s">
        <v>3903</v>
      </c>
      <c r="E1357" s="695">
        <v>3</v>
      </c>
      <c r="F1357" s="695" t="s">
        <v>4822</v>
      </c>
      <c r="G1357" s="695">
        <v>2</v>
      </c>
      <c r="H1357" s="695" t="s">
        <v>4908</v>
      </c>
      <c r="I1357" s="695">
        <v>95</v>
      </c>
      <c r="J1357" s="695" t="s">
        <v>4996</v>
      </c>
      <c r="K1357" s="695" t="s">
        <v>8544</v>
      </c>
      <c r="L1357" s="696">
        <v>3</v>
      </c>
      <c r="M1357" s="170"/>
    </row>
    <row r="1358" spans="2:13" x14ac:dyDescent="0.2">
      <c r="B1358" s="173"/>
      <c r="C1358" s="694">
        <v>1</v>
      </c>
      <c r="D1358" s="695" t="s">
        <v>3903</v>
      </c>
      <c r="E1358" s="695">
        <v>3</v>
      </c>
      <c r="F1358" s="695" t="s">
        <v>4822</v>
      </c>
      <c r="G1358" s="695">
        <v>2</v>
      </c>
      <c r="H1358" s="695" t="s">
        <v>4908</v>
      </c>
      <c r="I1358" s="695">
        <v>96</v>
      </c>
      <c r="J1358" s="695" t="s">
        <v>4997</v>
      </c>
      <c r="K1358" s="695" t="s">
        <v>3907</v>
      </c>
      <c r="L1358" s="696">
        <v>46</v>
      </c>
      <c r="M1358" s="170"/>
    </row>
    <row r="1359" spans="2:13" x14ac:dyDescent="0.2">
      <c r="B1359" s="173"/>
      <c r="C1359" s="694">
        <v>1</v>
      </c>
      <c r="D1359" s="695" t="s">
        <v>3903</v>
      </c>
      <c r="E1359" s="695">
        <v>3</v>
      </c>
      <c r="F1359" s="695" t="s">
        <v>4822</v>
      </c>
      <c r="G1359" s="695">
        <v>2</v>
      </c>
      <c r="H1359" s="695" t="s">
        <v>4908</v>
      </c>
      <c r="I1359" s="695">
        <v>97</v>
      </c>
      <c r="J1359" s="695" t="s">
        <v>4998</v>
      </c>
      <c r="K1359" s="695" t="s">
        <v>3907</v>
      </c>
      <c r="L1359" s="696">
        <v>258</v>
      </c>
      <c r="M1359" s="170"/>
    </row>
    <row r="1360" spans="2:13" x14ac:dyDescent="0.2">
      <c r="B1360" s="173"/>
      <c r="C1360" s="694">
        <v>1</v>
      </c>
      <c r="D1360" s="695" t="s">
        <v>3903</v>
      </c>
      <c r="E1360" s="695">
        <v>3</v>
      </c>
      <c r="F1360" s="695" t="s">
        <v>4822</v>
      </c>
      <c r="G1360" s="695">
        <v>2</v>
      </c>
      <c r="H1360" s="695" t="s">
        <v>4908</v>
      </c>
      <c r="I1360" s="695">
        <v>98</v>
      </c>
      <c r="J1360" s="695" t="s">
        <v>4999</v>
      </c>
      <c r="K1360" s="695" t="s">
        <v>8544</v>
      </c>
      <c r="L1360" s="696">
        <v>3</v>
      </c>
      <c r="M1360" s="170"/>
    </row>
    <row r="1361" spans="2:13" x14ac:dyDescent="0.2">
      <c r="B1361" s="173"/>
      <c r="C1361" s="694">
        <v>1</v>
      </c>
      <c r="D1361" s="695" t="s">
        <v>3903</v>
      </c>
      <c r="E1361" s="695">
        <v>3</v>
      </c>
      <c r="F1361" s="695" t="s">
        <v>4822</v>
      </c>
      <c r="G1361" s="695">
        <v>2</v>
      </c>
      <c r="H1361" s="695" t="s">
        <v>4908</v>
      </c>
      <c r="I1361" s="695">
        <v>99</v>
      </c>
      <c r="J1361" s="695" t="s">
        <v>5000</v>
      </c>
      <c r="K1361" s="695" t="s">
        <v>8544</v>
      </c>
      <c r="L1361" s="696">
        <v>25</v>
      </c>
      <c r="M1361" s="170"/>
    </row>
    <row r="1362" spans="2:13" x14ac:dyDescent="0.2">
      <c r="B1362" s="173"/>
      <c r="C1362" s="694">
        <v>1</v>
      </c>
      <c r="D1362" s="695" t="s">
        <v>3903</v>
      </c>
      <c r="E1362" s="695">
        <v>3</v>
      </c>
      <c r="F1362" s="695" t="s">
        <v>4822</v>
      </c>
      <c r="G1362" s="695">
        <v>2</v>
      </c>
      <c r="H1362" s="695" t="s">
        <v>4908</v>
      </c>
      <c r="I1362" s="695">
        <v>100</v>
      </c>
      <c r="J1362" s="695" t="s">
        <v>5001</v>
      </c>
      <c r="K1362" s="695" t="s">
        <v>8544</v>
      </c>
      <c r="L1362" s="696">
        <v>76</v>
      </c>
      <c r="M1362" s="170"/>
    </row>
    <row r="1363" spans="2:13" x14ac:dyDescent="0.2">
      <c r="B1363" s="173"/>
      <c r="C1363" s="694">
        <v>1</v>
      </c>
      <c r="D1363" s="695" t="s">
        <v>3903</v>
      </c>
      <c r="E1363" s="695">
        <v>3</v>
      </c>
      <c r="F1363" s="695" t="s">
        <v>4822</v>
      </c>
      <c r="G1363" s="695">
        <v>2</v>
      </c>
      <c r="H1363" s="695" t="s">
        <v>4908</v>
      </c>
      <c r="I1363" s="695">
        <v>101</v>
      </c>
      <c r="J1363" s="695" t="s">
        <v>5002</v>
      </c>
      <c r="K1363" s="695" t="s">
        <v>8544</v>
      </c>
      <c r="L1363" s="696">
        <v>9</v>
      </c>
      <c r="M1363" s="170"/>
    </row>
    <row r="1364" spans="2:13" x14ac:dyDescent="0.2">
      <c r="B1364" s="173"/>
      <c r="C1364" s="694">
        <v>1</v>
      </c>
      <c r="D1364" s="695" t="s">
        <v>3903</v>
      </c>
      <c r="E1364" s="695">
        <v>3</v>
      </c>
      <c r="F1364" s="695" t="s">
        <v>4822</v>
      </c>
      <c r="G1364" s="695">
        <v>2</v>
      </c>
      <c r="H1364" s="695" t="s">
        <v>4908</v>
      </c>
      <c r="I1364" s="695">
        <v>102</v>
      </c>
      <c r="J1364" s="695" t="s">
        <v>5003</v>
      </c>
      <c r="K1364" s="695" t="s">
        <v>8544</v>
      </c>
      <c r="L1364" s="696">
        <v>64</v>
      </c>
      <c r="M1364" s="170"/>
    </row>
    <row r="1365" spans="2:13" x14ac:dyDescent="0.2">
      <c r="B1365" s="173"/>
      <c r="C1365" s="694">
        <v>1</v>
      </c>
      <c r="D1365" s="695" t="s">
        <v>3903</v>
      </c>
      <c r="E1365" s="695">
        <v>3</v>
      </c>
      <c r="F1365" s="695" t="s">
        <v>4822</v>
      </c>
      <c r="G1365" s="695">
        <v>2</v>
      </c>
      <c r="H1365" s="695" t="s">
        <v>4908</v>
      </c>
      <c r="I1365" s="695">
        <v>103</v>
      </c>
      <c r="J1365" s="695" t="s">
        <v>5004</v>
      </c>
      <c r="K1365" s="695" t="s">
        <v>8544</v>
      </c>
      <c r="L1365" s="696">
        <v>16</v>
      </c>
      <c r="M1365" s="170"/>
    </row>
    <row r="1366" spans="2:13" x14ac:dyDescent="0.2">
      <c r="B1366" s="173"/>
      <c r="C1366" s="694">
        <v>1</v>
      </c>
      <c r="D1366" s="695" t="s">
        <v>3903</v>
      </c>
      <c r="E1366" s="695">
        <v>3</v>
      </c>
      <c r="F1366" s="695" t="s">
        <v>4822</v>
      </c>
      <c r="G1366" s="695">
        <v>2</v>
      </c>
      <c r="H1366" s="695" t="s">
        <v>4908</v>
      </c>
      <c r="I1366" s="695">
        <v>104</v>
      </c>
      <c r="J1366" s="695" t="s">
        <v>5005</v>
      </c>
      <c r="K1366" s="695" t="s">
        <v>8544</v>
      </c>
      <c r="L1366" s="696">
        <v>16</v>
      </c>
      <c r="M1366" s="170"/>
    </row>
    <row r="1367" spans="2:13" x14ac:dyDescent="0.2">
      <c r="B1367" s="173"/>
      <c r="C1367" s="694">
        <v>1</v>
      </c>
      <c r="D1367" s="695" t="s">
        <v>3903</v>
      </c>
      <c r="E1367" s="695">
        <v>3</v>
      </c>
      <c r="F1367" s="695" t="s">
        <v>4822</v>
      </c>
      <c r="G1367" s="695">
        <v>2</v>
      </c>
      <c r="H1367" s="695" t="s">
        <v>4908</v>
      </c>
      <c r="I1367" s="695">
        <v>105</v>
      </c>
      <c r="J1367" s="695" t="s">
        <v>5006</v>
      </c>
      <c r="K1367" s="695" t="s">
        <v>8544</v>
      </c>
      <c r="L1367" s="696">
        <v>18</v>
      </c>
      <c r="M1367" s="170"/>
    </row>
    <row r="1368" spans="2:13" x14ac:dyDescent="0.2">
      <c r="B1368" s="173"/>
      <c r="C1368" s="694">
        <v>1</v>
      </c>
      <c r="D1368" s="695" t="s">
        <v>3903</v>
      </c>
      <c r="E1368" s="695">
        <v>3</v>
      </c>
      <c r="F1368" s="695" t="s">
        <v>4822</v>
      </c>
      <c r="G1368" s="695">
        <v>2</v>
      </c>
      <c r="H1368" s="695" t="s">
        <v>4908</v>
      </c>
      <c r="I1368" s="695">
        <v>106</v>
      </c>
      <c r="J1368" s="695" t="s">
        <v>5007</v>
      </c>
      <c r="K1368" s="695" t="s">
        <v>8544</v>
      </c>
      <c r="L1368" s="696">
        <v>26</v>
      </c>
      <c r="M1368" s="170"/>
    </row>
    <row r="1369" spans="2:13" x14ac:dyDescent="0.2">
      <c r="B1369" s="173"/>
      <c r="C1369" s="694">
        <v>1</v>
      </c>
      <c r="D1369" s="695" t="s">
        <v>3903</v>
      </c>
      <c r="E1369" s="695">
        <v>3</v>
      </c>
      <c r="F1369" s="695" t="s">
        <v>4822</v>
      </c>
      <c r="G1369" s="695">
        <v>2</v>
      </c>
      <c r="H1369" s="695" t="s">
        <v>4908</v>
      </c>
      <c r="I1369" s="695">
        <v>107</v>
      </c>
      <c r="J1369" s="695" t="s">
        <v>5008</v>
      </c>
      <c r="K1369" s="695" t="s">
        <v>8544</v>
      </c>
      <c r="L1369" s="696">
        <v>7</v>
      </c>
      <c r="M1369" s="170"/>
    </row>
    <row r="1370" spans="2:13" x14ac:dyDescent="0.2">
      <c r="B1370" s="173"/>
      <c r="C1370" s="694">
        <v>1</v>
      </c>
      <c r="D1370" s="695" t="s">
        <v>3903</v>
      </c>
      <c r="E1370" s="695">
        <v>3</v>
      </c>
      <c r="F1370" s="695" t="s">
        <v>4822</v>
      </c>
      <c r="G1370" s="695">
        <v>2</v>
      </c>
      <c r="H1370" s="695" t="s">
        <v>4908</v>
      </c>
      <c r="I1370" s="695">
        <v>108</v>
      </c>
      <c r="J1370" s="695" t="s">
        <v>5009</v>
      </c>
      <c r="K1370" s="695" t="s">
        <v>8544</v>
      </c>
      <c r="L1370" s="696">
        <v>35</v>
      </c>
      <c r="M1370" s="170"/>
    </row>
    <row r="1371" spans="2:13" x14ac:dyDescent="0.2">
      <c r="B1371" s="173"/>
      <c r="C1371" s="694">
        <v>1</v>
      </c>
      <c r="D1371" s="695" t="s">
        <v>3903</v>
      </c>
      <c r="E1371" s="695">
        <v>3</v>
      </c>
      <c r="F1371" s="695" t="s">
        <v>4822</v>
      </c>
      <c r="G1371" s="695">
        <v>2</v>
      </c>
      <c r="H1371" s="695" t="s">
        <v>4908</v>
      </c>
      <c r="I1371" s="695">
        <v>109</v>
      </c>
      <c r="J1371" s="695" t="s">
        <v>5010</v>
      </c>
      <c r="K1371" s="695" t="s">
        <v>8544</v>
      </c>
      <c r="L1371" s="696">
        <v>43</v>
      </c>
      <c r="M1371" s="170"/>
    </row>
    <row r="1372" spans="2:13" x14ac:dyDescent="0.2">
      <c r="B1372" s="173"/>
      <c r="C1372" s="694">
        <v>1</v>
      </c>
      <c r="D1372" s="695" t="s">
        <v>3903</v>
      </c>
      <c r="E1372" s="695">
        <v>3</v>
      </c>
      <c r="F1372" s="695" t="s">
        <v>4822</v>
      </c>
      <c r="G1372" s="695">
        <v>2</v>
      </c>
      <c r="H1372" s="695" t="s">
        <v>4908</v>
      </c>
      <c r="I1372" s="695">
        <v>110</v>
      </c>
      <c r="J1372" s="695" t="s">
        <v>5011</v>
      </c>
      <c r="K1372" s="695" t="s">
        <v>8544</v>
      </c>
      <c r="L1372" s="696">
        <v>94</v>
      </c>
      <c r="M1372" s="170"/>
    </row>
    <row r="1373" spans="2:13" x14ac:dyDescent="0.2">
      <c r="B1373" s="173"/>
      <c r="C1373" s="694">
        <v>1</v>
      </c>
      <c r="D1373" s="695" t="s">
        <v>3903</v>
      </c>
      <c r="E1373" s="695">
        <v>3</v>
      </c>
      <c r="F1373" s="695" t="s">
        <v>4822</v>
      </c>
      <c r="G1373" s="695">
        <v>2</v>
      </c>
      <c r="H1373" s="695" t="s">
        <v>4908</v>
      </c>
      <c r="I1373" s="695">
        <v>111</v>
      </c>
      <c r="J1373" s="695" t="s">
        <v>5012</v>
      </c>
      <c r="K1373" s="695" t="s">
        <v>3907</v>
      </c>
      <c r="L1373" s="696">
        <v>6</v>
      </c>
      <c r="M1373" s="170"/>
    </row>
    <row r="1374" spans="2:13" x14ac:dyDescent="0.2">
      <c r="B1374" s="173"/>
      <c r="C1374" s="694">
        <v>1</v>
      </c>
      <c r="D1374" s="695" t="s">
        <v>3903</v>
      </c>
      <c r="E1374" s="695">
        <v>3</v>
      </c>
      <c r="F1374" s="695" t="s">
        <v>4822</v>
      </c>
      <c r="G1374" s="695">
        <v>2</v>
      </c>
      <c r="H1374" s="695" t="s">
        <v>4908</v>
      </c>
      <c r="I1374" s="695">
        <v>112</v>
      </c>
      <c r="J1374" s="695" t="s">
        <v>5013</v>
      </c>
      <c r="K1374" s="695" t="s">
        <v>8544</v>
      </c>
      <c r="L1374" s="696">
        <v>17</v>
      </c>
      <c r="M1374" s="170"/>
    </row>
    <row r="1375" spans="2:13" x14ac:dyDescent="0.2">
      <c r="B1375" s="173"/>
      <c r="C1375" s="694">
        <v>1</v>
      </c>
      <c r="D1375" s="695" t="s">
        <v>3903</v>
      </c>
      <c r="E1375" s="695">
        <v>3</v>
      </c>
      <c r="F1375" s="695" t="s">
        <v>4822</v>
      </c>
      <c r="G1375" s="695">
        <v>2</v>
      </c>
      <c r="H1375" s="695" t="s">
        <v>4908</v>
      </c>
      <c r="I1375" s="695">
        <v>113</v>
      </c>
      <c r="J1375" s="695" t="s">
        <v>5014</v>
      </c>
      <c r="K1375" s="695" t="s">
        <v>8544</v>
      </c>
      <c r="L1375" s="696">
        <v>59</v>
      </c>
      <c r="M1375" s="170"/>
    </row>
    <row r="1376" spans="2:13" x14ac:dyDescent="0.2">
      <c r="B1376" s="173"/>
      <c r="C1376" s="694">
        <v>1</v>
      </c>
      <c r="D1376" s="695" t="s">
        <v>3903</v>
      </c>
      <c r="E1376" s="695">
        <v>3</v>
      </c>
      <c r="F1376" s="695" t="s">
        <v>4822</v>
      </c>
      <c r="G1376" s="695">
        <v>2</v>
      </c>
      <c r="H1376" s="695" t="s">
        <v>4908</v>
      </c>
      <c r="I1376" s="695">
        <v>114</v>
      </c>
      <c r="J1376" s="695" t="s">
        <v>5015</v>
      </c>
      <c r="K1376" s="695" t="s">
        <v>8544</v>
      </c>
      <c r="L1376" s="696">
        <v>34</v>
      </c>
      <c r="M1376" s="170"/>
    </row>
    <row r="1377" spans="2:13" x14ac:dyDescent="0.2">
      <c r="B1377" s="173"/>
      <c r="C1377" s="694">
        <v>1</v>
      </c>
      <c r="D1377" s="695" t="s">
        <v>3903</v>
      </c>
      <c r="E1377" s="695">
        <v>3</v>
      </c>
      <c r="F1377" s="695" t="s">
        <v>4822</v>
      </c>
      <c r="G1377" s="695">
        <v>2</v>
      </c>
      <c r="H1377" s="695" t="s">
        <v>4908</v>
      </c>
      <c r="I1377" s="695">
        <v>115</v>
      </c>
      <c r="J1377" s="695" t="s">
        <v>5016</v>
      </c>
      <c r="K1377" s="695" t="s">
        <v>8544</v>
      </c>
      <c r="L1377" s="696">
        <v>14</v>
      </c>
      <c r="M1377" s="170"/>
    </row>
    <row r="1378" spans="2:13" x14ac:dyDescent="0.2">
      <c r="B1378" s="173"/>
      <c r="C1378" s="694">
        <v>1</v>
      </c>
      <c r="D1378" s="695" t="s">
        <v>3903</v>
      </c>
      <c r="E1378" s="695">
        <v>3</v>
      </c>
      <c r="F1378" s="695" t="s">
        <v>4822</v>
      </c>
      <c r="G1378" s="695">
        <v>2</v>
      </c>
      <c r="H1378" s="695" t="s">
        <v>4908</v>
      </c>
      <c r="I1378" s="695">
        <v>116</v>
      </c>
      <c r="J1378" s="695" t="s">
        <v>5017</v>
      </c>
      <c r="K1378" s="695" t="s">
        <v>8544</v>
      </c>
      <c r="L1378" s="696">
        <v>9</v>
      </c>
      <c r="M1378" s="170"/>
    </row>
    <row r="1379" spans="2:13" x14ac:dyDescent="0.2">
      <c r="B1379" s="173"/>
      <c r="C1379" s="694">
        <v>1</v>
      </c>
      <c r="D1379" s="695" t="s">
        <v>3903</v>
      </c>
      <c r="E1379" s="695">
        <v>3</v>
      </c>
      <c r="F1379" s="695" t="s">
        <v>4822</v>
      </c>
      <c r="G1379" s="695">
        <v>2</v>
      </c>
      <c r="H1379" s="695" t="s">
        <v>4908</v>
      </c>
      <c r="I1379" s="695">
        <v>117</v>
      </c>
      <c r="J1379" s="695" t="s">
        <v>5018</v>
      </c>
      <c r="K1379" s="695" t="s">
        <v>8544</v>
      </c>
      <c r="L1379" s="696">
        <v>311</v>
      </c>
      <c r="M1379" s="170"/>
    </row>
    <row r="1380" spans="2:13" x14ac:dyDescent="0.2">
      <c r="B1380" s="173"/>
      <c r="C1380" s="694">
        <v>1</v>
      </c>
      <c r="D1380" s="695" t="s">
        <v>3903</v>
      </c>
      <c r="E1380" s="695">
        <v>3</v>
      </c>
      <c r="F1380" s="695" t="s">
        <v>4822</v>
      </c>
      <c r="G1380" s="695">
        <v>2</v>
      </c>
      <c r="H1380" s="695" t="s">
        <v>4908</v>
      </c>
      <c r="I1380" s="695">
        <v>118</v>
      </c>
      <c r="J1380" s="695" t="s">
        <v>5019</v>
      </c>
      <c r="K1380" s="695" t="s">
        <v>3907</v>
      </c>
      <c r="L1380" s="696">
        <v>211</v>
      </c>
      <c r="M1380" s="170"/>
    </row>
    <row r="1381" spans="2:13" x14ac:dyDescent="0.2">
      <c r="B1381" s="173"/>
      <c r="C1381" s="694">
        <v>1</v>
      </c>
      <c r="D1381" s="695" t="s">
        <v>3903</v>
      </c>
      <c r="E1381" s="695">
        <v>3</v>
      </c>
      <c r="F1381" s="695" t="s">
        <v>4822</v>
      </c>
      <c r="G1381" s="695">
        <v>2</v>
      </c>
      <c r="H1381" s="695" t="s">
        <v>4908</v>
      </c>
      <c r="I1381" s="695">
        <v>119</v>
      </c>
      <c r="J1381" s="695" t="s">
        <v>5020</v>
      </c>
      <c r="K1381" s="695" t="s">
        <v>8544</v>
      </c>
      <c r="L1381" s="696">
        <v>6</v>
      </c>
      <c r="M1381" s="170"/>
    </row>
    <row r="1382" spans="2:13" x14ac:dyDescent="0.2">
      <c r="B1382" s="173"/>
      <c r="C1382" s="694">
        <v>1</v>
      </c>
      <c r="D1382" s="695" t="s">
        <v>3903</v>
      </c>
      <c r="E1382" s="695">
        <v>3</v>
      </c>
      <c r="F1382" s="695" t="s">
        <v>4822</v>
      </c>
      <c r="G1382" s="695">
        <v>2</v>
      </c>
      <c r="H1382" s="695" t="s">
        <v>4908</v>
      </c>
      <c r="I1382" s="695">
        <v>120</v>
      </c>
      <c r="J1382" s="695" t="s">
        <v>5021</v>
      </c>
      <c r="K1382" s="695" t="s">
        <v>8544</v>
      </c>
      <c r="L1382" s="696">
        <v>10</v>
      </c>
      <c r="M1382" s="170"/>
    </row>
    <row r="1383" spans="2:13" x14ac:dyDescent="0.2">
      <c r="B1383" s="173"/>
      <c r="C1383" s="694">
        <v>1</v>
      </c>
      <c r="D1383" s="695" t="s">
        <v>3903</v>
      </c>
      <c r="E1383" s="695">
        <v>3</v>
      </c>
      <c r="F1383" s="695" t="s">
        <v>4822</v>
      </c>
      <c r="G1383" s="695">
        <v>2</v>
      </c>
      <c r="H1383" s="695" t="s">
        <v>4908</v>
      </c>
      <c r="I1383" s="695">
        <v>121</v>
      </c>
      <c r="J1383" s="695" t="s">
        <v>5022</v>
      </c>
      <c r="K1383" s="695" t="s">
        <v>8544</v>
      </c>
      <c r="L1383" s="696">
        <v>29</v>
      </c>
      <c r="M1383" s="170"/>
    </row>
    <row r="1384" spans="2:13" x14ac:dyDescent="0.2">
      <c r="B1384" s="173"/>
      <c r="C1384" s="694">
        <v>1</v>
      </c>
      <c r="D1384" s="695" t="s">
        <v>3903</v>
      </c>
      <c r="E1384" s="695">
        <v>3</v>
      </c>
      <c r="F1384" s="695" t="s">
        <v>4822</v>
      </c>
      <c r="G1384" s="695">
        <v>2</v>
      </c>
      <c r="H1384" s="695" t="s">
        <v>4908</v>
      </c>
      <c r="I1384" s="695">
        <v>122</v>
      </c>
      <c r="J1384" s="695" t="s">
        <v>5023</v>
      </c>
      <c r="K1384" s="695" t="s">
        <v>8544</v>
      </c>
      <c r="L1384" s="696">
        <v>4</v>
      </c>
      <c r="M1384" s="170"/>
    </row>
    <row r="1385" spans="2:13" x14ac:dyDescent="0.2">
      <c r="B1385" s="173"/>
      <c r="C1385" s="694">
        <v>1</v>
      </c>
      <c r="D1385" s="695" t="s">
        <v>3903</v>
      </c>
      <c r="E1385" s="695">
        <v>3</v>
      </c>
      <c r="F1385" s="695" t="s">
        <v>4822</v>
      </c>
      <c r="G1385" s="695">
        <v>2</v>
      </c>
      <c r="H1385" s="695" t="s">
        <v>4908</v>
      </c>
      <c r="I1385" s="695">
        <v>123</v>
      </c>
      <c r="J1385" s="695" t="s">
        <v>5024</v>
      </c>
      <c r="K1385" s="695" t="s">
        <v>8544</v>
      </c>
      <c r="L1385" s="696">
        <v>66</v>
      </c>
      <c r="M1385" s="170"/>
    </row>
    <row r="1386" spans="2:13" x14ac:dyDescent="0.2">
      <c r="B1386" s="173"/>
      <c r="C1386" s="694">
        <v>1</v>
      </c>
      <c r="D1386" s="695" t="s">
        <v>3903</v>
      </c>
      <c r="E1386" s="695">
        <v>3</v>
      </c>
      <c r="F1386" s="695" t="s">
        <v>4822</v>
      </c>
      <c r="G1386" s="695">
        <v>2</v>
      </c>
      <c r="H1386" s="695" t="s">
        <v>4908</v>
      </c>
      <c r="I1386" s="695">
        <v>124</v>
      </c>
      <c r="J1386" s="695" t="s">
        <v>5025</v>
      </c>
      <c r="K1386" s="695" t="s">
        <v>8544</v>
      </c>
      <c r="L1386" s="696">
        <v>5</v>
      </c>
      <c r="M1386" s="170"/>
    </row>
    <row r="1387" spans="2:13" x14ac:dyDescent="0.2">
      <c r="B1387" s="173"/>
      <c r="C1387" s="694">
        <v>1</v>
      </c>
      <c r="D1387" s="695" t="s">
        <v>3903</v>
      </c>
      <c r="E1387" s="695">
        <v>3</v>
      </c>
      <c r="F1387" s="695" t="s">
        <v>4822</v>
      </c>
      <c r="G1387" s="695">
        <v>2</v>
      </c>
      <c r="H1387" s="695" t="s">
        <v>4908</v>
      </c>
      <c r="I1387" s="695">
        <v>125</v>
      </c>
      <c r="J1387" s="695" t="s">
        <v>5026</v>
      </c>
      <c r="K1387" s="695" t="s">
        <v>8544</v>
      </c>
      <c r="L1387" s="696">
        <v>62</v>
      </c>
      <c r="M1387" s="170"/>
    </row>
    <row r="1388" spans="2:13" x14ac:dyDescent="0.2">
      <c r="B1388" s="173"/>
      <c r="C1388" s="694">
        <v>1</v>
      </c>
      <c r="D1388" s="695" t="s">
        <v>3903</v>
      </c>
      <c r="E1388" s="695">
        <v>3</v>
      </c>
      <c r="F1388" s="695" t="s">
        <v>4822</v>
      </c>
      <c r="G1388" s="695">
        <v>2</v>
      </c>
      <c r="H1388" s="695" t="s">
        <v>4908</v>
      </c>
      <c r="I1388" s="695">
        <v>126</v>
      </c>
      <c r="J1388" s="695" t="s">
        <v>5027</v>
      </c>
      <c r="K1388" s="695" t="s">
        <v>3907</v>
      </c>
      <c r="L1388" s="696">
        <v>27</v>
      </c>
      <c r="M1388" s="170"/>
    </row>
    <row r="1389" spans="2:13" x14ac:dyDescent="0.2">
      <c r="B1389" s="173"/>
      <c r="C1389" s="694">
        <v>1</v>
      </c>
      <c r="D1389" s="695" t="s">
        <v>3903</v>
      </c>
      <c r="E1389" s="695">
        <v>3</v>
      </c>
      <c r="F1389" s="695" t="s">
        <v>4822</v>
      </c>
      <c r="G1389" s="695">
        <v>2</v>
      </c>
      <c r="H1389" s="695" t="s">
        <v>4908</v>
      </c>
      <c r="I1389" s="695">
        <v>127</v>
      </c>
      <c r="J1389" s="695" t="s">
        <v>5028</v>
      </c>
      <c r="K1389" s="695" t="s">
        <v>3907</v>
      </c>
      <c r="L1389" s="696">
        <v>5</v>
      </c>
      <c r="M1389" s="170"/>
    </row>
    <row r="1390" spans="2:13" x14ac:dyDescent="0.2">
      <c r="B1390" s="173"/>
      <c r="C1390" s="694">
        <v>1</v>
      </c>
      <c r="D1390" s="695" t="s">
        <v>3903</v>
      </c>
      <c r="E1390" s="695">
        <v>3</v>
      </c>
      <c r="F1390" s="695" t="s">
        <v>4822</v>
      </c>
      <c r="G1390" s="695">
        <v>2</v>
      </c>
      <c r="H1390" s="695" t="s">
        <v>4908</v>
      </c>
      <c r="I1390" s="695">
        <v>128</v>
      </c>
      <c r="J1390" s="695" t="s">
        <v>5029</v>
      </c>
      <c r="K1390" s="695" t="s">
        <v>3907</v>
      </c>
      <c r="L1390" s="696">
        <v>11</v>
      </c>
      <c r="M1390" s="170"/>
    </row>
    <row r="1391" spans="2:13" x14ac:dyDescent="0.2">
      <c r="B1391" s="173"/>
      <c r="C1391" s="694">
        <v>1</v>
      </c>
      <c r="D1391" s="695" t="s">
        <v>3903</v>
      </c>
      <c r="E1391" s="695">
        <v>3</v>
      </c>
      <c r="F1391" s="695" t="s">
        <v>4822</v>
      </c>
      <c r="G1391" s="695">
        <v>2</v>
      </c>
      <c r="H1391" s="695" t="s">
        <v>4908</v>
      </c>
      <c r="I1391" s="695">
        <v>129</v>
      </c>
      <c r="J1391" s="695" t="s">
        <v>5030</v>
      </c>
      <c r="K1391" s="695" t="s">
        <v>3907</v>
      </c>
      <c r="L1391" s="696">
        <v>16</v>
      </c>
      <c r="M1391" s="170"/>
    </row>
    <row r="1392" spans="2:13" x14ac:dyDescent="0.2">
      <c r="B1392" s="173"/>
      <c r="C1392" s="694">
        <v>1</v>
      </c>
      <c r="D1392" s="695" t="s">
        <v>3903</v>
      </c>
      <c r="E1392" s="695">
        <v>3</v>
      </c>
      <c r="F1392" s="695" t="s">
        <v>4822</v>
      </c>
      <c r="G1392" s="695">
        <v>2</v>
      </c>
      <c r="H1392" s="695" t="s">
        <v>4908</v>
      </c>
      <c r="I1392" s="695">
        <v>130</v>
      </c>
      <c r="J1392" s="695" t="s">
        <v>5031</v>
      </c>
      <c r="K1392" s="695" t="s">
        <v>3907</v>
      </c>
      <c r="L1392" s="696">
        <v>16</v>
      </c>
      <c r="M1392" s="170"/>
    </row>
    <row r="1393" spans="2:13" x14ac:dyDescent="0.2">
      <c r="B1393" s="173"/>
      <c r="C1393" s="694">
        <v>1</v>
      </c>
      <c r="D1393" s="695" t="s">
        <v>3903</v>
      </c>
      <c r="E1393" s="695">
        <v>3</v>
      </c>
      <c r="F1393" s="695" t="s">
        <v>4822</v>
      </c>
      <c r="G1393" s="695">
        <v>2</v>
      </c>
      <c r="H1393" s="695" t="s">
        <v>4908</v>
      </c>
      <c r="I1393" s="695">
        <v>131</v>
      </c>
      <c r="J1393" s="695" t="s">
        <v>5032</v>
      </c>
      <c r="K1393" s="695" t="s">
        <v>3907</v>
      </c>
      <c r="L1393" s="696">
        <v>8</v>
      </c>
      <c r="M1393" s="170"/>
    </row>
    <row r="1394" spans="2:13" x14ac:dyDescent="0.2">
      <c r="B1394" s="173"/>
      <c r="C1394" s="694">
        <v>1</v>
      </c>
      <c r="D1394" s="695" t="s">
        <v>3903</v>
      </c>
      <c r="E1394" s="695">
        <v>3</v>
      </c>
      <c r="F1394" s="695" t="s">
        <v>4822</v>
      </c>
      <c r="G1394" s="695">
        <v>2</v>
      </c>
      <c r="H1394" s="695" t="s">
        <v>4908</v>
      </c>
      <c r="I1394" s="695">
        <v>132</v>
      </c>
      <c r="J1394" s="695" t="s">
        <v>5033</v>
      </c>
      <c r="K1394" s="695" t="s">
        <v>3907</v>
      </c>
      <c r="L1394" s="696">
        <v>36</v>
      </c>
      <c r="M1394" s="170"/>
    </row>
    <row r="1395" spans="2:13" x14ac:dyDescent="0.2">
      <c r="B1395" s="173"/>
      <c r="C1395" s="694">
        <v>1</v>
      </c>
      <c r="D1395" s="695" t="s">
        <v>3903</v>
      </c>
      <c r="E1395" s="695">
        <v>3</v>
      </c>
      <c r="F1395" s="695" t="s">
        <v>4822</v>
      </c>
      <c r="G1395" s="695">
        <v>2</v>
      </c>
      <c r="H1395" s="695" t="s">
        <v>4908</v>
      </c>
      <c r="I1395" s="695">
        <v>133</v>
      </c>
      <c r="J1395" s="695" t="s">
        <v>5034</v>
      </c>
      <c r="K1395" s="695" t="s">
        <v>3907</v>
      </c>
      <c r="L1395" s="696">
        <v>8</v>
      </c>
      <c r="M1395" s="170"/>
    </row>
    <row r="1396" spans="2:13" x14ac:dyDescent="0.2">
      <c r="B1396" s="173"/>
      <c r="C1396" s="694">
        <v>1</v>
      </c>
      <c r="D1396" s="695" t="s">
        <v>3903</v>
      </c>
      <c r="E1396" s="695">
        <v>3</v>
      </c>
      <c r="F1396" s="695" t="s">
        <v>4822</v>
      </c>
      <c r="G1396" s="695">
        <v>2</v>
      </c>
      <c r="H1396" s="695" t="s">
        <v>4908</v>
      </c>
      <c r="I1396" s="695">
        <v>134</v>
      </c>
      <c r="J1396" s="695" t="s">
        <v>5035</v>
      </c>
      <c r="K1396" s="695" t="s">
        <v>4045</v>
      </c>
      <c r="L1396" s="696">
        <v>0</v>
      </c>
      <c r="M1396" s="170"/>
    </row>
    <row r="1397" spans="2:13" x14ac:dyDescent="0.2">
      <c r="B1397" s="173"/>
      <c r="C1397" s="694">
        <v>1</v>
      </c>
      <c r="D1397" s="695" t="s">
        <v>3903</v>
      </c>
      <c r="E1397" s="695">
        <v>3</v>
      </c>
      <c r="F1397" s="695" t="s">
        <v>4822</v>
      </c>
      <c r="G1397" s="695">
        <v>2</v>
      </c>
      <c r="H1397" s="695" t="s">
        <v>4908</v>
      </c>
      <c r="I1397" s="695">
        <v>135</v>
      </c>
      <c r="J1397" s="695" t="s">
        <v>5036</v>
      </c>
      <c r="K1397" s="695" t="s">
        <v>4045</v>
      </c>
      <c r="L1397" s="696">
        <v>178</v>
      </c>
      <c r="M1397" s="170"/>
    </row>
    <row r="1398" spans="2:13" x14ac:dyDescent="0.2">
      <c r="B1398" s="173"/>
      <c r="C1398" s="694">
        <v>1</v>
      </c>
      <c r="D1398" s="695" t="s">
        <v>3903</v>
      </c>
      <c r="E1398" s="695">
        <v>3</v>
      </c>
      <c r="F1398" s="695" t="s">
        <v>4822</v>
      </c>
      <c r="G1398" s="695">
        <v>2</v>
      </c>
      <c r="H1398" s="695" t="s">
        <v>4908</v>
      </c>
      <c r="I1398" s="695">
        <v>136</v>
      </c>
      <c r="J1398" s="695" t="s">
        <v>5037</v>
      </c>
      <c r="K1398" s="695" t="s">
        <v>4045</v>
      </c>
      <c r="L1398" s="696">
        <v>9</v>
      </c>
      <c r="M1398" s="170"/>
    </row>
    <row r="1399" spans="2:13" x14ac:dyDescent="0.2">
      <c r="B1399" s="173"/>
      <c r="C1399" s="694">
        <v>1</v>
      </c>
      <c r="D1399" s="695" t="s">
        <v>3903</v>
      </c>
      <c r="E1399" s="695">
        <v>3</v>
      </c>
      <c r="F1399" s="695" t="s">
        <v>4822</v>
      </c>
      <c r="G1399" s="695">
        <v>2</v>
      </c>
      <c r="H1399" s="695" t="s">
        <v>4908</v>
      </c>
      <c r="I1399" s="695">
        <v>137</v>
      </c>
      <c r="J1399" s="695" t="s">
        <v>5038</v>
      </c>
      <c r="K1399" s="695" t="s">
        <v>8544</v>
      </c>
      <c r="L1399" s="696">
        <v>8</v>
      </c>
      <c r="M1399" s="170"/>
    </row>
    <row r="1400" spans="2:13" x14ac:dyDescent="0.2">
      <c r="B1400" s="173"/>
      <c r="C1400" s="694">
        <v>1</v>
      </c>
      <c r="D1400" s="695" t="s">
        <v>3903</v>
      </c>
      <c r="E1400" s="695">
        <v>3</v>
      </c>
      <c r="F1400" s="695" t="s">
        <v>4822</v>
      </c>
      <c r="G1400" s="695">
        <v>2</v>
      </c>
      <c r="H1400" s="695" t="s">
        <v>4908</v>
      </c>
      <c r="I1400" s="695">
        <v>138</v>
      </c>
      <c r="J1400" s="695" t="s">
        <v>5039</v>
      </c>
      <c r="K1400" s="695" t="s">
        <v>8544</v>
      </c>
      <c r="L1400" s="696">
        <v>15</v>
      </c>
      <c r="M1400" s="170"/>
    </row>
    <row r="1401" spans="2:13" x14ac:dyDescent="0.2">
      <c r="B1401" s="173"/>
      <c r="C1401" s="694">
        <v>1</v>
      </c>
      <c r="D1401" s="695" t="s">
        <v>3903</v>
      </c>
      <c r="E1401" s="695">
        <v>3</v>
      </c>
      <c r="F1401" s="695" t="s">
        <v>4822</v>
      </c>
      <c r="G1401" s="695">
        <v>2</v>
      </c>
      <c r="H1401" s="695" t="s">
        <v>4908</v>
      </c>
      <c r="I1401" s="695">
        <v>139</v>
      </c>
      <c r="J1401" s="695" t="s">
        <v>5040</v>
      </c>
      <c r="K1401" s="695" t="s">
        <v>8544</v>
      </c>
      <c r="L1401" s="696">
        <v>8</v>
      </c>
      <c r="M1401" s="170"/>
    </row>
    <row r="1402" spans="2:13" x14ac:dyDescent="0.2">
      <c r="B1402" s="173"/>
      <c r="C1402" s="694">
        <v>1</v>
      </c>
      <c r="D1402" s="695" t="s">
        <v>3903</v>
      </c>
      <c r="E1402" s="695">
        <v>3</v>
      </c>
      <c r="F1402" s="695" t="s">
        <v>4822</v>
      </c>
      <c r="G1402" s="695">
        <v>2</v>
      </c>
      <c r="H1402" s="695" t="s">
        <v>4908</v>
      </c>
      <c r="I1402" s="695">
        <v>140</v>
      </c>
      <c r="J1402" s="695" t="s">
        <v>5041</v>
      </c>
      <c r="K1402" s="695" t="s">
        <v>8544</v>
      </c>
      <c r="L1402" s="696">
        <v>25</v>
      </c>
      <c r="M1402" s="170"/>
    </row>
    <row r="1403" spans="2:13" x14ac:dyDescent="0.2">
      <c r="B1403" s="173"/>
      <c r="C1403" s="694">
        <v>1</v>
      </c>
      <c r="D1403" s="695" t="s">
        <v>3903</v>
      </c>
      <c r="E1403" s="695">
        <v>3</v>
      </c>
      <c r="F1403" s="695" t="s">
        <v>4822</v>
      </c>
      <c r="G1403" s="695">
        <v>2</v>
      </c>
      <c r="H1403" s="695" t="s">
        <v>4908</v>
      </c>
      <c r="I1403" s="695">
        <v>141</v>
      </c>
      <c r="J1403" s="695" t="s">
        <v>5042</v>
      </c>
      <c r="K1403" s="695" t="s">
        <v>8544</v>
      </c>
      <c r="L1403" s="696">
        <v>17</v>
      </c>
      <c r="M1403" s="170"/>
    </row>
    <row r="1404" spans="2:13" x14ac:dyDescent="0.2">
      <c r="B1404" s="173"/>
      <c r="C1404" s="694">
        <v>1</v>
      </c>
      <c r="D1404" s="695" t="s">
        <v>3903</v>
      </c>
      <c r="E1404" s="695">
        <v>3</v>
      </c>
      <c r="F1404" s="695" t="s">
        <v>4822</v>
      </c>
      <c r="G1404" s="695">
        <v>2</v>
      </c>
      <c r="H1404" s="695" t="s">
        <v>4908</v>
      </c>
      <c r="I1404" s="695">
        <v>142</v>
      </c>
      <c r="J1404" s="695" t="s">
        <v>5043</v>
      </c>
      <c r="K1404" s="695" t="s">
        <v>8544</v>
      </c>
      <c r="L1404" s="696">
        <v>9</v>
      </c>
      <c r="M1404" s="170"/>
    </row>
    <row r="1405" spans="2:13" x14ac:dyDescent="0.2">
      <c r="B1405" s="173"/>
      <c r="C1405" s="694">
        <v>1</v>
      </c>
      <c r="D1405" s="695" t="s">
        <v>3903</v>
      </c>
      <c r="E1405" s="695">
        <v>3</v>
      </c>
      <c r="F1405" s="695" t="s">
        <v>4822</v>
      </c>
      <c r="G1405" s="695">
        <v>2</v>
      </c>
      <c r="H1405" s="695" t="s">
        <v>4908</v>
      </c>
      <c r="I1405" s="695">
        <v>143</v>
      </c>
      <c r="J1405" s="695" t="s">
        <v>5044</v>
      </c>
      <c r="K1405" s="695" t="s">
        <v>8544</v>
      </c>
      <c r="L1405" s="696">
        <v>29</v>
      </c>
      <c r="M1405" s="170"/>
    </row>
    <row r="1406" spans="2:13" x14ac:dyDescent="0.2">
      <c r="B1406" s="173"/>
      <c r="C1406" s="694">
        <v>1</v>
      </c>
      <c r="D1406" s="695" t="s">
        <v>3903</v>
      </c>
      <c r="E1406" s="695">
        <v>3</v>
      </c>
      <c r="F1406" s="695" t="s">
        <v>4822</v>
      </c>
      <c r="G1406" s="695">
        <v>2</v>
      </c>
      <c r="H1406" s="695" t="s">
        <v>4908</v>
      </c>
      <c r="I1406" s="695">
        <v>144</v>
      </c>
      <c r="J1406" s="695" t="s">
        <v>5045</v>
      </c>
      <c r="K1406" s="695" t="s">
        <v>8544</v>
      </c>
      <c r="L1406" s="696">
        <v>13</v>
      </c>
      <c r="M1406" s="170"/>
    </row>
    <row r="1407" spans="2:13" x14ac:dyDescent="0.2">
      <c r="B1407" s="173"/>
      <c r="C1407" s="694">
        <v>1</v>
      </c>
      <c r="D1407" s="695" t="s">
        <v>3903</v>
      </c>
      <c r="E1407" s="695">
        <v>3</v>
      </c>
      <c r="F1407" s="695" t="s">
        <v>4822</v>
      </c>
      <c r="G1407" s="695">
        <v>2</v>
      </c>
      <c r="H1407" s="695" t="s">
        <v>4908</v>
      </c>
      <c r="I1407" s="695">
        <v>145</v>
      </c>
      <c r="J1407" s="695" t="s">
        <v>5046</v>
      </c>
      <c r="K1407" s="695" t="s">
        <v>8544</v>
      </c>
      <c r="L1407" s="696">
        <v>11</v>
      </c>
      <c r="M1407" s="170"/>
    </row>
    <row r="1408" spans="2:13" x14ac:dyDescent="0.2">
      <c r="B1408" s="173"/>
      <c r="C1408" s="694">
        <v>1</v>
      </c>
      <c r="D1408" s="695" t="s">
        <v>3903</v>
      </c>
      <c r="E1408" s="695">
        <v>3</v>
      </c>
      <c r="F1408" s="695" t="s">
        <v>4822</v>
      </c>
      <c r="G1408" s="695">
        <v>2</v>
      </c>
      <c r="H1408" s="695" t="s">
        <v>4908</v>
      </c>
      <c r="I1408" s="695">
        <v>146</v>
      </c>
      <c r="J1408" s="695" t="s">
        <v>5047</v>
      </c>
      <c r="K1408" s="695" t="s">
        <v>8544</v>
      </c>
      <c r="L1408" s="696">
        <v>7</v>
      </c>
      <c r="M1408" s="170"/>
    </row>
    <row r="1409" spans="2:13" x14ac:dyDescent="0.2">
      <c r="B1409" s="173"/>
      <c r="C1409" s="694">
        <v>1</v>
      </c>
      <c r="D1409" s="695" t="s">
        <v>3903</v>
      </c>
      <c r="E1409" s="695">
        <v>3</v>
      </c>
      <c r="F1409" s="695" t="s">
        <v>4822</v>
      </c>
      <c r="G1409" s="695">
        <v>2</v>
      </c>
      <c r="H1409" s="695" t="s">
        <v>4908</v>
      </c>
      <c r="I1409" s="695">
        <v>147</v>
      </c>
      <c r="J1409" s="695" t="s">
        <v>5048</v>
      </c>
      <c r="K1409" s="695" t="s">
        <v>8544</v>
      </c>
      <c r="L1409" s="696">
        <v>4</v>
      </c>
      <c r="M1409" s="170"/>
    </row>
    <row r="1410" spans="2:13" x14ac:dyDescent="0.2">
      <c r="B1410" s="173"/>
      <c r="C1410" s="694">
        <v>1</v>
      </c>
      <c r="D1410" s="695" t="s">
        <v>3903</v>
      </c>
      <c r="E1410" s="695">
        <v>3</v>
      </c>
      <c r="F1410" s="695" t="s">
        <v>4822</v>
      </c>
      <c r="G1410" s="695">
        <v>2</v>
      </c>
      <c r="H1410" s="695" t="s">
        <v>4908</v>
      </c>
      <c r="I1410" s="695">
        <v>148</v>
      </c>
      <c r="J1410" s="695" t="s">
        <v>5049</v>
      </c>
      <c r="K1410" s="695" t="s">
        <v>8544</v>
      </c>
      <c r="L1410" s="696">
        <v>3</v>
      </c>
      <c r="M1410" s="170"/>
    </row>
    <row r="1411" spans="2:13" x14ac:dyDescent="0.2">
      <c r="B1411" s="173"/>
      <c r="C1411" s="694">
        <v>1</v>
      </c>
      <c r="D1411" s="695" t="s">
        <v>3903</v>
      </c>
      <c r="E1411" s="695">
        <v>3</v>
      </c>
      <c r="F1411" s="695" t="s">
        <v>4822</v>
      </c>
      <c r="G1411" s="695">
        <v>2</v>
      </c>
      <c r="H1411" s="695" t="s">
        <v>4908</v>
      </c>
      <c r="I1411" s="695">
        <v>149</v>
      </c>
      <c r="J1411" s="695" t="s">
        <v>5050</v>
      </c>
      <c r="K1411" s="695" t="s">
        <v>8544</v>
      </c>
      <c r="L1411" s="696">
        <v>9</v>
      </c>
      <c r="M1411" s="170"/>
    </row>
    <row r="1412" spans="2:13" x14ac:dyDescent="0.2">
      <c r="B1412" s="173"/>
      <c r="C1412" s="694">
        <v>1</v>
      </c>
      <c r="D1412" s="695" t="s">
        <v>3903</v>
      </c>
      <c r="E1412" s="695">
        <v>3</v>
      </c>
      <c r="F1412" s="695" t="s">
        <v>4822</v>
      </c>
      <c r="G1412" s="695">
        <v>2</v>
      </c>
      <c r="H1412" s="695" t="s">
        <v>4908</v>
      </c>
      <c r="I1412" s="695">
        <v>150</v>
      </c>
      <c r="J1412" s="695" t="s">
        <v>5051</v>
      </c>
      <c r="K1412" s="695" t="s">
        <v>8544</v>
      </c>
      <c r="L1412" s="696">
        <v>21</v>
      </c>
      <c r="M1412" s="170"/>
    </row>
    <row r="1413" spans="2:13" x14ac:dyDescent="0.2">
      <c r="B1413" s="173"/>
      <c r="C1413" s="694">
        <v>1</v>
      </c>
      <c r="D1413" s="695" t="s">
        <v>3903</v>
      </c>
      <c r="E1413" s="695">
        <v>3</v>
      </c>
      <c r="F1413" s="695" t="s">
        <v>4822</v>
      </c>
      <c r="G1413" s="695">
        <v>2</v>
      </c>
      <c r="H1413" s="695" t="s">
        <v>4908</v>
      </c>
      <c r="I1413" s="695">
        <v>151</v>
      </c>
      <c r="J1413" s="695" t="s">
        <v>5052</v>
      </c>
      <c r="K1413" s="695" t="s">
        <v>8544</v>
      </c>
      <c r="L1413" s="696">
        <v>1</v>
      </c>
      <c r="M1413" s="170"/>
    </row>
    <row r="1414" spans="2:13" x14ac:dyDescent="0.2">
      <c r="B1414" s="173"/>
      <c r="C1414" s="694">
        <v>1</v>
      </c>
      <c r="D1414" s="695" t="s">
        <v>3903</v>
      </c>
      <c r="E1414" s="695">
        <v>3</v>
      </c>
      <c r="F1414" s="695" t="s">
        <v>4822</v>
      </c>
      <c r="G1414" s="695">
        <v>2</v>
      </c>
      <c r="H1414" s="695" t="s">
        <v>4908</v>
      </c>
      <c r="I1414" s="695">
        <v>152</v>
      </c>
      <c r="J1414" s="695" t="s">
        <v>5053</v>
      </c>
      <c r="K1414" s="695" t="s">
        <v>8544</v>
      </c>
      <c r="L1414" s="696">
        <v>27</v>
      </c>
      <c r="M1414" s="170"/>
    </row>
    <row r="1415" spans="2:13" x14ac:dyDescent="0.2">
      <c r="B1415" s="173"/>
      <c r="C1415" s="694">
        <v>1</v>
      </c>
      <c r="D1415" s="695" t="s">
        <v>3903</v>
      </c>
      <c r="E1415" s="695">
        <v>3</v>
      </c>
      <c r="F1415" s="695" t="s">
        <v>4822</v>
      </c>
      <c r="G1415" s="695">
        <v>2</v>
      </c>
      <c r="H1415" s="695" t="s">
        <v>4908</v>
      </c>
      <c r="I1415" s="695">
        <v>153</v>
      </c>
      <c r="J1415" s="695" t="s">
        <v>5054</v>
      </c>
      <c r="K1415" s="695" t="s">
        <v>4045</v>
      </c>
      <c r="L1415" s="696">
        <v>16</v>
      </c>
      <c r="M1415" s="170"/>
    </row>
    <row r="1416" spans="2:13" x14ac:dyDescent="0.2">
      <c r="B1416" s="173"/>
      <c r="C1416" s="694">
        <v>1</v>
      </c>
      <c r="D1416" s="695" t="s">
        <v>3903</v>
      </c>
      <c r="E1416" s="695">
        <v>3</v>
      </c>
      <c r="F1416" s="695" t="s">
        <v>4822</v>
      </c>
      <c r="G1416" s="695">
        <v>2</v>
      </c>
      <c r="H1416" s="695" t="s">
        <v>4908</v>
      </c>
      <c r="I1416" s="695">
        <v>154</v>
      </c>
      <c r="J1416" s="695" t="s">
        <v>5055</v>
      </c>
      <c r="K1416" s="695" t="s">
        <v>3907</v>
      </c>
      <c r="L1416" s="696">
        <v>142</v>
      </c>
      <c r="M1416" s="170"/>
    </row>
    <row r="1417" spans="2:13" x14ac:dyDescent="0.2">
      <c r="B1417" s="173"/>
      <c r="C1417" s="694">
        <v>1</v>
      </c>
      <c r="D1417" s="695" t="s">
        <v>3903</v>
      </c>
      <c r="E1417" s="695">
        <v>3</v>
      </c>
      <c r="F1417" s="695" t="s">
        <v>4822</v>
      </c>
      <c r="G1417" s="695">
        <v>2</v>
      </c>
      <c r="H1417" s="695" t="s">
        <v>4908</v>
      </c>
      <c r="I1417" s="695">
        <v>155</v>
      </c>
      <c r="J1417" s="695" t="s">
        <v>5056</v>
      </c>
      <c r="K1417" s="695" t="s">
        <v>8544</v>
      </c>
      <c r="L1417" s="696">
        <v>3</v>
      </c>
      <c r="M1417" s="170"/>
    </row>
    <row r="1418" spans="2:13" x14ac:dyDescent="0.2">
      <c r="B1418" s="173"/>
      <c r="C1418" s="694">
        <v>1</v>
      </c>
      <c r="D1418" s="695" t="s">
        <v>3903</v>
      </c>
      <c r="E1418" s="695">
        <v>3</v>
      </c>
      <c r="F1418" s="695" t="s">
        <v>4822</v>
      </c>
      <c r="G1418" s="695">
        <v>2</v>
      </c>
      <c r="H1418" s="695" t="s">
        <v>4908</v>
      </c>
      <c r="I1418" s="695">
        <v>156</v>
      </c>
      <c r="J1418" s="695" t="s">
        <v>5057</v>
      </c>
      <c r="K1418" s="695" t="s">
        <v>8544</v>
      </c>
      <c r="L1418" s="696">
        <v>61</v>
      </c>
      <c r="M1418" s="170"/>
    </row>
    <row r="1419" spans="2:13" x14ac:dyDescent="0.2">
      <c r="B1419" s="173"/>
      <c r="C1419" s="694">
        <v>1</v>
      </c>
      <c r="D1419" s="695" t="s">
        <v>3903</v>
      </c>
      <c r="E1419" s="695">
        <v>3</v>
      </c>
      <c r="F1419" s="695" t="s">
        <v>4822</v>
      </c>
      <c r="G1419" s="695">
        <v>2</v>
      </c>
      <c r="H1419" s="695" t="s">
        <v>4908</v>
      </c>
      <c r="I1419" s="695">
        <v>157</v>
      </c>
      <c r="J1419" s="695" t="s">
        <v>5058</v>
      </c>
      <c r="K1419" s="695" t="s">
        <v>8544</v>
      </c>
      <c r="L1419" s="696">
        <v>19</v>
      </c>
      <c r="M1419" s="170"/>
    </row>
    <row r="1420" spans="2:13" x14ac:dyDescent="0.2">
      <c r="B1420" s="173"/>
      <c r="C1420" s="694">
        <v>1</v>
      </c>
      <c r="D1420" s="695" t="s">
        <v>3903</v>
      </c>
      <c r="E1420" s="695">
        <v>3</v>
      </c>
      <c r="F1420" s="695" t="s">
        <v>4822</v>
      </c>
      <c r="G1420" s="695">
        <v>2</v>
      </c>
      <c r="H1420" s="695" t="s">
        <v>4908</v>
      </c>
      <c r="I1420" s="695">
        <v>158</v>
      </c>
      <c r="J1420" s="695" t="s">
        <v>5059</v>
      </c>
      <c r="K1420" s="695" t="s">
        <v>8544</v>
      </c>
      <c r="L1420" s="696">
        <v>17</v>
      </c>
      <c r="M1420" s="170"/>
    </row>
    <row r="1421" spans="2:13" x14ac:dyDescent="0.2">
      <c r="B1421" s="173"/>
      <c r="C1421" s="694">
        <v>1</v>
      </c>
      <c r="D1421" s="695" t="s">
        <v>3903</v>
      </c>
      <c r="E1421" s="695">
        <v>3</v>
      </c>
      <c r="F1421" s="695" t="s">
        <v>4822</v>
      </c>
      <c r="G1421" s="695">
        <v>2</v>
      </c>
      <c r="H1421" s="695" t="s">
        <v>4908</v>
      </c>
      <c r="I1421" s="695">
        <v>159</v>
      </c>
      <c r="J1421" s="695" t="s">
        <v>5060</v>
      </c>
      <c r="K1421" s="695" t="s">
        <v>8544</v>
      </c>
      <c r="L1421" s="696">
        <v>30</v>
      </c>
      <c r="M1421" s="170"/>
    </row>
    <row r="1422" spans="2:13" x14ac:dyDescent="0.2">
      <c r="B1422" s="173"/>
      <c r="C1422" s="694">
        <v>1</v>
      </c>
      <c r="D1422" s="695" t="s">
        <v>3903</v>
      </c>
      <c r="E1422" s="695">
        <v>3</v>
      </c>
      <c r="F1422" s="695" t="s">
        <v>4822</v>
      </c>
      <c r="G1422" s="695">
        <v>2</v>
      </c>
      <c r="H1422" s="695" t="s">
        <v>4908</v>
      </c>
      <c r="I1422" s="695">
        <v>160</v>
      </c>
      <c r="J1422" s="695" t="s">
        <v>5061</v>
      </c>
      <c r="K1422" s="695" t="s">
        <v>8544</v>
      </c>
      <c r="L1422" s="696">
        <v>5</v>
      </c>
      <c r="M1422" s="170"/>
    </row>
    <row r="1423" spans="2:13" x14ac:dyDescent="0.2">
      <c r="B1423" s="173"/>
      <c r="C1423" s="694">
        <v>1</v>
      </c>
      <c r="D1423" s="695" t="s">
        <v>3903</v>
      </c>
      <c r="E1423" s="695">
        <v>3</v>
      </c>
      <c r="F1423" s="695" t="s">
        <v>4822</v>
      </c>
      <c r="G1423" s="695">
        <v>2</v>
      </c>
      <c r="H1423" s="695" t="s">
        <v>4908</v>
      </c>
      <c r="I1423" s="695">
        <v>161</v>
      </c>
      <c r="J1423" s="695" t="s">
        <v>5062</v>
      </c>
      <c r="K1423" s="695" t="s">
        <v>8544</v>
      </c>
      <c r="L1423" s="696">
        <v>10</v>
      </c>
      <c r="M1423" s="170"/>
    </row>
    <row r="1424" spans="2:13" x14ac:dyDescent="0.2">
      <c r="B1424" s="173"/>
      <c r="C1424" s="694">
        <v>1</v>
      </c>
      <c r="D1424" s="695" t="s">
        <v>3903</v>
      </c>
      <c r="E1424" s="695">
        <v>3</v>
      </c>
      <c r="F1424" s="695" t="s">
        <v>4822</v>
      </c>
      <c r="G1424" s="695">
        <v>2</v>
      </c>
      <c r="H1424" s="695" t="s">
        <v>4908</v>
      </c>
      <c r="I1424" s="695">
        <v>162</v>
      </c>
      <c r="J1424" s="695" t="s">
        <v>5063</v>
      </c>
      <c r="K1424" s="695" t="s">
        <v>8544</v>
      </c>
      <c r="L1424" s="696">
        <v>7</v>
      </c>
      <c r="M1424" s="170"/>
    </row>
    <row r="1425" spans="2:13" x14ac:dyDescent="0.2">
      <c r="B1425" s="173"/>
      <c r="C1425" s="694">
        <v>1</v>
      </c>
      <c r="D1425" s="695" t="s">
        <v>3903</v>
      </c>
      <c r="E1425" s="695">
        <v>3</v>
      </c>
      <c r="F1425" s="695" t="s">
        <v>4822</v>
      </c>
      <c r="G1425" s="695">
        <v>2</v>
      </c>
      <c r="H1425" s="695" t="s">
        <v>4908</v>
      </c>
      <c r="I1425" s="695">
        <v>163</v>
      </c>
      <c r="J1425" s="695" t="s">
        <v>5064</v>
      </c>
      <c r="K1425" s="695" t="s">
        <v>8544</v>
      </c>
      <c r="L1425" s="696">
        <v>4</v>
      </c>
      <c r="M1425" s="170"/>
    </row>
    <row r="1426" spans="2:13" x14ac:dyDescent="0.2">
      <c r="B1426" s="173"/>
      <c r="C1426" s="694">
        <v>1</v>
      </c>
      <c r="D1426" s="695" t="s">
        <v>3903</v>
      </c>
      <c r="E1426" s="695">
        <v>3</v>
      </c>
      <c r="F1426" s="695" t="s">
        <v>4822</v>
      </c>
      <c r="G1426" s="695">
        <v>2</v>
      </c>
      <c r="H1426" s="695" t="s">
        <v>4908</v>
      </c>
      <c r="I1426" s="695">
        <v>164</v>
      </c>
      <c r="J1426" s="695" t="s">
        <v>5065</v>
      </c>
      <c r="K1426" s="695" t="s">
        <v>3907</v>
      </c>
      <c r="L1426" s="696">
        <v>23</v>
      </c>
      <c r="M1426" s="170"/>
    </row>
    <row r="1427" spans="2:13" x14ac:dyDescent="0.2">
      <c r="B1427" s="173"/>
      <c r="C1427" s="694">
        <v>1</v>
      </c>
      <c r="D1427" s="695" t="s">
        <v>3903</v>
      </c>
      <c r="E1427" s="695">
        <v>3</v>
      </c>
      <c r="F1427" s="695" t="s">
        <v>4822</v>
      </c>
      <c r="G1427" s="695">
        <v>2</v>
      </c>
      <c r="H1427" s="695" t="s">
        <v>4908</v>
      </c>
      <c r="I1427" s="695">
        <v>165</v>
      </c>
      <c r="J1427" s="695" t="s">
        <v>5066</v>
      </c>
      <c r="K1427" s="695" t="s">
        <v>8544</v>
      </c>
      <c r="L1427" s="696">
        <v>4</v>
      </c>
      <c r="M1427" s="170"/>
    </row>
    <row r="1428" spans="2:13" x14ac:dyDescent="0.2">
      <c r="B1428" s="173"/>
      <c r="C1428" s="694">
        <v>1</v>
      </c>
      <c r="D1428" s="695" t="s">
        <v>3903</v>
      </c>
      <c r="E1428" s="695">
        <v>3</v>
      </c>
      <c r="F1428" s="695" t="s">
        <v>4822</v>
      </c>
      <c r="G1428" s="695">
        <v>2</v>
      </c>
      <c r="H1428" s="695" t="s">
        <v>4908</v>
      </c>
      <c r="I1428" s="695">
        <v>166</v>
      </c>
      <c r="J1428" s="695" t="s">
        <v>5067</v>
      </c>
      <c r="K1428" s="695" t="s">
        <v>8544</v>
      </c>
      <c r="L1428" s="696">
        <v>1</v>
      </c>
      <c r="M1428" s="170"/>
    </row>
    <row r="1429" spans="2:13" x14ac:dyDescent="0.2">
      <c r="B1429" s="173"/>
      <c r="C1429" s="694">
        <v>1</v>
      </c>
      <c r="D1429" s="695" t="s">
        <v>3903</v>
      </c>
      <c r="E1429" s="695">
        <v>3</v>
      </c>
      <c r="F1429" s="695" t="s">
        <v>4822</v>
      </c>
      <c r="G1429" s="695">
        <v>2</v>
      </c>
      <c r="H1429" s="695" t="s">
        <v>4908</v>
      </c>
      <c r="I1429" s="695">
        <v>167</v>
      </c>
      <c r="J1429" s="695" t="s">
        <v>5068</v>
      </c>
      <c r="K1429" s="695" t="s">
        <v>8544</v>
      </c>
      <c r="L1429" s="696">
        <v>15</v>
      </c>
      <c r="M1429" s="170"/>
    </row>
    <row r="1430" spans="2:13" x14ac:dyDescent="0.2">
      <c r="B1430" s="173"/>
      <c r="C1430" s="694">
        <v>1</v>
      </c>
      <c r="D1430" s="695" t="s">
        <v>3903</v>
      </c>
      <c r="E1430" s="695">
        <v>3</v>
      </c>
      <c r="F1430" s="695" t="s">
        <v>4822</v>
      </c>
      <c r="G1430" s="695">
        <v>2</v>
      </c>
      <c r="H1430" s="695" t="s">
        <v>4908</v>
      </c>
      <c r="I1430" s="695">
        <v>168</v>
      </c>
      <c r="J1430" s="695" t="s">
        <v>5069</v>
      </c>
      <c r="K1430" s="695" t="s">
        <v>8544</v>
      </c>
      <c r="L1430" s="696">
        <v>11</v>
      </c>
      <c r="M1430" s="170"/>
    </row>
    <row r="1431" spans="2:13" x14ac:dyDescent="0.2">
      <c r="B1431" s="173"/>
      <c r="C1431" s="694">
        <v>1</v>
      </c>
      <c r="D1431" s="695" t="s">
        <v>3903</v>
      </c>
      <c r="E1431" s="695">
        <v>3</v>
      </c>
      <c r="F1431" s="695" t="s">
        <v>4822</v>
      </c>
      <c r="G1431" s="695">
        <v>2</v>
      </c>
      <c r="H1431" s="695" t="s">
        <v>4908</v>
      </c>
      <c r="I1431" s="695">
        <v>169</v>
      </c>
      <c r="J1431" s="695" t="s">
        <v>5070</v>
      </c>
      <c r="K1431" s="695" t="s">
        <v>3907</v>
      </c>
      <c r="L1431" s="696">
        <v>6</v>
      </c>
      <c r="M1431" s="170"/>
    </row>
    <row r="1432" spans="2:13" x14ac:dyDescent="0.2">
      <c r="B1432" s="173"/>
      <c r="C1432" s="694">
        <v>1</v>
      </c>
      <c r="D1432" s="695" t="s">
        <v>3903</v>
      </c>
      <c r="E1432" s="695">
        <v>3</v>
      </c>
      <c r="F1432" s="695" t="s">
        <v>4822</v>
      </c>
      <c r="G1432" s="695">
        <v>2</v>
      </c>
      <c r="H1432" s="695" t="s">
        <v>4908</v>
      </c>
      <c r="I1432" s="695">
        <v>170</v>
      </c>
      <c r="J1432" s="695" t="s">
        <v>5071</v>
      </c>
      <c r="K1432" s="695" t="s">
        <v>3907</v>
      </c>
      <c r="L1432" s="696">
        <v>6</v>
      </c>
      <c r="M1432" s="170"/>
    </row>
    <row r="1433" spans="2:13" x14ac:dyDescent="0.2">
      <c r="B1433" s="173"/>
      <c r="C1433" s="694">
        <v>1</v>
      </c>
      <c r="D1433" s="695" t="s">
        <v>3903</v>
      </c>
      <c r="E1433" s="695">
        <v>3</v>
      </c>
      <c r="F1433" s="695" t="s">
        <v>4822</v>
      </c>
      <c r="G1433" s="695">
        <v>2</v>
      </c>
      <c r="H1433" s="695" t="s">
        <v>4908</v>
      </c>
      <c r="I1433" s="695">
        <v>171</v>
      </c>
      <c r="J1433" s="695" t="s">
        <v>5072</v>
      </c>
      <c r="K1433" s="695" t="s">
        <v>3907</v>
      </c>
      <c r="L1433" s="696">
        <v>12</v>
      </c>
      <c r="M1433" s="170"/>
    </row>
    <row r="1434" spans="2:13" x14ac:dyDescent="0.2">
      <c r="B1434" s="173"/>
      <c r="C1434" s="694">
        <v>1</v>
      </c>
      <c r="D1434" s="695" t="s">
        <v>3903</v>
      </c>
      <c r="E1434" s="695">
        <v>3</v>
      </c>
      <c r="F1434" s="695" t="s">
        <v>4822</v>
      </c>
      <c r="G1434" s="695">
        <v>2</v>
      </c>
      <c r="H1434" s="695" t="s">
        <v>4908</v>
      </c>
      <c r="I1434" s="695">
        <v>172</v>
      </c>
      <c r="J1434" s="695" t="s">
        <v>5073</v>
      </c>
      <c r="K1434" s="695" t="s">
        <v>3907</v>
      </c>
      <c r="L1434" s="696">
        <v>6</v>
      </c>
      <c r="M1434" s="170"/>
    </row>
    <row r="1435" spans="2:13" x14ac:dyDescent="0.2">
      <c r="B1435" s="173"/>
      <c r="C1435" s="694">
        <v>1</v>
      </c>
      <c r="D1435" s="695" t="s">
        <v>3903</v>
      </c>
      <c r="E1435" s="695">
        <v>3</v>
      </c>
      <c r="F1435" s="695" t="s">
        <v>4822</v>
      </c>
      <c r="G1435" s="695">
        <v>2</v>
      </c>
      <c r="H1435" s="695" t="s">
        <v>4908</v>
      </c>
      <c r="I1435" s="695">
        <v>173</v>
      </c>
      <c r="J1435" s="695" t="s">
        <v>5074</v>
      </c>
      <c r="K1435" s="695" t="s">
        <v>3907</v>
      </c>
      <c r="L1435" s="696">
        <v>4</v>
      </c>
      <c r="M1435" s="170"/>
    </row>
    <row r="1436" spans="2:13" x14ac:dyDescent="0.2">
      <c r="B1436" s="173"/>
      <c r="C1436" s="694">
        <v>1</v>
      </c>
      <c r="D1436" s="695" t="s">
        <v>3903</v>
      </c>
      <c r="E1436" s="695">
        <v>3</v>
      </c>
      <c r="F1436" s="695" t="s">
        <v>4822</v>
      </c>
      <c r="G1436" s="695">
        <v>2</v>
      </c>
      <c r="H1436" s="695" t="s">
        <v>4908</v>
      </c>
      <c r="I1436" s="695">
        <v>174</v>
      </c>
      <c r="J1436" s="695" t="s">
        <v>5075</v>
      </c>
      <c r="K1436" s="695" t="s">
        <v>3907</v>
      </c>
      <c r="L1436" s="696">
        <v>54</v>
      </c>
      <c r="M1436" s="170"/>
    </row>
    <row r="1437" spans="2:13" x14ac:dyDescent="0.2">
      <c r="B1437" s="173"/>
      <c r="C1437" s="694">
        <v>1</v>
      </c>
      <c r="D1437" s="695" t="s">
        <v>3903</v>
      </c>
      <c r="E1437" s="695">
        <v>3</v>
      </c>
      <c r="F1437" s="695" t="s">
        <v>4822</v>
      </c>
      <c r="G1437" s="695">
        <v>2</v>
      </c>
      <c r="H1437" s="695" t="s">
        <v>4908</v>
      </c>
      <c r="I1437" s="695">
        <v>175</v>
      </c>
      <c r="J1437" s="695" t="s">
        <v>5076</v>
      </c>
      <c r="K1437" s="695" t="s">
        <v>3907</v>
      </c>
      <c r="L1437" s="696">
        <v>3</v>
      </c>
      <c r="M1437" s="170"/>
    </row>
    <row r="1438" spans="2:13" x14ac:dyDescent="0.2">
      <c r="B1438" s="173"/>
      <c r="C1438" s="694">
        <v>1</v>
      </c>
      <c r="D1438" s="695" t="s">
        <v>3903</v>
      </c>
      <c r="E1438" s="695">
        <v>3</v>
      </c>
      <c r="F1438" s="695" t="s">
        <v>4822</v>
      </c>
      <c r="G1438" s="695">
        <v>2</v>
      </c>
      <c r="H1438" s="695" t="s">
        <v>4908</v>
      </c>
      <c r="I1438" s="695">
        <v>176</v>
      </c>
      <c r="J1438" s="695" t="s">
        <v>5077</v>
      </c>
      <c r="K1438" s="695" t="s">
        <v>3907</v>
      </c>
      <c r="L1438" s="696">
        <v>12</v>
      </c>
      <c r="M1438" s="170"/>
    </row>
    <row r="1439" spans="2:13" x14ac:dyDescent="0.2">
      <c r="B1439" s="173"/>
      <c r="C1439" s="694">
        <v>1</v>
      </c>
      <c r="D1439" s="695" t="s">
        <v>3903</v>
      </c>
      <c r="E1439" s="695">
        <v>3</v>
      </c>
      <c r="F1439" s="695" t="s">
        <v>4822</v>
      </c>
      <c r="G1439" s="695">
        <v>2</v>
      </c>
      <c r="H1439" s="695" t="s">
        <v>4908</v>
      </c>
      <c r="I1439" s="695">
        <v>177</v>
      </c>
      <c r="J1439" s="695" t="s">
        <v>5078</v>
      </c>
      <c r="K1439" s="695" t="s">
        <v>3907</v>
      </c>
      <c r="L1439" s="696">
        <v>5</v>
      </c>
      <c r="M1439" s="170"/>
    </row>
    <row r="1440" spans="2:13" x14ac:dyDescent="0.2">
      <c r="B1440" s="173"/>
      <c r="C1440" s="694">
        <v>1</v>
      </c>
      <c r="D1440" s="695" t="s">
        <v>3903</v>
      </c>
      <c r="E1440" s="695">
        <v>3</v>
      </c>
      <c r="F1440" s="695" t="s">
        <v>4822</v>
      </c>
      <c r="G1440" s="695">
        <v>2</v>
      </c>
      <c r="H1440" s="695" t="s">
        <v>4908</v>
      </c>
      <c r="I1440" s="695">
        <v>178</v>
      </c>
      <c r="J1440" s="695" t="s">
        <v>5079</v>
      </c>
      <c r="K1440" s="695" t="s">
        <v>3907</v>
      </c>
      <c r="L1440" s="696">
        <v>6</v>
      </c>
      <c r="M1440" s="170"/>
    </row>
    <row r="1441" spans="2:13" x14ac:dyDescent="0.2">
      <c r="B1441" s="173"/>
      <c r="C1441" s="694">
        <v>1</v>
      </c>
      <c r="D1441" s="695" t="s">
        <v>3903</v>
      </c>
      <c r="E1441" s="695">
        <v>3</v>
      </c>
      <c r="F1441" s="695" t="s">
        <v>4822</v>
      </c>
      <c r="G1441" s="695">
        <v>2</v>
      </c>
      <c r="H1441" s="695" t="s">
        <v>4908</v>
      </c>
      <c r="I1441" s="695">
        <v>179</v>
      </c>
      <c r="J1441" s="695" t="s">
        <v>5080</v>
      </c>
      <c r="K1441" s="695" t="s">
        <v>3907</v>
      </c>
      <c r="L1441" s="696">
        <v>5</v>
      </c>
      <c r="M1441" s="170"/>
    </row>
    <row r="1442" spans="2:13" x14ac:dyDescent="0.2">
      <c r="B1442" s="173"/>
      <c r="C1442" s="694">
        <v>1</v>
      </c>
      <c r="D1442" s="695" t="s">
        <v>3903</v>
      </c>
      <c r="E1442" s="695">
        <v>3</v>
      </c>
      <c r="F1442" s="695" t="s">
        <v>4822</v>
      </c>
      <c r="G1442" s="695">
        <v>2</v>
      </c>
      <c r="H1442" s="695" t="s">
        <v>4908</v>
      </c>
      <c r="I1442" s="695">
        <v>180</v>
      </c>
      <c r="J1442" s="695" t="s">
        <v>5081</v>
      </c>
      <c r="K1442" s="695" t="s">
        <v>3907</v>
      </c>
      <c r="L1442" s="696">
        <v>7</v>
      </c>
      <c r="M1442" s="170"/>
    </row>
    <row r="1443" spans="2:13" x14ac:dyDescent="0.2">
      <c r="B1443" s="173"/>
      <c r="C1443" s="694">
        <v>1</v>
      </c>
      <c r="D1443" s="695" t="s">
        <v>3903</v>
      </c>
      <c r="E1443" s="695">
        <v>3</v>
      </c>
      <c r="F1443" s="695" t="s">
        <v>4822</v>
      </c>
      <c r="G1443" s="695">
        <v>2</v>
      </c>
      <c r="H1443" s="695" t="s">
        <v>4908</v>
      </c>
      <c r="I1443" s="695">
        <v>181</v>
      </c>
      <c r="J1443" s="695" t="s">
        <v>5082</v>
      </c>
      <c r="K1443" s="695" t="s">
        <v>3907</v>
      </c>
      <c r="L1443" s="696">
        <v>12</v>
      </c>
      <c r="M1443" s="170"/>
    </row>
    <row r="1444" spans="2:13" x14ac:dyDescent="0.2">
      <c r="B1444" s="173"/>
      <c r="C1444" s="694">
        <v>1</v>
      </c>
      <c r="D1444" s="695" t="s">
        <v>3903</v>
      </c>
      <c r="E1444" s="695">
        <v>3</v>
      </c>
      <c r="F1444" s="695" t="s">
        <v>4822</v>
      </c>
      <c r="G1444" s="695">
        <v>2</v>
      </c>
      <c r="H1444" s="695" t="s">
        <v>4908</v>
      </c>
      <c r="I1444" s="695">
        <v>182</v>
      </c>
      <c r="J1444" s="695" t="s">
        <v>5083</v>
      </c>
      <c r="K1444" s="695" t="s">
        <v>3907</v>
      </c>
      <c r="L1444" s="696">
        <v>6</v>
      </c>
      <c r="M1444" s="170"/>
    </row>
    <row r="1445" spans="2:13" x14ac:dyDescent="0.2">
      <c r="B1445" s="173"/>
      <c r="C1445" s="694">
        <v>1</v>
      </c>
      <c r="D1445" s="695" t="s">
        <v>3903</v>
      </c>
      <c r="E1445" s="695">
        <v>3</v>
      </c>
      <c r="F1445" s="695" t="s">
        <v>4822</v>
      </c>
      <c r="G1445" s="695">
        <v>2</v>
      </c>
      <c r="H1445" s="695" t="s">
        <v>4908</v>
      </c>
      <c r="I1445" s="695">
        <v>183</v>
      </c>
      <c r="J1445" s="695" t="s">
        <v>5084</v>
      </c>
      <c r="K1445" s="695" t="s">
        <v>3907</v>
      </c>
      <c r="L1445" s="696">
        <v>8</v>
      </c>
      <c r="M1445" s="170"/>
    </row>
    <row r="1446" spans="2:13" x14ac:dyDescent="0.2">
      <c r="B1446" s="173"/>
      <c r="C1446" s="694">
        <v>1</v>
      </c>
      <c r="D1446" s="695" t="s">
        <v>3903</v>
      </c>
      <c r="E1446" s="695">
        <v>3</v>
      </c>
      <c r="F1446" s="695" t="s">
        <v>4822</v>
      </c>
      <c r="G1446" s="695">
        <v>2</v>
      </c>
      <c r="H1446" s="695" t="s">
        <v>4908</v>
      </c>
      <c r="I1446" s="695">
        <v>184</v>
      </c>
      <c r="J1446" s="695" t="s">
        <v>5085</v>
      </c>
      <c r="K1446" s="695" t="s">
        <v>3907</v>
      </c>
      <c r="L1446" s="696">
        <v>32</v>
      </c>
      <c r="M1446" s="170"/>
    </row>
    <row r="1447" spans="2:13" x14ac:dyDescent="0.2">
      <c r="B1447" s="173"/>
      <c r="C1447" s="694">
        <v>1</v>
      </c>
      <c r="D1447" s="695" t="s">
        <v>3903</v>
      </c>
      <c r="E1447" s="695">
        <v>3</v>
      </c>
      <c r="F1447" s="695" t="s">
        <v>4822</v>
      </c>
      <c r="G1447" s="695">
        <v>2</v>
      </c>
      <c r="H1447" s="695" t="s">
        <v>4908</v>
      </c>
      <c r="I1447" s="695">
        <v>185</v>
      </c>
      <c r="J1447" s="695" t="s">
        <v>5086</v>
      </c>
      <c r="K1447" s="695" t="s">
        <v>3907</v>
      </c>
      <c r="L1447" s="696">
        <v>5</v>
      </c>
      <c r="M1447" s="170"/>
    </row>
    <row r="1448" spans="2:13" x14ac:dyDescent="0.2">
      <c r="B1448" s="173"/>
      <c r="C1448" s="694">
        <v>1</v>
      </c>
      <c r="D1448" s="695" t="s">
        <v>3903</v>
      </c>
      <c r="E1448" s="695">
        <v>3</v>
      </c>
      <c r="F1448" s="695" t="s">
        <v>4822</v>
      </c>
      <c r="G1448" s="695">
        <v>2</v>
      </c>
      <c r="H1448" s="695" t="s">
        <v>4908</v>
      </c>
      <c r="I1448" s="695">
        <v>186</v>
      </c>
      <c r="J1448" s="695" t="s">
        <v>5087</v>
      </c>
      <c r="K1448" s="695" t="s">
        <v>3907</v>
      </c>
      <c r="L1448" s="696">
        <v>2</v>
      </c>
      <c r="M1448" s="170"/>
    </row>
    <row r="1449" spans="2:13" x14ac:dyDescent="0.2">
      <c r="B1449" s="173"/>
      <c r="C1449" s="694">
        <v>1</v>
      </c>
      <c r="D1449" s="695" t="s">
        <v>3903</v>
      </c>
      <c r="E1449" s="695">
        <v>3</v>
      </c>
      <c r="F1449" s="695" t="s">
        <v>4822</v>
      </c>
      <c r="G1449" s="695">
        <v>2</v>
      </c>
      <c r="H1449" s="695" t="s">
        <v>4908</v>
      </c>
      <c r="I1449" s="695">
        <v>187</v>
      </c>
      <c r="J1449" s="695" t="s">
        <v>5088</v>
      </c>
      <c r="K1449" s="695" t="s">
        <v>3907</v>
      </c>
      <c r="L1449" s="696">
        <v>22</v>
      </c>
      <c r="M1449" s="170"/>
    </row>
    <row r="1450" spans="2:13" x14ac:dyDescent="0.2">
      <c r="B1450" s="173"/>
      <c r="C1450" s="694">
        <v>1</v>
      </c>
      <c r="D1450" s="695" t="s">
        <v>3903</v>
      </c>
      <c r="E1450" s="695">
        <v>3</v>
      </c>
      <c r="F1450" s="695" t="s">
        <v>4822</v>
      </c>
      <c r="G1450" s="695">
        <v>2</v>
      </c>
      <c r="H1450" s="695" t="s">
        <v>4908</v>
      </c>
      <c r="I1450" s="695">
        <v>188</v>
      </c>
      <c r="J1450" s="695" t="s">
        <v>5089</v>
      </c>
      <c r="K1450" s="695" t="s">
        <v>3907</v>
      </c>
      <c r="L1450" s="696">
        <v>16</v>
      </c>
      <c r="M1450" s="170"/>
    </row>
    <row r="1451" spans="2:13" x14ac:dyDescent="0.2">
      <c r="B1451" s="173"/>
      <c r="C1451" s="694">
        <v>1</v>
      </c>
      <c r="D1451" s="695" t="s">
        <v>3903</v>
      </c>
      <c r="E1451" s="695">
        <v>3</v>
      </c>
      <c r="F1451" s="695" t="s">
        <v>4822</v>
      </c>
      <c r="G1451" s="695">
        <v>2</v>
      </c>
      <c r="H1451" s="695" t="s">
        <v>4908</v>
      </c>
      <c r="I1451" s="695">
        <v>189</v>
      </c>
      <c r="J1451" s="695" t="s">
        <v>5090</v>
      </c>
      <c r="K1451" s="695" t="s">
        <v>3907</v>
      </c>
      <c r="L1451" s="696">
        <v>7</v>
      </c>
      <c r="M1451" s="170"/>
    </row>
    <row r="1452" spans="2:13" x14ac:dyDescent="0.2">
      <c r="B1452" s="173"/>
      <c r="C1452" s="694">
        <v>1</v>
      </c>
      <c r="D1452" s="695" t="s">
        <v>3903</v>
      </c>
      <c r="E1452" s="695">
        <v>3</v>
      </c>
      <c r="F1452" s="695" t="s">
        <v>4822</v>
      </c>
      <c r="G1452" s="695">
        <v>2</v>
      </c>
      <c r="H1452" s="695" t="s">
        <v>4908</v>
      </c>
      <c r="I1452" s="695">
        <v>190</v>
      </c>
      <c r="J1452" s="695" t="s">
        <v>5091</v>
      </c>
      <c r="K1452" s="695" t="s">
        <v>3907</v>
      </c>
      <c r="L1452" s="696">
        <v>31</v>
      </c>
      <c r="M1452" s="170"/>
    </row>
    <row r="1453" spans="2:13" x14ac:dyDescent="0.2">
      <c r="B1453" s="173"/>
      <c r="C1453" s="694">
        <v>1</v>
      </c>
      <c r="D1453" s="695" t="s">
        <v>3903</v>
      </c>
      <c r="E1453" s="695">
        <v>3</v>
      </c>
      <c r="F1453" s="695" t="s">
        <v>4822</v>
      </c>
      <c r="G1453" s="695">
        <v>2</v>
      </c>
      <c r="H1453" s="695" t="s">
        <v>4908</v>
      </c>
      <c r="I1453" s="695">
        <v>191</v>
      </c>
      <c r="J1453" s="695" t="s">
        <v>5092</v>
      </c>
      <c r="K1453" s="695" t="s">
        <v>3907</v>
      </c>
      <c r="L1453" s="696">
        <v>22</v>
      </c>
      <c r="M1453" s="170"/>
    </row>
    <row r="1454" spans="2:13" x14ac:dyDescent="0.2">
      <c r="B1454" s="173"/>
      <c r="C1454" s="694">
        <v>1</v>
      </c>
      <c r="D1454" s="695" t="s">
        <v>3903</v>
      </c>
      <c r="E1454" s="695">
        <v>3</v>
      </c>
      <c r="F1454" s="695" t="s">
        <v>4822</v>
      </c>
      <c r="G1454" s="695">
        <v>2</v>
      </c>
      <c r="H1454" s="695" t="s">
        <v>4908</v>
      </c>
      <c r="I1454" s="695">
        <v>192</v>
      </c>
      <c r="J1454" s="695" t="s">
        <v>5093</v>
      </c>
      <c r="K1454" s="695" t="s">
        <v>3907</v>
      </c>
      <c r="L1454" s="696">
        <v>20</v>
      </c>
      <c r="M1454" s="170"/>
    </row>
    <row r="1455" spans="2:13" x14ac:dyDescent="0.2">
      <c r="B1455" s="173"/>
      <c r="C1455" s="694">
        <v>1</v>
      </c>
      <c r="D1455" s="695" t="s">
        <v>3903</v>
      </c>
      <c r="E1455" s="695">
        <v>3</v>
      </c>
      <c r="F1455" s="695" t="s">
        <v>4822</v>
      </c>
      <c r="G1455" s="695">
        <v>2</v>
      </c>
      <c r="H1455" s="695" t="s">
        <v>4908</v>
      </c>
      <c r="I1455" s="695">
        <v>193</v>
      </c>
      <c r="J1455" s="695" t="s">
        <v>5094</v>
      </c>
      <c r="K1455" s="695" t="s">
        <v>3907</v>
      </c>
      <c r="L1455" s="696">
        <v>11</v>
      </c>
      <c r="M1455" s="170"/>
    </row>
    <row r="1456" spans="2:13" x14ac:dyDescent="0.2">
      <c r="B1456" s="173"/>
      <c r="C1456" s="694">
        <v>1</v>
      </c>
      <c r="D1456" s="695" t="s">
        <v>3903</v>
      </c>
      <c r="E1456" s="695">
        <v>3</v>
      </c>
      <c r="F1456" s="695" t="s">
        <v>4822</v>
      </c>
      <c r="G1456" s="695">
        <v>2</v>
      </c>
      <c r="H1456" s="695" t="s">
        <v>4908</v>
      </c>
      <c r="I1456" s="695">
        <v>194</v>
      </c>
      <c r="J1456" s="695" t="s">
        <v>5095</v>
      </c>
      <c r="K1456" s="695" t="s">
        <v>3907</v>
      </c>
      <c r="L1456" s="696">
        <v>1</v>
      </c>
      <c r="M1456" s="170"/>
    </row>
    <row r="1457" spans="2:13" x14ac:dyDescent="0.2">
      <c r="B1457" s="173"/>
      <c r="C1457" s="694">
        <v>1</v>
      </c>
      <c r="D1457" s="695" t="s">
        <v>3903</v>
      </c>
      <c r="E1457" s="695">
        <v>3</v>
      </c>
      <c r="F1457" s="695" t="s">
        <v>4822</v>
      </c>
      <c r="G1457" s="695">
        <v>2</v>
      </c>
      <c r="H1457" s="695" t="s">
        <v>4908</v>
      </c>
      <c r="I1457" s="695">
        <v>195</v>
      </c>
      <c r="J1457" s="695" t="s">
        <v>5096</v>
      </c>
      <c r="K1457" s="695" t="s">
        <v>3907</v>
      </c>
      <c r="L1457" s="696">
        <v>1</v>
      </c>
      <c r="M1457" s="170"/>
    </row>
    <row r="1458" spans="2:13" x14ac:dyDescent="0.2">
      <c r="B1458" s="173"/>
      <c r="C1458" s="694">
        <v>1</v>
      </c>
      <c r="D1458" s="695" t="s">
        <v>3903</v>
      </c>
      <c r="E1458" s="695">
        <v>3</v>
      </c>
      <c r="F1458" s="695" t="s">
        <v>4822</v>
      </c>
      <c r="G1458" s="695">
        <v>2</v>
      </c>
      <c r="H1458" s="695" t="s">
        <v>4908</v>
      </c>
      <c r="I1458" s="695">
        <v>196</v>
      </c>
      <c r="J1458" s="695" t="s">
        <v>5097</v>
      </c>
      <c r="K1458" s="695" t="s">
        <v>3907</v>
      </c>
      <c r="L1458" s="696">
        <v>6</v>
      </c>
      <c r="M1458" s="170"/>
    </row>
    <row r="1459" spans="2:13" x14ac:dyDescent="0.2">
      <c r="B1459" s="173"/>
      <c r="C1459" s="694">
        <v>1</v>
      </c>
      <c r="D1459" s="695" t="s">
        <v>3903</v>
      </c>
      <c r="E1459" s="695">
        <v>3</v>
      </c>
      <c r="F1459" s="695" t="s">
        <v>4822</v>
      </c>
      <c r="G1459" s="695">
        <v>2</v>
      </c>
      <c r="H1459" s="695" t="s">
        <v>4908</v>
      </c>
      <c r="I1459" s="695">
        <v>197</v>
      </c>
      <c r="J1459" s="695" t="s">
        <v>5098</v>
      </c>
      <c r="K1459" s="695" t="s">
        <v>3907</v>
      </c>
      <c r="L1459" s="696">
        <v>9</v>
      </c>
      <c r="M1459" s="170"/>
    </row>
    <row r="1460" spans="2:13" x14ac:dyDescent="0.2">
      <c r="B1460" s="173"/>
      <c r="C1460" s="694">
        <v>1</v>
      </c>
      <c r="D1460" s="695" t="s">
        <v>3903</v>
      </c>
      <c r="E1460" s="695">
        <v>3</v>
      </c>
      <c r="F1460" s="695" t="s">
        <v>4822</v>
      </c>
      <c r="G1460" s="695">
        <v>2</v>
      </c>
      <c r="H1460" s="695" t="s">
        <v>4908</v>
      </c>
      <c r="I1460" s="695">
        <v>198</v>
      </c>
      <c r="J1460" s="695" t="s">
        <v>5099</v>
      </c>
      <c r="K1460" s="695" t="s">
        <v>3907</v>
      </c>
      <c r="L1460" s="696">
        <v>4</v>
      </c>
      <c r="M1460" s="170"/>
    </row>
    <row r="1461" spans="2:13" x14ac:dyDescent="0.2">
      <c r="B1461" s="173"/>
      <c r="C1461" s="694">
        <v>1</v>
      </c>
      <c r="D1461" s="695" t="s">
        <v>3903</v>
      </c>
      <c r="E1461" s="695">
        <v>3</v>
      </c>
      <c r="F1461" s="695" t="s">
        <v>4822</v>
      </c>
      <c r="G1461" s="695">
        <v>2</v>
      </c>
      <c r="H1461" s="695" t="s">
        <v>4908</v>
      </c>
      <c r="I1461" s="695">
        <v>199</v>
      </c>
      <c r="J1461" s="695" t="s">
        <v>5100</v>
      </c>
      <c r="K1461" s="695" t="s">
        <v>3907</v>
      </c>
      <c r="L1461" s="696">
        <v>13</v>
      </c>
      <c r="M1461" s="170"/>
    </row>
    <row r="1462" spans="2:13" x14ac:dyDescent="0.2">
      <c r="B1462" s="173"/>
      <c r="C1462" s="694">
        <v>1</v>
      </c>
      <c r="D1462" s="695" t="s">
        <v>3903</v>
      </c>
      <c r="E1462" s="695">
        <v>3</v>
      </c>
      <c r="F1462" s="695" t="s">
        <v>4822</v>
      </c>
      <c r="G1462" s="695">
        <v>2</v>
      </c>
      <c r="H1462" s="695" t="s">
        <v>4908</v>
      </c>
      <c r="I1462" s="695">
        <v>200</v>
      </c>
      <c r="J1462" s="695" t="s">
        <v>5101</v>
      </c>
      <c r="K1462" s="695" t="s">
        <v>3907</v>
      </c>
      <c r="L1462" s="696">
        <v>7</v>
      </c>
      <c r="M1462" s="170"/>
    </row>
    <row r="1463" spans="2:13" x14ac:dyDescent="0.2">
      <c r="B1463" s="173"/>
      <c r="C1463" s="694">
        <v>1</v>
      </c>
      <c r="D1463" s="695" t="s">
        <v>3903</v>
      </c>
      <c r="E1463" s="695">
        <v>3</v>
      </c>
      <c r="F1463" s="695" t="s">
        <v>4822</v>
      </c>
      <c r="G1463" s="695">
        <v>2</v>
      </c>
      <c r="H1463" s="695" t="s">
        <v>4908</v>
      </c>
      <c r="I1463" s="695">
        <v>201</v>
      </c>
      <c r="J1463" s="695" t="s">
        <v>5102</v>
      </c>
      <c r="K1463" s="695" t="s">
        <v>3907</v>
      </c>
      <c r="L1463" s="696">
        <v>9</v>
      </c>
      <c r="M1463" s="170"/>
    </row>
    <row r="1464" spans="2:13" x14ac:dyDescent="0.2">
      <c r="B1464" s="173"/>
      <c r="C1464" s="694">
        <v>1</v>
      </c>
      <c r="D1464" s="695" t="s">
        <v>3903</v>
      </c>
      <c r="E1464" s="695">
        <v>3</v>
      </c>
      <c r="F1464" s="695" t="s">
        <v>4822</v>
      </c>
      <c r="G1464" s="695">
        <v>2</v>
      </c>
      <c r="H1464" s="695" t="s">
        <v>4908</v>
      </c>
      <c r="I1464" s="695">
        <v>202</v>
      </c>
      <c r="J1464" s="695" t="s">
        <v>5103</v>
      </c>
      <c r="K1464" s="695" t="s">
        <v>3907</v>
      </c>
      <c r="L1464" s="696">
        <v>14</v>
      </c>
      <c r="M1464" s="170"/>
    </row>
    <row r="1465" spans="2:13" x14ac:dyDescent="0.2">
      <c r="B1465" s="173"/>
      <c r="C1465" s="694">
        <v>1</v>
      </c>
      <c r="D1465" s="695" t="s">
        <v>3903</v>
      </c>
      <c r="E1465" s="695">
        <v>3</v>
      </c>
      <c r="F1465" s="695" t="s">
        <v>4822</v>
      </c>
      <c r="G1465" s="695">
        <v>2</v>
      </c>
      <c r="H1465" s="695" t="s">
        <v>4908</v>
      </c>
      <c r="I1465" s="695">
        <v>203</v>
      </c>
      <c r="J1465" s="695" t="s">
        <v>5104</v>
      </c>
      <c r="K1465" s="695" t="s">
        <v>3907</v>
      </c>
      <c r="L1465" s="696">
        <v>7</v>
      </c>
      <c r="M1465" s="170"/>
    </row>
    <row r="1466" spans="2:13" x14ac:dyDescent="0.2">
      <c r="B1466" s="173"/>
      <c r="C1466" s="694">
        <v>1</v>
      </c>
      <c r="D1466" s="695" t="s">
        <v>3903</v>
      </c>
      <c r="E1466" s="695">
        <v>3</v>
      </c>
      <c r="F1466" s="695" t="s">
        <v>4822</v>
      </c>
      <c r="G1466" s="695">
        <v>2</v>
      </c>
      <c r="H1466" s="695" t="s">
        <v>4908</v>
      </c>
      <c r="I1466" s="695">
        <v>204</v>
      </c>
      <c r="J1466" s="695" t="s">
        <v>5105</v>
      </c>
      <c r="K1466" s="695" t="s">
        <v>8544</v>
      </c>
      <c r="L1466" s="696">
        <v>27</v>
      </c>
      <c r="M1466" s="170"/>
    </row>
    <row r="1467" spans="2:13" x14ac:dyDescent="0.2">
      <c r="B1467" s="173"/>
      <c r="C1467" s="694">
        <v>1</v>
      </c>
      <c r="D1467" s="695" t="s">
        <v>3903</v>
      </c>
      <c r="E1467" s="695">
        <v>3</v>
      </c>
      <c r="F1467" s="695" t="s">
        <v>4822</v>
      </c>
      <c r="G1467" s="695">
        <v>2</v>
      </c>
      <c r="H1467" s="695" t="s">
        <v>4908</v>
      </c>
      <c r="I1467" s="695">
        <v>205</v>
      </c>
      <c r="J1467" s="695" t="s">
        <v>5106</v>
      </c>
      <c r="K1467" s="695" t="s">
        <v>4057</v>
      </c>
      <c r="L1467" s="696">
        <v>263</v>
      </c>
      <c r="M1467" s="170"/>
    </row>
    <row r="1468" spans="2:13" x14ac:dyDescent="0.2">
      <c r="B1468" s="173"/>
      <c r="C1468" s="694">
        <v>1</v>
      </c>
      <c r="D1468" s="695" t="s">
        <v>3903</v>
      </c>
      <c r="E1468" s="695">
        <v>3</v>
      </c>
      <c r="F1468" s="695" t="s">
        <v>4822</v>
      </c>
      <c r="G1468" s="695">
        <v>2</v>
      </c>
      <c r="H1468" s="695" t="s">
        <v>4908</v>
      </c>
      <c r="I1468" s="695">
        <v>206</v>
      </c>
      <c r="J1468" s="695" t="s">
        <v>5107</v>
      </c>
      <c r="K1468" s="695" t="s">
        <v>8544</v>
      </c>
      <c r="L1468" s="696">
        <v>249</v>
      </c>
      <c r="M1468" s="170"/>
    </row>
    <row r="1469" spans="2:13" x14ac:dyDescent="0.2">
      <c r="B1469" s="173"/>
      <c r="C1469" s="694">
        <v>1</v>
      </c>
      <c r="D1469" s="695" t="s">
        <v>3903</v>
      </c>
      <c r="E1469" s="695">
        <v>3</v>
      </c>
      <c r="F1469" s="695" t="s">
        <v>4822</v>
      </c>
      <c r="G1469" s="695">
        <v>2</v>
      </c>
      <c r="H1469" s="695" t="s">
        <v>4908</v>
      </c>
      <c r="I1469" s="695">
        <v>207</v>
      </c>
      <c r="J1469" s="695" t="s">
        <v>5108</v>
      </c>
      <c r="K1469" s="695" t="s">
        <v>3907</v>
      </c>
      <c r="L1469" s="696">
        <v>3</v>
      </c>
      <c r="M1469" s="170"/>
    </row>
    <row r="1470" spans="2:13" x14ac:dyDescent="0.2">
      <c r="B1470" s="173"/>
      <c r="C1470" s="694">
        <v>1</v>
      </c>
      <c r="D1470" s="695" t="s">
        <v>3903</v>
      </c>
      <c r="E1470" s="695">
        <v>3</v>
      </c>
      <c r="F1470" s="695" t="s">
        <v>4822</v>
      </c>
      <c r="G1470" s="695">
        <v>2</v>
      </c>
      <c r="H1470" s="695" t="s">
        <v>4908</v>
      </c>
      <c r="I1470" s="695">
        <v>208</v>
      </c>
      <c r="J1470" s="695" t="s">
        <v>5109</v>
      </c>
      <c r="K1470" s="695" t="s">
        <v>3907</v>
      </c>
      <c r="L1470" s="696">
        <v>58</v>
      </c>
      <c r="M1470" s="170"/>
    </row>
    <row r="1471" spans="2:13" x14ac:dyDescent="0.2">
      <c r="B1471" s="173"/>
      <c r="C1471" s="694">
        <v>1</v>
      </c>
      <c r="D1471" s="695" t="s">
        <v>3903</v>
      </c>
      <c r="E1471" s="695">
        <v>3</v>
      </c>
      <c r="F1471" s="695" t="s">
        <v>4822</v>
      </c>
      <c r="G1471" s="695">
        <v>2</v>
      </c>
      <c r="H1471" s="695" t="s">
        <v>4908</v>
      </c>
      <c r="I1471" s="695">
        <v>209</v>
      </c>
      <c r="J1471" s="695" t="s">
        <v>5110</v>
      </c>
      <c r="K1471" s="695" t="s">
        <v>8544</v>
      </c>
      <c r="L1471" s="696">
        <v>33</v>
      </c>
      <c r="M1471" s="170"/>
    </row>
    <row r="1472" spans="2:13" x14ac:dyDescent="0.2">
      <c r="B1472" s="173"/>
      <c r="C1472" s="694">
        <v>1</v>
      </c>
      <c r="D1472" s="695" t="s">
        <v>3903</v>
      </c>
      <c r="E1472" s="695">
        <v>3</v>
      </c>
      <c r="F1472" s="695" t="s">
        <v>4822</v>
      </c>
      <c r="G1472" s="695">
        <v>2</v>
      </c>
      <c r="H1472" s="695" t="s">
        <v>4908</v>
      </c>
      <c r="I1472" s="695">
        <v>210</v>
      </c>
      <c r="J1472" s="695" t="s">
        <v>5111</v>
      </c>
      <c r="K1472" s="695" t="s">
        <v>8544</v>
      </c>
      <c r="L1472" s="696">
        <v>48</v>
      </c>
      <c r="M1472" s="170"/>
    </row>
    <row r="1473" spans="2:13" x14ac:dyDescent="0.2">
      <c r="B1473" s="173"/>
      <c r="C1473" s="694">
        <v>1</v>
      </c>
      <c r="D1473" s="695" t="s">
        <v>3903</v>
      </c>
      <c r="E1473" s="695">
        <v>3</v>
      </c>
      <c r="F1473" s="695" t="s">
        <v>4822</v>
      </c>
      <c r="G1473" s="695">
        <v>2</v>
      </c>
      <c r="H1473" s="695" t="s">
        <v>4908</v>
      </c>
      <c r="I1473" s="695">
        <v>211</v>
      </c>
      <c r="J1473" s="695" t="s">
        <v>4861</v>
      </c>
      <c r="K1473" s="695" t="s">
        <v>8544</v>
      </c>
      <c r="L1473" s="696">
        <v>1</v>
      </c>
      <c r="M1473" s="170"/>
    </row>
    <row r="1474" spans="2:13" x14ac:dyDescent="0.2">
      <c r="B1474" s="173"/>
      <c r="C1474" s="694">
        <v>1</v>
      </c>
      <c r="D1474" s="695" t="s">
        <v>3903</v>
      </c>
      <c r="E1474" s="695">
        <v>3</v>
      </c>
      <c r="F1474" s="695" t="s">
        <v>4822</v>
      </c>
      <c r="G1474" s="695">
        <v>2</v>
      </c>
      <c r="H1474" s="695" t="s">
        <v>4908</v>
      </c>
      <c r="I1474" s="695">
        <v>212</v>
      </c>
      <c r="J1474" s="695" t="s">
        <v>5112</v>
      </c>
      <c r="K1474" s="695" t="s">
        <v>3985</v>
      </c>
      <c r="L1474" s="696">
        <v>7</v>
      </c>
      <c r="M1474" s="170"/>
    </row>
    <row r="1475" spans="2:13" x14ac:dyDescent="0.2">
      <c r="B1475" s="173"/>
      <c r="C1475" s="694">
        <v>1</v>
      </c>
      <c r="D1475" s="695" t="s">
        <v>3903</v>
      </c>
      <c r="E1475" s="695">
        <v>3</v>
      </c>
      <c r="F1475" s="695" t="s">
        <v>4822</v>
      </c>
      <c r="G1475" s="695">
        <v>2</v>
      </c>
      <c r="H1475" s="695" t="s">
        <v>4908</v>
      </c>
      <c r="I1475" s="695">
        <v>213</v>
      </c>
      <c r="J1475" s="695" t="s">
        <v>5113</v>
      </c>
      <c r="K1475" s="695" t="s">
        <v>8544</v>
      </c>
      <c r="L1475" s="696">
        <v>11</v>
      </c>
      <c r="M1475" s="170"/>
    </row>
    <row r="1476" spans="2:13" x14ac:dyDescent="0.2">
      <c r="B1476" s="173"/>
      <c r="C1476" s="694">
        <v>1</v>
      </c>
      <c r="D1476" s="695" t="s">
        <v>3903</v>
      </c>
      <c r="E1476" s="695">
        <v>3</v>
      </c>
      <c r="F1476" s="695" t="s">
        <v>4822</v>
      </c>
      <c r="G1476" s="695">
        <v>2</v>
      </c>
      <c r="H1476" s="695" t="s">
        <v>4908</v>
      </c>
      <c r="I1476" s="695">
        <v>214</v>
      </c>
      <c r="J1476" s="695" t="s">
        <v>5114</v>
      </c>
      <c r="K1476" s="695" t="s">
        <v>3907</v>
      </c>
      <c r="L1476" s="696">
        <v>11</v>
      </c>
      <c r="M1476" s="170"/>
    </row>
    <row r="1477" spans="2:13" x14ac:dyDescent="0.2">
      <c r="B1477" s="173"/>
      <c r="C1477" s="694">
        <v>1</v>
      </c>
      <c r="D1477" s="695" t="s">
        <v>3903</v>
      </c>
      <c r="E1477" s="695">
        <v>3</v>
      </c>
      <c r="F1477" s="695" t="s">
        <v>4822</v>
      </c>
      <c r="G1477" s="695">
        <v>2</v>
      </c>
      <c r="H1477" s="695" t="s">
        <v>4908</v>
      </c>
      <c r="I1477" s="695">
        <v>215</v>
      </c>
      <c r="J1477" s="695" t="s">
        <v>5115</v>
      </c>
      <c r="K1477" s="695" t="s">
        <v>3907</v>
      </c>
      <c r="L1477" s="696">
        <v>2</v>
      </c>
      <c r="M1477" s="170"/>
    </row>
    <row r="1478" spans="2:13" x14ac:dyDescent="0.2">
      <c r="B1478" s="173"/>
      <c r="C1478" s="694">
        <v>1</v>
      </c>
      <c r="D1478" s="695" t="s">
        <v>3903</v>
      </c>
      <c r="E1478" s="695">
        <v>3</v>
      </c>
      <c r="F1478" s="695" t="s">
        <v>4822</v>
      </c>
      <c r="G1478" s="695">
        <v>2</v>
      </c>
      <c r="H1478" s="695" t="s">
        <v>4908</v>
      </c>
      <c r="I1478" s="695">
        <v>216</v>
      </c>
      <c r="J1478" s="695" t="s">
        <v>5116</v>
      </c>
      <c r="K1478" s="695" t="s">
        <v>3907</v>
      </c>
      <c r="L1478" s="696">
        <v>5</v>
      </c>
      <c r="M1478" s="170"/>
    </row>
    <row r="1479" spans="2:13" x14ac:dyDescent="0.2">
      <c r="B1479" s="173"/>
      <c r="C1479" s="694">
        <v>1</v>
      </c>
      <c r="D1479" s="695" t="s">
        <v>3903</v>
      </c>
      <c r="E1479" s="695">
        <v>3</v>
      </c>
      <c r="F1479" s="695" t="s">
        <v>4822</v>
      </c>
      <c r="G1479" s="695">
        <v>2</v>
      </c>
      <c r="H1479" s="695" t="s">
        <v>4908</v>
      </c>
      <c r="I1479" s="695">
        <v>217</v>
      </c>
      <c r="J1479" s="695" t="s">
        <v>5117</v>
      </c>
      <c r="K1479" s="695" t="s">
        <v>3907</v>
      </c>
      <c r="L1479" s="696">
        <v>0</v>
      </c>
      <c r="M1479" s="170"/>
    </row>
    <row r="1480" spans="2:13" x14ac:dyDescent="0.2">
      <c r="B1480" s="173"/>
      <c r="C1480" s="694">
        <v>1</v>
      </c>
      <c r="D1480" s="695" t="s">
        <v>3903</v>
      </c>
      <c r="E1480" s="695">
        <v>3</v>
      </c>
      <c r="F1480" s="695" t="s">
        <v>4822</v>
      </c>
      <c r="G1480" s="695">
        <v>2</v>
      </c>
      <c r="H1480" s="695" t="s">
        <v>4908</v>
      </c>
      <c r="I1480" s="695">
        <v>218</v>
      </c>
      <c r="J1480" s="695" t="s">
        <v>5118</v>
      </c>
      <c r="K1480" s="695" t="s">
        <v>3907</v>
      </c>
      <c r="L1480" s="696">
        <v>2</v>
      </c>
      <c r="M1480" s="170"/>
    </row>
    <row r="1481" spans="2:13" x14ac:dyDescent="0.2">
      <c r="B1481" s="173"/>
      <c r="C1481" s="694">
        <v>1</v>
      </c>
      <c r="D1481" s="695" t="s">
        <v>3903</v>
      </c>
      <c r="E1481" s="695">
        <v>3</v>
      </c>
      <c r="F1481" s="695" t="s">
        <v>4822</v>
      </c>
      <c r="G1481" s="695">
        <v>2</v>
      </c>
      <c r="H1481" s="695" t="s">
        <v>4908</v>
      </c>
      <c r="I1481" s="695">
        <v>219</v>
      </c>
      <c r="J1481" s="695" t="s">
        <v>5119</v>
      </c>
      <c r="K1481" s="695" t="s">
        <v>3907</v>
      </c>
      <c r="L1481" s="696">
        <v>28</v>
      </c>
      <c r="M1481" s="170"/>
    </row>
    <row r="1482" spans="2:13" x14ac:dyDescent="0.2">
      <c r="B1482" s="173"/>
      <c r="C1482" s="694">
        <v>1</v>
      </c>
      <c r="D1482" s="695" t="s">
        <v>3903</v>
      </c>
      <c r="E1482" s="695">
        <v>3</v>
      </c>
      <c r="F1482" s="695" t="s">
        <v>4822</v>
      </c>
      <c r="G1482" s="695">
        <v>2</v>
      </c>
      <c r="H1482" s="695" t="s">
        <v>4908</v>
      </c>
      <c r="I1482" s="695">
        <v>220</v>
      </c>
      <c r="J1482" s="695" t="s">
        <v>5120</v>
      </c>
      <c r="K1482" s="695" t="s">
        <v>3907</v>
      </c>
      <c r="L1482" s="696">
        <v>1</v>
      </c>
      <c r="M1482" s="170"/>
    </row>
    <row r="1483" spans="2:13" x14ac:dyDescent="0.2">
      <c r="B1483" s="173"/>
      <c r="C1483" s="694">
        <v>1</v>
      </c>
      <c r="D1483" s="695" t="s">
        <v>3903</v>
      </c>
      <c r="E1483" s="695">
        <v>3</v>
      </c>
      <c r="F1483" s="695" t="s">
        <v>4822</v>
      </c>
      <c r="G1483" s="695">
        <v>2</v>
      </c>
      <c r="H1483" s="695" t="s">
        <v>4908</v>
      </c>
      <c r="I1483" s="695">
        <v>221</v>
      </c>
      <c r="J1483" s="695" t="s">
        <v>5121</v>
      </c>
      <c r="K1483" s="695" t="s">
        <v>3907</v>
      </c>
      <c r="L1483" s="696">
        <v>2</v>
      </c>
      <c r="M1483" s="170"/>
    </row>
    <row r="1484" spans="2:13" x14ac:dyDescent="0.2">
      <c r="B1484" s="173"/>
      <c r="C1484" s="694">
        <v>1</v>
      </c>
      <c r="D1484" s="695" t="s">
        <v>3903</v>
      </c>
      <c r="E1484" s="695">
        <v>3</v>
      </c>
      <c r="F1484" s="695" t="s">
        <v>4822</v>
      </c>
      <c r="G1484" s="695">
        <v>2</v>
      </c>
      <c r="H1484" s="695" t="s">
        <v>4908</v>
      </c>
      <c r="I1484" s="695">
        <v>222</v>
      </c>
      <c r="J1484" s="695" t="s">
        <v>5122</v>
      </c>
      <c r="K1484" s="695" t="s">
        <v>3907</v>
      </c>
      <c r="L1484" s="696">
        <v>16</v>
      </c>
      <c r="M1484" s="170"/>
    </row>
    <row r="1485" spans="2:13" x14ac:dyDescent="0.2">
      <c r="B1485" s="173"/>
      <c r="C1485" s="694">
        <v>1</v>
      </c>
      <c r="D1485" s="695" t="s">
        <v>3903</v>
      </c>
      <c r="E1485" s="695">
        <v>3</v>
      </c>
      <c r="F1485" s="695" t="s">
        <v>4822</v>
      </c>
      <c r="G1485" s="695">
        <v>2</v>
      </c>
      <c r="H1485" s="695" t="s">
        <v>4908</v>
      </c>
      <c r="I1485" s="695">
        <v>223</v>
      </c>
      <c r="J1485" s="695" t="s">
        <v>5123</v>
      </c>
      <c r="K1485" s="695" t="s">
        <v>3907</v>
      </c>
      <c r="L1485" s="696">
        <v>13</v>
      </c>
      <c r="M1485" s="170"/>
    </row>
    <row r="1486" spans="2:13" x14ac:dyDescent="0.2">
      <c r="B1486" s="173"/>
      <c r="C1486" s="694">
        <v>1</v>
      </c>
      <c r="D1486" s="695" t="s">
        <v>3903</v>
      </c>
      <c r="E1486" s="695">
        <v>3</v>
      </c>
      <c r="F1486" s="695" t="s">
        <v>4822</v>
      </c>
      <c r="G1486" s="695">
        <v>2</v>
      </c>
      <c r="H1486" s="695" t="s">
        <v>4908</v>
      </c>
      <c r="I1486" s="695">
        <v>224</v>
      </c>
      <c r="J1486" s="695" t="s">
        <v>5124</v>
      </c>
      <c r="K1486" s="695" t="s">
        <v>3907</v>
      </c>
      <c r="L1486" s="696">
        <v>3</v>
      </c>
      <c r="M1486" s="170"/>
    </row>
    <row r="1487" spans="2:13" x14ac:dyDescent="0.2">
      <c r="B1487" s="173"/>
      <c r="C1487" s="694">
        <v>1</v>
      </c>
      <c r="D1487" s="695" t="s">
        <v>3903</v>
      </c>
      <c r="E1487" s="695">
        <v>3</v>
      </c>
      <c r="F1487" s="695" t="s">
        <v>4822</v>
      </c>
      <c r="G1487" s="695">
        <v>2</v>
      </c>
      <c r="H1487" s="695" t="s">
        <v>4908</v>
      </c>
      <c r="I1487" s="695">
        <v>225</v>
      </c>
      <c r="J1487" s="695" t="s">
        <v>5125</v>
      </c>
      <c r="K1487" s="695" t="s">
        <v>3907</v>
      </c>
      <c r="L1487" s="696">
        <v>1</v>
      </c>
      <c r="M1487" s="170"/>
    </row>
    <row r="1488" spans="2:13" x14ac:dyDescent="0.2">
      <c r="B1488" s="173"/>
      <c r="C1488" s="694">
        <v>1</v>
      </c>
      <c r="D1488" s="695" t="s">
        <v>3903</v>
      </c>
      <c r="E1488" s="695">
        <v>3</v>
      </c>
      <c r="F1488" s="695" t="s">
        <v>4822</v>
      </c>
      <c r="G1488" s="695">
        <v>2</v>
      </c>
      <c r="H1488" s="695" t="s">
        <v>4908</v>
      </c>
      <c r="I1488" s="695">
        <v>226</v>
      </c>
      <c r="J1488" s="695" t="s">
        <v>5126</v>
      </c>
      <c r="K1488" s="695" t="s">
        <v>3907</v>
      </c>
      <c r="L1488" s="696">
        <v>6</v>
      </c>
      <c r="M1488" s="170"/>
    </row>
    <row r="1489" spans="2:13" x14ac:dyDescent="0.2">
      <c r="B1489" s="173"/>
      <c r="C1489" s="694">
        <v>1</v>
      </c>
      <c r="D1489" s="695" t="s">
        <v>3903</v>
      </c>
      <c r="E1489" s="695">
        <v>3</v>
      </c>
      <c r="F1489" s="695" t="s">
        <v>4822</v>
      </c>
      <c r="G1489" s="695">
        <v>2</v>
      </c>
      <c r="H1489" s="695" t="s">
        <v>4908</v>
      </c>
      <c r="I1489" s="695">
        <v>227</v>
      </c>
      <c r="J1489" s="695" t="s">
        <v>5127</v>
      </c>
      <c r="K1489" s="695" t="s">
        <v>3907</v>
      </c>
      <c r="L1489" s="696">
        <v>3</v>
      </c>
      <c r="M1489" s="170"/>
    </row>
    <row r="1490" spans="2:13" x14ac:dyDescent="0.2">
      <c r="B1490" s="173"/>
      <c r="C1490" s="694">
        <v>1</v>
      </c>
      <c r="D1490" s="695" t="s">
        <v>3903</v>
      </c>
      <c r="E1490" s="695">
        <v>3</v>
      </c>
      <c r="F1490" s="695" t="s">
        <v>4822</v>
      </c>
      <c r="G1490" s="695">
        <v>2</v>
      </c>
      <c r="H1490" s="695" t="s">
        <v>4908</v>
      </c>
      <c r="I1490" s="695">
        <v>228</v>
      </c>
      <c r="J1490" s="695" t="s">
        <v>5128</v>
      </c>
      <c r="K1490" s="695" t="s">
        <v>3907</v>
      </c>
      <c r="L1490" s="696">
        <v>11</v>
      </c>
      <c r="M1490" s="170"/>
    </row>
    <row r="1491" spans="2:13" x14ac:dyDescent="0.2">
      <c r="B1491" s="173"/>
      <c r="C1491" s="694">
        <v>1</v>
      </c>
      <c r="D1491" s="695" t="s">
        <v>3903</v>
      </c>
      <c r="E1491" s="695">
        <v>3</v>
      </c>
      <c r="F1491" s="695" t="s">
        <v>4822</v>
      </c>
      <c r="G1491" s="695">
        <v>2</v>
      </c>
      <c r="H1491" s="695" t="s">
        <v>4908</v>
      </c>
      <c r="I1491" s="695">
        <v>229</v>
      </c>
      <c r="J1491" s="695" t="s">
        <v>5129</v>
      </c>
      <c r="K1491" s="695" t="s">
        <v>3907</v>
      </c>
      <c r="L1491" s="696">
        <v>11</v>
      </c>
      <c r="M1491" s="170"/>
    </row>
    <row r="1492" spans="2:13" x14ac:dyDescent="0.2">
      <c r="B1492" s="173"/>
      <c r="C1492" s="694">
        <v>1</v>
      </c>
      <c r="D1492" s="695" t="s">
        <v>3903</v>
      </c>
      <c r="E1492" s="695">
        <v>3</v>
      </c>
      <c r="F1492" s="695" t="s">
        <v>4822</v>
      </c>
      <c r="G1492" s="695">
        <v>2</v>
      </c>
      <c r="H1492" s="695" t="s">
        <v>4908</v>
      </c>
      <c r="I1492" s="695">
        <v>230</v>
      </c>
      <c r="J1492" s="695" t="s">
        <v>5130</v>
      </c>
      <c r="K1492" s="695" t="s">
        <v>3907</v>
      </c>
      <c r="L1492" s="696">
        <v>27</v>
      </c>
      <c r="M1492" s="170"/>
    </row>
    <row r="1493" spans="2:13" x14ac:dyDescent="0.2">
      <c r="B1493" s="173"/>
      <c r="C1493" s="694">
        <v>1</v>
      </c>
      <c r="D1493" s="695" t="s">
        <v>3903</v>
      </c>
      <c r="E1493" s="695">
        <v>3</v>
      </c>
      <c r="F1493" s="695" t="s">
        <v>4822</v>
      </c>
      <c r="G1493" s="695">
        <v>2</v>
      </c>
      <c r="H1493" s="695" t="s">
        <v>4908</v>
      </c>
      <c r="I1493" s="695">
        <v>231</v>
      </c>
      <c r="J1493" s="695" t="s">
        <v>5131</v>
      </c>
      <c r="K1493" s="695" t="s">
        <v>3907</v>
      </c>
      <c r="L1493" s="696">
        <v>7</v>
      </c>
      <c r="M1493" s="170"/>
    </row>
    <row r="1494" spans="2:13" x14ac:dyDescent="0.2">
      <c r="B1494" s="173"/>
      <c r="C1494" s="694">
        <v>1</v>
      </c>
      <c r="D1494" s="695" t="s">
        <v>3903</v>
      </c>
      <c r="E1494" s="695">
        <v>3</v>
      </c>
      <c r="F1494" s="695" t="s">
        <v>4822</v>
      </c>
      <c r="G1494" s="695">
        <v>2</v>
      </c>
      <c r="H1494" s="695" t="s">
        <v>4908</v>
      </c>
      <c r="I1494" s="695">
        <v>232</v>
      </c>
      <c r="J1494" s="695" t="s">
        <v>5132</v>
      </c>
      <c r="K1494" s="695" t="s">
        <v>3907</v>
      </c>
      <c r="L1494" s="696">
        <v>2</v>
      </c>
      <c r="M1494" s="170"/>
    </row>
    <row r="1495" spans="2:13" x14ac:dyDescent="0.2">
      <c r="B1495" s="173"/>
      <c r="C1495" s="694">
        <v>1</v>
      </c>
      <c r="D1495" s="695" t="s">
        <v>3903</v>
      </c>
      <c r="E1495" s="695">
        <v>3</v>
      </c>
      <c r="F1495" s="695" t="s">
        <v>4822</v>
      </c>
      <c r="G1495" s="695">
        <v>2</v>
      </c>
      <c r="H1495" s="695" t="s">
        <v>4908</v>
      </c>
      <c r="I1495" s="695">
        <v>233</v>
      </c>
      <c r="J1495" s="695" t="s">
        <v>5133</v>
      </c>
      <c r="K1495" s="695" t="s">
        <v>3907</v>
      </c>
      <c r="L1495" s="696">
        <v>66</v>
      </c>
      <c r="M1495" s="170"/>
    </row>
    <row r="1496" spans="2:13" x14ac:dyDescent="0.2">
      <c r="B1496" s="173"/>
      <c r="C1496" s="694">
        <v>1</v>
      </c>
      <c r="D1496" s="695" t="s">
        <v>3903</v>
      </c>
      <c r="E1496" s="695">
        <v>3</v>
      </c>
      <c r="F1496" s="695" t="s">
        <v>4822</v>
      </c>
      <c r="G1496" s="695">
        <v>2</v>
      </c>
      <c r="H1496" s="695" t="s">
        <v>4908</v>
      </c>
      <c r="I1496" s="695">
        <v>234</v>
      </c>
      <c r="J1496" s="695" t="s">
        <v>5134</v>
      </c>
      <c r="K1496" s="695" t="s">
        <v>3907</v>
      </c>
      <c r="L1496" s="696">
        <v>0</v>
      </c>
      <c r="M1496" s="170"/>
    </row>
    <row r="1497" spans="2:13" x14ac:dyDescent="0.2">
      <c r="B1497" s="173"/>
      <c r="C1497" s="694">
        <v>1</v>
      </c>
      <c r="D1497" s="695" t="s">
        <v>3903</v>
      </c>
      <c r="E1497" s="695">
        <v>3</v>
      </c>
      <c r="F1497" s="695" t="s">
        <v>4822</v>
      </c>
      <c r="G1497" s="695">
        <v>2</v>
      </c>
      <c r="H1497" s="695" t="s">
        <v>4908</v>
      </c>
      <c r="I1497" s="695">
        <v>235</v>
      </c>
      <c r="J1497" s="695" t="s">
        <v>5135</v>
      </c>
      <c r="K1497" s="695" t="s">
        <v>3907</v>
      </c>
      <c r="L1497" s="696">
        <v>1</v>
      </c>
      <c r="M1497" s="170"/>
    </row>
    <row r="1498" spans="2:13" x14ac:dyDescent="0.2">
      <c r="B1498" s="173"/>
      <c r="C1498" s="694">
        <v>1</v>
      </c>
      <c r="D1498" s="695" t="s">
        <v>3903</v>
      </c>
      <c r="E1498" s="695">
        <v>3</v>
      </c>
      <c r="F1498" s="695" t="s">
        <v>4822</v>
      </c>
      <c r="G1498" s="695">
        <v>2</v>
      </c>
      <c r="H1498" s="695" t="s">
        <v>4908</v>
      </c>
      <c r="I1498" s="695">
        <v>236</v>
      </c>
      <c r="J1498" s="695" t="s">
        <v>5136</v>
      </c>
      <c r="K1498" s="695" t="s">
        <v>3907</v>
      </c>
      <c r="L1498" s="696">
        <v>4</v>
      </c>
      <c r="M1498" s="170"/>
    </row>
    <row r="1499" spans="2:13" x14ac:dyDescent="0.2">
      <c r="B1499" s="173"/>
      <c r="C1499" s="694">
        <v>1</v>
      </c>
      <c r="D1499" s="695" t="s">
        <v>3903</v>
      </c>
      <c r="E1499" s="695">
        <v>3</v>
      </c>
      <c r="F1499" s="695" t="s">
        <v>4822</v>
      </c>
      <c r="G1499" s="695">
        <v>2</v>
      </c>
      <c r="H1499" s="695" t="s">
        <v>4908</v>
      </c>
      <c r="I1499" s="695">
        <v>237</v>
      </c>
      <c r="J1499" s="695" t="s">
        <v>5137</v>
      </c>
      <c r="K1499" s="695" t="s">
        <v>3907</v>
      </c>
      <c r="L1499" s="696">
        <v>4</v>
      </c>
      <c r="M1499" s="170"/>
    </row>
    <row r="1500" spans="2:13" x14ac:dyDescent="0.2">
      <c r="B1500" s="173"/>
      <c r="C1500" s="694">
        <v>1</v>
      </c>
      <c r="D1500" s="695" t="s">
        <v>3903</v>
      </c>
      <c r="E1500" s="695">
        <v>3</v>
      </c>
      <c r="F1500" s="695" t="s">
        <v>4822</v>
      </c>
      <c r="G1500" s="695">
        <v>2</v>
      </c>
      <c r="H1500" s="695" t="s">
        <v>4908</v>
      </c>
      <c r="I1500" s="695">
        <v>238</v>
      </c>
      <c r="J1500" s="695" t="s">
        <v>5138</v>
      </c>
      <c r="K1500" s="695" t="s">
        <v>3907</v>
      </c>
      <c r="L1500" s="696">
        <v>2</v>
      </c>
      <c r="M1500" s="170"/>
    </row>
    <row r="1501" spans="2:13" x14ac:dyDescent="0.2">
      <c r="B1501" s="173"/>
      <c r="C1501" s="694">
        <v>1</v>
      </c>
      <c r="D1501" s="695" t="s">
        <v>3903</v>
      </c>
      <c r="E1501" s="695">
        <v>3</v>
      </c>
      <c r="F1501" s="695" t="s">
        <v>4822</v>
      </c>
      <c r="G1501" s="695">
        <v>2</v>
      </c>
      <c r="H1501" s="695" t="s">
        <v>4908</v>
      </c>
      <c r="I1501" s="695">
        <v>239</v>
      </c>
      <c r="J1501" s="695" t="s">
        <v>5139</v>
      </c>
      <c r="K1501" s="695" t="s">
        <v>3907</v>
      </c>
      <c r="L1501" s="696">
        <v>1</v>
      </c>
      <c r="M1501" s="170"/>
    </row>
    <row r="1502" spans="2:13" x14ac:dyDescent="0.2">
      <c r="B1502" s="173"/>
      <c r="C1502" s="694">
        <v>1</v>
      </c>
      <c r="D1502" s="695" t="s">
        <v>3903</v>
      </c>
      <c r="E1502" s="695">
        <v>3</v>
      </c>
      <c r="F1502" s="695" t="s">
        <v>4822</v>
      </c>
      <c r="G1502" s="695">
        <v>2</v>
      </c>
      <c r="H1502" s="695" t="s">
        <v>4908</v>
      </c>
      <c r="I1502" s="695">
        <v>240</v>
      </c>
      <c r="J1502" s="695" t="s">
        <v>5140</v>
      </c>
      <c r="K1502" s="695" t="s">
        <v>3907</v>
      </c>
      <c r="L1502" s="696">
        <v>8</v>
      </c>
      <c r="M1502" s="170"/>
    </row>
    <row r="1503" spans="2:13" x14ac:dyDescent="0.2">
      <c r="B1503" s="173"/>
      <c r="C1503" s="694">
        <v>1</v>
      </c>
      <c r="D1503" s="695" t="s">
        <v>3903</v>
      </c>
      <c r="E1503" s="695">
        <v>3</v>
      </c>
      <c r="F1503" s="695" t="s">
        <v>4822</v>
      </c>
      <c r="G1503" s="695">
        <v>2</v>
      </c>
      <c r="H1503" s="695" t="s">
        <v>4908</v>
      </c>
      <c r="I1503" s="695">
        <v>241</v>
      </c>
      <c r="J1503" s="695" t="s">
        <v>5141</v>
      </c>
      <c r="K1503" s="695" t="s">
        <v>3907</v>
      </c>
      <c r="L1503" s="696">
        <v>1</v>
      </c>
      <c r="M1503" s="170"/>
    </row>
    <row r="1504" spans="2:13" x14ac:dyDescent="0.2">
      <c r="B1504" s="173"/>
      <c r="C1504" s="694">
        <v>1</v>
      </c>
      <c r="D1504" s="695" t="s">
        <v>3903</v>
      </c>
      <c r="E1504" s="695">
        <v>3</v>
      </c>
      <c r="F1504" s="695" t="s">
        <v>4822</v>
      </c>
      <c r="G1504" s="695">
        <v>2</v>
      </c>
      <c r="H1504" s="695" t="s">
        <v>4908</v>
      </c>
      <c r="I1504" s="695">
        <v>242</v>
      </c>
      <c r="J1504" s="695" t="s">
        <v>5142</v>
      </c>
      <c r="K1504" s="695" t="s">
        <v>3907</v>
      </c>
      <c r="L1504" s="696">
        <v>1</v>
      </c>
      <c r="M1504" s="170"/>
    </row>
    <row r="1505" spans="2:13" x14ac:dyDescent="0.2">
      <c r="B1505" s="173"/>
      <c r="C1505" s="694">
        <v>1</v>
      </c>
      <c r="D1505" s="695" t="s">
        <v>3903</v>
      </c>
      <c r="E1505" s="695">
        <v>3</v>
      </c>
      <c r="F1505" s="695" t="s">
        <v>4822</v>
      </c>
      <c r="G1505" s="695">
        <v>2</v>
      </c>
      <c r="H1505" s="695" t="s">
        <v>4908</v>
      </c>
      <c r="I1505" s="695">
        <v>243</v>
      </c>
      <c r="J1505" s="695" t="s">
        <v>5143</v>
      </c>
      <c r="K1505" s="695" t="s">
        <v>3907</v>
      </c>
      <c r="L1505" s="696">
        <v>2</v>
      </c>
      <c r="M1505" s="170"/>
    </row>
    <row r="1506" spans="2:13" x14ac:dyDescent="0.2">
      <c r="B1506" s="173"/>
      <c r="C1506" s="694">
        <v>1</v>
      </c>
      <c r="D1506" s="695" t="s">
        <v>3903</v>
      </c>
      <c r="E1506" s="695">
        <v>3</v>
      </c>
      <c r="F1506" s="695" t="s">
        <v>4822</v>
      </c>
      <c r="G1506" s="695">
        <v>2</v>
      </c>
      <c r="H1506" s="695" t="s">
        <v>4908</v>
      </c>
      <c r="I1506" s="695">
        <v>244</v>
      </c>
      <c r="J1506" s="695" t="s">
        <v>5144</v>
      </c>
      <c r="K1506" s="695" t="s">
        <v>3907</v>
      </c>
      <c r="L1506" s="696">
        <v>4</v>
      </c>
      <c r="M1506" s="170"/>
    </row>
    <row r="1507" spans="2:13" x14ac:dyDescent="0.2">
      <c r="B1507" s="173"/>
      <c r="C1507" s="694">
        <v>1</v>
      </c>
      <c r="D1507" s="695" t="s">
        <v>3903</v>
      </c>
      <c r="E1507" s="695">
        <v>3</v>
      </c>
      <c r="F1507" s="695" t="s">
        <v>4822</v>
      </c>
      <c r="G1507" s="695">
        <v>2</v>
      </c>
      <c r="H1507" s="695" t="s">
        <v>4908</v>
      </c>
      <c r="I1507" s="695">
        <v>245</v>
      </c>
      <c r="J1507" s="695" t="s">
        <v>5145</v>
      </c>
      <c r="K1507" s="695" t="s">
        <v>3907</v>
      </c>
      <c r="L1507" s="696">
        <v>3</v>
      </c>
      <c r="M1507" s="170"/>
    </row>
    <row r="1508" spans="2:13" x14ac:dyDescent="0.2">
      <c r="B1508" s="173"/>
      <c r="C1508" s="694">
        <v>1</v>
      </c>
      <c r="D1508" s="695" t="s">
        <v>3903</v>
      </c>
      <c r="E1508" s="695">
        <v>3</v>
      </c>
      <c r="F1508" s="695" t="s">
        <v>4822</v>
      </c>
      <c r="G1508" s="695">
        <v>2</v>
      </c>
      <c r="H1508" s="695" t="s">
        <v>4908</v>
      </c>
      <c r="I1508" s="695">
        <v>246</v>
      </c>
      <c r="J1508" s="695" t="s">
        <v>5146</v>
      </c>
      <c r="K1508" s="695" t="s">
        <v>3907</v>
      </c>
      <c r="L1508" s="696">
        <v>0</v>
      </c>
      <c r="M1508" s="170"/>
    </row>
    <row r="1509" spans="2:13" x14ac:dyDescent="0.2">
      <c r="B1509" s="173"/>
      <c r="C1509" s="694">
        <v>1</v>
      </c>
      <c r="D1509" s="695" t="s">
        <v>3903</v>
      </c>
      <c r="E1509" s="695">
        <v>3</v>
      </c>
      <c r="F1509" s="695" t="s">
        <v>4822</v>
      </c>
      <c r="G1509" s="695">
        <v>2</v>
      </c>
      <c r="H1509" s="695" t="s">
        <v>4908</v>
      </c>
      <c r="I1509" s="695">
        <v>247</v>
      </c>
      <c r="J1509" s="695" t="s">
        <v>5147</v>
      </c>
      <c r="K1509" s="695" t="s">
        <v>3907</v>
      </c>
      <c r="L1509" s="696">
        <v>5</v>
      </c>
      <c r="M1509" s="170"/>
    </row>
    <row r="1510" spans="2:13" x14ac:dyDescent="0.2">
      <c r="B1510" s="173"/>
      <c r="C1510" s="694">
        <v>1</v>
      </c>
      <c r="D1510" s="695" t="s">
        <v>3903</v>
      </c>
      <c r="E1510" s="695">
        <v>3</v>
      </c>
      <c r="F1510" s="695" t="s">
        <v>4822</v>
      </c>
      <c r="G1510" s="695">
        <v>2</v>
      </c>
      <c r="H1510" s="695" t="s">
        <v>4908</v>
      </c>
      <c r="I1510" s="695">
        <v>248</v>
      </c>
      <c r="J1510" s="695" t="s">
        <v>5148</v>
      </c>
      <c r="K1510" s="695" t="s">
        <v>3907</v>
      </c>
      <c r="L1510" s="696">
        <v>2</v>
      </c>
      <c r="M1510" s="170"/>
    </row>
    <row r="1511" spans="2:13" x14ac:dyDescent="0.2">
      <c r="B1511" s="173"/>
      <c r="C1511" s="694">
        <v>1</v>
      </c>
      <c r="D1511" s="695" t="s">
        <v>3903</v>
      </c>
      <c r="E1511" s="695">
        <v>3</v>
      </c>
      <c r="F1511" s="695" t="s">
        <v>4822</v>
      </c>
      <c r="G1511" s="695">
        <v>2</v>
      </c>
      <c r="H1511" s="695" t="s">
        <v>4908</v>
      </c>
      <c r="I1511" s="695">
        <v>249</v>
      </c>
      <c r="J1511" s="695" t="s">
        <v>5137</v>
      </c>
      <c r="K1511" s="695" t="s">
        <v>3907</v>
      </c>
      <c r="L1511" s="696">
        <v>1</v>
      </c>
      <c r="M1511" s="170"/>
    </row>
    <row r="1512" spans="2:13" x14ac:dyDescent="0.2">
      <c r="B1512" s="173"/>
      <c r="C1512" s="694">
        <v>1</v>
      </c>
      <c r="D1512" s="695" t="s">
        <v>3903</v>
      </c>
      <c r="E1512" s="695">
        <v>3</v>
      </c>
      <c r="F1512" s="695" t="s">
        <v>4822</v>
      </c>
      <c r="G1512" s="695">
        <v>2</v>
      </c>
      <c r="H1512" s="695" t="s">
        <v>4908</v>
      </c>
      <c r="I1512" s="695">
        <v>250</v>
      </c>
      <c r="J1512" s="695" t="s">
        <v>5149</v>
      </c>
      <c r="K1512" s="695" t="s">
        <v>3907</v>
      </c>
      <c r="L1512" s="696">
        <v>2</v>
      </c>
      <c r="M1512" s="170"/>
    </row>
    <row r="1513" spans="2:13" x14ac:dyDescent="0.2">
      <c r="B1513" s="173"/>
      <c r="C1513" s="694">
        <v>1</v>
      </c>
      <c r="D1513" s="695" t="s">
        <v>3903</v>
      </c>
      <c r="E1513" s="695">
        <v>3</v>
      </c>
      <c r="F1513" s="695" t="s">
        <v>4822</v>
      </c>
      <c r="G1513" s="695">
        <v>2</v>
      </c>
      <c r="H1513" s="695" t="s">
        <v>4908</v>
      </c>
      <c r="I1513" s="695">
        <v>251</v>
      </c>
      <c r="J1513" s="695" t="s">
        <v>5150</v>
      </c>
      <c r="K1513" s="695" t="s">
        <v>3907</v>
      </c>
      <c r="L1513" s="696">
        <v>7</v>
      </c>
      <c r="M1513" s="170"/>
    </row>
    <row r="1514" spans="2:13" x14ac:dyDescent="0.2">
      <c r="B1514" s="173"/>
      <c r="C1514" s="694">
        <v>1</v>
      </c>
      <c r="D1514" s="695" t="s">
        <v>3903</v>
      </c>
      <c r="E1514" s="695">
        <v>3</v>
      </c>
      <c r="F1514" s="695" t="s">
        <v>4822</v>
      </c>
      <c r="G1514" s="695">
        <v>2</v>
      </c>
      <c r="H1514" s="695" t="s">
        <v>4908</v>
      </c>
      <c r="I1514" s="695">
        <v>252</v>
      </c>
      <c r="J1514" s="695" t="s">
        <v>5151</v>
      </c>
      <c r="K1514" s="695" t="s">
        <v>3907</v>
      </c>
      <c r="L1514" s="696">
        <v>1</v>
      </c>
      <c r="M1514" s="170"/>
    </row>
    <row r="1515" spans="2:13" x14ac:dyDescent="0.2">
      <c r="B1515" s="173"/>
      <c r="C1515" s="694">
        <v>1</v>
      </c>
      <c r="D1515" s="695" t="s">
        <v>3903</v>
      </c>
      <c r="E1515" s="695">
        <v>3</v>
      </c>
      <c r="F1515" s="695" t="s">
        <v>4822</v>
      </c>
      <c r="G1515" s="695">
        <v>2</v>
      </c>
      <c r="H1515" s="695" t="s">
        <v>4908</v>
      </c>
      <c r="I1515" s="695">
        <v>253</v>
      </c>
      <c r="J1515" s="695" t="s">
        <v>5152</v>
      </c>
      <c r="K1515" s="695" t="s">
        <v>3907</v>
      </c>
      <c r="L1515" s="696">
        <v>1</v>
      </c>
      <c r="M1515" s="170"/>
    </row>
    <row r="1516" spans="2:13" x14ac:dyDescent="0.2">
      <c r="B1516" s="173"/>
      <c r="C1516" s="694">
        <v>1</v>
      </c>
      <c r="D1516" s="695" t="s">
        <v>3903</v>
      </c>
      <c r="E1516" s="695">
        <v>3</v>
      </c>
      <c r="F1516" s="695" t="s">
        <v>4822</v>
      </c>
      <c r="G1516" s="695">
        <v>2</v>
      </c>
      <c r="H1516" s="695" t="s">
        <v>4908</v>
      </c>
      <c r="I1516" s="695">
        <v>254</v>
      </c>
      <c r="J1516" s="695" t="s">
        <v>5153</v>
      </c>
      <c r="K1516" s="695" t="s">
        <v>3907</v>
      </c>
      <c r="L1516" s="696">
        <v>1</v>
      </c>
      <c r="M1516" s="170"/>
    </row>
    <row r="1517" spans="2:13" x14ac:dyDescent="0.2">
      <c r="B1517" s="173"/>
      <c r="C1517" s="694">
        <v>1</v>
      </c>
      <c r="D1517" s="695" t="s">
        <v>3903</v>
      </c>
      <c r="E1517" s="695">
        <v>3</v>
      </c>
      <c r="F1517" s="695" t="s">
        <v>4822</v>
      </c>
      <c r="G1517" s="695">
        <v>2</v>
      </c>
      <c r="H1517" s="695" t="s">
        <v>4908</v>
      </c>
      <c r="I1517" s="695">
        <v>255</v>
      </c>
      <c r="J1517" s="695" t="s">
        <v>5154</v>
      </c>
      <c r="K1517" s="695" t="s">
        <v>3907</v>
      </c>
      <c r="L1517" s="696">
        <v>3</v>
      </c>
      <c r="M1517" s="170"/>
    </row>
    <row r="1518" spans="2:13" x14ac:dyDescent="0.2">
      <c r="B1518" s="173"/>
      <c r="C1518" s="694">
        <v>1</v>
      </c>
      <c r="D1518" s="695" t="s">
        <v>3903</v>
      </c>
      <c r="E1518" s="695">
        <v>3</v>
      </c>
      <c r="F1518" s="695" t="s">
        <v>4822</v>
      </c>
      <c r="G1518" s="695">
        <v>2</v>
      </c>
      <c r="H1518" s="695" t="s">
        <v>4908</v>
      </c>
      <c r="I1518" s="695">
        <v>256</v>
      </c>
      <c r="J1518" s="695" t="s">
        <v>5155</v>
      </c>
      <c r="K1518" s="695" t="s">
        <v>3907</v>
      </c>
      <c r="L1518" s="696">
        <v>9</v>
      </c>
      <c r="M1518" s="170"/>
    </row>
    <row r="1519" spans="2:13" x14ac:dyDescent="0.2">
      <c r="B1519" s="173"/>
      <c r="C1519" s="694">
        <v>1</v>
      </c>
      <c r="D1519" s="695" t="s">
        <v>3903</v>
      </c>
      <c r="E1519" s="695">
        <v>3</v>
      </c>
      <c r="F1519" s="695" t="s">
        <v>4822</v>
      </c>
      <c r="G1519" s="695">
        <v>2</v>
      </c>
      <c r="H1519" s="695" t="s">
        <v>4908</v>
      </c>
      <c r="I1519" s="695">
        <v>257</v>
      </c>
      <c r="J1519" s="695" t="s">
        <v>5156</v>
      </c>
      <c r="K1519" s="695" t="s">
        <v>3907</v>
      </c>
      <c r="L1519" s="696">
        <v>0</v>
      </c>
      <c r="M1519" s="170"/>
    </row>
    <row r="1520" spans="2:13" x14ac:dyDescent="0.2">
      <c r="B1520" s="173"/>
      <c r="C1520" s="694">
        <v>1</v>
      </c>
      <c r="D1520" s="695" t="s">
        <v>3903</v>
      </c>
      <c r="E1520" s="695">
        <v>3</v>
      </c>
      <c r="F1520" s="695" t="s">
        <v>4822</v>
      </c>
      <c r="G1520" s="695">
        <v>2</v>
      </c>
      <c r="H1520" s="695" t="s">
        <v>4908</v>
      </c>
      <c r="I1520" s="695">
        <v>258</v>
      </c>
      <c r="J1520" s="695" t="s">
        <v>5157</v>
      </c>
      <c r="K1520" s="695" t="s">
        <v>3907</v>
      </c>
      <c r="L1520" s="696">
        <v>82</v>
      </c>
      <c r="M1520" s="170"/>
    </row>
    <row r="1521" spans="2:13" x14ac:dyDescent="0.2">
      <c r="B1521" s="173"/>
      <c r="C1521" s="694">
        <v>1</v>
      </c>
      <c r="D1521" s="695" t="s">
        <v>3903</v>
      </c>
      <c r="E1521" s="695">
        <v>3</v>
      </c>
      <c r="F1521" s="695" t="s">
        <v>4822</v>
      </c>
      <c r="G1521" s="695">
        <v>2</v>
      </c>
      <c r="H1521" s="695" t="s">
        <v>4908</v>
      </c>
      <c r="I1521" s="695">
        <v>259</v>
      </c>
      <c r="J1521" s="695" t="s">
        <v>5158</v>
      </c>
      <c r="K1521" s="695" t="s">
        <v>3907</v>
      </c>
      <c r="L1521" s="696">
        <v>2</v>
      </c>
      <c r="M1521" s="170"/>
    </row>
    <row r="1522" spans="2:13" x14ac:dyDescent="0.2">
      <c r="B1522" s="173"/>
      <c r="C1522" s="694">
        <v>1</v>
      </c>
      <c r="D1522" s="695" t="s">
        <v>3903</v>
      </c>
      <c r="E1522" s="695">
        <v>3</v>
      </c>
      <c r="F1522" s="695" t="s">
        <v>4822</v>
      </c>
      <c r="G1522" s="695">
        <v>2</v>
      </c>
      <c r="H1522" s="695" t="s">
        <v>4908</v>
      </c>
      <c r="I1522" s="695">
        <v>260</v>
      </c>
      <c r="J1522" s="695" t="s">
        <v>5159</v>
      </c>
      <c r="K1522" s="695" t="s">
        <v>3907</v>
      </c>
      <c r="L1522" s="696">
        <v>2</v>
      </c>
      <c r="M1522" s="170"/>
    </row>
    <row r="1523" spans="2:13" x14ac:dyDescent="0.2">
      <c r="B1523" s="173"/>
      <c r="C1523" s="694">
        <v>1</v>
      </c>
      <c r="D1523" s="695" t="s">
        <v>3903</v>
      </c>
      <c r="E1523" s="695">
        <v>3</v>
      </c>
      <c r="F1523" s="695" t="s">
        <v>4822</v>
      </c>
      <c r="G1523" s="695">
        <v>2</v>
      </c>
      <c r="H1523" s="695" t="s">
        <v>4908</v>
      </c>
      <c r="I1523" s="695">
        <v>261</v>
      </c>
      <c r="J1523" s="695" t="s">
        <v>5160</v>
      </c>
      <c r="K1523" s="695" t="s">
        <v>3907</v>
      </c>
      <c r="L1523" s="696">
        <v>1</v>
      </c>
      <c r="M1523" s="170"/>
    </row>
    <row r="1524" spans="2:13" x14ac:dyDescent="0.2">
      <c r="B1524" s="173"/>
      <c r="C1524" s="694">
        <v>1</v>
      </c>
      <c r="D1524" s="695" t="s">
        <v>3903</v>
      </c>
      <c r="E1524" s="695">
        <v>3</v>
      </c>
      <c r="F1524" s="695" t="s">
        <v>4822</v>
      </c>
      <c r="G1524" s="695">
        <v>2</v>
      </c>
      <c r="H1524" s="695" t="s">
        <v>4908</v>
      </c>
      <c r="I1524" s="695">
        <v>262</v>
      </c>
      <c r="J1524" s="695" t="s">
        <v>8776</v>
      </c>
      <c r="K1524" s="695" t="s">
        <v>3907</v>
      </c>
      <c r="L1524" s="696">
        <v>2</v>
      </c>
      <c r="M1524" s="170"/>
    </row>
    <row r="1525" spans="2:13" x14ac:dyDescent="0.2">
      <c r="B1525" s="173"/>
      <c r="C1525" s="694">
        <v>1</v>
      </c>
      <c r="D1525" s="695" t="s">
        <v>3903</v>
      </c>
      <c r="E1525" s="695">
        <v>3</v>
      </c>
      <c r="F1525" s="695" t="s">
        <v>4822</v>
      </c>
      <c r="G1525" s="695">
        <v>2</v>
      </c>
      <c r="H1525" s="695" t="s">
        <v>4908</v>
      </c>
      <c r="I1525" s="695">
        <v>263</v>
      </c>
      <c r="J1525" s="695" t="s">
        <v>8777</v>
      </c>
      <c r="K1525" s="695" t="s">
        <v>3907</v>
      </c>
      <c r="L1525" s="696">
        <v>2</v>
      </c>
      <c r="M1525" s="170"/>
    </row>
    <row r="1526" spans="2:13" x14ac:dyDescent="0.2">
      <c r="B1526" s="173"/>
      <c r="C1526" s="694">
        <v>1</v>
      </c>
      <c r="D1526" s="695" t="s">
        <v>3903</v>
      </c>
      <c r="E1526" s="695">
        <v>3</v>
      </c>
      <c r="F1526" s="695" t="s">
        <v>4822</v>
      </c>
      <c r="G1526" s="695">
        <v>2</v>
      </c>
      <c r="H1526" s="695" t="s">
        <v>4908</v>
      </c>
      <c r="I1526" s="695">
        <v>264</v>
      </c>
      <c r="J1526" s="695" t="s">
        <v>8778</v>
      </c>
      <c r="K1526" s="695" t="s">
        <v>3907</v>
      </c>
      <c r="L1526" s="696">
        <v>1</v>
      </c>
      <c r="M1526" s="170"/>
    </row>
    <row r="1527" spans="2:13" x14ac:dyDescent="0.2">
      <c r="B1527" s="173"/>
      <c r="C1527" s="694">
        <v>1</v>
      </c>
      <c r="D1527" s="695" t="s">
        <v>3903</v>
      </c>
      <c r="E1527" s="695">
        <v>3</v>
      </c>
      <c r="F1527" s="695" t="s">
        <v>4822</v>
      </c>
      <c r="G1527" s="695">
        <v>2</v>
      </c>
      <c r="H1527" s="695" t="s">
        <v>4908</v>
      </c>
      <c r="I1527" s="695">
        <v>265</v>
      </c>
      <c r="J1527" s="695" t="s">
        <v>8779</v>
      </c>
      <c r="K1527" s="695" t="s">
        <v>3907</v>
      </c>
      <c r="L1527" s="696">
        <v>4</v>
      </c>
      <c r="M1527" s="170"/>
    </row>
    <row r="1528" spans="2:13" x14ac:dyDescent="0.2">
      <c r="B1528" s="173"/>
      <c r="C1528" s="694">
        <v>1</v>
      </c>
      <c r="D1528" s="695" t="s">
        <v>3903</v>
      </c>
      <c r="E1528" s="695">
        <v>3</v>
      </c>
      <c r="F1528" s="695" t="s">
        <v>4822</v>
      </c>
      <c r="G1528" s="695">
        <v>2</v>
      </c>
      <c r="H1528" s="695" t="s">
        <v>4908</v>
      </c>
      <c r="I1528" s="695">
        <v>266</v>
      </c>
      <c r="J1528" s="695" t="s">
        <v>8780</v>
      </c>
      <c r="K1528" s="695" t="s">
        <v>8544</v>
      </c>
      <c r="L1528" s="696">
        <v>9</v>
      </c>
      <c r="M1528" s="170"/>
    </row>
    <row r="1529" spans="2:13" x14ac:dyDescent="0.2">
      <c r="B1529" s="173"/>
      <c r="C1529" s="694">
        <v>1</v>
      </c>
      <c r="D1529" s="695" t="s">
        <v>3903</v>
      </c>
      <c r="E1529" s="695">
        <v>3</v>
      </c>
      <c r="F1529" s="695" t="s">
        <v>4822</v>
      </c>
      <c r="G1529" s="695">
        <v>2</v>
      </c>
      <c r="H1529" s="695" t="s">
        <v>4908</v>
      </c>
      <c r="I1529" s="695">
        <v>267</v>
      </c>
      <c r="J1529" s="695" t="s">
        <v>8781</v>
      </c>
      <c r="K1529" s="695" t="s">
        <v>8544</v>
      </c>
      <c r="L1529" s="696">
        <v>5</v>
      </c>
      <c r="M1529" s="170"/>
    </row>
    <row r="1530" spans="2:13" x14ac:dyDescent="0.2">
      <c r="B1530" s="173"/>
      <c r="C1530" s="694">
        <v>1</v>
      </c>
      <c r="D1530" s="695" t="s">
        <v>3903</v>
      </c>
      <c r="E1530" s="695">
        <v>3</v>
      </c>
      <c r="F1530" s="695" t="s">
        <v>4822</v>
      </c>
      <c r="G1530" s="695">
        <v>2</v>
      </c>
      <c r="H1530" s="695" t="s">
        <v>4908</v>
      </c>
      <c r="I1530" s="695">
        <v>268</v>
      </c>
      <c r="J1530" s="695" t="s">
        <v>8782</v>
      </c>
      <c r="K1530" s="695" t="s">
        <v>3985</v>
      </c>
      <c r="L1530" s="696">
        <v>2</v>
      </c>
      <c r="M1530" s="170"/>
    </row>
    <row r="1531" spans="2:13" x14ac:dyDescent="0.2">
      <c r="B1531" s="173"/>
      <c r="C1531" s="694">
        <v>1</v>
      </c>
      <c r="D1531" s="695" t="s">
        <v>3903</v>
      </c>
      <c r="E1531" s="695">
        <v>3</v>
      </c>
      <c r="F1531" s="695" t="s">
        <v>4822</v>
      </c>
      <c r="G1531" s="695">
        <v>2</v>
      </c>
      <c r="H1531" s="695" t="s">
        <v>4908</v>
      </c>
      <c r="I1531" s="695">
        <v>269</v>
      </c>
      <c r="J1531" s="695" t="s">
        <v>8783</v>
      </c>
      <c r="K1531" s="695" t="s">
        <v>3985</v>
      </c>
      <c r="L1531" s="696">
        <v>0</v>
      </c>
      <c r="M1531" s="170"/>
    </row>
    <row r="1532" spans="2:13" x14ac:dyDescent="0.2">
      <c r="B1532" s="173"/>
      <c r="C1532" s="694">
        <v>1</v>
      </c>
      <c r="D1532" s="695" t="s">
        <v>3903</v>
      </c>
      <c r="E1532" s="695">
        <v>3</v>
      </c>
      <c r="F1532" s="695" t="s">
        <v>4822</v>
      </c>
      <c r="G1532" s="695">
        <v>2</v>
      </c>
      <c r="H1532" s="695" t="s">
        <v>4908</v>
      </c>
      <c r="I1532" s="695">
        <v>270</v>
      </c>
      <c r="J1532" s="695" t="s">
        <v>8784</v>
      </c>
      <c r="K1532" s="695" t="s">
        <v>3907</v>
      </c>
      <c r="L1532" s="696">
        <v>1</v>
      </c>
      <c r="M1532" s="170"/>
    </row>
    <row r="1533" spans="2:13" x14ac:dyDescent="0.2">
      <c r="B1533" s="173"/>
      <c r="C1533" s="694">
        <v>1</v>
      </c>
      <c r="D1533" s="695" t="s">
        <v>3903</v>
      </c>
      <c r="E1533" s="695">
        <v>3</v>
      </c>
      <c r="F1533" s="695" t="s">
        <v>4822</v>
      </c>
      <c r="G1533" s="695">
        <v>2</v>
      </c>
      <c r="H1533" s="695" t="s">
        <v>4908</v>
      </c>
      <c r="I1533" s="695">
        <v>271</v>
      </c>
      <c r="J1533" s="695" t="s">
        <v>8785</v>
      </c>
      <c r="K1533" s="695" t="s">
        <v>3907</v>
      </c>
      <c r="L1533" s="696">
        <v>7</v>
      </c>
      <c r="M1533" s="170"/>
    </row>
    <row r="1534" spans="2:13" x14ac:dyDescent="0.2">
      <c r="B1534" s="173"/>
      <c r="C1534" s="694">
        <v>1</v>
      </c>
      <c r="D1534" s="695" t="s">
        <v>3903</v>
      </c>
      <c r="E1534" s="695">
        <v>3</v>
      </c>
      <c r="F1534" s="695" t="s">
        <v>4822</v>
      </c>
      <c r="G1534" s="695">
        <v>2</v>
      </c>
      <c r="H1534" s="695" t="s">
        <v>4908</v>
      </c>
      <c r="I1534" s="695">
        <v>272</v>
      </c>
      <c r="J1534" s="695" t="s">
        <v>8786</v>
      </c>
      <c r="K1534" s="695" t="s">
        <v>3907</v>
      </c>
      <c r="L1534" s="696">
        <v>2</v>
      </c>
      <c r="M1534" s="170"/>
    </row>
    <row r="1535" spans="2:13" x14ac:dyDescent="0.2">
      <c r="B1535" s="173"/>
      <c r="C1535" s="694">
        <v>1</v>
      </c>
      <c r="D1535" s="695" t="s">
        <v>3903</v>
      </c>
      <c r="E1535" s="695">
        <v>3</v>
      </c>
      <c r="F1535" s="695" t="s">
        <v>4822</v>
      </c>
      <c r="G1535" s="695">
        <v>2</v>
      </c>
      <c r="H1535" s="695" t="s">
        <v>4908</v>
      </c>
      <c r="I1535" s="695">
        <v>273</v>
      </c>
      <c r="J1535" s="695" t="s">
        <v>8787</v>
      </c>
      <c r="K1535" s="695" t="s">
        <v>3907</v>
      </c>
      <c r="L1535" s="696">
        <v>7</v>
      </c>
      <c r="M1535" s="170"/>
    </row>
    <row r="1536" spans="2:13" x14ac:dyDescent="0.2">
      <c r="B1536" s="173"/>
      <c r="C1536" s="694">
        <v>1</v>
      </c>
      <c r="D1536" s="695" t="s">
        <v>3903</v>
      </c>
      <c r="E1536" s="695">
        <v>3</v>
      </c>
      <c r="F1536" s="695" t="s">
        <v>4822</v>
      </c>
      <c r="G1536" s="695">
        <v>2</v>
      </c>
      <c r="H1536" s="695" t="s">
        <v>4908</v>
      </c>
      <c r="I1536" s="695">
        <v>274</v>
      </c>
      <c r="J1536" s="695" t="s">
        <v>8788</v>
      </c>
      <c r="K1536" s="695" t="s">
        <v>3907</v>
      </c>
      <c r="L1536" s="696">
        <v>20</v>
      </c>
      <c r="M1536" s="170"/>
    </row>
    <row r="1537" spans="2:13" x14ac:dyDescent="0.2">
      <c r="B1537" s="173"/>
      <c r="C1537" s="694">
        <v>1</v>
      </c>
      <c r="D1537" s="695" t="s">
        <v>3903</v>
      </c>
      <c r="E1537" s="695">
        <v>3</v>
      </c>
      <c r="F1537" s="695" t="s">
        <v>4822</v>
      </c>
      <c r="G1537" s="695">
        <v>2</v>
      </c>
      <c r="H1537" s="695" t="s">
        <v>4908</v>
      </c>
      <c r="I1537" s="695">
        <v>275</v>
      </c>
      <c r="J1537" s="695" t="s">
        <v>8789</v>
      </c>
      <c r="K1537" s="695" t="s">
        <v>3907</v>
      </c>
      <c r="L1537" s="696">
        <v>8</v>
      </c>
      <c r="M1537" s="170"/>
    </row>
    <row r="1538" spans="2:13" x14ac:dyDescent="0.2">
      <c r="B1538" s="173"/>
      <c r="C1538" s="694">
        <v>1</v>
      </c>
      <c r="D1538" s="695" t="s">
        <v>3903</v>
      </c>
      <c r="E1538" s="695">
        <v>3</v>
      </c>
      <c r="F1538" s="695" t="s">
        <v>4822</v>
      </c>
      <c r="G1538" s="695">
        <v>2</v>
      </c>
      <c r="H1538" s="695" t="s">
        <v>4908</v>
      </c>
      <c r="I1538" s="695">
        <v>276</v>
      </c>
      <c r="J1538" s="695" t="s">
        <v>8790</v>
      </c>
      <c r="K1538" s="695" t="s">
        <v>3985</v>
      </c>
      <c r="L1538" s="696">
        <v>25</v>
      </c>
      <c r="M1538" s="170"/>
    </row>
    <row r="1539" spans="2:13" x14ac:dyDescent="0.2">
      <c r="B1539" s="173"/>
      <c r="C1539" s="694">
        <v>1</v>
      </c>
      <c r="D1539" s="695" t="s">
        <v>3903</v>
      </c>
      <c r="E1539" s="695">
        <v>3</v>
      </c>
      <c r="F1539" s="695" t="s">
        <v>4822</v>
      </c>
      <c r="G1539" s="695">
        <v>2</v>
      </c>
      <c r="H1539" s="695" t="s">
        <v>4908</v>
      </c>
      <c r="I1539" s="695">
        <v>277</v>
      </c>
      <c r="J1539" s="695" t="s">
        <v>8791</v>
      </c>
      <c r="K1539" s="695" t="s">
        <v>3907</v>
      </c>
      <c r="L1539" s="696">
        <v>2</v>
      </c>
      <c r="M1539" s="170"/>
    </row>
    <row r="1540" spans="2:13" x14ac:dyDescent="0.2">
      <c r="B1540" s="173"/>
      <c r="C1540" s="694">
        <v>1</v>
      </c>
      <c r="D1540" s="695" t="s">
        <v>3903</v>
      </c>
      <c r="E1540" s="695">
        <v>3</v>
      </c>
      <c r="F1540" s="695" t="s">
        <v>4822</v>
      </c>
      <c r="G1540" s="695">
        <v>2</v>
      </c>
      <c r="H1540" s="695" t="s">
        <v>4908</v>
      </c>
      <c r="I1540" s="695">
        <v>278</v>
      </c>
      <c r="J1540" s="695" t="s">
        <v>8790</v>
      </c>
      <c r="K1540" s="695" t="s">
        <v>3985</v>
      </c>
      <c r="L1540" s="696">
        <v>13</v>
      </c>
      <c r="M1540" s="170"/>
    </row>
    <row r="1541" spans="2:13" x14ac:dyDescent="0.2">
      <c r="B1541" s="173"/>
      <c r="C1541" s="694">
        <v>1</v>
      </c>
      <c r="D1541" s="695" t="s">
        <v>3903</v>
      </c>
      <c r="E1541" s="695">
        <v>3</v>
      </c>
      <c r="F1541" s="695" t="s">
        <v>4822</v>
      </c>
      <c r="G1541" s="695">
        <v>2</v>
      </c>
      <c r="H1541" s="695" t="s">
        <v>4908</v>
      </c>
      <c r="I1541" s="695">
        <v>279</v>
      </c>
      <c r="J1541" s="695" t="s">
        <v>8792</v>
      </c>
      <c r="K1541" s="695" t="s">
        <v>3907</v>
      </c>
      <c r="L1541" s="696">
        <v>6</v>
      </c>
      <c r="M1541" s="170"/>
    </row>
    <row r="1542" spans="2:13" x14ac:dyDescent="0.2">
      <c r="B1542" s="173"/>
      <c r="C1542" s="694">
        <v>1</v>
      </c>
      <c r="D1542" s="695" t="s">
        <v>3903</v>
      </c>
      <c r="E1542" s="695">
        <v>3</v>
      </c>
      <c r="F1542" s="695" t="s">
        <v>4822</v>
      </c>
      <c r="G1542" s="695">
        <v>2</v>
      </c>
      <c r="H1542" s="695" t="s">
        <v>4908</v>
      </c>
      <c r="I1542" s="695">
        <v>280</v>
      </c>
      <c r="J1542" s="695" t="s">
        <v>8793</v>
      </c>
      <c r="K1542" s="695" t="s">
        <v>3907</v>
      </c>
      <c r="L1542" s="696">
        <v>1</v>
      </c>
      <c r="M1542" s="170"/>
    </row>
    <row r="1543" spans="2:13" x14ac:dyDescent="0.2">
      <c r="B1543" s="173"/>
      <c r="C1543" s="694">
        <v>1</v>
      </c>
      <c r="D1543" s="695" t="s">
        <v>3903</v>
      </c>
      <c r="E1543" s="695">
        <v>3</v>
      </c>
      <c r="F1543" s="695" t="s">
        <v>4822</v>
      </c>
      <c r="G1543" s="695">
        <v>2</v>
      </c>
      <c r="H1543" s="695" t="s">
        <v>4908</v>
      </c>
      <c r="I1543" s="695">
        <v>281</v>
      </c>
      <c r="J1543" s="695" t="s">
        <v>8794</v>
      </c>
      <c r="K1543" s="695" t="s">
        <v>3907</v>
      </c>
      <c r="L1543" s="696">
        <v>3</v>
      </c>
      <c r="M1543" s="170"/>
    </row>
    <row r="1544" spans="2:13" x14ac:dyDescent="0.2">
      <c r="B1544" s="173"/>
      <c r="C1544" s="694">
        <v>1</v>
      </c>
      <c r="D1544" s="695" t="s">
        <v>3903</v>
      </c>
      <c r="E1544" s="695">
        <v>3</v>
      </c>
      <c r="F1544" s="695" t="s">
        <v>4822</v>
      </c>
      <c r="G1544" s="695">
        <v>2</v>
      </c>
      <c r="H1544" s="695" t="s">
        <v>4908</v>
      </c>
      <c r="I1544" s="695">
        <v>282</v>
      </c>
      <c r="J1544" s="695" t="s">
        <v>8795</v>
      </c>
      <c r="K1544" s="695" t="s">
        <v>3907</v>
      </c>
      <c r="L1544" s="696">
        <v>4</v>
      </c>
      <c r="M1544" s="170"/>
    </row>
    <row r="1545" spans="2:13" x14ac:dyDescent="0.2">
      <c r="B1545" s="173"/>
      <c r="C1545" s="694">
        <v>1</v>
      </c>
      <c r="D1545" s="695" t="s">
        <v>3903</v>
      </c>
      <c r="E1545" s="695">
        <v>3</v>
      </c>
      <c r="F1545" s="695" t="s">
        <v>4822</v>
      </c>
      <c r="G1545" s="695">
        <v>2</v>
      </c>
      <c r="H1545" s="695" t="s">
        <v>4908</v>
      </c>
      <c r="I1545" s="695">
        <v>283</v>
      </c>
      <c r="J1545" s="695" t="s">
        <v>8796</v>
      </c>
      <c r="K1545" s="695" t="s">
        <v>3907</v>
      </c>
      <c r="L1545" s="696">
        <v>5</v>
      </c>
      <c r="M1545" s="170"/>
    </row>
    <row r="1546" spans="2:13" x14ac:dyDescent="0.2">
      <c r="B1546" s="173"/>
      <c r="C1546" s="694">
        <v>1</v>
      </c>
      <c r="D1546" s="695" t="s">
        <v>3903</v>
      </c>
      <c r="E1546" s="695">
        <v>3</v>
      </c>
      <c r="F1546" s="695" t="s">
        <v>4822</v>
      </c>
      <c r="G1546" s="695">
        <v>2</v>
      </c>
      <c r="H1546" s="695" t="s">
        <v>4908</v>
      </c>
      <c r="I1546" s="695">
        <v>284</v>
      </c>
      <c r="J1546" s="695" t="s">
        <v>8797</v>
      </c>
      <c r="K1546" s="695" t="s">
        <v>3907</v>
      </c>
      <c r="L1546" s="696">
        <v>3</v>
      </c>
      <c r="M1546" s="170"/>
    </row>
    <row r="1547" spans="2:13" x14ac:dyDescent="0.2">
      <c r="B1547" s="173"/>
      <c r="C1547" s="694">
        <v>1</v>
      </c>
      <c r="D1547" s="695" t="s">
        <v>3903</v>
      </c>
      <c r="E1547" s="695">
        <v>3</v>
      </c>
      <c r="F1547" s="695" t="s">
        <v>4822</v>
      </c>
      <c r="G1547" s="695">
        <v>2</v>
      </c>
      <c r="H1547" s="695" t="s">
        <v>4908</v>
      </c>
      <c r="I1547" s="695">
        <v>285</v>
      </c>
      <c r="J1547" s="695" t="s">
        <v>8798</v>
      </c>
      <c r="K1547" s="695" t="s">
        <v>3907</v>
      </c>
      <c r="L1547" s="696">
        <v>2</v>
      </c>
      <c r="M1547" s="170"/>
    </row>
    <row r="1548" spans="2:13" x14ac:dyDescent="0.2">
      <c r="B1548" s="173"/>
      <c r="C1548" s="694">
        <v>1</v>
      </c>
      <c r="D1548" s="695" t="s">
        <v>3903</v>
      </c>
      <c r="E1548" s="695">
        <v>3</v>
      </c>
      <c r="F1548" s="695" t="s">
        <v>4822</v>
      </c>
      <c r="G1548" s="695">
        <v>2</v>
      </c>
      <c r="H1548" s="695" t="s">
        <v>4908</v>
      </c>
      <c r="I1548" s="695">
        <v>286</v>
      </c>
      <c r="J1548" s="695" t="s">
        <v>8799</v>
      </c>
      <c r="K1548" s="695" t="s">
        <v>3907</v>
      </c>
      <c r="L1548" s="696">
        <v>5</v>
      </c>
      <c r="M1548" s="170"/>
    </row>
    <row r="1549" spans="2:13" x14ac:dyDescent="0.2">
      <c r="B1549" s="173"/>
      <c r="C1549" s="694">
        <v>1</v>
      </c>
      <c r="D1549" s="695" t="s">
        <v>3903</v>
      </c>
      <c r="E1549" s="695">
        <v>3</v>
      </c>
      <c r="F1549" s="695" t="s">
        <v>4822</v>
      </c>
      <c r="G1549" s="695">
        <v>2</v>
      </c>
      <c r="H1549" s="695" t="s">
        <v>4908</v>
      </c>
      <c r="I1549" s="695">
        <v>287</v>
      </c>
      <c r="J1549" s="695" t="s">
        <v>8800</v>
      </c>
      <c r="K1549" s="695" t="s">
        <v>3907</v>
      </c>
      <c r="L1549" s="696">
        <v>4</v>
      </c>
      <c r="M1549" s="170"/>
    </row>
    <row r="1550" spans="2:13" x14ac:dyDescent="0.2">
      <c r="B1550" s="173"/>
      <c r="C1550" s="694">
        <v>1</v>
      </c>
      <c r="D1550" s="695" t="s">
        <v>3903</v>
      </c>
      <c r="E1550" s="695">
        <v>3</v>
      </c>
      <c r="F1550" s="695" t="s">
        <v>4822</v>
      </c>
      <c r="G1550" s="695">
        <v>2</v>
      </c>
      <c r="H1550" s="695" t="s">
        <v>4908</v>
      </c>
      <c r="I1550" s="695">
        <v>288</v>
      </c>
      <c r="J1550" s="695" t="s">
        <v>8801</v>
      </c>
      <c r="K1550" s="695" t="s">
        <v>3907</v>
      </c>
      <c r="L1550" s="696">
        <v>16</v>
      </c>
      <c r="M1550" s="170"/>
    </row>
    <row r="1551" spans="2:13" x14ac:dyDescent="0.2">
      <c r="B1551" s="173"/>
      <c r="C1551" s="694">
        <v>1</v>
      </c>
      <c r="D1551" s="695" t="s">
        <v>3903</v>
      </c>
      <c r="E1551" s="695">
        <v>3</v>
      </c>
      <c r="F1551" s="695" t="s">
        <v>4822</v>
      </c>
      <c r="G1551" s="695">
        <v>2</v>
      </c>
      <c r="H1551" s="695" t="s">
        <v>4908</v>
      </c>
      <c r="I1551" s="695">
        <v>289</v>
      </c>
      <c r="J1551" s="695" t="s">
        <v>8802</v>
      </c>
      <c r="K1551" s="695" t="s">
        <v>3907</v>
      </c>
      <c r="L1551" s="696">
        <v>4</v>
      </c>
      <c r="M1551" s="170"/>
    </row>
    <row r="1552" spans="2:13" x14ac:dyDescent="0.2">
      <c r="B1552" s="173"/>
      <c r="C1552" s="694">
        <v>1</v>
      </c>
      <c r="D1552" s="695" t="s">
        <v>3903</v>
      </c>
      <c r="E1552" s="695">
        <v>3</v>
      </c>
      <c r="F1552" s="695" t="s">
        <v>4822</v>
      </c>
      <c r="G1552" s="695">
        <v>2</v>
      </c>
      <c r="H1552" s="695" t="s">
        <v>4908</v>
      </c>
      <c r="I1552" s="695">
        <v>290</v>
      </c>
      <c r="J1552" s="695" t="s">
        <v>8803</v>
      </c>
      <c r="K1552" s="695" t="s">
        <v>3907</v>
      </c>
      <c r="L1552" s="696">
        <v>7</v>
      </c>
      <c r="M1552" s="170"/>
    </row>
    <row r="1553" spans="2:13" x14ac:dyDescent="0.2">
      <c r="B1553" s="173"/>
      <c r="C1553" s="694">
        <v>1</v>
      </c>
      <c r="D1553" s="695" t="s">
        <v>3903</v>
      </c>
      <c r="E1553" s="695">
        <v>3</v>
      </c>
      <c r="F1553" s="695" t="s">
        <v>4822</v>
      </c>
      <c r="G1553" s="695">
        <v>2</v>
      </c>
      <c r="H1553" s="695" t="s">
        <v>4908</v>
      </c>
      <c r="I1553" s="695">
        <v>291</v>
      </c>
      <c r="J1553" s="695" t="s">
        <v>8804</v>
      </c>
      <c r="K1553" s="695" t="s">
        <v>3907</v>
      </c>
      <c r="L1553" s="696">
        <v>1</v>
      </c>
      <c r="M1553" s="170"/>
    </row>
    <row r="1554" spans="2:13" x14ac:dyDescent="0.2">
      <c r="B1554" s="173"/>
      <c r="C1554" s="694">
        <v>1</v>
      </c>
      <c r="D1554" s="695" t="s">
        <v>3903</v>
      </c>
      <c r="E1554" s="695">
        <v>3</v>
      </c>
      <c r="F1554" s="695" t="s">
        <v>4822</v>
      </c>
      <c r="G1554" s="695">
        <v>2</v>
      </c>
      <c r="H1554" s="695" t="s">
        <v>4908</v>
      </c>
      <c r="I1554" s="695">
        <v>292</v>
      </c>
      <c r="J1554" s="695" t="s">
        <v>8805</v>
      </c>
      <c r="K1554" s="695" t="s">
        <v>3907</v>
      </c>
      <c r="L1554" s="696">
        <v>0</v>
      </c>
      <c r="M1554" s="170"/>
    </row>
    <row r="1555" spans="2:13" x14ac:dyDescent="0.2">
      <c r="B1555" s="173"/>
      <c r="C1555" s="694">
        <v>1</v>
      </c>
      <c r="D1555" s="695" t="s">
        <v>3903</v>
      </c>
      <c r="E1555" s="695">
        <v>3</v>
      </c>
      <c r="F1555" s="695" t="s">
        <v>4822</v>
      </c>
      <c r="G1555" s="695">
        <v>2</v>
      </c>
      <c r="H1555" s="695" t="s">
        <v>4908</v>
      </c>
      <c r="I1555" s="695">
        <v>293</v>
      </c>
      <c r="J1555" s="695" t="s">
        <v>8806</v>
      </c>
      <c r="K1555" s="695" t="s">
        <v>3907</v>
      </c>
      <c r="L1555" s="696">
        <v>29</v>
      </c>
      <c r="M1555" s="170"/>
    </row>
    <row r="1556" spans="2:13" x14ac:dyDescent="0.2">
      <c r="B1556" s="173"/>
      <c r="C1556" s="694">
        <v>1</v>
      </c>
      <c r="D1556" s="695" t="s">
        <v>3903</v>
      </c>
      <c r="E1556" s="695">
        <v>3</v>
      </c>
      <c r="F1556" s="695" t="s">
        <v>4822</v>
      </c>
      <c r="G1556" s="695">
        <v>2</v>
      </c>
      <c r="H1556" s="695" t="s">
        <v>4908</v>
      </c>
      <c r="I1556" s="695">
        <v>294</v>
      </c>
      <c r="J1556" s="695" t="s">
        <v>8807</v>
      </c>
      <c r="K1556" s="695" t="s">
        <v>3907</v>
      </c>
      <c r="L1556" s="696">
        <v>1</v>
      </c>
      <c r="M1556" s="170"/>
    </row>
    <row r="1557" spans="2:13" x14ac:dyDescent="0.2">
      <c r="B1557" s="173"/>
      <c r="C1557" s="694">
        <v>1</v>
      </c>
      <c r="D1557" s="695" t="s">
        <v>3903</v>
      </c>
      <c r="E1557" s="695">
        <v>3</v>
      </c>
      <c r="F1557" s="695" t="s">
        <v>4822</v>
      </c>
      <c r="G1557" s="695">
        <v>2</v>
      </c>
      <c r="H1557" s="695" t="s">
        <v>4908</v>
      </c>
      <c r="I1557" s="695">
        <v>295</v>
      </c>
      <c r="J1557" s="695" t="s">
        <v>8808</v>
      </c>
      <c r="K1557" s="695" t="s">
        <v>8544</v>
      </c>
      <c r="L1557" s="696">
        <v>2</v>
      </c>
      <c r="M1557" s="170"/>
    </row>
    <row r="1558" spans="2:13" x14ac:dyDescent="0.2">
      <c r="B1558" s="173"/>
      <c r="C1558" s="694">
        <v>1</v>
      </c>
      <c r="D1558" s="695" t="s">
        <v>3903</v>
      </c>
      <c r="E1558" s="695">
        <v>3</v>
      </c>
      <c r="F1558" s="695" t="s">
        <v>4822</v>
      </c>
      <c r="G1558" s="695">
        <v>2</v>
      </c>
      <c r="H1558" s="695" t="s">
        <v>4908</v>
      </c>
      <c r="I1558" s="695">
        <v>296</v>
      </c>
      <c r="J1558" s="695" t="s">
        <v>8809</v>
      </c>
      <c r="K1558" s="695" t="s">
        <v>3907</v>
      </c>
      <c r="L1558" s="696">
        <v>12</v>
      </c>
      <c r="M1558" s="170"/>
    </row>
    <row r="1559" spans="2:13" x14ac:dyDescent="0.2">
      <c r="B1559" s="173"/>
      <c r="C1559" s="694">
        <v>1</v>
      </c>
      <c r="D1559" s="695" t="s">
        <v>3903</v>
      </c>
      <c r="E1559" s="695">
        <v>3</v>
      </c>
      <c r="F1559" s="695" t="s">
        <v>4822</v>
      </c>
      <c r="G1559" s="695">
        <v>2</v>
      </c>
      <c r="H1559" s="695" t="s">
        <v>4908</v>
      </c>
      <c r="I1559" s="695">
        <v>297</v>
      </c>
      <c r="J1559" s="695" t="s">
        <v>8810</v>
      </c>
      <c r="K1559" s="695" t="s">
        <v>3907</v>
      </c>
      <c r="L1559" s="696">
        <v>2</v>
      </c>
      <c r="M1559" s="170"/>
    </row>
    <row r="1560" spans="2:13" x14ac:dyDescent="0.2">
      <c r="B1560" s="173"/>
      <c r="C1560" s="694">
        <v>1</v>
      </c>
      <c r="D1560" s="695" t="s">
        <v>3903</v>
      </c>
      <c r="E1560" s="695">
        <v>3</v>
      </c>
      <c r="F1560" s="695" t="s">
        <v>4822</v>
      </c>
      <c r="G1560" s="695">
        <v>2</v>
      </c>
      <c r="H1560" s="695" t="s">
        <v>4908</v>
      </c>
      <c r="I1560" s="695">
        <v>298</v>
      </c>
      <c r="J1560" s="695" t="s">
        <v>8811</v>
      </c>
      <c r="K1560" s="695" t="s">
        <v>3985</v>
      </c>
      <c r="L1560" s="696">
        <v>0</v>
      </c>
      <c r="M1560" s="170"/>
    </row>
    <row r="1561" spans="2:13" x14ac:dyDescent="0.2">
      <c r="B1561" s="173"/>
      <c r="C1561" s="694">
        <v>1</v>
      </c>
      <c r="D1561" s="695" t="s">
        <v>3903</v>
      </c>
      <c r="E1561" s="695">
        <v>3</v>
      </c>
      <c r="F1561" s="695" t="s">
        <v>4822</v>
      </c>
      <c r="G1561" s="695">
        <v>2</v>
      </c>
      <c r="H1561" s="695" t="s">
        <v>4908</v>
      </c>
      <c r="I1561" s="695">
        <v>299</v>
      </c>
      <c r="J1561" s="695" t="s">
        <v>8812</v>
      </c>
      <c r="K1561" s="695" t="s">
        <v>8544</v>
      </c>
      <c r="L1561" s="696">
        <v>0</v>
      </c>
      <c r="M1561" s="170"/>
    </row>
    <row r="1562" spans="2:13" x14ac:dyDescent="0.2">
      <c r="B1562" s="173"/>
      <c r="C1562" s="694">
        <v>1</v>
      </c>
      <c r="D1562" s="695" t="s">
        <v>3903</v>
      </c>
      <c r="E1562" s="695">
        <v>3</v>
      </c>
      <c r="F1562" s="695" t="s">
        <v>4822</v>
      </c>
      <c r="G1562" s="695">
        <v>2</v>
      </c>
      <c r="H1562" s="695" t="s">
        <v>4908</v>
      </c>
      <c r="I1562" s="695">
        <v>300</v>
      </c>
      <c r="J1562" s="695" t="s">
        <v>8807</v>
      </c>
      <c r="K1562" s="695" t="s">
        <v>8544</v>
      </c>
      <c r="L1562" s="696">
        <v>0</v>
      </c>
      <c r="M1562" s="170"/>
    </row>
    <row r="1563" spans="2:13" x14ac:dyDescent="0.2">
      <c r="B1563" s="173"/>
      <c r="C1563" s="694">
        <v>1</v>
      </c>
      <c r="D1563" s="695" t="s">
        <v>3903</v>
      </c>
      <c r="E1563" s="695">
        <v>3</v>
      </c>
      <c r="F1563" s="695" t="s">
        <v>4822</v>
      </c>
      <c r="G1563" s="695">
        <v>2</v>
      </c>
      <c r="H1563" s="695" t="s">
        <v>4908</v>
      </c>
      <c r="I1563" s="695">
        <v>301</v>
      </c>
      <c r="J1563" s="695" t="s">
        <v>8813</v>
      </c>
      <c r="K1563" s="695" t="s">
        <v>8544</v>
      </c>
      <c r="L1563" s="696">
        <v>4</v>
      </c>
      <c r="M1563" s="170"/>
    </row>
    <row r="1564" spans="2:13" x14ac:dyDescent="0.2">
      <c r="B1564" s="173"/>
      <c r="C1564" s="694">
        <v>1</v>
      </c>
      <c r="D1564" s="695" t="s">
        <v>3903</v>
      </c>
      <c r="E1564" s="695">
        <v>3</v>
      </c>
      <c r="F1564" s="695" t="s">
        <v>4822</v>
      </c>
      <c r="G1564" s="695">
        <v>2</v>
      </c>
      <c r="H1564" s="695" t="s">
        <v>4908</v>
      </c>
      <c r="I1564" s="695">
        <v>302</v>
      </c>
      <c r="J1564" s="695" t="s">
        <v>8814</v>
      </c>
      <c r="K1564" s="695" t="s">
        <v>8544</v>
      </c>
      <c r="L1564" s="696">
        <v>1</v>
      </c>
      <c r="M1564" s="170"/>
    </row>
    <row r="1565" spans="2:13" x14ac:dyDescent="0.2">
      <c r="B1565" s="173"/>
      <c r="C1565" s="694">
        <v>1</v>
      </c>
      <c r="D1565" s="695" t="s">
        <v>3903</v>
      </c>
      <c r="E1565" s="695">
        <v>3</v>
      </c>
      <c r="F1565" s="695" t="s">
        <v>4822</v>
      </c>
      <c r="G1565" s="695">
        <v>2</v>
      </c>
      <c r="H1565" s="695" t="s">
        <v>4908</v>
      </c>
      <c r="I1565" s="695">
        <v>303</v>
      </c>
      <c r="J1565" s="695" t="s">
        <v>8815</v>
      </c>
      <c r="K1565" s="695" t="s">
        <v>8544</v>
      </c>
      <c r="L1565" s="696">
        <v>1</v>
      </c>
      <c r="M1565" s="170"/>
    </row>
    <row r="1566" spans="2:13" x14ac:dyDescent="0.2">
      <c r="B1566" s="173"/>
      <c r="C1566" s="694">
        <v>1</v>
      </c>
      <c r="D1566" s="695" t="s">
        <v>3903</v>
      </c>
      <c r="E1566" s="695">
        <v>3</v>
      </c>
      <c r="F1566" s="695" t="s">
        <v>4822</v>
      </c>
      <c r="G1566" s="695">
        <v>2</v>
      </c>
      <c r="H1566" s="695" t="s">
        <v>4908</v>
      </c>
      <c r="I1566" s="695">
        <v>304</v>
      </c>
      <c r="J1566" s="695" t="s">
        <v>8816</v>
      </c>
      <c r="K1566" s="695" t="s">
        <v>4045</v>
      </c>
      <c r="L1566" s="696">
        <v>20</v>
      </c>
      <c r="M1566" s="170"/>
    </row>
    <row r="1567" spans="2:13" x14ac:dyDescent="0.2">
      <c r="B1567" s="173"/>
      <c r="C1567" s="694">
        <v>1</v>
      </c>
      <c r="D1567" s="695" t="s">
        <v>3903</v>
      </c>
      <c r="E1567" s="695">
        <v>3</v>
      </c>
      <c r="F1567" s="695" t="s">
        <v>4822</v>
      </c>
      <c r="G1567" s="695">
        <v>2</v>
      </c>
      <c r="H1567" s="695" t="s">
        <v>4908</v>
      </c>
      <c r="I1567" s="695">
        <v>305</v>
      </c>
      <c r="J1567" s="695" t="s">
        <v>8817</v>
      </c>
      <c r="K1567" s="695" t="s">
        <v>4045</v>
      </c>
      <c r="L1567" s="696">
        <v>7</v>
      </c>
      <c r="M1567" s="170"/>
    </row>
    <row r="1568" spans="2:13" x14ac:dyDescent="0.2">
      <c r="B1568" s="173"/>
      <c r="C1568" s="694">
        <v>1</v>
      </c>
      <c r="D1568" s="695" t="s">
        <v>3903</v>
      </c>
      <c r="E1568" s="695">
        <v>3</v>
      </c>
      <c r="F1568" s="695" t="s">
        <v>4822</v>
      </c>
      <c r="G1568" s="695">
        <v>2</v>
      </c>
      <c r="H1568" s="695" t="s">
        <v>4908</v>
      </c>
      <c r="I1568" s="695">
        <v>306</v>
      </c>
      <c r="J1568" s="695" t="s">
        <v>8818</v>
      </c>
      <c r="K1568" s="695" t="s">
        <v>8544</v>
      </c>
      <c r="L1568" s="696">
        <v>5</v>
      </c>
      <c r="M1568" s="170"/>
    </row>
    <row r="1569" spans="2:13" x14ac:dyDescent="0.2">
      <c r="B1569" s="173"/>
      <c r="C1569" s="694">
        <v>1</v>
      </c>
      <c r="D1569" s="695" t="s">
        <v>3903</v>
      </c>
      <c r="E1569" s="695">
        <v>3</v>
      </c>
      <c r="F1569" s="695" t="s">
        <v>4822</v>
      </c>
      <c r="G1569" s="695">
        <v>2</v>
      </c>
      <c r="H1569" s="695" t="s">
        <v>4908</v>
      </c>
      <c r="I1569" s="695">
        <v>307</v>
      </c>
      <c r="J1569" s="695" t="s">
        <v>8819</v>
      </c>
      <c r="K1569" s="695" t="s">
        <v>8544</v>
      </c>
      <c r="L1569" s="696">
        <v>2</v>
      </c>
      <c r="M1569" s="170"/>
    </row>
    <row r="1570" spans="2:13" x14ac:dyDescent="0.2">
      <c r="B1570" s="173"/>
      <c r="C1570" s="694">
        <v>1</v>
      </c>
      <c r="D1570" s="695" t="s">
        <v>3903</v>
      </c>
      <c r="E1570" s="695">
        <v>3</v>
      </c>
      <c r="F1570" s="695" t="s">
        <v>4822</v>
      </c>
      <c r="G1570" s="695">
        <v>2</v>
      </c>
      <c r="H1570" s="695" t="s">
        <v>4908</v>
      </c>
      <c r="I1570" s="695">
        <v>308</v>
      </c>
      <c r="J1570" s="695" t="s">
        <v>8820</v>
      </c>
      <c r="K1570" s="695" t="s">
        <v>8544</v>
      </c>
      <c r="L1570" s="696">
        <v>5</v>
      </c>
      <c r="M1570" s="170"/>
    </row>
    <row r="1571" spans="2:13" x14ac:dyDescent="0.2">
      <c r="B1571" s="173"/>
      <c r="C1571" s="694">
        <v>1</v>
      </c>
      <c r="D1571" s="695" t="s">
        <v>3903</v>
      </c>
      <c r="E1571" s="695">
        <v>3</v>
      </c>
      <c r="F1571" s="695" t="s">
        <v>4822</v>
      </c>
      <c r="G1571" s="695">
        <v>2</v>
      </c>
      <c r="H1571" s="695" t="s">
        <v>4908</v>
      </c>
      <c r="I1571" s="695">
        <v>309</v>
      </c>
      <c r="J1571" s="695" t="s">
        <v>8821</v>
      </c>
      <c r="K1571" s="695" t="s">
        <v>8544</v>
      </c>
      <c r="L1571" s="696">
        <v>6</v>
      </c>
      <c r="M1571" s="170"/>
    </row>
    <row r="1572" spans="2:13" x14ac:dyDescent="0.2">
      <c r="B1572" s="173"/>
      <c r="C1572" s="694">
        <v>1</v>
      </c>
      <c r="D1572" s="695" t="s">
        <v>3903</v>
      </c>
      <c r="E1572" s="695">
        <v>3</v>
      </c>
      <c r="F1572" s="695" t="s">
        <v>4822</v>
      </c>
      <c r="G1572" s="695">
        <v>2</v>
      </c>
      <c r="H1572" s="695" t="s">
        <v>4908</v>
      </c>
      <c r="I1572" s="695">
        <v>310</v>
      </c>
      <c r="J1572" s="695" t="s">
        <v>8806</v>
      </c>
      <c r="K1572" s="695" t="s">
        <v>4045</v>
      </c>
      <c r="L1572" s="696">
        <v>6</v>
      </c>
      <c r="M1572" s="170"/>
    </row>
    <row r="1573" spans="2:13" x14ac:dyDescent="0.2">
      <c r="B1573" s="173"/>
      <c r="C1573" s="694">
        <v>1</v>
      </c>
      <c r="D1573" s="695" t="s">
        <v>3903</v>
      </c>
      <c r="E1573" s="695">
        <v>3</v>
      </c>
      <c r="F1573" s="695" t="s">
        <v>4822</v>
      </c>
      <c r="G1573" s="695">
        <v>2</v>
      </c>
      <c r="H1573" s="695" t="s">
        <v>4908</v>
      </c>
      <c r="I1573" s="695">
        <v>311</v>
      </c>
      <c r="J1573" s="695" t="s">
        <v>8822</v>
      </c>
      <c r="K1573" s="695" t="s">
        <v>8544</v>
      </c>
      <c r="L1573" s="696">
        <v>1</v>
      </c>
      <c r="M1573" s="170"/>
    </row>
    <row r="1574" spans="2:13" x14ac:dyDescent="0.2">
      <c r="B1574" s="173"/>
      <c r="C1574" s="694">
        <v>1</v>
      </c>
      <c r="D1574" s="695" t="s">
        <v>3903</v>
      </c>
      <c r="E1574" s="695">
        <v>3</v>
      </c>
      <c r="F1574" s="695" t="s">
        <v>4822</v>
      </c>
      <c r="G1574" s="695">
        <v>2</v>
      </c>
      <c r="H1574" s="695" t="s">
        <v>4908</v>
      </c>
      <c r="I1574" s="695">
        <v>312</v>
      </c>
      <c r="J1574" s="695" t="s">
        <v>8823</v>
      </c>
      <c r="K1574" s="695" t="s">
        <v>3907</v>
      </c>
      <c r="L1574" s="696">
        <v>9</v>
      </c>
      <c r="M1574" s="170"/>
    </row>
    <row r="1575" spans="2:13" x14ac:dyDescent="0.2">
      <c r="B1575" s="173"/>
      <c r="C1575" s="694">
        <v>1</v>
      </c>
      <c r="D1575" s="695" t="s">
        <v>3903</v>
      </c>
      <c r="E1575" s="695">
        <v>3</v>
      </c>
      <c r="F1575" s="695" t="s">
        <v>4822</v>
      </c>
      <c r="G1575" s="695">
        <v>2</v>
      </c>
      <c r="H1575" s="695" t="s">
        <v>4908</v>
      </c>
      <c r="I1575" s="695">
        <v>313</v>
      </c>
      <c r="J1575" s="695" t="s">
        <v>8824</v>
      </c>
      <c r="K1575" s="695" t="s">
        <v>3907</v>
      </c>
      <c r="L1575" s="696">
        <v>2</v>
      </c>
      <c r="M1575" s="170"/>
    </row>
    <row r="1576" spans="2:13" x14ac:dyDescent="0.2">
      <c r="B1576" s="173"/>
      <c r="C1576" s="694">
        <v>1</v>
      </c>
      <c r="D1576" s="695" t="s">
        <v>3903</v>
      </c>
      <c r="E1576" s="695">
        <v>3</v>
      </c>
      <c r="F1576" s="695" t="s">
        <v>4822</v>
      </c>
      <c r="G1576" s="695">
        <v>2</v>
      </c>
      <c r="H1576" s="695" t="s">
        <v>4908</v>
      </c>
      <c r="I1576" s="695">
        <v>314</v>
      </c>
      <c r="J1576" s="695" t="s">
        <v>8825</v>
      </c>
      <c r="K1576" s="695" t="s">
        <v>8544</v>
      </c>
      <c r="L1576" s="696">
        <v>1</v>
      </c>
      <c r="M1576" s="170"/>
    </row>
    <row r="1577" spans="2:13" x14ac:dyDescent="0.2">
      <c r="B1577" s="173"/>
      <c r="C1577" s="694">
        <v>1</v>
      </c>
      <c r="D1577" s="695" t="s">
        <v>3903</v>
      </c>
      <c r="E1577" s="695">
        <v>3</v>
      </c>
      <c r="F1577" s="695" t="s">
        <v>4822</v>
      </c>
      <c r="G1577" s="695">
        <v>2</v>
      </c>
      <c r="H1577" s="695" t="s">
        <v>4908</v>
      </c>
      <c r="I1577" s="695">
        <v>315</v>
      </c>
      <c r="J1577" s="695" t="s">
        <v>8826</v>
      </c>
      <c r="K1577" s="695" t="s">
        <v>3907</v>
      </c>
      <c r="L1577" s="696">
        <v>1</v>
      </c>
      <c r="M1577" s="170"/>
    </row>
    <row r="1578" spans="2:13" x14ac:dyDescent="0.2">
      <c r="B1578" s="173"/>
      <c r="C1578" s="694">
        <v>1</v>
      </c>
      <c r="D1578" s="695" t="s">
        <v>3903</v>
      </c>
      <c r="E1578" s="695">
        <v>3</v>
      </c>
      <c r="F1578" s="695" t="s">
        <v>4822</v>
      </c>
      <c r="G1578" s="695">
        <v>2</v>
      </c>
      <c r="H1578" s="695" t="s">
        <v>4908</v>
      </c>
      <c r="I1578" s="695">
        <v>316</v>
      </c>
      <c r="J1578" s="695" t="s">
        <v>8827</v>
      </c>
      <c r="K1578" s="695" t="s">
        <v>8544</v>
      </c>
      <c r="L1578" s="696">
        <v>1</v>
      </c>
      <c r="M1578" s="170"/>
    </row>
    <row r="1579" spans="2:13" x14ac:dyDescent="0.2">
      <c r="B1579" s="173"/>
      <c r="C1579" s="694">
        <v>1</v>
      </c>
      <c r="D1579" s="695" t="s">
        <v>3903</v>
      </c>
      <c r="E1579" s="695">
        <v>3</v>
      </c>
      <c r="F1579" s="695" t="s">
        <v>4822</v>
      </c>
      <c r="G1579" s="695">
        <v>2</v>
      </c>
      <c r="H1579" s="695" t="s">
        <v>4908</v>
      </c>
      <c r="I1579" s="695">
        <v>317</v>
      </c>
      <c r="J1579" s="695" t="s">
        <v>8828</v>
      </c>
      <c r="K1579" s="695" t="s">
        <v>3985</v>
      </c>
      <c r="L1579" s="696">
        <v>1</v>
      </c>
      <c r="M1579" s="170"/>
    </row>
    <row r="1580" spans="2:13" x14ac:dyDescent="0.2">
      <c r="B1580" s="173"/>
      <c r="C1580" s="694">
        <v>1</v>
      </c>
      <c r="D1580" s="695" t="s">
        <v>3903</v>
      </c>
      <c r="E1580" s="695">
        <v>3</v>
      </c>
      <c r="F1580" s="695" t="s">
        <v>4822</v>
      </c>
      <c r="G1580" s="695">
        <v>2</v>
      </c>
      <c r="H1580" s="695" t="s">
        <v>4908</v>
      </c>
      <c r="I1580" s="695">
        <v>318</v>
      </c>
      <c r="J1580" s="695" t="s">
        <v>8829</v>
      </c>
      <c r="K1580" s="695" t="s">
        <v>3907</v>
      </c>
      <c r="L1580" s="696">
        <v>1</v>
      </c>
      <c r="M1580" s="170"/>
    </row>
    <row r="1581" spans="2:13" x14ac:dyDescent="0.2">
      <c r="B1581" s="173"/>
      <c r="C1581" s="694">
        <v>1</v>
      </c>
      <c r="D1581" s="695" t="s">
        <v>3903</v>
      </c>
      <c r="E1581" s="695">
        <v>3</v>
      </c>
      <c r="F1581" s="695" t="s">
        <v>4822</v>
      </c>
      <c r="G1581" s="695">
        <v>2</v>
      </c>
      <c r="H1581" s="695" t="s">
        <v>4908</v>
      </c>
      <c r="I1581" s="695">
        <v>319</v>
      </c>
      <c r="J1581" s="695" t="s">
        <v>8830</v>
      </c>
      <c r="K1581" s="695" t="s">
        <v>8544</v>
      </c>
      <c r="L1581" s="696">
        <v>1</v>
      </c>
      <c r="M1581" s="170"/>
    </row>
    <row r="1582" spans="2:13" x14ac:dyDescent="0.2">
      <c r="B1582" s="173"/>
      <c r="C1582" s="694">
        <v>1</v>
      </c>
      <c r="D1582" s="695" t="s">
        <v>3903</v>
      </c>
      <c r="E1582" s="695">
        <v>3</v>
      </c>
      <c r="F1582" s="695" t="s">
        <v>4822</v>
      </c>
      <c r="G1582" s="695">
        <v>2</v>
      </c>
      <c r="H1582" s="695" t="s">
        <v>4908</v>
      </c>
      <c r="I1582" s="695">
        <v>320</v>
      </c>
      <c r="J1582" s="695" t="s">
        <v>8831</v>
      </c>
      <c r="K1582" s="695" t="s">
        <v>3907</v>
      </c>
      <c r="L1582" s="696">
        <v>3</v>
      </c>
      <c r="M1582" s="170"/>
    </row>
    <row r="1583" spans="2:13" x14ac:dyDescent="0.2">
      <c r="B1583" s="173"/>
      <c r="C1583" s="694">
        <v>1</v>
      </c>
      <c r="D1583" s="695" t="s">
        <v>3903</v>
      </c>
      <c r="E1583" s="695">
        <v>3</v>
      </c>
      <c r="F1583" s="695" t="s">
        <v>4822</v>
      </c>
      <c r="G1583" s="695">
        <v>2</v>
      </c>
      <c r="H1583" s="695" t="s">
        <v>4908</v>
      </c>
      <c r="I1583" s="695">
        <v>321</v>
      </c>
      <c r="J1583" s="695" t="s">
        <v>8832</v>
      </c>
      <c r="K1583" s="695" t="s">
        <v>3985</v>
      </c>
      <c r="L1583" s="696">
        <v>1</v>
      </c>
      <c r="M1583" s="170"/>
    </row>
    <row r="1584" spans="2:13" x14ac:dyDescent="0.2">
      <c r="B1584" s="173"/>
      <c r="C1584" s="694">
        <v>1</v>
      </c>
      <c r="D1584" s="695" t="s">
        <v>3903</v>
      </c>
      <c r="E1584" s="695">
        <v>3</v>
      </c>
      <c r="F1584" s="695" t="s">
        <v>4822</v>
      </c>
      <c r="G1584" s="695">
        <v>2</v>
      </c>
      <c r="H1584" s="695" t="s">
        <v>4908</v>
      </c>
      <c r="I1584" s="695">
        <v>322</v>
      </c>
      <c r="J1584" s="695" t="s">
        <v>8833</v>
      </c>
      <c r="K1584" s="695" t="s">
        <v>4045</v>
      </c>
      <c r="L1584" s="696">
        <v>17</v>
      </c>
      <c r="M1584" s="170"/>
    </row>
    <row r="1585" spans="2:13" x14ac:dyDescent="0.2">
      <c r="B1585" s="173"/>
      <c r="C1585" s="694">
        <v>1</v>
      </c>
      <c r="D1585" s="695" t="s">
        <v>3903</v>
      </c>
      <c r="E1585" s="695">
        <v>3</v>
      </c>
      <c r="F1585" s="695" t="s">
        <v>4822</v>
      </c>
      <c r="G1585" s="695">
        <v>2</v>
      </c>
      <c r="H1585" s="695" t="s">
        <v>4908</v>
      </c>
      <c r="I1585" s="695">
        <v>323</v>
      </c>
      <c r="J1585" s="695" t="s">
        <v>8834</v>
      </c>
      <c r="K1585" s="695" t="s">
        <v>8544</v>
      </c>
      <c r="L1585" s="696">
        <v>0</v>
      </c>
      <c r="M1585" s="170"/>
    </row>
    <row r="1586" spans="2:13" x14ac:dyDescent="0.2">
      <c r="B1586" s="173"/>
      <c r="C1586" s="694">
        <v>1</v>
      </c>
      <c r="D1586" s="695" t="s">
        <v>3903</v>
      </c>
      <c r="E1586" s="695">
        <v>3</v>
      </c>
      <c r="F1586" s="695" t="s">
        <v>4822</v>
      </c>
      <c r="G1586" s="695">
        <v>2</v>
      </c>
      <c r="H1586" s="695" t="s">
        <v>4908</v>
      </c>
      <c r="I1586" s="695">
        <v>324</v>
      </c>
      <c r="J1586" s="695" t="s">
        <v>8835</v>
      </c>
      <c r="K1586" s="695" t="s">
        <v>8544</v>
      </c>
      <c r="L1586" s="696">
        <v>1</v>
      </c>
      <c r="M1586" s="170"/>
    </row>
    <row r="1587" spans="2:13" x14ac:dyDescent="0.2">
      <c r="B1587" s="173"/>
      <c r="C1587" s="694">
        <v>1</v>
      </c>
      <c r="D1587" s="695" t="s">
        <v>3903</v>
      </c>
      <c r="E1587" s="695">
        <v>3</v>
      </c>
      <c r="F1587" s="695" t="s">
        <v>4822</v>
      </c>
      <c r="G1587" s="695">
        <v>2</v>
      </c>
      <c r="H1587" s="695" t="s">
        <v>4908</v>
      </c>
      <c r="I1587" s="695">
        <v>325</v>
      </c>
      <c r="J1587" s="695" t="s">
        <v>8836</v>
      </c>
      <c r="K1587" s="695" t="s">
        <v>8544</v>
      </c>
      <c r="L1587" s="696">
        <v>2</v>
      </c>
      <c r="M1587" s="170"/>
    </row>
    <row r="1588" spans="2:13" x14ac:dyDescent="0.2">
      <c r="B1588" s="173"/>
      <c r="C1588" s="694">
        <v>1</v>
      </c>
      <c r="D1588" s="695" t="s">
        <v>3903</v>
      </c>
      <c r="E1588" s="695">
        <v>3</v>
      </c>
      <c r="F1588" s="695" t="s">
        <v>4822</v>
      </c>
      <c r="G1588" s="695">
        <v>2</v>
      </c>
      <c r="H1588" s="695" t="s">
        <v>4908</v>
      </c>
      <c r="I1588" s="695">
        <v>326</v>
      </c>
      <c r="J1588" s="695" t="s">
        <v>8837</v>
      </c>
      <c r="K1588" s="695" t="s">
        <v>3985</v>
      </c>
      <c r="L1588" s="696">
        <v>1</v>
      </c>
      <c r="M1588" s="170"/>
    </row>
    <row r="1589" spans="2:13" x14ac:dyDescent="0.2">
      <c r="B1589" s="173"/>
      <c r="C1589" s="694">
        <v>1</v>
      </c>
      <c r="D1589" s="695" t="s">
        <v>3903</v>
      </c>
      <c r="E1589" s="695">
        <v>3</v>
      </c>
      <c r="F1589" s="695" t="s">
        <v>4822</v>
      </c>
      <c r="G1589" s="695">
        <v>2</v>
      </c>
      <c r="H1589" s="695" t="s">
        <v>4908</v>
      </c>
      <c r="I1589" s="695">
        <v>327</v>
      </c>
      <c r="J1589" s="695" t="s">
        <v>8838</v>
      </c>
      <c r="K1589" s="695" t="s">
        <v>8544</v>
      </c>
      <c r="L1589" s="696">
        <v>1</v>
      </c>
      <c r="M1589" s="170"/>
    </row>
    <row r="1590" spans="2:13" x14ac:dyDescent="0.2">
      <c r="B1590" s="173"/>
      <c r="C1590" s="694">
        <v>1</v>
      </c>
      <c r="D1590" s="695" t="s">
        <v>3903</v>
      </c>
      <c r="E1590" s="695">
        <v>3</v>
      </c>
      <c r="F1590" s="695" t="s">
        <v>4822</v>
      </c>
      <c r="G1590" s="695">
        <v>2</v>
      </c>
      <c r="H1590" s="695" t="s">
        <v>4908</v>
      </c>
      <c r="I1590" s="695">
        <v>328</v>
      </c>
      <c r="J1590" s="695" t="s">
        <v>8839</v>
      </c>
      <c r="K1590" s="695" t="s">
        <v>8544</v>
      </c>
      <c r="L1590" s="696">
        <v>0</v>
      </c>
      <c r="M1590" s="170"/>
    </row>
    <row r="1591" spans="2:13" x14ac:dyDescent="0.2">
      <c r="B1591" s="173"/>
      <c r="C1591" s="694">
        <v>1</v>
      </c>
      <c r="D1591" s="695" t="s">
        <v>3903</v>
      </c>
      <c r="E1591" s="695">
        <v>3</v>
      </c>
      <c r="F1591" s="695" t="s">
        <v>4822</v>
      </c>
      <c r="G1591" s="695">
        <v>2</v>
      </c>
      <c r="H1591" s="695" t="s">
        <v>4908</v>
      </c>
      <c r="I1591" s="695">
        <v>329</v>
      </c>
      <c r="J1591" s="695" t="s">
        <v>8840</v>
      </c>
      <c r="K1591" s="695" t="s">
        <v>4045</v>
      </c>
      <c r="L1591" s="696">
        <v>0</v>
      </c>
      <c r="M1591" s="170"/>
    </row>
    <row r="1592" spans="2:13" x14ac:dyDescent="0.2">
      <c r="B1592" s="173"/>
      <c r="C1592" s="694">
        <v>1</v>
      </c>
      <c r="D1592" s="695" t="s">
        <v>3903</v>
      </c>
      <c r="E1592" s="695">
        <v>3</v>
      </c>
      <c r="F1592" s="695" t="s">
        <v>4822</v>
      </c>
      <c r="G1592" s="695">
        <v>2</v>
      </c>
      <c r="H1592" s="695" t="s">
        <v>4908</v>
      </c>
      <c r="I1592" s="695">
        <v>330</v>
      </c>
      <c r="J1592" s="695" t="s">
        <v>8841</v>
      </c>
      <c r="K1592" s="695" t="s">
        <v>3985</v>
      </c>
      <c r="L1592" s="696">
        <v>0</v>
      </c>
      <c r="M1592" s="170"/>
    </row>
    <row r="1593" spans="2:13" x14ac:dyDescent="0.2">
      <c r="B1593" s="173"/>
      <c r="C1593" s="694">
        <v>1</v>
      </c>
      <c r="D1593" s="695" t="s">
        <v>3903</v>
      </c>
      <c r="E1593" s="695">
        <v>3</v>
      </c>
      <c r="F1593" s="695" t="s">
        <v>4822</v>
      </c>
      <c r="G1593" s="695">
        <v>2</v>
      </c>
      <c r="H1593" s="695" t="s">
        <v>4908</v>
      </c>
      <c r="I1593" s="695">
        <v>331</v>
      </c>
      <c r="J1593" s="695" t="s">
        <v>8842</v>
      </c>
      <c r="K1593" s="695" t="s">
        <v>8544</v>
      </c>
      <c r="L1593" s="696">
        <v>0</v>
      </c>
      <c r="M1593" s="170"/>
    </row>
    <row r="1594" spans="2:13" x14ac:dyDescent="0.2">
      <c r="B1594" s="173"/>
      <c r="C1594" s="694">
        <v>1</v>
      </c>
      <c r="D1594" s="695" t="s">
        <v>3903</v>
      </c>
      <c r="E1594" s="695">
        <v>3</v>
      </c>
      <c r="F1594" s="695" t="s">
        <v>4822</v>
      </c>
      <c r="G1594" s="695">
        <v>2</v>
      </c>
      <c r="H1594" s="695" t="s">
        <v>4908</v>
      </c>
      <c r="I1594" s="695">
        <v>332</v>
      </c>
      <c r="J1594" s="695" t="s">
        <v>8843</v>
      </c>
      <c r="K1594" s="695" t="s">
        <v>3985</v>
      </c>
      <c r="L1594" s="696">
        <v>0</v>
      </c>
      <c r="M1594" s="170"/>
    </row>
    <row r="1595" spans="2:13" x14ac:dyDescent="0.2">
      <c r="B1595" s="173"/>
      <c r="C1595" s="694">
        <v>1</v>
      </c>
      <c r="D1595" s="695" t="s">
        <v>3903</v>
      </c>
      <c r="E1595" s="695">
        <v>3</v>
      </c>
      <c r="F1595" s="695" t="s">
        <v>4822</v>
      </c>
      <c r="G1595" s="695">
        <v>2</v>
      </c>
      <c r="H1595" s="695" t="s">
        <v>4908</v>
      </c>
      <c r="I1595" s="695">
        <v>333</v>
      </c>
      <c r="J1595" s="695" t="s">
        <v>8844</v>
      </c>
      <c r="K1595" s="695" t="s">
        <v>8544</v>
      </c>
      <c r="L1595" s="696">
        <v>0</v>
      </c>
      <c r="M1595" s="170"/>
    </row>
    <row r="1596" spans="2:13" x14ac:dyDescent="0.2">
      <c r="B1596" s="173"/>
      <c r="C1596" s="694">
        <v>1</v>
      </c>
      <c r="D1596" s="695" t="s">
        <v>3903</v>
      </c>
      <c r="E1596" s="695">
        <v>3</v>
      </c>
      <c r="F1596" s="695" t="s">
        <v>4822</v>
      </c>
      <c r="G1596" s="695">
        <v>2</v>
      </c>
      <c r="H1596" s="695" t="s">
        <v>4908</v>
      </c>
      <c r="I1596" s="695">
        <v>334</v>
      </c>
      <c r="J1596" s="695" t="s">
        <v>8845</v>
      </c>
      <c r="K1596" s="695" t="s">
        <v>8544</v>
      </c>
      <c r="L1596" s="696">
        <v>0</v>
      </c>
      <c r="M1596" s="170"/>
    </row>
    <row r="1597" spans="2:13" x14ac:dyDescent="0.2">
      <c r="B1597" s="173"/>
      <c r="C1597" s="694">
        <v>1</v>
      </c>
      <c r="D1597" s="695" t="s">
        <v>3903</v>
      </c>
      <c r="E1597" s="695">
        <v>3</v>
      </c>
      <c r="F1597" s="695" t="s">
        <v>4822</v>
      </c>
      <c r="G1597" s="695">
        <v>3</v>
      </c>
      <c r="H1597" s="695" t="s">
        <v>5161</v>
      </c>
      <c r="I1597" s="695">
        <v>1</v>
      </c>
      <c r="J1597" s="695" t="s">
        <v>5162</v>
      </c>
      <c r="K1597" s="695" t="s">
        <v>3907</v>
      </c>
      <c r="L1597" s="696">
        <v>14</v>
      </c>
      <c r="M1597" s="170"/>
    </row>
    <row r="1598" spans="2:13" x14ac:dyDescent="0.2">
      <c r="B1598" s="173"/>
      <c r="C1598" s="694">
        <v>1</v>
      </c>
      <c r="D1598" s="695" t="s">
        <v>3903</v>
      </c>
      <c r="E1598" s="695">
        <v>3</v>
      </c>
      <c r="F1598" s="695" t="s">
        <v>4822</v>
      </c>
      <c r="G1598" s="695">
        <v>3</v>
      </c>
      <c r="H1598" s="695" t="s">
        <v>5161</v>
      </c>
      <c r="I1598" s="695">
        <v>2</v>
      </c>
      <c r="J1598" s="695" t="s">
        <v>3910</v>
      </c>
      <c r="K1598" s="695" t="s">
        <v>3907</v>
      </c>
      <c r="L1598" s="696">
        <v>5</v>
      </c>
      <c r="M1598" s="170"/>
    </row>
    <row r="1599" spans="2:13" x14ac:dyDescent="0.2">
      <c r="B1599" s="173"/>
      <c r="C1599" s="694">
        <v>1</v>
      </c>
      <c r="D1599" s="695" t="s">
        <v>3903</v>
      </c>
      <c r="E1599" s="695">
        <v>3</v>
      </c>
      <c r="F1599" s="695" t="s">
        <v>4822</v>
      </c>
      <c r="G1599" s="695">
        <v>3</v>
      </c>
      <c r="H1599" s="695" t="s">
        <v>5161</v>
      </c>
      <c r="I1599" s="695">
        <v>3</v>
      </c>
      <c r="J1599" s="695" t="s">
        <v>5163</v>
      </c>
      <c r="K1599" s="695" t="s">
        <v>3907</v>
      </c>
      <c r="L1599" s="696">
        <v>1428</v>
      </c>
      <c r="M1599" s="170"/>
    </row>
    <row r="1600" spans="2:13" x14ac:dyDescent="0.2">
      <c r="B1600" s="173"/>
      <c r="C1600" s="694">
        <v>1</v>
      </c>
      <c r="D1600" s="695" t="s">
        <v>3903</v>
      </c>
      <c r="E1600" s="695">
        <v>3</v>
      </c>
      <c r="F1600" s="695" t="s">
        <v>4822</v>
      </c>
      <c r="G1600" s="695">
        <v>3</v>
      </c>
      <c r="H1600" s="695" t="s">
        <v>5161</v>
      </c>
      <c r="I1600" s="695">
        <v>4</v>
      </c>
      <c r="J1600" s="695" t="s">
        <v>5164</v>
      </c>
      <c r="K1600" s="695" t="s">
        <v>3907</v>
      </c>
      <c r="L1600" s="696">
        <v>2</v>
      </c>
      <c r="M1600" s="170"/>
    </row>
    <row r="1601" spans="2:13" x14ac:dyDescent="0.2">
      <c r="B1601" s="173"/>
      <c r="C1601" s="694">
        <v>1</v>
      </c>
      <c r="D1601" s="695" t="s">
        <v>3903</v>
      </c>
      <c r="E1601" s="695">
        <v>3</v>
      </c>
      <c r="F1601" s="695" t="s">
        <v>4822</v>
      </c>
      <c r="G1601" s="695">
        <v>3</v>
      </c>
      <c r="H1601" s="695" t="s">
        <v>5161</v>
      </c>
      <c r="I1601" s="695">
        <v>5</v>
      </c>
      <c r="J1601" s="695" t="s">
        <v>5165</v>
      </c>
      <c r="K1601" s="695" t="s">
        <v>3907</v>
      </c>
      <c r="L1601" s="696">
        <v>17</v>
      </c>
      <c r="M1601" s="170"/>
    </row>
    <row r="1602" spans="2:13" x14ac:dyDescent="0.2">
      <c r="B1602" s="173"/>
      <c r="C1602" s="694">
        <v>1</v>
      </c>
      <c r="D1602" s="695" t="s">
        <v>3903</v>
      </c>
      <c r="E1602" s="695">
        <v>3</v>
      </c>
      <c r="F1602" s="695" t="s">
        <v>4822</v>
      </c>
      <c r="G1602" s="695">
        <v>3</v>
      </c>
      <c r="H1602" s="695" t="s">
        <v>5161</v>
      </c>
      <c r="I1602" s="695">
        <v>6</v>
      </c>
      <c r="J1602" s="695" t="s">
        <v>5166</v>
      </c>
      <c r="K1602" s="695" t="s">
        <v>3907</v>
      </c>
      <c r="L1602" s="696">
        <v>4</v>
      </c>
      <c r="M1602" s="170"/>
    </row>
    <row r="1603" spans="2:13" x14ac:dyDescent="0.2">
      <c r="B1603" s="173"/>
      <c r="C1603" s="694">
        <v>1</v>
      </c>
      <c r="D1603" s="695" t="s">
        <v>3903</v>
      </c>
      <c r="E1603" s="695">
        <v>3</v>
      </c>
      <c r="F1603" s="695" t="s">
        <v>4822</v>
      </c>
      <c r="G1603" s="695">
        <v>3</v>
      </c>
      <c r="H1603" s="695" t="s">
        <v>5161</v>
      </c>
      <c r="I1603" s="695">
        <v>7</v>
      </c>
      <c r="J1603" s="695" t="s">
        <v>5167</v>
      </c>
      <c r="K1603" s="695" t="s">
        <v>3907</v>
      </c>
      <c r="L1603" s="696">
        <v>0</v>
      </c>
      <c r="M1603" s="170"/>
    </row>
    <row r="1604" spans="2:13" x14ac:dyDescent="0.2">
      <c r="B1604" s="173"/>
      <c r="C1604" s="694">
        <v>1</v>
      </c>
      <c r="D1604" s="695" t="s">
        <v>3903</v>
      </c>
      <c r="E1604" s="695">
        <v>3</v>
      </c>
      <c r="F1604" s="695" t="s">
        <v>4822</v>
      </c>
      <c r="G1604" s="695">
        <v>3</v>
      </c>
      <c r="H1604" s="695" t="s">
        <v>5161</v>
      </c>
      <c r="I1604" s="695">
        <v>8</v>
      </c>
      <c r="J1604" s="695" t="s">
        <v>5168</v>
      </c>
      <c r="K1604" s="695" t="s">
        <v>3907</v>
      </c>
      <c r="L1604" s="696">
        <v>11</v>
      </c>
      <c r="M1604" s="170"/>
    </row>
    <row r="1605" spans="2:13" x14ac:dyDescent="0.2">
      <c r="B1605" s="173"/>
      <c r="C1605" s="694">
        <v>1</v>
      </c>
      <c r="D1605" s="695" t="s">
        <v>3903</v>
      </c>
      <c r="E1605" s="695">
        <v>3</v>
      </c>
      <c r="F1605" s="695" t="s">
        <v>4822</v>
      </c>
      <c r="G1605" s="695">
        <v>3</v>
      </c>
      <c r="H1605" s="695" t="s">
        <v>5161</v>
      </c>
      <c r="I1605" s="695">
        <v>9</v>
      </c>
      <c r="J1605" s="695" t="s">
        <v>5169</v>
      </c>
      <c r="K1605" s="695" t="s">
        <v>3907</v>
      </c>
      <c r="L1605" s="696">
        <v>7</v>
      </c>
      <c r="M1605" s="170"/>
    </row>
    <row r="1606" spans="2:13" x14ac:dyDescent="0.2">
      <c r="B1606" s="173"/>
      <c r="C1606" s="694">
        <v>1</v>
      </c>
      <c r="D1606" s="695" t="s">
        <v>3903</v>
      </c>
      <c r="E1606" s="695">
        <v>3</v>
      </c>
      <c r="F1606" s="695" t="s">
        <v>4822</v>
      </c>
      <c r="G1606" s="695">
        <v>3</v>
      </c>
      <c r="H1606" s="695" t="s">
        <v>5161</v>
      </c>
      <c r="I1606" s="695">
        <v>10</v>
      </c>
      <c r="J1606" s="695" t="s">
        <v>5170</v>
      </c>
      <c r="K1606" s="695" t="s">
        <v>3907</v>
      </c>
      <c r="L1606" s="696">
        <v>265</v>
      </c>
      <c r="M1606" s="170"/>
    </row>
    <row r="1607" spans="2:13" x14ac:dyDescent="0.2">
      <c r="B1607" s="173"/>
      <c r="C1607" s="694">
        <v>1</v>
      </c>
      <c r="D1607" s="695" t="s">
        <v>3903</v>
      </c>
      <c r="E1607" s="695">
        <v>3</v>
      </c>
      <c r="F1607" s="695" t="s">
        <v>4822</v>
      </c>
      <c r="G1607" s="695">
        <v>3</v>
      </c>
      <c r="H1607" s="695" t="s">
        <v>5161</v>
      </c>
      <c r="I1607" s="695">
        <v>11</v>
      </c>
      <c r="J1607" s="695" t="s">
        <v>5171</v>
      </c>
      <c r="K1607" s="695" t="s">
        <v>3907</v>
      </c>
      <c r="L1607" s="696">
        <v>12</v>
      </c>
      <c r="M1607" s="170"/>
    </row>
    <row r="1608" spans="2:13" x14ac:dyDescent="0.2">
      <c r="B1608" s="173"/>
      <c r="C1608" s="694">
        <v>1</v>
      </c>
      <c r="D1608" s="695" t="s">
        <v>3903</v>
      </c>
      <c r="E1608" s="695">
        <v>3</v>
      </c>
      <c r="F1608" s="695" t="s">
        <v>4822</v>
      </c>
      <c r="G1608" s="695">
        <v>3</v>
      </c>
      <c r="H1608" s="695" t="s">
        <v>5161</v>
      </c>
      <c r="I1608" s="695">
        <v>12</v>
      </c>
      <c r="J1608" s="695" t="s">
        <v>5172</v>
      </c>
      <c r="K1608" s="695" t="s">
        <v>3907</v>
      </c>
      <c r="L1608" s="696">
        <v>9</v>
      </c>
      <c r="M1608" s="170"/>
    </row>
    <row r="1609" spans="2:13" x14ac:dyDescent="0.2">
      <c r="B1609" s="173"/>
      <c r="C1609" s="694">
        <v>1</v>
      </c>
      <c r="D1609" s="695" t="s">
        <v>3903</v>
      </c>
      <c r="E1609" s="695">
        <v>3</v>
      </c>
      <c r="F1609" s="695" t="s">
        <v>4822</v>
      </c>
      <c r="G1609" s="695">
        <v>3</v>
      </c>
      <c r="H1609" s="695" t="s">
        <v>5161</v>
      </c>
      <c r="I1609" s="695">
        <v>13</v>
      </c>
      <c r="J1609" s="695" t="s">
        <v>5173</v>
      </c>
      <c r="K1609" s="695" t="s">
        <v>3907</v>
      </c>
      <c r="L1609" s="696">
        <v>1</v>
      </c>
      <c r="M1609" s="170"/>
    </row>
    <row r="1610" spans="2:13" x14ac:dyDescent="0.2">
      <c r="B1610" s="173"/>
      <c r="C1610" s="694">
        <v>1</v>
      </c>
      <c r="D1610" s="695" t="s">
        <v>3903</v>
      </c>
      <c r="E1610" s="695">
        <v>3</v>
      </c>
      <c r="F1610" s="695" t="s">
        <v>4822</v>
      </c>
      <c r="G1610" s="695">
        <v>3</v>
      </c>
      <c r="H1610" s="695" t="s">
        <v>5161</v>
      </c>
      <c r="I1610" s="695">
        <v>14</v>
      </c>
      <c r="J1610" s="695" t="s">
        <v>5174</v>
      </c>
      <c r="K1610" s="695" t="s">
        <v>3907</v>
      </c>
      <c r="L1610" s="696">
        <v>1</v>
      </c>
      <c r="M1610" s="170"/>
    </row>
    <row r="1611" spans="2:13" x14ac:dyDescent="0.2">
      <c r="B1611" s="173"/>
      <c r="C1611" s="694">
        <v>1</v>
      </c>
      <c r="D1611" s="695" t="s">
        <v>3903</v>
      </c>
      <c r="E1611" s="695">
        <v>3</v>
      </c>
      <c r="F1611" s="695" t="s">
        <v>4822</v>
      </c>
      <c r="G1611" s="695">
        <v>3</v>
      </c>
      <c r="H1611" s="695" t="s">
        <v>5161</v>
      </c>
      <c r="I1611" s="695">
        <v>15</v>
      </c>
      <c r="J1611" s="695" t="s">
        <v>5175</v>
      </c>
      <c r="K1611" s="695" t="s">
        <v>3907</v>
      </c>
      <c r="L1611" s="696">
        <v>5</v>
      </c>
      <c r="M1611" s="170"/>
    </row>
    <row r="1612" spans="2:13" x14ac:dyDescent="0.2">
      <c r="B1612" s="173"/>
      <c r="C1612" s="694">
        <v>1</v>
      </c>
      <c r="D1612" s="695" t="s">
        <v>3903</v>
      </c>
      <c r="E1612" s="695">
        <v>3</v>
      </c>
      <c r="F1612" s="695" t="s">
        <v>4822</v>
      </c>
      <c r="G1612" s="695">
        <v>3</v>
      </c>
      <c r="H1612" s="695" t="s">
        <v>5161</v>
      </c>
      <c r="I1612" s="695">
        <v>16</v>
      </c>
      <c r="J1612" s="695" t="s">
        <v>5176</v>
      </c>
      <c r="K1612" s="695" t="s">
        <v>3907</v>
      </c>
      <c r="L1612" s="696">
        <v>181</v>
      </c>
      <c r="M1612" s="170"/>
    </row>
    <row r="1613" spans="2:13" x14ac:dyDescent="0.2">
      <c r="B1613" s="173"/>
      <c r="C1613" s="694">
        <v>1</v>
      </c>
      <c r="D1613" s="695" t="s">
        <v>3903</v>
      </c>
      <c r="E1613" s="695">
        <v>3</v>
      </c>
      <c r="F1613" s="695" t="s">
        <v>4822</v>
      </c>
      <c r="G1613" s="695">
        <v>3</v>
      </c>
      <c r="H1613" s="695" t="s">
        <v>5161</v>
      </c>
      <c r="I1613" s="695">
        <v>17</v>
      </c>
      <c r="J1613" s="695" t="s">
        <v>5177</v>
      </c>
      <c r="K1613" s="695" t="s">
        <v>3907</v>
      </c>
      <c r="L1613" s="696">
        <v>202</v>
      </c>
      <c r="M1613" s="170"/>
    </row>
    <row r="1614" spans="2:13" x14ac:dyDescent="0.2">
      <c r="B1614" s="173"/>
      <c r="C1614" s="694">
        <v>1</v>
      </c>
      <c r="D1614" s="695" t="s">
        <v>3903</v>
      </c>
      <c r="E1614" s="695">
        <v>3</v>
      </c>
      <c r="F1614" s="695" t="s">
        <v>4822</v>
      </c>
      <c r="G1614" s="695">
        <v>3</v>
      </c>
      <c r="H1614" s="695" t="s">
        <v>5161</v>
      </c>
      <c r="I1614" s="695">
        <v>18</v>
      </c>
      <c r="J1614" s="695" t="s">
        <v>5178</v>
      </c>
      <c r="K1614" s="695" t="s">
        <v>3907</v>
      </c>
      <c r="L1614" s="696">
        <v>252</v>
      </c>
      <c r="M1614" s="170"/>
    </row>
    <row r="1615" spans="2:13" x14ac:dyDescent="0.2">
      <c r="B1615" s="173"/>
      <c r="C1615" s="694">
        <v>1</v>
      </c>
      <c r="D1615" s="695" t="s">
        <v>3903</v>
      </c>
      <c r="E1615" s="695">
        <v>3</v>
      </c>
      <c r="F1615" s="695" t="s">
        <v>4822</v>
      </c>
      <c r="G1615" s="695">
        <v>3</v>
      </c>
      <c r="H1615" s="695" t="s">
        <v>5161</v>
      </c>
      <c r="I1615" s="695">
        <v>19</v>
      </c>
      <c r="J1615" s="695" t="s">
        <v>5179</v>
      </c>
      <c r="K1615" s="695" t="s">
        <v>3907</v>
      </c>
      <c r="L1615" s="696">
        <v>2749</v>
      </c>
      <c r="M1615" s="170"/>
    </row>
    <row r="1616" spans="2:13" x14ac:dyDescent="0.2">
      <c r="B1616" s="173"/>
      <c r="C1616" s="694">
        <v>1</v>
      </c>
      <c r="D1616" s="695" t="s">
        <v>3903</v>
      </c>
      <c r="E1616" s="695">
        <v>3</v>
      </c>
      <c r="F1616" s="695" t="s">
        <v>4822</v>
      </c>
      <c r="G1616" s="695">
        <v>3</v>
      </c>
      <c r="H1616" s="695" t="s">
        <v>5161</v>
      </c>
      <c r="I1616" s="695">
        <v>20</v>
      </c>
      <c r="J1616" s="695" t="s">
        <v>5180</v>
      </c>
      <c r="K1616" s="695" t="s">
        <v>8544</v>
      </c>
      <c r="L1616" s="696">
        <v>18</v>
      </c>
      <c r="M1616" s="170"/>
    </row>
    <row r="1617" spans="2:13" x14ac:dyDescent="0.2">
      <c r="B1617" s="173"/>
      <c r="C1617" s="694">
        <v>1</v>
      </c>
      <c r="D1617" s="695" t="s">
        <v>3903</v>
      </c>
      <c r="E1617" s="695">
        <v>3</v>
      </c>
      <c r="F1617" s="695" t="s">
        <v>4822</v>
      </c>
      <c r="G1617" s="695">
        <v>3</v>
      </c>
      <c r="H1617" s="695" t="s">
        <v>5161</v>
      </c>
      <c r="I1617" s="695">
        <v>21</v>
      </c>
      <c r="J1617" s="695" t="s">
        <v>5181</v>
      </c>
      <c r="K1617" s="695" t="s">
        <v>3907</v>
      </c>
      <c r="L1617" s="696">
        <v>15</v>
      </c>
      <c r="M1617" s="170"/>
    </row>
    <row r="1618" spans="2:13" x14ac:dyDescent="0.2">
      <c r="B1618" s="173"/>
      <c r="C1618" s="694">
        <v>1</v>
      </c>
      <c r="D1618" s="695" t="s">
        <v>3903</v>
      </c>
      <c r="E1618" s="695">
        <v>3</v>
      </c>
      <c r="F1618" s="695" t="s">
        <v>4822</v>
      </c>
      <c r="G1618" s="695">
        <v>3</v>
      </c>
      <c r="H1618" s="695" t="s">
        <v>5161</v>
      </c>
      <c r="I1618" s="695">
        <v>22</v>
      </c>
      <c r="J1618" s="695" t="s">
        <v>5182</v>
      </c>
      <c r="K1618" s="695" t="s">
        <v>3907</v>
      </c>
      <c r="L1618" s="696">
        <v>6</v>
      </c>
      <c r="M1618" s="170"/>
    </row>
    <row r="1619" spans="2:13" x14ac:dyDescent="0.2">
      <c r="B1619" s="173"/>
      <c r="C1619" s="694">
        <v>1</v>
      </c>
      <c r="D1619" s="695" t="s">
        <v>3903</v>
      </c>
      <c r="E1619" s="695">
        <v>3</v>
      </c>
      <c r="F1619" s="695" t="s">
        <v>4822</v>
      </c>
      <c r="G1619" s="695">
        <v>3</v>
      </c>
      <c r="H1619" s="695" t="s">
        <v>5161</v>
      </c>
      <c r="I1619" s="695">
        <v>23</v>
      </c>
      <c r="J1619" s="695" t="s">
        <v>5183</v>
      </c>
      <c r="K1619" s="695" t="s">
        <v>8544</v>
      </c>
      <c r="L1619" s="696">
        <v>3</v>
      </c>
      <c r="M1619" s="170"/>
    </row>
    <row r="1620" spans="2:13" x14ac:dyDescent="0.2">
      <c r="B1620" s="173"/>
      <c r="C1620" s="694">
        <v>1</v>
      </c>
      <c r="D1620" s="695" t="s">
        <v>3903</v>
      </c>
      <c r="E1620" s="695">
        <v>3</v>
      </c>
      <c r="F1620" s="695" t="s">
        <v>4822</v>
      </c>
      <c r="G1620" s="695">
        <v>3</v>
      </c>
      <c r="H1620" s="695" t="s">
        <v>5161</v>
      </c>
      <c r="I1620" s="695">
        <v>24</v>
      </c>
      <c r="J1620" s="695" t="s">
        <v>5184</v>
      </c>
      <c r="K1620" s="695" t="s">
        <v>3907</v>
      </c>
      <c r="L1620" s="696">
        <v>13</v>
      </c>
      <c r="M1620" s="170"/>
    </row>
    <row r="1621" spans="2:13" x14ac:dyDescent="0.2">
      <c r="B1621" s="173"/>
      <c r="C1621" s="694">
        <v>1</v>
      </c>
      <c r="D1621" s="695" t="s">
        <v>3903</v>
      </c>
      <c r="E1621" s="695">
        <v>3</v>
      </c>
      <c r="F1621" s="695" t="s">
        <v>4822</v>
      </c>
      <c r="G1621" s="695">
        <v>3</v>
      </c>
      <c r="H1621" s="695" t="s">
        <v>5161</v>
      </c>
      <c r="I1621" s="695">
        <v>25</v>
      </c>
      <c r="J1621" s="695" t="s">
        <v>5185</v>
      </c>
      <c r="K1621" s="695" t="s">
        <v>8544</v>
      </c>
      <c r="L1621" s="696">
        <v>11</v>
      </c>
      <c r="M1621" s="170"/>
    </row>
    <row r="1622" spans="2:13" x14ac:dyDescent="0.2">
      <c r="B1622" s="173"/>
      <c r="C1622" s="694">
        <v>1</v>
      </c>
      <c r="D1622" s="695" t="s">
        <v>3903</v>
      </c>
      <c r="E1622" s="695">
        <v>3</v>
      </c>
      <c r="F1622" s="695" t="s">
        <v>4822</v>
      </c>
      <c r="G1622" s="695">
        <v>3</v>
      </c>
      <c r="H1622" s="695" t="s">
        <v>5161</v>
      </c>
      <c r="I1622" s="695">
        <v>26</v>
      </c>
      <c r="J1622" s="695" t="s">
        <v>5186</v>
      </c>
      <c r="K1622" s="695" t="s">
        <v>4009</v>
      </c>
      <c r="L1622" s="696">
        <v>14</v>
      </c>
      <c r="M1622" s="170"/>
    </row>
    <row r="1623" spans="2:13" x14ac:dyDescent="0.2">
      <c r="B1623" s="173"/>
      <c r="C1623" s="694">
        <v>1</v>
      </c>
      <c r="D1623" s="695" t="s">
        <v>3903</v>
      </c>
      <c r="E1623" s="695">
        <v>3</v>
      </c>
      <c r="F1623" s="695" t="s">
        <v>4822</v>
      </c>
      <c r="G1623" s="695">
        <v>3</v>
      </c>
      <c r="H1623" s="695" t="s">
        <v>5161</v>
      </c>
      <c r="I1623" s="695">
        <v>27</v>
      </c>
      <c r="J1623" s="695" t="s">
        <v>4199</v>
      </c>
      <c r="K1623" s="695" t="s">
        <v>8544</v>
      </c>
      <c r="L1623" s="696">
        <v>6</v>
      </c>
      <c r="M1623" s="170"/>
    </row>
    <row r="1624" spans="2:13" x14ac:dyDescent="0.2">
      <c r="B1624" s="173"/>
      <c r="C1624" s="694">
        <v>1</v>
      </c>
      <c r="D1624" s="695" t="s">
        <v>3903</v>
      </c>
      <c r="E1624" s="695">
        <v>3</v>
      </c>
      <c r="F1624" s="695" t="s">
        <v>4822</v>
      </c>
      <c r="G1624" s="695">
        <v>3</v>
      </c>
      <c r="H1624" s="695" t="s">
        <v>5161</v>
      </c>
      <c r="I1624" s="695">
        <v>28</v>
      </c>
      <c r="J1624" s="695" t="s">
        <v>4930</v>
      </c>
      <c r="K1624" s="695" t="s">
        <v>8544</v>
      </c>
      <c r="L1624" s="696">
        <v>3</v>
      </c>
      <c r="M1624" s="170"/>
    </row>
    <row r="1625" spans="2:13" x14ac:dyDescent="0.2">
      <c r="B1625" s="173"/>
      <c r="C1625" s="694">
        <v>1</v>
      </c>
      <c r="D1625" s="695" t="s">
        <v>3903</v>
      </c>
      <c r="E1625" s="695">
        <v>3</v>
      </c>
      <c r="F1625" s="695" t="s">
        <v>4822</v>
      </c>
      <c r="G1625" s="695">
        <v>3</v>
      </c>
      <c r="H1625" s="695" t="s">
        <v>5161</v>
      </c>
      <c r="I1625" s="695">
        <v>29</v>
      </c>
      <c r="J1625" s="695" t="s">
        <v>5187</v>
      </c>
      <c r="K1625" s="695" t="s">
        <v>8544</v>
      </c>
      <c r="L1625" s="696">
        <v>46</v>
      </c>
      <c r="M1625" s="170"/>
    </row>
    <row r="1626" spans="2:13" x14ac:dyDescent="0.2">
      <c r="B1626" s="173"/>
      <c r="C1626" s="694">
        <v>1</v>
      </c>
      <c r="D1626" s="695" t="s">
        <v>3903</v>
      </c>
      <c r="E1626" s="695">
        <v>3</v>
      </c>
      <c r="F1626" s="695" t="s">
        <v>4822</v>
      </c>
      <c r="G1626" s="695">
        <v>3</v>
      </c>
      <c r="H1626" s="695" t="s">
        <v>5161</v>
      </c>
      <c r="I1626" s="695">
        <v>30</v>
      </c>
      <c r="J1626" s="695" t="s">
        <v>5188</v>
      </c>
      <c r="K1626" s="695" t="s">
        <v>8544</v>
      </c>
      <c r="L1626" s="696">
        <v>6</v>
      </c>
      <c r="M1626" s="170"/>
    </row>
    <row r="1627" spans="2:13" x14ac:dyDescent="0.2">
      <c r="B1627" s="173"/>
      <c r="C1627" s="694">
        <v>1</v>
      </c>
      <c r="D1627" s="695" t="s">
        <v>3903</v>
      </c>
      <c r="E1627" s="695">
        <v>3</v>
      </c>
      <c r="F1627" s="695" t="s">
        <v>4822</v>
      </c>
      <c r="G1627" s="695">
        <v>3</v>
      </c>
      <c r="H1627" s="695" t="s">
        <v>5161</v>
      </c>
      <c r="I1627" s="695">
        <v>31</v>
      </c>
      <c r="J1627" s="695" t="s">
        <v>5189</v>
      </c>
      <c r="K1627" s="695" t="s">
        <v>8544</v>
      </c>
      <c r="L1627" s="696">
        <v>5</v>
      </c>
      <c r="M1627" s="170"/>
    </row>
    <row r="1628" spans="2:13" x14ac:dyDescent="0.2">
      <c r="B1628" s="173"/>
      <c r="C1628" s="694">
        <v>1</v>
      </c>
      <c r="D1628" s="695" t="s">
        <v>3903</v>
      </c>
      <c r="E1628" s="695">
        <v>3</v>
      </c>
      <c r="F1628" s="695" t="s">
        <v>4822</v>
      </c>
      <c r="G1628" s="695">
        <v>3</v>
      </c>
      <c r="H1628" s="695" t="s">
        <v>5161</v>
      </c>
      <c r="I1628" s="695">
        <v>32</v>
      </c>
      <c r="J1628" s="695" t="s">
        <v>5190</v>
      </c>
      <c r="K1628" s="695" t="s">
        <v>8544</v>
      </c>
      <c r="L1628" s="696">
        <v>9</v>
      </c>
      <c r="M1628" s="170"/>
    </row>
    <row r="1629" spans="2:13" x14ac:dyDescent="0.2">
      <c r="B1629" s="173"/>
      <c r="C1629" s="694">
        <v>1</v>
      </c>
      <c r="D1629" s="695" t="s">
        <v>3903</v>
      </c>
      <c r="E1629" s="695">
        <v>3</v>
      </c>
      <c r="F1629" s="695" t="s">
        <v>4822</v>
      </c>
      <c r="G1629" s="695">
        <v>3</v>
      </c>
      <c r="H1629" s="695" t="s">
        <v>5161</v>
      </c>
      <c r="I1629" s="695">
        <v>33</v>
      </c>
      <c r="J1629" s="695" t="s">
        <v>5191</v>
      </c>
      <c r="K1629" s="695" t="s">
        <v>8544</v>
      </c>
      <c r="L1629" s="696">
        <v>5</v>
      </c>
      <c r="M1629" s="170"/>
    </row>
    <row r="1630" spans="2:13" x14ac:dyDescent="0.2">
      <c r="B1630" s="173"/>
      <c r="C1630" s="694">
        <v>1</v>
      </c>
      <c r="D1630" s="695" t="s">
        <v>3903</v>
      </c>
      <c r="E1630" s="695">
        <v>3</v>
      </c>
      <c r="F1630" s="695" t="s">
        <v>4822</v>
      </c>
      <c r="G1630" s="695">
        <v>3</v>
      </c>
      <c r="H1630" s="695" t="s">
        <v>5161</v>
      </c>
      <c r="I1630" s="695">
        <v>34</v>
      </c>
      <c r="J1630" s="695" t="s">
        <v>5192</v>
      </c>
      <c r="K1630" s="695" t="s">
        <v>8544</v>
      </c>
      <c r="L1630" s="696">
        <v>4</v>
      </c>
      <c r="M1630" s="170"/>
    </row>
    <row r="1631" spans="2:13" x14ac:dyDescent="0.2">
      <c r="B1631" s="173"/>
      <c r="C1631" s="694">
        <v>1</v>
      </c>
      <c r="D1631" s="695" t="s">
        <v>3903</v>
      </c>
      <c r="E1631" s="695">
        <v>3</v>
      </c>
      <c r="F1631" s="695" t="s">
        <v>4822</v>
      </c>
      <c r="G1631" s="695">
        <v>3</v>
      </c>
      <c r="H1631" s="695" t="s">
        <v>5161</v>
      </c>
      <c r="I1631" s="695">
        <v>35</v>
      </c>
      <c r="J1631" s="695" t="s">
        <v>5193</v>
      </c>
      <c r="K1631" s="695" t="s">
        <v>8544</v>
      </c>
      <c r="L1631" s="696">
        <v>3</v>
      </c>
      <c r="M1631" s="170"/>
    </row>
    <row r="1632" spans="2:13" x14ac:dyDescent="0.2">
      <c r="B1632" s="173"/>
      <c r="C1632" s="694">
        <v>1</v>
      </c>
      <c r="D1632" s="695" t="s">
        <v>3903</v>
      </c>
      <c r="E1632" s="695">
        <v>3</v>
      </c>
      <c r="F1632" s="695" t="s">
        <v>4822</v>
      </c>
      <c r="G1632" s="695">
        <v>3</v>
      </c>
      <c r="H1632" s="695" t="s">
        <v>5161</v>
      </c>
      <c r="I1632" s="695">
        <v>36</v>
      </c>
      <c r="J1632" s="695" t="s">
        <v>5194</v>
      </c>
      <c r="K1632" s="695" t="s">
        <v>8544</v>
      </c>
      <c r="L1632" s="696">
        <v>5</v>
      </c>
      <c r="M1632" s="170"/>
    </row>
    <row r="1633" spans="2:13" x14ac:dyDescent="0.2">
      <c r="B1633" s="173"/>
      <c r="C1633" s="694">
        <v>1</v>
      </c>
      <c r="D1633" s="695" t="s">
        <v>3903</v>
      </c>
      <c r="E1633" s="695">
        <v>3</v>
      </c>
      <c r="F1633" s="695" t="s">
        <v>4822</v>
      </c>
      <c r="G1633" s="695">
        <v>3</v>
      </c>
      <c r="H1633" s="695" t="s">
        <v>5161</v>
      </c>
      <c r="I1633" s="695">
        <v>37</v>
      </c>
      <c r="J1633" s="695" t="s">
        <v>5195</v>
      </c>
      <c r="K1633" s="695" t="s">
        <v>3985</v>
      </c>
      <c r="L1633" s="696">
        <v>1</v>
      </c>
      <c r="M1633" s="170"/>
    </row>
    <row r="1634" spans="2:13" x14ac:dyDescent="0.2">
      <c r="B1634" s="173"/>
      <c r="C1634" s="694">
        <v>1</v>
      </c>
      <c r="D1634" s="695" t="s">
        <v>3903</v>
      </c>
      <c r="E1634" s="695">
        <v>3</v>
      </c>
      <c r="F1634" s="695" t="s">
        <v>4822</v>
      </c>
      <c r="G1634" s="695">
        <v>3</v>
      </c>
      <c r="H1634" s="695" t="s">
        <v>5161</v>
      </c>
      <c r="I1634" s="695">
        <v>38</v>
      </c>
      <c r="J1634" s="695" t="s">
        <v>5193</v>
      </c>
      <c r="K1634" s="695" t="s">
        <v>8544</v>
      </c>
      <c r="L1634" s="696">
        <v>2</v>
      </c>
      <c r="M1634" s="170"/>
    </row>
    <row r="1635" spans="2:13" x14ac:dyDescent="0.2">
      <c r="B1635" s="173"/>
      <c r="C1635" s="694">
        <v>1</v>
      </c>
      <c r="D1635" s="695" t="s">
        <v>3903</v>
      </c>
      <c r="E1635" s="695">
        <v>3</v>
      </c>
      <c r="F1635" s="695" t="s">
        <v>4822</v>
      </c>
      <c r="G1635" s="695">
        <v>3</v>
      </c>
      <c r="H1635" s="695" t="s">
        <v>5161</v>
      </c>
      <c r="I1635" s="695">
        <v>39</v>
      </c>
      <c r="J1635" s="695" t="s">
        <v>5179</v>
      </c>
      <c r="K1635" s="695" t="s">
        <v>3907</v>
      </c>
      <c r="L1635" s="696">
        <v>301</v>
      </c>
      <c r="M1635" s="170"/>
    </row>
    <row r="1636" spans="2:13" x14ac:dyDescent="0.2">
      <c r="B1636" s="173"/>
      <c r="C1636" s="694">
        <v>1</v>
      </c>
      <c r="D1636" s="695" t="s">
        <v>3903</v>
      </c>
      <c r="E1636" s="695">
        <v>3</v>
      </c>
      <c r="F1636" s="695" t="s">
        <v>4822</v>
      </c>
      <c r="G1636" s="695">
        <v>3</v>
      </c>
      <c r="H1636" s="695" t="s">
        <v>5161</v>
      </c>
      <c r="I1636" s="695">
        <v>40</v>
      </c>
      <c r="J1636" s="695" t="s">
        <v>5196</v>
      </c>
      <c r="K1636" s="695" t="s">
        <v>8544</v>
      </c>
      <c r="L1636" s="696">
        <v>9</v>
      </c>
      <c r="M1636" s="170"/>
    </row>
    <row r="1637" spans="2:13" x14ac:dyDescent="0.2">
      <c r="B1637" s="173"/>
      <c r="C1637" s="694">
        <v>1</v>
      </c>
      <c r="D1637" s="695" t="s">
        <v>3903</v>
      </c>
      <c r="E1637" s="695">
        <v>3</v>
      </c>
      <c r="F1637" s="695" t="s">
        <v>4822</v>
      </c>
      <c r="G1637" s="695">
        <v>3</v>
      </c>
      <c r="H1637" s="695" t="s">
        <v>5161</v>
      </c>
      <c r="I1637" s="695">
        <v>41</v>
      </c>
      <c r="J1637" s="695" t="s">
        <v>5197</v>
      </c>
      <c r="K1637" s="695" t="s">
        <v>3907</v>
      </c>
      <c r="L1637" s="696">
        <v>19</v>
      </c>
      <c r="M1637" s="170"/>
    </row>
    <row r="1638" spans="2:13" x14ac:dyDescent="0.2">
      <c r="B1638" s="173"/>
      <c r="C1638" s="694">
        <v>1</v>
      </c>
      <c r="D1638" s="695" t="s">
        <v>3903</v>
      </c>
      <c r="E1638" s="695">
        <v>3</v>
      </c>
      <c r="F1638" s="695" t="s">
        <v>4822</v>
      </c>
      <c r="G1638" s="695">
        <v>3</v>
      </c>
      <c r="H1638" s="695" t="s">
        <v>5161</v>
      </c>
      <c r="I1638" s="695">
        <v>42</v>
      </c>
      <c r="J1638" s="695" t="s">
        <v>5198</v>
      </c>
      <c r="K1638" s="695" t="s">
        <v>8544</v>
      </c>
      <c r="L1638" s="696">
        <v>1</v>
      </c>
      <c r="M1638" s="170"/>
    </row>
    <row r="1639" spans="2:13" x14ac:dyDescent="0.2">
      <c r="B1639" s="173"/>
      <c r="C1639" s="694">
        <v>1</v>
      </c>
      <c r="D1639" s="695" t="s">
        <v>3903</v>
      </c>
      <c r="E1639" s="695">
        <v>3</v>
      </c>
      <c r="F1639" s="695" t="s">
        <v>4822</v>
      </c>
      <c r="G1639" s="695">
        <v>3</v>
      </c>
      <c r="H1639" s="695" t="s">
        <v>5161</v>
      </c>
      <c r="I1639" s="695">
        <v>43</v>
      </c>
      <c r="J1639" s="695" t="s">
        <v>5199</v>
      </c>
      <c r="K1639" s="695" t="s">
        <v>8544</v>
      </c>
      <c r="L1639" s="696">
        <v>16</v>
      </c>
      <c r="M1639" s="170"/>
    </row>
    <row r="1640" spans="2:13" x14ac:dyDescent="0.2">
      <c r="B1640" s="173"/>
      <c r="C1640" s="694">
        <v>1</v>
      </c>
      <c r="D1640" s="695" t="s">
        <v>3903</v>
      </c>
      <c r="E1640" s="695">
        <v>3</v>
      </c>
      <c r="F1640" s="695" t="s">
        <v>4822</v>
      </c>
      <c r="G1640" s="695">
        <v>3</v>
      </c>
      <c r="H1640" s="695" t="s">
        <v>5161</v>
      </c>
      <c r="I1640" s="695">
        <v>44</v>
      </c>
      <c r="J1640" s="695" t="s">
        <v>5200</v>
      </c>
      <c r="K1640" s="695" t="s">
        <v>8544</v>
      </c>
      <c r="L1640" s="696">
        <v>26</v>
      </c>
      <c r="M1640" s="170"/>
    </row>
    <row r="1641" spans="2:13" x14ac:dyDescent="0.2">
      <c r="B1641" s="173"/>
      <c r="C1641" s="694">
        <v>1</v>
      </c>
      <c r="D1641" s="695" t="s">
        <v>3903</v>
      </c>
      <c r="E1641" s="695">
        <v>3</v>
      </c>
      <c r="F1641" s="695" t="s">
        <v>4822</v>
      </c>
      <c r="G1641" s="695">
        <v>3</v>
      </c>
      <c r="H1641" s="695" t="s">
        <v>5161</v>
      </c>
      <c r="I1641" s="695">
        <v>45</v>
      </c>
      <c r="J1641" s="695" t="s">
        <v>5201</v>
      </c>
      <c r="K1641" s="695" t="s">
        <v>8544</v>
      </c>
      <c r="L1641" s="696">
        <v>8</v>
      </c>
      <c r="M1641" s="170"/>
    </row>
    <row r="1642" spans="2:13" x14ac:dyDescent="0.2">
      <c r="B1642" s="173"/>
      <c r="C1642" s="694">
        <v>1</v>
      </c>
      <c r="D1642" s="695" t="s">
        <v>3903</v>
      </c>
      <c r="E1642" s="695">
        <v>3</v>
      </c>
      <c r="F1642" s="695" t="s">
        <v>4822</v>
      </c>
      <c r="G1642" s="695">
        <v>3</v>
      </c>
      <c r="H1642" s="695" t="s">
        <v>5161</v>
      </c>
      <c r="I1642" s="695">
        <v>46</v>
      </c>
      <c r="J1642" s="695" t="s">
        <v>5202</v>
      </c>
      <c r="K1642" s="695" t="s">
        <v>8544</v>
      </c>
      <c r="L1642" s="696">
        <v>6</v>
      </c>
      <c r="M1642" s="170"/>
    </row>
    <row r="1643" spans="2:13" x14ac:dyDescent="0.2">
      <c r="B1643" s="173"/>
      <c r="C1643" s="694">
        <v>1</v>
      </c>
      <c r="D1643" s="695" t="s">
        <v>3903</v>
      </c>
      <c r="E1643" s="695">
        <v>3</v>
      </c>
      <c r="F1643" s="695" t="s">
        <v>4822</v>
      </c>
      <c r="G1643" s="695">
        <v>3</v>
      </c>
      <c r="H1643" s="695" t="s">
        <v>5161</v>
      </c>
      <c r="I1643" s="695">
        <v>47</v>
      </c>
      <c r="J1643" s="695" t="s">
        <v>5203</v>
      </c>
      <c r="K1643" s="695" t="s">
        <v>8544</v>
      </c>
      <c r="L1643" s="696">
        <v>56</v>
      </c>
      <c r="M1643" s="170"/>
    </row>
    <row r="1644" spans="2:13" x14ac:dyDescent="0.2">
      <c r="B1644" s="173"/>
      <c r="C1644" s="694">
        <v>1</v>
      </c>
      <c r="D1644" s="695" t="s">
        <v>3903</v>
      </c>
      <c r="E1644" s="695">
        <v>3</v>
      </c>
      <c r="F1644" s="695" t="s">
        <v>4822</v>
      </c>
      <c r="G1644" s="695">
        <v>3</v>
      </c>
      <c r="H1644" s="695" t="s">
        <v>5161</v>
      </c>
      <c r="I1644" s="695">
        <v>48</v>
      </c>
      <c r="J1644" s="695" t="s">
        <v>5204</v>
      </c>
      <c r="K1644" s="695" t="s">
        <v>8544</v>
      </c>
      <c r="L1644" s="696">
        <v>2</v>
      </c>
      <c r="M1644" s="170"/>
    </row>
    <row r="1645" spans="2:13" x14ac:dyDescent="0.2">
      <c r="B1645" s="173"/>
      <c r="C1645" s="694">
        <v>1</v>
      </c>
      <c r="D1645" s="695" t="s">
        <v>3903</v>
      </c>
      <c r="E1645" s="695">
        <v>3</v>
      </c>
      <c r="F1645" s="695" t="s">
        <v>4822</v>
      </c>
      <c r="G1645" s="695">
        <v>3</v>
      </c>
      <c r="H1645" s="695" t="s">
        <v>5161</v>
      </c>
      <c r="I1645" s="695">
        <v>49</v>
      </c>
      <c r="J1645" s="695" t="s">
        <v>5205</v>
      </c>
      <c r="K1645" s="695" t="s">
        <v>8544</v>
      </c>
      <c r="L1645" s="696">
        <v>54</v>
      </c>
      <c r="M1645" s="170"/>
    </row>
    <row r="1646" spans="2:13" x14ac:dyDescent="0.2">
      <c r="B1646" s="173"/>
      <c r="C1646" s="694">
        <v>1</v>
      </c>
      <c r="D1646" s="695" t="s">
        <v>3903</v>
      </c>
      <c r="E1646" s="695">
        <v>3</v>
      </c>
      <c r="F1646" s="695" t="s">
        <v>4822</v>
      </c>
      <c r="G1646" s="695">
        <v>3</v>
      </c>
      <c r="H1646" s="695" t="s">
        <v>5161</v>
      </c>
      <c r="I1646" s="695">
        <v>50</v>
      </c>
      <c r="J1646" s="695" t="s">
        <v>5206</v>
      </c>
      <c r="K1646" s="695" t="s">
        <v>8544</v>
      </c>
      <c r="L1646" s="696">
        <v>8</v>
      </c>
      <c r="M1646" s="170"/>
    </row>
    <row r="1647" spans="2:13" x14ac:dyDescent="0.2">
      <c r="B1647" s="173"/>
      <c r="C1647" s="694">
        <v>1</v>
      </c>
      <c r="D1647" s="695" t="s">
        <v>3903</v>
      </c>
      <c r="E1647" s="695">
        <v>3</v>
      </c>
      <c r="F1647" s="695" t="s">
        <v>4822</v>
      </c>
      <c r="G1647" s="695">
        <v>3</v>
      </c>
      <c r="H1647" s="695" t="s">
        <v>5161</v>
      </c>
      <c r="I1647" s="695">
        <v>51</v>
      </c>
      <c r="J1647" s="695" t="s">
        <v>5207</v>
      </c>
      <c r="K1647" s="695" t="s">
        <v>8544</v>
      </c>
      <c r="L1647" s="696">
        <v>12</v>
      </c>
      <c r="M1647" s="170"/>
    </row>
    <row r="1648" spans="2:13" x14ac:dyDescent="0.2">
      <c r="B1648" s="173"/>
      <c r="C1648" s="694">
        <v>1</v>
      </c>
      <c r="D1648" s="695" t="s">
        <v>3903</v>
      </c>
      <c r="E1648" s="695">
        <v>3</v>
      </c>
      <c r="F1648" s="695" t="s">
        <v>4822</v>
      </c>
      <c r="G1648" s="695">
        <v>3</v>
      </c>
      <c r="H1648" s="695" t="s">
        <v>5161</v>
      </c>
      <c r="I1648" s="695">
        <v>52</v>
      </c>
      <c r="J1648" s="695" t="s">
        <v>5208</v>
      </c>
      <c r="K1648" s="695" t="s">
        <v>8544</v>
      </c>
      <c r="L1648" s="696">
        <v>11</v>
      </c>
      <c r="M1648" s="170"/>
    </row>
    <row r="1649" spans="2:13" x14ac:dyDescent="0.2">
      <c r="B1649" s="173"/>
      <c r="C1649" s="694">
        <v>1</v>
      </c>
      <c r="D1649" s="695" t="s">
        <v>3903</v>
      </c>
      <c r="E1649" s="695">
        <v>3</v>
      </c>
      <c r="F1649" s="695" t="s">
        <v>4822</v>
      </c>
      <c r="G1649" s="695">
        <v>3</v>
      </c>
      <c r="H1649" s="695" t="s">
        <v>5161</v>
      </c>
      <c r="I1649" s="695">
        <v>53</v>
      </c>
      <c r="J1649" s="695" t="s">
        <v>5209</v>
      </c>
      <c r="K1649" s="695" t="s">
        <v>3907</v>
      </c>
      <c r="L1649" s="696">
        <v>2</v>
      </c>
      <c r="M1649" s="170"/>
    </row>
    <row r="1650" spans="2:13" x14ac:dyDescent="0.2">
      <c r="B1650" s="173"/>
      <c r="C1650" s="694">
        <v>1</v>
      </c>
      <c r="D1650" s="695" t="s">
        <v>3903</v>
      </c>
      <c r="E1650" s="695">
        <v>3</v>
      </c>
      <c r="F1650" s="695" t="s">
        <v>4822</v>
      </c>
      <c r="G1650" s="695">
        <v>3</v>
      </c>
      <c r="H1650" s="695" t="s">
        <v>5161</v>
      </c>
      <c r="I1650" s="695">
        <v>54</v>
      </c>
      <c r="J1650" s="695" t="s">
        <v>5210</v>
      </c>
      <c r="K1650" s="695" t="s">
        <v>8544</v>
      </c>
      <c r="L1650" s="696">
        <v>21</v>
      </c>
      <c r="M1650" s="170"/>
    </row>
    <row r="1651" spans="2:13" x14ac:dyDescent="0.2">
      <c r="B1651" s="173"/>
      <c r="C1651" s="694">
        <v>1</v>
      </c>
      <c r="D1651" s="695" t="s">
        <v>3903</v>
      </c>
      <c r="E1651" s="695">
        <v>3</v>
      </c>
      <c r="F1651" s="695" t="s">
        <v>4822</v>
      </c>
      <c r="G1651" s="695">
        <v>3</v>
      </c>
      <c r="H1651" s="695" t="s">
        <v>5161</v>
      </c>
      <c r="I1651" s="695">
        <v>55</v>
      </c>
      <c r="J1651" s="695" t="s">
        <v>5211</v>
      </c>
      <c r="K1651" s="695" t="s">
        <v>8544</v>
      </c>
      <c r="L1651" s="696">
        <v>12</v>
      </c>
      <c r="M1651" s="170"/>
    </row>
    <row r="1652" spans="2:13" x14ac:dyDescent="0.2">
      <c r="B1652" s="173"/>
      <c r="C1652" s="694">
        <v>1</v>
      </c>
      <c r="D1652" s="695" t="s">
        <v>3903</v>
      </c>
      <c r="E1652" s="695">
        <v>3</v>
      </c>
      <c r="F1652" s="695" t="s">
        <v>4822</v>
      </c>
      <c r="G1652" s="695">
        <v>3</v>
      </c>
      <c r="H1652" s="695" t="s">
        <v>5161</v>
      </c>
      <c r="I1652" s="695">
        <v>56</v>
      </c>
      <c r="J1652" s="695" t="s">
        <v>5212</v>
      </c>
      <c r="K1652" s="695" t="s">
        <v>3907</v>
      </c>
      <c r="L1652" s="696">
        <v>6</v>
      </c>
      <c r="M1652" s="170"/>
    </row>
    <row r="1653" spans="2:13" x14ac:dyDescent="0.2">
      <c r="B1653" s="173"/>
      <c r="C1653" s="694">
        <v>1</v>
      </c>
      <c r="D1653" s="695" t="s">
        <v>3903</v>
      </c>
      <c r="E1653" s="695">
        <v>3</v>
      </c>
      <c r="F1653" s="695" t="s">
        <v>4822</v>
      </c>
      <c r="G1653" s="695">
        <v>3</v>
      </c>
      <c r="H1653" s="695" t="s">
        <v>5161</v>
      </c>
      <c r="I1653" s="695">
        <v>57</v>
      </c>
      <c r="J1653" s="695" t="s">
        <v>5213</v>
      </c>
      <c r="K1653" s="695" t="s">
        <v>3907</v>
      </c>
      <c r="L1653" s="696">
        <v>1</v>
      </c>
      <c r="M1653" s="170"/>
    </row>
    <row r="1654" spans="2:13" x14ac:dyDescent="0.2">
      <c r="B1654" s="173"/>
      <c r="C1654" s="694">
        <v>1</v>
      </c>
      <c r="D1654" s="695" t="s">
        <v>3903</v>
      </c>
      <c r="E1654" s="695">
        <v>3</v>
      </c>
      <c r="F1654" s="695" t="s">
        <v>4822</v>
      </c>
      <c r="G1654" s="695">
        <v>3</v>
      </c>
      <c r="H1654" s="695" t="s">
        <v>5161</v>
      </c>
      <c r="I1654" s="695">
        <v>58</v>
      </c>
      <c r="J1654" s="695" t="s">
        <v>5214</v>
      </c>
      <c r="K1654" s="695" t="s">
        <v>3907</v>
      </c>
      <c r="L1654" s="696">
        <v>37</v>
      </c>
      <c r="M1654" s="170"/>
    </row>
    <row r="1655" spans="2:13" x14ac:dyDescent="0.2">
      <c r="B1655" s="173"/>
      <c r="C1655" s="694">
        <v>1</v>
      </c>
      <c r="D1655" s="695" t="s">
        <v>3903</v>
      </c>
      <c r="E1655" s="695">
        <v>3</v>
      </c>
      <c r="F1655" s="695" t="s">
        <v>4822</v>
      </c>
      <c r="G1655" s="695">
        <v>3</v>
      </c>
      <c r="H1655" s="695" t="s">
        <v>5161</v>
      </c>
      <c r="I1655" s="695">
        <v>59</v>
      </c>
      <c r="J1655" s="695" t="s">
        <v>5215</v>
      </c>
      <c r="K1655" s="695" t="s">
        <v>8544</v>
      </c>
      <c r="L1655" s="696">
        <v>45</v>
      </c>
      <c r="M1655" s="170"/>
    </row>
    <row r="1656" spans="2:13" x14ac:dyDescent="0.2">
      <c r="B1656" s="173"/>
      <c r="C1656" s="694">
        <v>1</v>
      </c>
      <c r="D1656" s="695" t="s">
        <v>3903</v>
      </c>
      <c r="E1656" s="695">
        <v>3</v>
      </c>
      <c r="F1656" s="695" t="s">
        <v>4822</v>
      </c>
      <c r="G1656" s="695">
        <v>3</v>
      </c>
      <c r="H1656" s="695" t="s">
        <v>5161</v>
      </c>
      <c r="I1656" s="695">
        <v>60</v>
      </c>
      <c r="J1656" s="695" t="s">
        <v>5216</v>
      </c>
      <c r="K1656" s="695" t="s">
        <v>3985</v>
      </c>
      <c r="L1656" s="696">
        <v>2</v>
      </c>
      <c r="M1656" s="170"/>
    </row>
    <row r="1657" spans="2:13" x14ac:dyDescent="0.2">
      <c r="B1657" s="173"/>
      <c r="C1657" s="694">
        <v>1</v>
      </c>
      <c r="D1657" s="695" t="s">
        <v>3903</v>
      </c>
      <c r="E1657" s="695">
        <v>3</v>
      </c>
      <c r="F1657" s="695" t="s">
        <v>4822</v>
      </c>
      <c r="G1657" s="695">
        <v>3</v>
      </c>
      <c r="H1657" s="695" t="s">
        <v>5161</v>
      </c>
      <c r="I1657" s="695">
        <v>61</v>
      </c>
      <c r="J1657" s="695" t="s">
        <v>5217</v>
      </c>
      <c r="K1657" s="695" t="s">
        <v>3907</v>
      </c>
      <c r="L1657" s="696">
        <v>1</v>
      </c>
      <c r="M1657" s="170"/>
    </row>
    <row r="1658" spans="2:13" x14ac:dyDescent="0.2">
      <c r="B1658" s="173"/>
      <c r="C1658" s="694">
        <v>1</v>
      </c>
      <c r="D1658" s="695" t="s">
        <v>3903</v>
      </c>
      <c r="E1658" s="695">
        <v>3</v>
      </c>
      <c r="F1658" s="695" t="s">
        <v>4822</v>
      </c>
      <c r="G1658" s="695">
        <v>3</v>
      </c>
      <c r="H1658" s="695" t="s">
        <v>5161</v>
      </c>
      <c r="I1658" s="695">
        <v>62</v>
      </c>
      <c r="J1658" s="695" t="s">
        <v>5218</v>
      </c>
      <c r="K1658" s="695" t="s">
        <v>8544</v>
      </c>
      <c r="L1658" s="696">
        <v>5</v>
      </c>
      <c r="M1658" s="170"/>
    </row>
    <row r="1659" spans="2:13" x14ac:dyDescent="0.2">
      <c r="B1659" s="173"/>
      <c r="C1659" s="694">
        <v>1</v>
      </c>
      <c r="D1659" s="695" t="s">
        <v>3903</v>
      </c>
      <c r="E1659" s="695">
        <v>3</v>
      </c>
      <c r="F1659" s="695" t="s">
        <v>4822</v>
      </c>
      <c r="G1659" s="695">
        <v>3</v>
      </c>
      <c r="H1659" s="695" t="s">
        <v>5161</v>
      </c>
      <c r="I1659" s="695">
        <v>63</v>
      </c>
      <c r="J1659" s="695" t="s">
        <v>5219</v>
      </c>
      <c r="K1659" s="695" t="s">
        <v>3907</v>
      </c>
      <c r="L1659" s="696">
        <v>4</v>
      </c>
      <c r="M1659" s="170"/>
    </row>
    <row r="1660" spans="2:13" x14ac:dyDescent="0.2">
      <c r="B1660" s="173"/>
      <c r="C1660" s="694">
        <v>1</v>
      </c>
      <c r="D1660" s="695" t="s">
        <v>3903</v>
      </c>
      <c r="E1660" s="695">
        <v>3</v>
      </c>
      <c r="F1660" s="695" t="s">
        <v>4822</v>
      </c>
      <c r="G1660" s="695">
        <v>3</v>
      </c>
      <c r="H1660" s="695" t="s">
        <v>5161</v>
      </c>
      <c r="I1660" s="695">
        <v>64</v>
      </c>
      <c r="J1660" s="695" t="s">
        <v>5220</v>
      </c>
      <c r="K1660" s="695" t="s">
        <v>3907</v>
      </c>
      <c r="L1660" s="696">
        <v>3</v>
      </c>
      <c r="M1660" s="170"/>
    </row>
    <row r="1661" spans="2:13" x14ac:dyDescent="0.2">
      <c r="B1661" s="173"/>
      <c r="C1661" s="694">
        <v>1</v>
      </c>
      <c r="D1661" s="695" t="s">
        <v>3903</v>
      </c>
      <c r="E1661" s="695">
        <v>3</v>
      </c>
      <c r="F1661" s="695" t="s">
        <v>4822</v>
      </c>
      <c r="G1661" s="695">
        <v>3</v>
      </c>
      <c r="H1661" s="695" t="s">
        <v>5161</v>
      </c>
      <c r="I1661" s="695">
        <v>65</v>
      </c>
      <c r="J1661" s="695" t="s">
        <v>5221</v>
      </c>
      <c r="K1661" s="695" t="s">
        <v>3907</v>
      </c>
      <c r="L1661" s="696">
        <v>9</v>
      </c>
      <c r="M1661" s="170"/>
    </row>
    <row r="1662" spans="2:13" x14ac:dyDescent="0.2">
      <c r="B1662" s="173"/>
      <c r="C1662" s="694">
        <v>1</v>
      </c>
      <c r="D1662" s="695" t="s">
        <v>3903</v>
      </c>
      <c r="E1662" s="695">
        <v>3</v>
      </c>
      <c r="F1662" s="695" t="s">
        <v>4822</v>
      </c>
      <c r="G1662" s="695">
        <v>3</v>
      </c>
      <c r="H1662" s="695" t="s">
        <v>5161</v>
      </c>
      <c r="I1662" s="695">
        <v>66</v>
      </c>
      <c r="J1662" s="695" t="s">
        <v>5222</v>
      </c>
      <c r="K1662" s="695" t="s">
        <v>3907</v>
      </c>
      <c r="L1662" s="696">
        <v>1</v>
      </c>
      <c r="M1662" s="170"/>
    </row>
    <row r="1663" spans="2:13" x14ac:dyDescent="0.2">
      <c r="B1663" s="173"/>
      <c r="C1663" s="694">
        <v>1</v>
      </c>
      <c r="D1663" s="695" t="s">
        <v>3903</v>
      </c>
      <c r="E1663" s="695">
        <v>3</v>
      </c>
      <c r="F1663" s="695" t="s">
        <v>4822</v>
      </c>
      <c r="G1663" s="695">
        <v>3</v>
      </c>
      <c r="H1663" s="695" t="s">
        <v>5161</v>
      </c>
      <c r="I1663" s="695">
        <v>67</v>
      </c>
      <c r="J1663" s="695" t="s">
        <v>5223</v>
      </c>
      <c r="K1663" s="695" t="s">
        <v>3907</v>
      </c>
      <c r="L1663" s="696">
        <v>2</v>
      </c>
      <c r="M1663" s="170"/>
    </row>
    <row r="1664" spans="2:13" x14ac:dyDescent="0.2">
      <c r="B1664" s="173"/>
      <c r="C1664" s="694">
        <v>1</v>
      </c>
      <c r="D1664" s="695" t="s">
        <v>3903</v>
      </c>
      <c r="E1664" s="695">
        <v>3</v>
      </c>
      <c r="F1664" s="695" t="s">
        <v>4822</v>
      </c>
      <c r="G1664" s="695">
        <v>3</v>
      </c>
      <c r="H1664" s="695" t="s">
        <v>5161</v>
      </c>
      <c r="I1664" s="695">
        <v>68</v>
      </c>
      <c r="J1664" s="695" t="s">
        <v>5224</v>
      </c>
      <c r="K1664" s="695" t="s">
        <v>3907</v>
      </c>
      <c r="L1664" s="696">
        <v>3</v>
      </c>
      <c r="M1664" s="170"/>
    </row>
    <row r="1665" spans="2:13" x14ac:dyDescent="0.2">
      <c r="B1665" s="173"/>
      <c r="C1665" s="694">
        <v>1</v>
      </c>
      <c r="D1665" s="695" t="s">
        <v>3903</v>
      </c>
      <c r="E1665" s="695">
        <v>3</v>
      </c>
      <c r="F1665" s="695" t="s">
        <v>4822</v>
      </c>
      <c r="G1665" s="695">
        <v>3</v>
      </c>
      <c r="H1665" s="695" t="s">
        <v>5161</v>
      </c>
      <c r="I1665" s="695">
        <v>69</v>
      </c>
      <c r="J1665" s="695" t="s">
        <v>5225</v>
      </c>
      <c r="K1665" s="695" t="s">
        <v>3907</v>
      </c>
      <c r="L1665" s="696">
        <v>1</v>
      </c>
      <c r="M1665" s="170"/>
    </row>
    <row r="1666" spans="2:13" x14ac:dyDescent="0.2">
      <c r="B1666" s="173"/>
      <c r="C1666" s="694">
        <v>1</v>
      </c>
      <c r="D1666" s="695" t="s">
        <v>3903</v>
      </c>
      <c r="E1666" s="695">
        <v>3</v>
      </c>
      <c r="F1666" s="695" t="s">
        <v>4822</v>
      </c>
      <c r="G1666" s="695">
        <v>3</v>
      </c>
      <c r="H1666" s="695" t="s">
        <v>5161</v>
      </c>
      <c r="I1666" s="695">
        <v>70</v>
      </c>
      <c r="J1666" s="695" t="s">
        <v>5226</v>
      </c>
      <c r="K1666" s="695" t="s">
        <v>3907</v>
      </c>
      <c r="L1666" s="696">
        <v>4</v>
      </c>
      <c r="M1666" s="170"/>
    </row>
    <row r="1667" spans="2:13" x14ac:dyDescent="0.2">
      <c r="B1667" s="173"/>
      <c r="C1667" s="694">
        <v>1</v>
      </c>
      <c r="D1667" s="695" t="s">
        <v>3903</v>
      </c>
      <c r="E1667" s="695">
        <v>3</v>
      </c>
      <c r="F1667" s="695" t="s">
        <v>4822</v>
      </c>
      <c r="G1667" s="695">
        <v>3</v>
      </c>
      <c r="H1667" s="695" t="s">
        <v>5161</v>
      </c>
      <c r="I1667" s="695">
        <v>71</v>
      </c>
      <c r="J1667" s="695" t="s">
        <v>5227</v>
      </c>
      <c r="K1667" s="695" t="s">
        <v>3907</v>
      </c>
      <c r="L1667" s="696">
        <v>2</v>
      </c>
      <c r="M1667" s="170"/>
    </row>
    <row r="1668" spans="2:13" x14ac:dyDescent="0.2">
      <c r="B1668" s="173"/>
      <c r="C1668" s="694">
        <v>1</v>
      </c>
      <c r="D1668" s="695" t="s">
        <v>3903</v>
      </c>
      <c r="E1668" s="695">
        <v>3</v>
      </c>
      <c r="F1668" s="695" t="s">
        <v>4822</v>
      </c>
      <c r="G1668" s="695">
        <v>3</v>
      </c>
      <c r="H1668" s="695" t="s">
        <v>5161</v>
      </c>
      <c r="I1668" s="695">
        <v>72</v>
      </c>
      <c r="J1668" s="695" t="s">
        <v>5228</v>
      </c>
      <c r="K1668" s="695" t="s">
        <v>3907</v>
      </c>
      <c r="L1668" s="696">
        <v>15</v>
      </c>
      <c r="M1668" s="170"/>
    </row>
    <row r="1669" spans="2:13" x14ac:dyDescent="0.2">
      <c r="B1669" s="173"/>
      <c r="C1669" s="694">
        <v>1</v>
      </c>
      <c r="D1669" s="695" t="s">
        <v>3903</v>
      </c>
      <c r="E1669" s="695">
        <v>3</v>
      </c>
      <c r="F1669" s="695" t="s">
        <v>4822</v>
      </c>
      <c r="G1669" s="695">
        <v>3</v>
      </c>
      <c r="H1669" s="695" t="s">
        <v>5161</v>
      </c>
      <c r="I1669" s="695">
        <v>73</v>
      </c>
      <c r="J1669" s="695" t="s">
        <v>5229</v>
      </c>
      <c r="K1669" s="695" t="s">
        <v>3907</v>
      </c>
      <c r="L1669" s="696">
        <v>1</v>
      </c>
      <c r="M1669" s="170"/>
    </row>
    <row r="1670" spans="2:13" x14ac:dyDescent="0.2">
      <c r="B1670" s="173"/>
      <c r="C1670" s="694">
        <v>1</v>
      </c>
      <c r="D1670" s="695" t="s">
        <v>3903</v>
      </c>
      <c r="E1670" s="695">
        <v>3</v>
      </c>
      <c r="F1670" s="695" t="s">
        <v>4822</v>
      </c>
      <c r="G1670" s="695">
        <v>3</v>
      </c>
      <c r="H1670" s="695" t="s">
        <v>5161</v>
      </c>
      <c r="I1670" s="695">
        <v>74</v>
      </c>
      <c r="J1670" s="695" t="s">
        <v>5230</v>
      </c>
      <c r="K1670" s="695" t="s">
        <v>3907</v>
      </c>
      <c r="L1670" s="696">
        <v>4</v>
      </c>
      <c r="M1670" s="170"/>
    </row>
    <row r="1671" spans="2:13" x14ac:dyDescent="0.2">
      <c r="B1671" s="173"/>
      <c r="C1671" s="694">
        <v>1</v>
      </c>
      <c r="D1671" s="695" t="s">
        <v>3903</v>
      </c>
      <c r="E1671" s="695">
        <v>3</v>
      </c>
      <c r="F1671" s="695" t="s">
        <v>4822</v>
      </c>
      <c r="G1671" s="695">
        <v>3</v>
      </c>
      <c r="H1671" s="695" t="s">
        <v>5161</v>
      </c>
      <c r="I1671" s="695">
        <v>75</v>
      </c>
      <c r="J1671" s="695" t="s">
        <v>5231</v>
      </c>
      <c r="K1671" s="695" t="s">
        <v>3985</v>
      </c>
      <c r="L1671" s="696">
        <v>2</v>
      </c>
      <c r="M1671" s="170"/>
    </row>
    <row r="1672" spans="2:13" x14ac:dyDescent="0.2">
      <c r="B1672" s="173"/>
      <c r="C1672" s="694">
        <v>1</v>
      </c>
      <c r="D1672" s="695" t="s">
        <v>3903</v>
      </c>
      <c r="E1672" s="695">
        <v>3</v>
      </c>
      <c r="F1672" s="695" t="s">
        <v>4822</v>
      </c>
      <c r="G1672" s="695">
        <v>3</v>
      </c>
      <c r="H1672" s="695" t="s">
        <v>5161</v>
      </c>
      <c r="I1672" s="695">
        <v>76</v>
      </c>
      <c r="J1672" s="695" t="s">
        <v>5232</v>
      </c>
      <c r="K1672" s="695" t="s">
        <v>3907</v>
      </c>
      <c r="L1672" s="696">
        <v>2</v>
      </c>
      <c r="M1672" s="170"/>
    </row>
    <row r="1673" spans="2:13" x14ac:dyDescent="0.2">
      <c r="B1673" s="173"/>
      <c r="C1673" s="694">
        <v>1</v>
      </c>
      <c r="D1673" s="695" t="s">
        <v>3903</v>
      </c>
      <c r="E1673" s="695">
        <v>3</v>
      </c>
      <c r="F1673" s="695" t="s">
        <v>4822</v>
      </c>
      <c r="G1673" s="695">
        <v>3</v>
      </c>
      <c r="H1673" s="695" t="s">
        <v>5161</v>
      </c>
      <c r="I1673" s="695">
        <v>77</v>
      </c>
      <c r="J1673" s="695" t="s">
        <v>5233</v>
      </c>
      <c r="K1673" s="695" t="s">
        <v>3907</v>
      </c>
      <c r="L1673" s="696">
        <v>3</v>
      </c>
      <c r="M1673" s="170"/>
    </row>
    <row r="1674" spans="2:13" x14ac:dyDescent="0.2">
      <c r="B1674" s="173"/>
      <c r="C1674" s="694">
        <v>1</v>
      </c>
      <c r="D1674" s="695" t="s">
        <v>3903</v>
      </c>
      <c r="E1674" s="695">
        <v>3</v>
      </c>
      <c r="F1674" s="695" t="s">
        <v>4822</v>
      </c>
      <c r="G1674" s="695">
        <v>3</v>
      </c>
      <c r="H1674" s="695" t="s">
        <v>5161</v>
      </c>
      <c r="I1674" s="695">
        <v>78</v>
      </c>
      <c r="J1674" s="695" t="s">
        <v>5234</v>
      </c>
      <c r="K1674" s="695" t="s">
        <v>3907</v>
      </c>
      <c r="L1674" s="696">
        <v>4</v>
      </c>
      <c r="M1674" s="170"/>
    </row>
    <row r="1675" spans="2:13" x14ac:dyDescent="0.2">
      <c r="B1675" s="173"/>
      <c r="C1675" s="694">
        <v>1</v>
      </c>
      <c r="D1675" s="695" t="s">
        <v>3903</v>
      </c>
      <c r="E1675" s="695">
        <v>3</v>
      </c>
      <c r="F1675" s="695" t="s">
        <v>4822</v>
      </c>
      <c r="G1675" s="695">
        <v>3</v>
      </c>
      <c r="H1675" s="695" t="s">
        <v>5161</v>
      </c>
      <c r="I1675" s="695">
        <v>79</v>
      </c>
      <c r="J1675" s="695" t="s">
        <v>5235</v>
      </c>
      <c r="K1675" s="695" t="s">
        <v>3907</v>
      </c>
      <c r="L1675" s="696">
        <v>5</v>
      </c>
      <c r="M1675" s="170"/>
    </row>
    <row r="1676" spans="2:13" x14ac:dyDescent="0.2">
      <c r="B1676" s="173"/>
      <c r="C1676" s="694">
        <v>1</v>
      </c>
      <c r="D1676" s="695" t="s">
        <v>3903</v>
      </c>
      <c r="E1676" s="695">
        <v>3</v>
      </c>
      <c r="F1676" s="695" t="s">
        <v>4822</v>
      </c>
      <c r="G1676" s="695">
        <v>3</v>
      </c>
      <c r="H1676" s="695" t="s">
        <v>5161</v>
      </c>
      <c r="I1676" s="695">
        <v>80</v>
      </c>
      <c r="J1676" s="695" t="s">
        <v>5236</v>
      </c>
      <c r="K1676" s="695" t="s">
        <v>3907</v>
      </c>
      <c r="L1676" s="696">
        <v>18</v>
      </c>
      <c r="M1676" s="170"/>
    </row>
    <row r="1677" spans="2:13" x14ac:dyDescent="0.2">
      <c r="B1677" s="173"/>
      <c r="C1677" s="694">
        <v>1</v>
      </c>
      <c r="D1677" s="695" t="s">
        <v>3903</v>
      </c>
      <c r="E1677" s="695">
        <v>3</v>
      </c>
      <c r="F1677" s="695" t="s">
        <v>4822</v>
      </c>
      <c r="G1677" s="695">
        <v>3</v>
      </c>
      <c r="H1677" s="695" t="s">
        <v>5161</v>
      </c>
      <c r="I1677" s="695">
        <v>81</v>
      </c>
      <c r="J1677" s="695" t="s">
        <v>5237</v>
      </c>
      <c r="K1677" s="695" t="s">
        <v>3907</v>
      </c>
      <c r="L1677" s="696">
        <v>6</v>
      </c>
      <c r="M1677" s="170"/>
    </row>
    <row r="1678" spans="2:13" x14ac:dyDescent="0.2">
      <c r="B1678" s="173"/>
      <c r="C1678" s="694">
        <v>1</v>
      </c>
      <c r="D1678" s="695" t="s">
        <v>3903</v>
      </c>
      <c r="E1678" s="695">
        <v>3</v>
      </c>
      <c r="F1678" s="695" t="s">
        <v>4822</v>
      </c>
      <c r="G1678" s="695">
        <v>3</v>
      </c>
      <c r="H1678" s="695" t="s">
        <v>5161</v>
      </c>
      <c r="I1678" s="695">
        <v>82</v>
      </c>
      <c r="J1678" s="695" t="s">
        <v>5238</v>
      </c>
      <c r="K1678" s="695" t="s">
        <v>3907</v>
      </c>
      <c r="L1678" s="696">
        <v>1</v>
      </c>
      <c r="M1678" s="170"/>
    </row>
    <row r="1679" spans="2:13" x14ac:dyDescent="0.2">
      <c r="B1679" s="173"/>
      <c r="C1679" s="694">
        <v>1</v>
      </c>
      <c r="D1679" s="695" t="s">
        <v>3903</v>
      </c>
      <c r="E1679" s="695">
        <v>3</v>
      </c>
      <c r="F1679" s="695" t="s">
        <v>4822</v>
      </c>
      <c r="G1679" s="695">
        <v>3</v>
      </c>
      <c r="H1679" s="695" t="s">
        <v>5161</v>
      </c>
      <c r="I1679" s="695">
        <v>83</v>
      </c>
      <c r="J1679" s="695" t="s">
        <v>5239</v>
      </c>
      <c r="K1679" s="695" t="s">
        <v>3907</v>
      </c>
      <c r="L1679" s="696">
        <v>2</v>
      </c>
      <c r="M1679" s="170"/>
    </row>
    <row r="1680" spans="2:13" x14ac:dyDescent="0.2">
      <c r="B1680" s="173"/>
      <c r="C1680" s="694">
        <v>1</v>
      </c>
      <c r="D1680" s="695" t="s">
        <v>3903</v>
      </c>
      <c r="E1680" s="695">
        <v>3</v>
      </c>
      <c r="F1680" s="695" t="s">
        <v>4822</v>
      </c>
      <c r="G1680" s="695">
        <v>3</v>
      </c>
      <c r="H1680" s="695" t="s">
        <v>5161</v>
      </c>
      <c r="I1680" s="695">
        <v>84</v>
      </c>
      <c r="J1680" s="695" t="s">
        <v>5240</v>
      </c>
      <c r="K1680" s="695" t="s">
        <v>3907</v>
      </c>
      <c r="L1680" s="696">
        <v>3</v>
      </c>
      <c r="M1680" s="170"/>
    </row>
    <row r="1681" spans="2:13" x14ac:dyDescent="0.2">
      <c r="B1681" s="173"/>
      <c r="C1681" s="694">
        <v>1</v>
      </c>
      <c r="D1681" s="695" t="s">
        <v>3903</v>
      </c>
      <c r="E1681" s="695">
        <v>3</v>
      </c>
      <c r="F1681" s="695" t="s">
        <v>4822</v>
      </c>
      <c r="G1681" s="695">
        <v>3</v>
      </c>
      <c r="H1681" s="695" t="s">
        <v>5161</v>
      </c>
      <c r="I1681" s="695">
        <v>85</v>
      </c>
      <c r="J1681" s="695" t="s">
        <v>5241</v>
      </c>
      <c r="K1681" s="695" t="s">
        <v>3907</v>
      </c>
      <c r="L1681" s="696">
        <v>11</v>
      </c>
      <c r="M1681" s="170"/>
    </row>
    <row r="1682" spans="2:13" x14ac:dyDescent="0.2">
      <c r="B1682" s="173"/>
      <c r="C1682" s="694">
        <v>1</v>
      </c>
      <c r="D1682" s="695" t="s">
        <v>3903</v>
      </c>
      <c r="E1682" s="695">
        <v>3</v>
      </c>
      <c r="F1682" s="695" t="s">
        <v>4822</v>
      </c>
      <c r="G1682" s="695">
        <v>3</v>
      </c>
      <c r="H1682" s="695" t="s">
        <v>5161</v>
      </c>
      <c r="I1682" s="695">
        <v>86</v>
      </c>
      <c r="J1682" s="695" t="s">
        <v>5242</v>
      </c>
      <c r="K1682" s="695" t="s">
        <v>3907</v>
      </c>
      <c r="L1682" s="696">
        <v>4</v>
      </c>
      <c r="M1682" s="170"/>
    </row>
    <row r="1683" spans="2:13" x14ac:dyDescent="0.2">
      <c r="B1683" s="173"/>
      <c r="C1683" s="694">
        <v>1</v>
      </c>
      <c r="D1683" s="695" t="s">
        <v>3903</v>
      </c>
      <c r="E1683" s="695">
        <v>3</v>
      </c>
      <c r="F1683" s="695" t="s">
        <v>4822</v>
      </c>
      <c r="G1683" s="695">
        <v>3</v>
      </c>
      <c r="H1683" s="695" t="s">
        <v>5161</v>
      </c>
      <c r="I1683" s="695">
        <v>87</v>
      </c>
      <c r="J1683" s="695" t="s">
        <v>5160</v>
      </c>
      <c r="K1683" s="695" t="s">
        <v>3907</v>
      </c>
      <c r="L1683" s="696">
        <v>6</v>
      </c>
      <c r="M1683" s="170"/>
    </row>
    <row r="1684" spans="2:13" x14ac:dyDescent="0.2">
      <c r="B1684" s="173"/>
      <c r="C1684" s="694">
        <v>1</v>
      </c>
      <c r="D1684" s="695" t="s">
        <v>3903</v>
      </c>
      <c r="E1684" s="695">
        <v>3</v>
      </c>
      <c r="F1684" s="695" t="s">
        <v>4822</v>
      </c>
      <c r="G1684" s="695">
        <v>3</v>
      </c>
      <c r="H1684" s="695" t="s">
        <v>5161</v>
      </c>
      <c r="I1684" s="695">
        <v>88</v>
      </c>
      <c r="J1684" s="695" t="s">
        <v>5243</v>
      </c>
      <c r="K1684" s="695" t="s">
        <v>3907</v>
      </c>
      <c r="L1684" s="696">
        <v>1</v>
      </c>
      <c r="M1684" s="170"/>
    </row>
    <row r="1685" spans="2:13" x14ac:dyDescent="0.2">
      <c r="B1685" s="173"/>
      <c r="C1685" s="694">
        <v>1</v>
      </c>
      <c r="D1685" s="695" t="s">
        <v>3903</v>
      </c>
      <c r="E1685" s="695">
        <v>3</v>
      </c>
      <c r="F1685" s="695" t="s">
        <v>4822</v>
      </c>
      <c r="G1685" s="695">
        <v>3</v>
      </c>
      <c r="H1685" s="695" t="s">
        <v>5161</v>
      </c>
      <c r="I1685" s="695">
        <v>89</v>
      </c>
      <c r="J1685" s="695" t="s">
        <v>5244</v>
      </c>
      <c r="K1685" s="695" t="s">
        <v>3907</v>
      </c>
      <c r="L1685" s="696">
        <v>4</v>
      </c>
      <c r="M1685" s="170"/>
    </row>
    <row r="1686" spans="2:13" x14ac:dyDescent="0.2">
      <c r="B1686" s="173"/>
      <c r="C1686" s="694">
        <v>1</v>
      </c>
      <c r="D1686" s="695" t="s">
        <v>3903</v>
      </c>
      <c r="E1686" s="695">
        <v>3</v>
      </c>
      <c r="F1686" s="695" t="s">
        <v>4822</v>
      </c>
      <c r="G1686" s="695">
        <v>3</v>
      </c>
      <c r="H1686" s="695" t="s">
        <v>5161</v>
      </c>
      <c r="I1686" s="695">
        <v>90</v>
      </c>
      <c r="J1686" s="695" t="s">
        <v>8846</v>
      </c>
      <c r="K1686" s="695" t="s">
        <v>3985</v>
      </c>
      <c r="L1686" s="696">
        <v>25</v>
      </c>
      <c r="M1686" s="170"/>
    </row>
    <row r="1687" spans="2:13" x14ac:dyDescent="0.2">
      <c r="B1687" s="173"/>
      <c r="C1687" s="694">
        <v>1</v>
      </c>
      <c r="D1687" s="695" t="s">
        <v>3903</v>
      </c>
      <c r="E1687" s="695">
        <v>3</v>
      </c>
      <c r="F1687" s="695" t="s">
        <v>4822</v>
      </c>
      <c r="G1687" s="695">
        <v>3</v>
      </c>
      <c r="H1687" s="695" t="s">
        <v>5161</v>
      </c>
      <c r="I1687" s="695">
        <v>91</v>
      </c>
      <c r="J1687" s="695" t="s">
        <v>8847</v>
      </c>
      <c r="K1687" s="695" t="s">
        <v>3907</v>
      </c>
      <c r="L1687" s="696">
        <v>15</v>
      </c>
      <c r="M1687" s="170"/>
    </row>
    <row r="1688" spans="2:13" x14ac:dyDescent="0.2">
      <c r="B1688" s="173"/>
      <c r="C1688" s="694">
        <v>1</v>
      </c>
      <c r="D1688" s="695" t="s">
        <v>3903</v>
      </c>
      <c r="E1688" s="695">
        <v>3</v>
      </c>
      <c r="F1688" s="695" t="s">
        <v>4822</v>
      </c>
      <c r="G1688" s="695">
        <v>3</v>
      </c>
      <c r="H1688" s="695" t="s">
        <v>5161</v>
      </c>
      <c r="I1688" s="695">
        <v>92</v>
      </c>
      <c r="J1688" s="695" t="s">
        <v>8798</v>
      </c>
      <c r="K1688" s="695" t="s">
        <v>3907</v>
      </c>
      <c r="L1688" s="696">
        <v>2</v>
      </c>
      <c r="M1688" s="170"/>
    </row>
    <row r="1689" spans="2:13" x14ac:dyDescent="0.2">
      <c r="B1689" s="173"/>
      <c r="C1689" s="694">
        <v>1</v>
      </c>
      <c r="D1689" s="695" t="s">
        <v>3903</v>
      </c>
      <c r="E1689" s="695">
        <v>3</v>
      </c>
      <c r="F1689" s="695" t="s">
        <v>4822</v>
      </c>
      <c r="G1689" s="695">
        <v>3</v>
      </c>
      <c r="H1689" s="695" t="s">
        <v>5161</v>
      </c>
      <c r="I1689" s="695">
        <v>93</v>
      </c>
      <c r="J1689" s="695" t="s">
        <v>8848</v>
      </c>
      <c r="K1689" s="695" t="s">
        <v>3907</v>
      </c>
      <c r="L1689" s="696">
        <v>7</v>
      </c>
      <c r="M1689" s="170"/>
    </row>
    <row r="1690" spans="2:13" x14ac:dyDescent="0.2">
      <c r="B1690" s="173"/>
      <c r="C1690" s="694">
        <v>1</v>
      </c>
      <c r="D1690" s="695" t="s">
        <v>3903</v>
      </c>
      <c r="E1690" s="695">
        <v>3</v>
      </c>
      <c r="F1690" s="695" t="s">
        <v>4822</v>
      </c>
      <c r="G1690" s="695">
        <v>3</v>
      </c>
      <c r="H1690" s="695" t="s">
        <v>5161</v>
      </c>
      <c r="I1690" s="695">
        <v>94</v>
      </c>
      <c r="J1690" s="695" t="s">
        <v>8849</v>
      </c>
      <c r="K1690" s="695" t="s">
        <v>3907</v>
      </c>
      <c r="L1690" s="696">
        <v>14</v>
      </c>
      <c r="M1690" s="170"/>
    </row>
    <row r="1691" spans="2:13" x14ac:dyDescent="0.2">
      <c r="B1691" s="173"/>
      <c r="C1691" s="694">
        <v>1</v>
      </c>
      <c r="D1691" s="695" t="s">
        <v>3903</v>
      </c>
      <c r="E1691" s="695">
        <v>3</v>
      </c>
      <c r="F1691" s="695" t="s">
        <v>4822</v>
      </c>
      <c r="G1691" s="695">
        <v>3</v>
      </c>
      <c r="H1691" s="695" t="s">
        <v>5161</v>
      </c>
      <c r="I1691" s="695">
        <v>95</v>
      </c>
      <c r="J1691" s="695" t="s">
        <v>8850</v>
      </c>
      <c r="K1691" s="695" t="s">
        <v>8544</v>
      </c>
      <c r="L1691" s="696">
        <v>1</v>
      </c>
      <c r="M1691" s="170"/>
    </row>
    <row r="1692" spans="2:13" x14ac:dyDescent="0.2">
      <c r="B1692" s="173"/>
      <c r="C1692" s="694">
        <v>1</v>
      </c>
      <c r="D1692" s="695" t="s">
        <v>3903</v>
      </c>
      <c r="E1692" s="695">
        <v>3</v>
      </c>
      <c r="F1692" s="695" t="s">
        <v>4822</v>
      </c>
      <c r="G1692" s="695">
        <v>3</v>
      </c>
      <c r="H1692" s="695" t="s">
        <v>5161</v>
      </c>
      <c r="I1692" s="695">
        <v>96</v>
      </c>
      <c r="J1692" s="695" t="s">
        <v>8851</v>
      </c>
      <c r="K1692" s="695" t="s">
        <v>8544</v>
      </c>
      <c r="L1692" s="696">
        <v>4</v>
      </c>
      <c r="M1692" s="170"/>
    </row>
    <row r="1693" spans="2:13" x14ac:dyDescent="0.2">
      <c r="B1693" s="173"/>
      <c r="C1693" s="694">
        <v>1</v>
      </c>
      <c r="D1693" s="695" t="s">
        <v>3903</v>
      </c>
      <c r="E1693" s="695">
        <v>3</v>
      </c>
      <c r="F1693" s="695" t="s">
        <v>4822</v>
      </c>
      <c r="G1693" s="695">
        <v>3</v>
      </c>
      <c r="H1693" s="695" t="s">
        <v>5161</v>
      </c>
      <c r="I1693" s="695">
        <v>97</v>
      </c>
      <c r="J1693" s="695" t="s">
        <v>8852</v>
      </c>
      <c r="K1693" s="695" t="s">
        <v>8544</v>
      </c>
      <c r="L1693" s="696">
        <v>2</v>
      </c>
      <c r="M1693" s="170"/>
    </row>
    <row r="1694" spans="2:13" x14ac:dyDescent="0.2">
      <c r="B1694" s="173"/>
      <c r="C1694" s="694">
        <v>1</v>
      </c>
      <c r="D1694" s="695" t="s">
        <v>3903</v>
      </c>
      <c r="E1694" s="695">
        <v>3</v>
      </c>
      <c r="F1694" s="695" t="s">
        <v>4822</v>
      </c>
      <c r="G1694" s="695">
        <v>3</v>
      </c>
      <c r="H1694" s="695" t="s">
        <v>5161</v>
      </c>
      <c r="I1694" s="695">
        <v>98</v>
      </c>
      <c r="J1694" s="695" t="s">
        <v>8853</v>
      </c>
      <c r="K1694" s="695" t="s">
        <v>8544</v>
      </c>
      <c r="L1694" s="696">
        <v>1</v>
      </c>
      <c r="M1694" s="170"/>
    </row>
    <row r="1695" spans="2:13" x14ac:dyDescent="0.2">
      <c r="B1695" s="173"/>
      <c r="C1695" s="694">
        <v>1</v>
      </c>
      <c r="D1695" s="695" t="s">
        <v>3903</v>
      </c>
      <c r="E1695" s="695">
        <v>3</v>
      </c>
      <c r="F1695" s="695" t="s">
        <v>4822</v>
      </c>
      <c r="G1695" s="695">
        <v>3</v>
      </c>
      <c r="H1695" s="695" t="s">
        <v>5161</v>
      </c>
      <c r="I1695" s="695">
        <v>99</v>
      </c>
      <c r="J1695" s="695" t="s">
        <v>8854</v>
      </c>
      <c r="K1695" s="695" t="s">
        <v>8544</v>
      </c>
      <c r="L1695" s="696">
        <v>0</v>
      </c>
      <c r="M1695" s="170"/>
    </row>
    <row r="1696" spans="2:13" x14ac:dyDescent="0.2">
      <c r="B1696" s="173"/>
      <c r="C1696" s="694">
        <v>1</v>
      </c>
      <c r="D1696" s="695" t="s">
        <v>3903</v>
      </c>
      <c r="E1696" s="695">
        <v>3</v>
      </c>
      <c r="F1696" s="695" t="s">
        <v>4822</v>
      </c>
      <c r="G1696" s="695">
        <v>3</v>
      </c>
      <c r="H1696" s="695" t="s">
        <v>5161</v>
      </c>
      <c r="I1696" s="695">
        <v>100</v>
      </c>
      <c r="J1696" s="695" t="s">
        <v>8855</v>
      </c>
      <c r="K1696" s="695" t="s">
        <v>8544</v>
      </c>
      <c r="L1696" s="696">
        <v>1</v>
      </c>
      <c r="M1696" s="170"/>
    </row>
    <row r="1697" spans="2:13" x14ac:dyDescent="0.2">
      <c r="B1697" s="173"/>
      <c r="C1697" s="694">
        <v>1</v>
      </c>
      <c r="D1697" s="695" t="s">
        <v>3903</v>
      </c>
      <c r="E1697" s="695">
        <v>3</v>
      </c>
      <c r="F1697" s="695" t="s">
        <v>4822</v>
      </c>
      <c r="G1697" s="695">
        <v>3</v>
      </c>
      <c r="H1697" s="695" t="s">
        <v>5161</v>
      </c>
      <c r="I1697" s="695">
        <v>101</v>
      </c>
      <c r="J1697" s="695" t="s">
        <v>8856</v>
      </c>
      <c r="K1697" s="695" t="s">
        <v>3985</v>
      </c>
      <c r="L1697" s="696">
        <v>10</v>
      </c>
      <c r="M1697" s="170"/>
    </row>
    <row r="1698" spans="2:13" x14ac:dyDescent="0.2">
      <c r="B1698" s="173"/>
      <c r="C1698" s="694">
        <v>1</v>
      </c>
      <c r="D1698" s="695" t="s">
        <v>3903</v>
      </c>
      <c r="E1698" s="695">
        <v>3</v>
      </c>
      <c r="F1698" s="695" t="s">
        <v>4822</v>
      </c>
      <c r="G1698" s="695">
        <v>3</v>
      </c>
      <c r="H1698" s="695" t="s">
        <v>5161</v>
      </c>
      <c r="I1698" s="695">
        <v>102</v>
      </c>
      <c r="J1698" s="695" t="s">
        <v>8857</v>
      </c>
      <c r="K1698" s="695" t="s">
        <v>8544</v>
      </c>
      <c r="L1698" s="696">
        <v>2</v>
      </c>
      <c r="M1698" s="170"/>
    </row>
    <row r="1699" spans="2:13" x14ac:dyDescent="0.2">
      <c r="B1699" s="173"/>
      <c r="C1699" s="694">
        <v>1</v>
      </c>
      <c r="D1699" s="695" t="s">
        <v>3903</v>
      </c>
      <c r="E1699" s="695">
        <v>3</v>
      </c>
      <c r="F1699" s="695" t="s">
        <v>4822</v>
      </c>
      <c r="G1699" s="695">
        <v>3</v>
      </c>
      <c r="H1699" s="695" t="s">
        <v>5161</v>
      </c>
      <c r="I1699" s="695">
        <v>103</v>
      </c>
      <c r="J1699" s="695" t="s">
        <v>8858</v>
      </c>
      <c r="K1699" s="695" t="s">
        <v>8544</v>
      </c>
      <c r="L1699" s="696">
        <v>4</v>
      </c>
      <c r="M1699" s="170"/>
    </row>
    <row r="1700" spans="2:13" x14ac:dyDescent="0.2">
      <c r="B1700" s="173"/>
      <c r="C1700" s="694">
        <v>1</v>
      </c>
      <c r="D1700" s="695" t="s">
        <v>3903</v>
      </c>
      <c r="E1700" s="695">
        <v>3</v>
      </c>
      <c r="F1700" s="695" t="s">
        <v>4822</v>
      </c>
      <c r="G1700" s="695">
        <v>3</v>
      </c>
      <c r="H1700" s="695" t="s">
        <v>5161</v>
      </c>
      <c r="I1700" s="695">
        <v>104</v>
      </c>
      <c r="J1700" s="695" t="s">
        <v>8859</v>
      </c>
      <c r="K1700" s="695" t="s">
        <v>8544</v>
      </c>
      <c r="L1700" s="696">
        <v>1</v>
      </c>
      <c r="M1700" s="170"/>
    </row>
    <row r="1701" spans="2:13" x14ac:dyDescent="0.2">
      <c r="B1701" s="173"/>
      <c r="C1701" s="694">
        <v>1</v>
      </c>
      <c r="D1701" s="695" t="s">
        <v>3903</v>
      </c>
      <c r="E1701" s="695">
        <v>3</v>
      </c>
      <c r="F1701" s="695" t="s">
        <v>4822</v>
      </c>
      <c r="G1701" s="695">
        <v>3</v>
      </c>
      <c r="H1701" s="695" t="s">
        <v>5161</v>
      </c>
      <c r="I1701" s="695">
        <v>105</v>
      </c>
      <c r="J1701" s="695" t="s">
        <v>8860</v>
      </c>
      <c r="K1701" s="695" t="s">
        <v>8544</v>
      </c>
      <c r="L1701" s="696">
        <v>1</v>
      </c>
      <c r="M1701" s="170"/>
    </row>
    <row r="1702" spans="2:13" x14ac:dyDescent="0.2">
      <c r="B1702" s="173"/>
      <c r="C1702" s="694">
        <v>1</v>
      </c>
      <c r="D1702" s="695" t="s">
        <v>3903</v>
      </c>
      <c r="E1702" s="695">
        <v>3</v>
      </c>
      <c r="F1702" s="695" t="s">
        <v>4822</v>
      </c>
      <c r="G1702" s="695">
        <v>3</v>
      </c>
      <c r="H1702" s="695" t="s">
        <v>5161</v>
      </c>
      <c r="I1702" s="695">
        <v>106</v>
      </c>
      <c r="J1702" s="695" t="s">
        <v>8861</v>
      </c>
      <c r="K1702" s="695" t="s">
        <v>8544</v>
      </c>
      <c r="L1702" s="696">
        <v>0</v>
      </c>
      <c r="M1702" s="170"/>
    </row>
    <row r="1703" spans="2:13" x14ac:dyDescent="0.2">
      <c r="B1703" s="173"/>
      <c r="C1703" s="694">
        <v>1</v>
      </c>
      <c r="D1703" s="695" t="s">
        <v>3903</v>
      </c>
      <c r="E1703" s="695">
        <v>3</v>
      </c>
      <c r="F1703" s="695" t="s">
        <v>4822</v>
      </c>
      <c r="G1703" s="695">
        <v>4</v>
      </c>
      <c r="H1703" s="695" t="s">
        <v>5245</v>
      </c>
      <c r="I1703" s="695">
        <v>1</v>
      </c>
      <c r="J1703" s="695" t="s">
        <v>5246</v>
      </c>
      <c r="K1703" s="695" t="s">
        <v>3907</v>
      </c>
      <c r="L1703" s="696">
        <v>7877</v>
      </c>
      <c r="M1703" s="170"/>
    </row>
    <row r="1704" spans="2:13" x14ac:dyDescent="0.2">
      <c r="B1704" s="173"/>
      <c r="C1704" s="694">
        <v>1</v>
      </c>
      <c r="D1704" s="695" t="s">
        <v>3903</v>
      </c>
      <c r="E1704" s="695">
        <v>3</v>
      </c>
      <c r="F1704" s="695" t="s">
        <v>4822</v>
      </c>
      <c r="G1704" s="695">
        <v>4</v>
      </c>
      <c r="H1704" s="695" t="s">
        <v>5245</v>
      </c>
      <c r="I1704" s="695">
        <v>2</v>
      </c>
      <c r="J1704" s="695" t="s">
        <v>5247</v>
      </c>
      <c r="K1704" s="695" t="s">
        <v>3907</v>
      </c>
      <c r="L1704" s="696">
        <v>6</v>
      </c>
      <c r="M1704" s="170"/>
    </row>
    <row r="1705" spans="2:13" x14ac:dyDescent="0.2">
      <c r="B1705" s="173"/>
      <c r="C1705" s="694">
        <v>1</v>
      </c>
      <c r="D1705" s="695" t="s">
        <v>3903</v>
      </c>
      <c r="E1705" s="695">
        <v>3</v>
      </c>
      <c r="F1705" s="695" t="s">
        <v>4822</v>
      </c>
      <c r="G1705" s="695">
        <v>4</v>
      </c>
      <c r="H1705" s="695" t="s">
        <v>5245</v>
      </c>
      <c r="I1705" s="695">
        <v>3</v>
      </c>
      <c r="J1705" s="695" t="s">
        <v>5248</v>
      </c>
      <c r="K1705" s="695" t="s">
        <v>3907</v>
      </c>
      <c r="L1705" s="696">
        <v>52</v>
      </c>
      <c r="M1705" s="170"/>
    </row>
    <row r="1706" spans="2:13" x14ac:dyDescent="0.2">
      <c r="B1706" s="173"/>
      <c r="C1706" s="694">
        <v>1</v>
      </c>
      <c r="D1706" s="695" t="s">
        <v>3903</v>
      </c>
      <c r="E1706" s="695">
        <v>3</v>
      </c>
      <c r="F1706" s="695" t="s">
        <v>4822</v>
      </c>
      <c r="G1706" s="695">
        <v>4</v>
      </c>
      <c r="H1706" s="695" t="s">
        <v>5245</v>
      </c>
      <c r="I1706" s="695">
        <v>4</v>
      </c>
      <c r="J1706" s="695" t="s">
        <v>5249</v>
      </c>
      <c r="K1706" s="695" t="s">
        <v>3907</v>
      </c>
      <c r="L1706" s="696">
        <v>6</v>
      </c>
      <c r="M1706" s="170"/>
    </row>
    <row r="1707" spans="2:13" x14ac:dyDescent="0.2">
      <c r="B1707" s="173"/>
      <c r="C1707" s="694">
        <v>1</v>
      </c>
      <c r="D1707" s="695" t="s">
        <v>3903</v>
      </c>
      <c r="E1707" s="695">
        <v>3</v>
      </c>
      <c r="F1707" s="695" t="s">
        <v>4822</v>
      </c>
      <c r="G1707" s="695">
        <v>4</v>
      </c>
      <c r="H1707" s="695" t="s">
        <v>5245</v>
      </c>
      <c r="I1707" s="695">
        <v>5</v>
      </c>
      <c r="J1707" s="695" t="s">
        <v>5250</v>
      </c>
      <c r="K1707" s="695" t="s">
        <v>3907</v>
      </c>
      <c r="L1707" s="696">
        <v>60</v>
      </c>
      <c r="M1707" s="170"/>
    </row>
    <row r="1708" spans="2:13" x14ac:dyDescent="0.2">
      <c r="B1708" s="173"/>
      <c r="C1708" s="694">
        <v>1</v>
      </c>
      <c r="D1708" s="695" t="s">
        <v>3903</v>
      </c>
      <c r="E1708" s="695">
        <v>3</v>
      </c>
      <c r="F1708" s="695" t="s">
        <v>4822</v>
      </c>
      <c r="G1708" s="695">
        <v>4</v>
      </c>
      <c r="H1708" s="695" t="s">
        <v>5245</v>
      </c>
      <c r="I1708" s="695">
        <v>6</v>
      </c>
      <c r="J1708" s="695" t="s">
        <v>5251</v>
      </c>
      <c r="K1708" s="695" t="s">
        <v>3907</v>
      </c>
      <c r="L1708" s="696">
        <v>3</v>
      </c>
      <c r="M1708" s="170"/>
    </row>
    <row r="1709" spans="2:13" x14ac:dyDescent="0.2">
      <c r="B1709" s="173"/>
      <c r="C1709" s="694">
        <v>1</v>
      </c>
      <c r="D1709" s="695" t="s">
        <v>3903</v>
      </c>
      <c r="E1709" s="695">
        <v>3</v>
      </c>
      <c r="F1709" s="695" t="s">
        <v>4822</v>
      </c>
      <c r="G1709" s="695">
        <v>4</v>
      </c>
      <c r="H1709" s="695" t="s">
        <v>5245</v>
      </c>
      <c r="I1709" s="695">
        <v>7</v>
      </c>
      <c r="J1709" s="695" t="s">
        <v>5252</v>
      </c>
      <c r="K1709" s="695" t="s">
        <v>3907</v>
      </c>
      <c r="L1709" s="696">
        <v>29</v>
      </c>
      <c r="M1709" s="170"/>
    </row>
    <row r="1710" spans="2:13" x14ac:dyDescent="0.2">
      <c r="B1710" s="173"/>
      <c r="C1710" s="694">
        <v>1</v>
      </c>
      <c r="D1710" s="695" t="s">
        <v>3903</v>
      </c>
      <c r="E1710" s="695">
        <v>3</v>
      </c>
      <c r="F1710" s="695" t="s">
        <v>4822</v>
      </c>
      <c r="G1710" s="695">
        <v>4</v>
      </c>
      <c r="H1710" s="695" t="s">
        <v>5245</v>
      </c>
      <c r="I1710" s="695">
        <v>8</v>
      </c>
      <c r="J1710" s="695" t="s">
        <v>5253</v>
      </c>
      <c r="K1710" s="695" t="s">
        <v>3907</v>
      </c>
      <c r="L1710" s="696">
        <v>0</v>
      </c>
      <c r="M1710" s="170"/>
    </row>
    <row r="1711" spans="2:13" x14ac:dyDescent="0.2">
      <c r="B1711" s="173"/>
      <c r="C1711" s="694">
        <v>1</v>
      </c>
      <c r="D1711" s="695" t="s">
        <v>3903</v>
      </c>
      <c r="E1711" s="695">
        <v>3</v>
      </c>
      <c r="F1711" s="695" t="s">
        <v>4822</v>
      </c>
      <c r="G1711" s="695">
        <v>4</v>
      </c>
      <c r="H1711" s="695" t="s">
        <v>5245</v>
      </c>
      <c r="I1711" s="695">
        <v>9</v>
      </c>
      <c r="J1711" s="695" t="s">
        <v>5254</v>
      </c>
      <c r="K1711" s="695" t="s">
        <v>3907</v>
      </c>
      <c r="L1711" s="696">
        <v>47</v>
      </c>
      <c r="M1711" s="170"/>
    </row>
    <row r="1712" spans="2:13" x14ac:dyDescent="0.2">
      <c r="B1712" s="173"/>
      <c r="C1712" s="694">
        <v>1</v>
      </c>
      <c r="D1712" s="695" t="s">
        <v>3903</v>
      </c>
      <c r="E1712" s="695">
        <v>3</v>
      </c>
      <c r="F1712" s="695" t="s">
        <v>4822</v>
      </c>
      <c r="G1712" s="695">
        <v>4</v>
      </c>
      <c r="H1712" s="695" t="s">
        <v>5245</v>
      </c>
      <c r="I1712" s="695">
        <v>10</v>
      </c>
      <c r="J1712" s="695" t="s">
        <v>5255</v>
      </c>
      <c r="K1712" s="695" t="s">
        <v>3907</v>
      </c>
      <c r="L1712" s="696">
        <v>1</v>
      </c>
      <c r="M1712" s="170"/>
    </row>
    <row r="1713" spans="2:13" x14ac:dyDescent="0.2">
      <c r="B1713" s="173"/>
      <c r="C1713" s="694">
        <v>1</v>
      </c>
      <c r="D1713" s="695" t="s">
        <v>3903</v>
      </c>
      <c r="E1713" s="695">
        <v>3</v>
      </c>
      <c r="F1713" s="695" t="s">
        <v>4822</v>
      </c>
      <c r="G1713" s="695">
        <v>4</v>
      </c>
      <c r="H1713" s="695" t="s">
        <v>5245</v>
      </c>
      <c r="I1713" s="695">
        <v>11</v>
      </c>
      <c r="J1713" s="695" t="s">
        <v>5256</v>
      </c>
      <c r="K1713" s="695" t="s">
        <v>3907</v>
      </c>
      <c r="L1713" s="696">
        <v>3</v>
      </c>
      <c r="M1713" s="170"/>
    </row>
    <row r="1714" spans="2:13" x14ac:dyDescent="0.2">
      <c r="B1714" s="173"/>
      <c r="C1714" s="694">
        <v>1</v>
      </c>
      <c r="D1714" s="695" t="s">
        <v>3903</v>
      </c>
      <c r="E1714" s="695">
        <v>3</v>
      </c>
      <c r="F1714" s="695" t="s">
        <v>4822</v>
      </c>
      <c r="G1714" s="695">
        <v>4</v>
      </c>
      <c r="H1714" s="695" t="s">
        <v>5245</v>
      </c>
      <c r="I1714" s="695">
        <v>12</v>
      </c>
      <c r="J1714" s="695" t="s">
        <v>5257</v>
      </c>
      <c r="K1714" s="695" t="s">
        <v>3907</v>
      </c>
      <c r="L1714" s="696">
        <v>3</v>
      </c>
      <c r="M1714" s="170"/>
    </row>
    <row r="1715" spans="2:13" x14ac:dyDescent="0.2">
      <c r="B1715" s="173"/>
      <c r="C1715" s="694">
        <v>1</v>
      </c>
      <c r="D1715" s="695" t="s">
        <v>3903</v>
      </c>
      <c r="E1715" s="695">
        <v>3</v>
      </c>
      <c r="F1715" s="695" t="s">
        <v>4822</v>
      </c>
      <c r="G1715" s="695">
        <v>4</v>
      </c>
      <c r="H1715" s="695" t="s">
        <v>5245</v>
      </c>
      <c r="I1715" s="695">
        <v>13</v>
      </c>
      <c r="J1715" s="695" t="s">
        <v>5258</v>
      </c>
      <c r="K1715" s="695" t="s">
        <v>3907</v>
      </c>
      <c r="L1715" s="696">
        <v>1</v>
      </c>
      <c r="M1715" s="170"/>
    </row>
    <row r="1716" spans="2:13" x14ac:dyDescent="0.2">
      <c r="B1716" s="173"/>
      <c r="C1716" s="694">
        <v>1</v>
      </c>
      <c r="D1716" s="695" t="s">
        <v>3903</v>
      </c>
      <c r="E1716" s="695">
        <v>3</v>
      </c>
      <c r="F1716" s="695" t="s">
        <v>4822</v>
      </c>
      <c r="G1716" s="695">
        <v>4</v>
      </c>
      <c r="H1716" s="695" t="s">
        <v>5245</v>
      </c>
      <c r="I1716" s="695">
        <v>14</v>
      </c>
      <c r="J1716" s="695" t="s">
        <v>5259</v>
      </c>
      <c r="K1716" s="695" t="s">
        <v>3907</v>
      </c>
      <c r="L1716" s="696">
        <v>0</v>
      </c>
      <c r="M1716" s="170"/>
    </row>
    <row r="1717" spans="2:13" x14ac:dyDescent="0.2">
      <c r="B1717" s="173"/>
      <c r="C1717" s="694">
        <v>1</v>
      </c>
      <c r="D1717" s="695" t="s">
        <v>3903</v>
      </c>
      <c r="E1717" s="695">
        <v>3</v>
      </c>
      <c r="F1717" s="695" t="s">
        <v>4822</v>
      </c>
      <c r="G1717" s="695">
        <v>4</v>
      </c>
      <c r="H1717" s="695" t="s">
        <v>5245</v>
      </c>
      <c r="I1717" s="695">
        <v>15</v>
      </c>
      <c r="J1717" s="695" t="s">
        <v>5260</v>
      </c>
      <c r="K1717" s="695" t="s">
        <v>3907</v>
      </c>
      <c r="L1717" s="696">
        <v>24</v>
      </c>
      <c r="M1717" s="170"/>
    </row>
    <row r="1718" spans="2:13" x14ac:dyDescent="0.2">
      <c r="B1718" s="173"/>
      <c r="C1718" s="694">
        <v>1</v>
      </c>
      <c r="D1718" s="695" t="s">
        <v>3903</v>
      </c>
      <c r="E1718" s="695">
        <v>3</v>
      </c>
      <c r="F1718" s="695" t="s">
        <v>4822</v>
      </c>
      <c r="G1718" s="695">
        <v>4</v>
      </c>
      <c r="H1718" s="695" t="s">
        <v>5245</v>
      </c>
      <c r="I1718" s="695">
        <v>16</v>
      </c>
      <c r="J1718" s="695" t="s">
        <v>5261</v>
      </c>
      <c r="K1718" s="695" t="s">
        <v>3907</v>
      </c>
      <c r="L1718" s="696">
        <v>12</v>
      </c>
      <c r="M1718" s="170"/>
    </row>
    <row r="1719" spans="2:13" x14ac:dyDescent="0.2">
      <c r="B1719" s="173"/>
      <c r="C1719" s="694">
        <v>1</v>
      </c>
      <c r="D1719" s="695" t="s">
        <v>3903</v>
      </c>
      <c r="E1719" s="695">
        <v>3</v>
      </c>
      <c r="F1719" s="695" t="s">
        <v>4822</v>
      </c>
      <c r="G1719" s="695">
        <v>4</v>
      </c>
      <c r="H1719" s="695" t="s">
        <v>5245</v>
      </c>
      <c r="I1719" s="695">
        <v>17</v>
      </c>
      <c r="J1719" s="695" t="s">
        <v>5262</v>
      </c>
      <c r="K1719" s="695" t="s">
        <v>3907</v>
      </c>
      <c r="L1719" s="696">
        <v>70</v>
      </c>
      <c r="M1719" s="170"/>
    </row>
    <row r="1720" spans="2:13" x14ac:dyDescent="0.2">
      <c r="B1720" s="173"/>
      <c r="C1720" s="694">
        <v>1</v>
      </c>
      <c r="D1720" s="695" t="s">
        <v>3903</v>
      </c>
      <c r="E1720" s="695">
        <v>3</v>
      </c>
      <c r="F1720" s="695" t="s">
        <v>4822</v>
      </c>
      <c r="G1720" s="695">
        <v>4</v>
      </c>
      <c r="H1720" s="695" t="s">
        <v>5245</v>
      </c>
      <c r="I1720" s="695">
        <v>18</v>
      </c>
      <c r="J1720" s="695" t="s">
        <v>5263</v>
      </c>
      <c r="K1720" s="695" t="s">
        <v>3907</v>
      </c>
      <c r="L1720" s="696">
        <v>3</v>
      </c>
      <c r="M1720" s="170"/>
    </row>
    <row r="1721" spans="2:13" x14ac:dyDescent="0.2">
      <c r="B1721" s="173"/>
      <c r="C1721" s="694">
        <v>1</v>
      </c>
      <c r="D1721" s="695" t="s">
        <v>3903</v>
      </c>
      <c r="E1721" s="695">
        <v>3</v>
      </c>
      <c r="F1721" s="695" t="s">
        <v>4822</v>
      </c>
      <c r="G1721" s="695">
        <v>4</v>
      </c>
      <c r="H1721" s="695" t="s">
        <v>5245</v>
      </c>
      <c r="I1721" s="695">
        <v>19</v>
      </c>
      <c r="J1721" s="695" t="s">
        <v>5264</v>
      </c>
      <c r="K1721" s="695" t="s">
        <v>3907</v>
      </c>
      <c r="L1721" s="696">
        <v>456</v>
      </c>
      <c r="M1721" s="170"/>
    </row>
    <row r="1722" spans="2:13" x14ac:dyDescent="0.2">
      <c r="B1722" s="173"/>
      <c r="C1722" s="694">
        <v>1</v>
      </c>
      <c r="D1722" s="695" t="s">
        <v>3903</v>
      </c>
      <c r="E1722" s="695">
        <v>3</v>
      </c>
      <c r="F1722" s="695" t="s">
        <v>4822</v>
      </c>
      <c r="G1722" s="695">
        <v>4</v>
      </c>
      <c r="H1722" s="695" t="s">
        <v>5245</v>
      </c>
      <c r="I1722" s="695">
        <v>20</v>
      </c>
      <c r="J1722" s="695" t="s">
        <v>5265</v>
      </c>
      <c r="K1722" s="695" t="s">
        <v>3907</v>
      </c>
      <c r="L1722" s="696">
        <v>24</v>
      </c>
      <c r="M1722" s="170"/>
    </row>
    <row r="1723" spans="2:13" x14ac:dyDescent="0.2">
      <c r="B1723" s="173"/>
      <c r="C1723" s="694">
        <v>1</v>
      </c>
      <c r="D1723" s="695" t="s">
        <v>3903</v>
      </c>
      <c r="E1723" s="695">
        <v>3</v>
      </c>
      <c r="F1723" s="695" t="s">
        <v>4822</v>
      </c>
      <c r="G1723" s="695">
        <v>4</v>
      </c>
      <c r="H1723" s="695" t="s">
        <v>5245</v>
      </c>
      <c r="I1723" s="695">
        <v>21</v>
      </c>
      <c r="J1723" s="695" t="s">
        <v>5266</v>
      </c>
      <c r="K1723" s="695" t="s">
        <v>3907</v>
      </c>
      <c r="L1723" s="696">
        <v>1407</v>
      </c>
      <c r="M1723" s="170"/>
    </row>
    <row r="1724" spans="2:13" x14ac:dyDescent="0.2">
      <c r="B1724" s="173"/>
      <c r="C1724" s="694">
        <v>1</v>
      </c>
      <c r="D1724" s="695" t="s">
        <v>3903</v>
      </c>
      <c r="E1724" s="695">
        <v>3</v>
      </c>
      <c r="F1724" s="695" t="s">
        <v>4822</v>
      </c>
      <c r="G1724" s="695">
        <v>4</v>
      </c>
      <c r="H1724" s="695" t="s">
        <v>5245</v>
      </c>
      <c r="I1724" s="695">
        <v>22</v>
      </c>
      <c r="J1724" s="695" t="s">
        <v>5267</v>
      </c>
      <c r="K1724" s="695" t="s">
        <v>3907</v>
      </c>
      <c r="L1724" s="696">
        <v>0</v>
      </c>
      <c r="M1724" s="170"/>
    </row>
    <row r="1725" spans="2:13" x14ac:dyDescent="0.2">
      <c r="B1725" s="173"/>
      <c r="C1725" s="694">
        <v>1</v>
      </c>
      <c r="D1725" s="695" t="s">
        <v>3903</v>
      </c>
      <c r="E1725" s="695">
        <v>3</v>
      </c>
      <c r="F1725" s="695" t="s">
        <v>4822</v>
      </c>
      <c r="G1725" s="695">
        <v>4</v>
      </c>
      <c r="H1725" s="695" t="s">
        <v>5245</v>
      </c>
      <c r="I1725" s="695">
        <v>23</v>
      </c>
      <c r="J1725" s="695" t="s">
        <v>5268</v>
      </c>
      <c r="K1725" s="695" t="s">
        <v>3907</v>
      </c>
      <c r="L1725" s="696">
        <v>27</v>
      </c>
      <c r="M1725" s="170"/>
    </row>
    <row r="1726" spans="2:13" x14ac:dyDescent="0.2">
      <c r="B1726" s="173"/>
      <c r="C1726" s="694">
        <v>1</v>
      </c>
      <c r="D1726" s="695" t="s">
        <v>3903</v>
      </c>
      <c r="E1726" s="695">
        <v>3</v>
      </c>
      <c r="F1726" s="695" t="s">
        <v>4822</v>
      </c>
      <c r="G1726" s="695">
        <v>4</v>
      </c>
      <c r="H1726" s="695" t="s">
        <v>5245</v>
      </c>
      <c r="I1726" s="695">
        <v>24</v>
      </c>
      <c r="J1726" s="695" t="s">
        <v>5269</v>
      </c>
      <c r="K1726" s="695" t="s">
        <v>3907</v>
      </c>
      <c r="L1726" s="696">
        <v>57</v>
      </c>
      <c r="M1726" s="170"/>
    </row>
    <row r="1727" spans="2:13" x14ac:dyDescent="0.2">
      <c r="B1727" s="173"/>
      <c r="C1727" s="694">
        <v>1</v>
      </c>
      <c r="D1727" s="695" t="s">
        <v>3903</v>
      </c>
      <c r="E1727" s="695">
        <v>3</v>
      </c>
      <c r="F1727" s="695" t="s">
        <v>4822</v>
      </c>
      <c r="G1727" s="695">
        <v>4</v>
      </c>
      <c r="H1727" s="695" t="s">
        <v>5245</v>
      </c>
      <c r="I1727" s="695">
        <v>25</v>
      </c>
      <c r="J1727" s="695" t="s">
        <v>5270</v>
      </c>
      <c r="K1727" s="695" t="s">
        <v>3907</v>
      </c>
      <c r="L1727" s="696">
        <v>48</v>
      </c>
      <c r="M1727" s="170"/>
    </row>
    <row r="1728" spans="2:13" x14ac:dyDescent="0.2">
      <c r="B1728" s="173"/>
      <c r="C1728" s="694">
        <v>1</v>
      </c>
      <c r="D1728" s="695" t="s">
        <v>3903</v>
      </c>
      <c r="E1728" s="695">
        <v>3</v>
      </c>
      <c r="F1728" s="695" t="s">
        <v>4822</v>
      </c>
      <c r="G1728" s="695">
        <v>4</v>
      </c>
      <c r="H1728" s="695" t="s">
        <v>5245</v>
      </c>
      <c r="I1728" s="695">
        <v>26</v>
      </c>
      <c r="J1728" s="695" t="s">
        <v>5271</v>
      </c>
      <c r="K1728" s="695" t="s">
        <v>3907</v>
      </c>
      <c r="L1728" s="696">
        <v>16</v>
      </c>
      <c r="M1728" s="170"/>
    </row>
    <row r="1729" spans="2:13" x14ac:dyDescent="0.2">
      <c r="B1729" s="173"/>
      <c r="C1729" s="694">
        <v>1</v>
      </c>
      <c r="D1729" s="695" t="s">
        <v>3903</v>
      </c>
      <c r="E1729" s="695">
        <v>3</v>
      </c>
      <c r="F1729" s="695" t="s">
        <v>4822</v>
      </c>
      <c r="G1729" s="695">
        <v>4</v>
      </c>
      <c r="H1729" s="695" t="s">
        <v>5245</v>
      </c>
      <c r="I1729" s="695">
        <v>27</v>
      </c>
      <c r="J1729" s="695" t="s">
        <v>5272</v>
      </c>
      <c r="K1729" s="695" t="s">
        <v>3907</v>
      </c>
      <c r="L1729" s="696">
        <v>0</v>
      </c>
      <c r="M1729" s="170"/>
    </row>
    <row r="1730" spans="2:13" x14ac:dyDescent="0.2">
      <c r="B1730" s="173"/>
      <c r="C1730" s="694">
        <v>1</v>
      </c>
      <c r="D1730" s="695" t="s">
        <v>3903</v>
      </c>
      <c r="E1730" s="695">
        <v>3</v>
      </c>
      <c r="F1730" s="695" t="s">
        <v>4822</v>
      </c>
      <c r="G1730" s="695">
        <v>4</v>
      </c>
      <c r="H1730" s="695" t="s">
        <v>5245</v>
      </c>
      <c r="I1730" s="695">
        <v>28</v>
      </c>
      <c r="J1730" s="695" t="s">
        <v>5273</v>
      </c>
      <c r="K1730" s="695" t="s">
        <v>3907</v>
      </c>
      <c r="L1730" s="696">
        <v>0</v>
      </c>
      <c r="M1730" s="170"/>
    </row>
    <row r="1731" spans="2:13" x14ac:dyDescent="0.2">
      <c r="B1731" s="173"/>
      <c r="C1731" s="694">
        <v>1</v>
      </c>
      <c r="D1731" s="695" t="s">
        <v>3903</v>
      </c>
      <c r="E1731" s="695">
        <v>3</v>
      </c>
      <c r="F1731" s="695" t="s">
        <v>4822</v>
      </c>
      <c r="G1731" s="695">
        <v>4</v>
      </c>
      <c r="H1731" s="695" t="s">
        <v>5245</v>
      </c>
      <c r="I1731" s="695">
        <v>30</v>
      </c>
      <c r="J1731" s="695" t="s">
        <v>5274</v>
      </c>
      <c r="K1731" s="695" t="s">
        <v>3907</v>
      </c>
      <c r="L1731" s="696">
        <v>38</v>
      </c>
      <c r="M1731" s="170"/>
    </row>
    <row r="1732" spans="2:13" x14ac:dyDescent="0.2">
      <c r="B1732" s="173"/>
      <c r="C1732" s="694">
        <v>1</v>
      </c>
      <c r="D1732" s="695" t="s">
        <v>3903</v>
      </c>
      <c r="E1732" s="695">
        <v>3</v>
      </c>
      <c r="F1732" s="695" t="s">
        <v>4822</v>
      </c>
      <c r="G1732" s="695">
        <v>4</v>
      </c>
      <c r="H1732" s="695" t="s">
        <v>5245</v>
      </c>
      <c r="I1732" s="695">
        <v>31</v>
      </c>
      <c r="J1732" s="695" t="s">
        <v>5275</v>
      </c>
      <c r="K1732" s="695" t="s">
        <v>8544</v>
      </c>
      <c r="L1732" s="696">
        <v>11</v>
      </c>
      <c r="M1732" s="170"/>
    </row>
    <row r="1733" spans="2:13" x14ac:dyDescent="0.2">
      <c r="B1733" s="173"/>
      <c r="C1733" s="694">
        <v>1</v>
      </c>
      <c r="D1733" s="695" t="s">
        <v>3903</v>
      </c>
      <c r="E1733" s="695">
        <v>3</v>
      </c>
      <c r="F1733" s="695" t="s">
        <v>4822</v>
      </c>
      <c r="G1733" s="695">
        <v>4</v>
      </c>
      <c r="H1733" s="695" t="s">
        <v>5245</v>
      </c>
      <c r="I1733" s="695">
        <v>32</v>
      </c>
      <c r="J1733" s="695" t="s">
        <v>5276</v>
      </c>
      <c r="K1733" s="695" t="s">
        <v>4057</v>
      </c>
      <c r="L1733" s="696">
        <v>4</v>
      </c>
      <c r="M1733" s="170"/>
    </row>
    <row r="1734" spans="2:13" x14ac:dyDescent="0.2">
      <c r="B1734" s="173"/>
      <c r="C1734" s="694">
        <v>1</v>
      </c>
      <c r="D1734" s="695" t="s">
        <v>3903</v>
      </c>
      <c r="E1734" s="695">
        <v>3</v>
      </c>
      <c r="F1734" s="695" t="s">
        <v>4822</v>
      </c>
      <c r="G1734" s="695">
        <v>4</v>
      </c>
      <c r="H1734" s="695" t="s">
        <v>5245</v>
      </c>
      <c r="I1734" s="695">
        <v>33</v>
      </c>
      <c r="J1734" s="695" t="s">
        <v>5277</v>
      </c>
      <c r="K1734" s="695" t="s">
        <v>8544</v>
      </c>
      <c r="L1734" s="696">
        <v>48</v>
      </c>
      <c r="M1734" s="170"/>
    </row>
    <row r="1735" spans="2:13" x14ac:dyDescent="0.2">
      <c r="B1735" s="173"/>
      <c r="C1735" s="694">
        <v>1</v>
      </c>
      <c r="D1735" s="695" t="s">
        <v>3903</v>
      </c>
      <c r="E1735" s="695">
        <v>3</v>
      </c>
      <c r="F1735" s="695" t="s">
        <v>4822</v>
      </c>
      <c r="G1735" s="695">
        <v>4</v>
      </c>
      <c r="H1735" s="695" t="s">
        <v>5245</v>
      </c>
      <c r="I1735" s="695">
        <v>34</v>
      </c>
      <c r="J1735" s="695" t="s">
        <v>5278</v>
      </c>
      <c r="K1735" s="695" t="s">
        <v>3985</v>
      </c>
      <c r="L1735" s="696">
        <v>0</v>
      </c>
      <c r="M1735" s="170"/>
    </row>
    <row r="1736" spans="2:13" x14ac:dyDescent="0.2">
      <c r="B1736" s="173"/>
      <c r="C1736" s="694">
        <v>1</v>
      </c>
      <c r="D1736" s="695" t="s">
        <v>3903</v>
      </c>
      <c r="E1736" s="695">
        <v>3</v>
      </c>
      <c r="F1736" s="695" t="s">
        <v>4822</v>
      </c>
      <c r="G1736" s="695">
        <v>4</v>
      </c>
      <c r="H1736" s="695" t="s">
        <v>5245</v>
      </c>
      <c r="I1736" s="695">
        <v>35</v>
      </c>
      <c r="J1736" s="695" t="s">
        <v>5279</v>
      </c>
      <c r="K1736" s="695" t="s">
        <v>8544</v>
      </c>
      <c r="L1736" s="696">
        <v>6</v>
      </c>
      <c r="M1736" s="170"/>
    </row>
    <row r="1737" spans="2:13" x14ac:dyDescent="0.2">
      <c r="B1737" s="173"/>
      <c r="C1737" s="694">
        <v>1</v>
      </c>
      <c r="D1737" s="695" t="s">
        <v>3903</v>
      </c>
      <c r="E1737" s="695">
        <v>3</v>
      </c>
      <c r="F1737" s="695" t="s">
        <v>4822</v>
      </c>
      <c r="G1737" s="695">
        <v>4</v>
      </c>
      <c r="H1737" s="695" t="s">
        <v>5245</v>
      </c>
      <c r="I1737" s="695">
        <v>36</v>
      </c>
      <c r="J1737" s="695" t="s">
        <v>5280</v>
      </c>
      <c r="K1737" s="695" t="s">
        <v>8544</v>
      </c>
      <c r="L1737" s="696">
        <v>5</v>
      </c>
      <c r="M1737" s="170"/>
    </row>
    <row r="1738" spans="2:13" x14ac:dyDescent="0.2">
      <c r="B1738" s="173"/>
      <c r="C1738" s="694">
        <v>1</v>
      </c>
      <c r="D1738" s="695" t="s">
        <v>3903</v>
      </c>
      <c r="E1738" s="695">
        <v>3</v>
      </c>
      <c r="F1738" s="695" t="s">
        <v>4822</v>
      </c>
      <c r="G1738" s="695">
        <v>4</v>
      </c>
      <c r="H1738" s="695" t="s">
        <v>5245</v>
      </c>
      <c r="I1738" s="695">
        <v>37</v>
      </c>
      <c r="J1738" s="695" t="s">
        <v>5281</v>
      </c>
      <c r="K1738" s="695" t="s">
        <v>8544</v>
      </c>
      <c r="L1738" s="696">
        <v>2</v>
      </c>
      <c r="M1738" s="170"/>
    </row>
    <row r="1739" spans="2:13" x14ac:dyDescent="0.2">
      <c r="B1739" s="173"/>
      <c r="C1739" s="694">
        <v>1</v>
      </c>
      <c r="D1739" s="695" t="s">
        <v>3903</v>
      </c>
      <c r="E1739" s="695">
        <v>3</v>
      </c>
      <c r="F1739" s="695" t="s">
        <v>4822</v>
      </c>
      <c r="G1739" s="695">
        <v>4</v>
      </c>
      <c r="H1739" s="695" t="s">
        <v>5245</v>
      </c>
      <c r="I1739" s="695">
        <v>38</v>
      </c>
      <c r="J1739" s="695" t="s">
        <v>5282</v>
      </c>
      <c r="K1739" s="695" t="s">
        <v>8544</v>
      </c>
      <c r="L1739" s="696">
        <v>0</v>
      </c>
      <c r="M1739" s="170"/>
    </row>
    <row r="1740" spans="2:13" x14ac:dyDescent="0.2">
      <c r="B1740" s="173"/>
      <c r="C1740" s="694">
        <v>1</v>
      </c>
      <c r="D1740" s="695" t="s">
        <v>3903</v>
      </c>
      <c r="E1740" s="695">
        <v>3</v>
      </c>
      <c r="F1740" s="695" t="s">
        <v>4822</v>
      </c>
      <c r="G1740" s="695">
        <v>4</v>
      </c>
      <c r="H1740" s="695" t="s">
        <v>5245</v>
      </c>
      <c r="I1740" s="695">
        <v>39</v>
      </c>
      <c r="J1740" s="695" t="s">
        <v>5283</v>
      </c>
      <c r="K1740" s="695" t="s">
        <v>8544</v>
      </c>
      <c r="L1740" s="696">
        <v>5</v>
      </c>
      <c r="M1740" s="170"/>
    </row>
    <row r="1741" spans="2:13" x14ac:dyDescent="0.2">
      <c r="B1741" s="173"/>
      <c r="C1741" s="694">
        <v>1</v>
      </c>
      <c r="D1741" s="695" t="s">
        <v>3903</v>
      </c>
      <c r="E1741" s="695">
        <v>3</v>
      </c>
      <c r="F1741" s="695" t="s">
        <v>4822</v>
      </c>
      <c r="G1741" s="695">
        <v>4</v>
      </c>
      <c r="H1741" s="695" t="s">
        <v>5245</v>
      </c>
      <c r="I1741" s="695">
        <v>40</v>
      </c>
      <c r="J1741" s="695" t="s">
        <v>5284</v>
      </c>
      <c r="K1741" s="695" t="s">
        <v>8544</v>
      </c>
      <c r="L1741" s="696">
        <v>1</v>
      </c>
      <c r="M1741" s="170"/>
    </row>
    <row r="1742" spans="2:13" x14ac:dyDescent="0.2">
      <c r="B1742" s="173"/>
      <c r="C1742" s="694">
        <v>1</v>
      </c>
      <c r="D1742" s="695" t="s">
        <v>3903</v>
      </c>
      <c r="E1742" s="695">
        <v>3</v>
      </c>
      <c r="F1742" s="695" t="s">
        <v>4822</v>
      </c>
      <c r="G1742" s="695">
        <v>4</v>
      </c>
      <c r="H1742" s="695" t="s">
        <v>5245</v>
      </c>
      <c r="I1742" s="695">
        <v>41</v>
      </c>
      <c r="J1742" s="695" t="s">
        <v>5285</v>
      </c>
      <c r="K1742" s="695" t="s">
        <v>8544</v>
      </c>
      <c r="L1742" s="696">
        <v>77</v>
      </c>
      <c r="M1742" s="170"/>
    </row>
    <row r="1743" spans="2:13" x14ac:dyDescent="0.2">
      <c r="B1743" s="173"/>
      <c r="C1743" s="694">
        <v>1</v>
      </c>
      <c r="D1743" s="695" t="s">
        <v>3903</v>
      </c>
      <c r="E1743" s="695">
        <v>3</v>
      </c>
      <c r="F1743" s="695" t="s">
        <v>4822</v>
      </c>
      <c r="G1743" s="695">
        <v>4</v>
      </c>
      <c r="H1743" s="695" t="s">
        <v>5245</v>
      </c>
      <c r="I1743" s="695">
        <v>42</v>
      </c>
      <c r="J1743" s="695" t="s">
        <v>5286</v>
      </c>
      <c r="K1743" s="695" t="s">
        <v>8544</v>
      </c>
      <c r="L1743" s="696">
        <v>3</v>
      </c>
      <c r="M1743" s="170"/>
    </row>
    <row r="1744" spans="2:13" x14ac:dyDescent="0.2">
      <c r="B1744" s="173"/>
      <c r="C1744" s="694">
        <v>1</v>
      </c>
      <c r="D1744" s="695" t="s">
        <v>3903</v>
      </c>
      <c r="E1744" s="695">
        <v>3</v>
      </c>
      <c r="F1744" s="695" t="s">
        <v>4822</v>
      </c>
      <c r="G1744" s="695">
        <v>4</v>
      </c>
      <c r="H1744" s="695" t="s">
        <v>5245</v>
      </c>
      <c r="I1744" s="695">
        <v>43</v>
      </c>
      <c r="J1744" s="695" t="s">
        <v>5287</v>
      </c>
      <c r="K1744" s="695" t="s">
        <v>8544</v>
      </c>
      <c r="L1744" s="696">
        <v>18</v>
      </c>
      <c r="M1744" s="170"/>
    </row>
    <row r="1745" spans="2:13" x14ac:dyDescent="0.2">
      <c r="B1745" s="173"/>
      <c r="C1745" s="694">
        <v>1</v>
      </c>
      <c r="D1745" s="695" t="s">
        <v>3903</v>
      </c>
      <c r="E1745" s="695">
        <v>3</v>
      </c>
      <c r="F1745" s="695" t="s">
        <v>4822</v>
      </c>
      <c r="G1745" s="695">
        <v>4</v>
      </c>
      <c r="H1745" s="695" t="s">
        <v>5245</v>
      </c>
      <c r="I1745" s="695">
        <v>44</v>
      </c>
      <c r="J1745" s="695" t="s">
        <v>5288</v>
      </c>
      <c r="K1745" s="695" t="s">
        <v>8544</v>
      </c>
      <c r="L1745" s="696">
        <v>26</v>
      </c>
      <c r="M1745" s="170"/>
    </row>
    <row r="1746" spans="2:13" x14ac:dyDescent="0.2">
      <c r="B1746" s="173"/>
      <c r="C1746" s="694">
        <v>1</v>
      </c>
      <c r="D1746" s="695" t="s">
        <v>3903</v>
      </c>
      <c r="E1746" s="695">
        <v>3</v>
      </c>
      <c r="F1746" s="695" t="s">
        <v>4822</v>
      </c>
      <c r="G1746" s="695">
        <v>4</v>
      </c>
      <c r="H1746" s="695" t="s">
        <v>5245</v>
      </c>
      <c r="I1746" s="695">
        <v>45</v>
      </c>
      <c r="J1746" s="695" t="s">
        <v>5289</v>
      </c>
      <c r="K1746" s="695" t="s">
        <v>8544</v>
      </c>
      <c r="L1746" s="696">
        <v>4</v>
      </c>
      <c r="M1746" s="170"/>
    </row>
    <row r="1747" spans="2:13" x14ac:dyDescent="0.2">
      <c r="B1747" s="173"/>
      <c r="C1747" s="694">
        <v>1</v>
      </c>
      <c r="D1747" s="695" t="s">
        <v>3903</v>
      </c>
      <c r="E1747" s="695">
        <v>3</v>
      </c>
      <c r="F1747" s="695" t="s">
        <v>4822</v>
      </c>
      <c r="G1747" s="695">
        <v>4</v>
      </c>
      <c r="H1747" s="695" t="s">
        <v>5245</v>
      </c>
      <c r="I1747" s="695">
        <v>46</v>
      </c>
      <c r="J1747" s="695" t="s">
        <v>5290</v>
      </c>
      <c r="K1747" s="695" t="s">
        <v>3907</v>
      </c>
      <c r="L1747" s="696">
        <v>47</v>
      </c>
      <c r="M1747" s="170"/>
    </row>
    <row r="1748" spans="2:13" x14ac:dyDescent="0.2">
      <c r="B1748" s="173"/>
      <c r="C1748" s="694">
        <v>1</v>
      </c>
      <c r="D1748" s="695" t="s">
        <v>3903</v>
      </c>
      <c r="E1748" s="695">
        <v>3</v>
      </c>
      <c r="F1748" s="695" t="s">
        <v>4822</v>
      </c>
      <c r="G1748" s="695">
        <v>4</v>
      </c>
      <c r="H1748" s="695" t="s">
        <v>5245</v>
      </c>
      <c r="I1748" s="695">
        <v>47</v>
      </c>
      <c r="J1748" s="695" t="s">
        <v>5291</v>
      </c>
      <c r="K1748" s="695" t="s">
        <v>3907</v>
      </c>
      <c r="L1748" s="696">
        <v>11</v>
      </c>
      <c r="M1748" s="170"/>
    </row>
    <row r="1749" spans="2:13" x14ac:dyDescent="0.2">
      <c r="B1749" s="173"/>
      <c r="C1749" s="694">
        <v>1</v>
      </c>
      <c r="D1749" s="695" t="s">
        <v>3903</v>
      </c>
      <c r="E1749" s="695">
        <v>3</v>
      </c>
      <c r="F1749" s="695" t="s">
        <v>4822</v>
      </c>
      <c r="G1749" s="695">
        <v>4</v>
      </c>
      <c r="H1749" s="695" t="s">
        <v>5245</v>
      </c>
      <c r="I1749" s="695">
        <v>48</v>
      </c>
      <c r="J1749" s="695" t="s">
        <v>5292</v>
      </c>
      <c r="K1749" s="695" t="s">
        <v>8544</v>
      </c>
      <c r="L1749" s="696">
        <v>22</v>
      </c>
      <c r="M1749" s="170"/>
    </row>
    <row r="1750" spans="2:13" x14ac:dyDescent="0.2">
      <c r="B1750" s="173"/>
      <c r="C1750" s="694">
        <v>1</v>
      </c>
      <c r="D1750" s="695" t="s">
        <v>3903</v>
      </c>
      <c r="E1750" s="695">
        <v>3</v>
      </c>
      <c r="F1750" s="695" t="s">
        <v>4822</v>
      </c>
      <c r="G1750" s="695">
        <v>4</v>
      </c>
      <c r="H1750" s="695" t="s">
        <v>5245</v>
      </c>
      <c r="I1750" s="695">
        <v>49</v>
      </c>
      <c r="J1750" s="695" t="s">
        <v>5293</v>
      </c>
      <c r="K1750" s="695" t="s">
        <v>8544</v>
      </c>
      <c r="L1750" s="696">
        <v>24</v>
      </c>
      <c r="M1750" s="170"/>
    </row>
    <row r="1751" spans="2:13" x14ac:dyDescent="0.2">
      <c r="B1751" s="173"/>
      <c r="C1751" s="694">
        <v>1</v>
      </c>
      <c r="D1751" s="695" t="s">
        <v>3903</v>
      </c>
      <c r="E1751" s="695">
        <v>3</v>
      </c>
      <c r="F1751" s="695" t="s">
        <v>4822</v>
      </c>
      <c r="G1751" s="695">
        <v>4</v>
      </c>
      <c r="H1751" s="695" t="s">
        <v>5245</v>
      </c>
      <c r="I1751" s="695">
        <v>50</v>
      </c>
      <c r="J1751" s="695" t="s">
        <v>5294</v>
      </c>
      <c r="K1751" s="695" t="s">
        <v>8544</v>
      </c>
      <c r="L1751" s="696">
        <v>40</v>
      </c>
      <c r="M1751" s="170"/>
    </row>
    <row r="1752" spans="2:13" x14ac:dyDescent="0.2">
      <c r="B1752" s="173"/>
      <c r="C1752" s="694">
        <v>1</v>
      </c>
      <c r="D1752" s="695" t="s">
        <v>3903</v>
      </c>
      <c r="E1752" s="695">
        <v>3</v>
      </c>
      <c r="F1752" s="695" t="s">
        <v>4822</v>
      </c>
      <c r="G1752" s="695">
        <v>4</v>
      </c>
      <c r="H1752" s="695" t="s">
        <v>5245</v>
      </c>
      <c r="I1752" s="695">
        <v>51</v>
      </c>
      <c r="J1752" s="695" t="s">
        <v>5295</v>
      </c>
      <c r="K1752" s="695" t="s">
        <v>3907</v>
      </c>
      <c r="L1752" s="696">
        <v>3</v>
      </c>
      <c r="M1752" s="170"/>
    </row>
    <row r="1753" spans="2:13" x14ac:dyDescent="0.2">
      <c r="B1753" s="173"/>
      <c r="C1753" s="694">
        <v>1</v>
      </c>
      <c r="D1753" s="695" t="s">
        <v>3903</v>
      </c>
      <c r="E1753" s="695">
        <v>3</v>
      </c>
      <c r="F1753" s="695" t="s">
        <v>4822</v>
      </c>
      <c r="G1753" s="695">
        <v>4</v>
      </c>
      <c r="H1753" s="695" t="s">
        <v>5245</v>
      </c>
      <c r="I1753" s="695">
        <v>52</v>
      </c>
      <c r="J1753" s="695" t="s">
        <v>5296</v>
      </c>
      <c r="K1753" s="695" t="s">
        <v>3907</v>
      </c>
      <c r="L1753" s="696">
        <v>4</v>
      </c>
      <c r="M1753" s="170"/>
    </row>
    <row r="1754" spans="2:13" x14ac:dyDescent="0.2">
      <c r="B1754" s="173"/>
      <c r="C1754" s="694">
        <v>1</v>
      </c>
      <c r="D1754" s="695" t="s">
        <v>3903</v>
      </c>
      <c r="E1754" s="695">
        <v>3</v>
      </c>
      <c r="F1754" s="695" t="s">
        <v>4822</v>
      </c>
      <c r="G1754" s="695">
        <v>4</v>
      </c>
      <c r="H1754" s="695" t="s">
        <v>5245</v>
      </c>
      <c r="I1754" s="695">
        <v>53</v>
      </c>
      <c r="J1754" s="695" t="s">
        <v>5297</v>
      </c>
      <c r="K1754" s="695" t="s">
        <v>3907</v>
      </c>
      <c r="L1754" s="696">
        <v>2</v>
      </c>
      <c r="M1754" s="170"/>
    </row>
    <row r="1755" spans="2:13" x14ac:dyDescent="0.2">
      <c r="B1755" s="173"/>
      <c r="C1755" s="694">
        <v>1</v>
      </c>
      <c r="D1755" s="695" t="s">
        <v>3903</v>
      </c>
      <c r="E1755" s="695">
        <v>3</v>
      </c>
      <c r="F1755" s="695" t="s">
        <v>4822</v>
      </c>
      <c r="G1755" s="695">
        <v>4</v>
      </c>
      <c r="H1755" s="695" t="s">
        <v>5245</v>
      </c>
      <c r="I1755" s="695">
        <v>54</v>
      </c>
      <c r="J1755" s="695" t="s">
        <v>5298</v>
      </c>
      <c r="K1755" s="695" t="s">
        <v>3907</v>
      </c>
      <c r="L1755" s="696">
        <v>9</v>
      </c>
      <c r="M1755" s="170"/>
    </row>
    <row r="1756" spans="2:13" x14ac:dyDescent="0.2">
      <c r="B1756" s="173"/>
      <c r="C1756" s="694">
        <v>1</v>
      </c>
      <c r="D1756" s="695" t="s">
        <v>3903</v>
      </c>
      <c r="E1756" s="695">
        <v>3</v>
      </c>
      <c r="F1756" s="695" t="s">
        <v>4822</v>
      </c>
      <c r="G1756" s="695">
        <v>4</v>
      </c>
      <c r="H1756" s="695" t="s">
        <v>5245</v>
      </c>
      <c r="I1756" s="695">
        <v>55</v>
      </c>
      <c r="J1756" s="695" t="s">
        <v>5299</v>
      </c>
      <c r="K1756" s="695" t="s">
        <v>8544</v>
      </c>
      <c r="L1756" s="696">
        <v>1</v>
      </c>
      <c r="M1756" s="170"/>
    </row>
    <row r="1757" spans="2:13" x14ac:dyDescent="0.2">
      <c r="B1757" s="173"/>
      <c r="C1757" s="694">
        <v>1</v>
      </c>
      <c r="D1757" s="695" t="s">
        <v>3903</v>
      </c>
      <c r="E1757" s="695">
        <v>3</v>
      </c>
      <c r="F1757" s="695" t="s">
        <v>4822</v>
      </c>
      <c r="G1757" s="695">
        <v>4</v>
      </c>
      <c r="H1757" s="695" t="s">
        <v>5245</v>
      </c>
      <c r="I1757" s="695">
        <v>56</v>
      </c>
      <c r="J1757" s="695" t="s">
        <v>5300</v>
      </c>
      <c r="K1757" s="695" t="s">
        <v>8544</v>
      </c>
      <c r="L1757" s="696">
        <v>7</v>
      </c>
      <c r="M1757" s="170"/>
    </row>
    <row r="1758" spans="2:13" x14ac:dyDescent="0.2">
      <c r="B1758" s="173"/>
      <c r="C1758" s="694">
        <v>1</v>
      </c>
      <c r="D1758" s="695" t="s">
        <v>3903</v>
      </c>
      <c r="E1758" s="695">
        <v>3</v>
      </c>
      <c r="F1758" s="695" t="s">
        <v>4822</v>
      </c>
      <c r="G1758" s="695">
        <v>4</v>
      </c>
      <c r="H1758" s="695" t="s">
        <v>5245</v>
      </c>
      <c r="I1758" s="695">
        <v>57</v>
      </c>
      <c r="J1758" s="695" t="s">
        <v>5301</v>
      </c>
      <c r="K1758" s="695" t="s">
        <v>8544</v>
      </c>
      <c r="L1758" s="696">
        <v>1</v>
      </c>
      <c r="M1758" s="170"/>
    </row>
    <row r="1759" spans="2:13" x14ac:dyDescent="0.2">
      <c r="B1759" s="173"/>
      <c r="C1759" s="694">
        <v>1</v>
      </c>
      <c r="D1759" s="695" t="s">
        <v>3903</v>
      </c>
      <c r="E1759" s="695">
        <v>3</v>
      </c>
      <c r="F1759" s="695" t="s">
        <v>4822</v>
      </c>
      <c r="G1759" s="695">
        <v>4</v>
      </c>
      <c r="H1759" s="695" t="s">
        <v>5245</v>
      </c>
      <c r="I1759" s="695">
        <v>58</v>
      </c>
      <c r="J1759" s="695" t="s">
        <v>5302</v>
      </c>
      <c r="K1759" s="695" t="s">
        <v>8544</v>
      </c>
      <c r="L1759" s="696">
        <v>0</v>
      </c>
      <c r="M1759" s="170"/>
    </row>
    <row r="1760" spans="2:13" x14ac:dyDescent="0.2">
      <c r="B1760" s="173"/>
      <c r="C1760" s="694">
        <v>1</v>
      </c>
      <c r="D1760" s="695" t="s">
        <v>3903</v>
      </c>
      <c r="E1760" s="695">
        <v>3</v>
      </c>
      <c r="F1760" s="695" t="s">
        <v>4822</v>
      </c>
      <c r="G1760" s="695">
        <v>4</v>
      </c>
      <c r="H1760" s="695" t="s">
        <v>5245</v>
      </c>
      <c r="I1760" s="695">
        <v>59</v>
      </c>
      <c r="J1760" s="695" t="s">
        <v>5303</v>
      </c>
      <c r="K1760" s="695" t="s">
        <v>3907</v>
      </c>
      <c r="L1760" s="696">
        <v>5</v>
      </c>
      <c r="M1760" s="170"/>
    </row>
    <row r="1761" spans="2:13" x14ac:dyDescent="0.2">
      <c r="B1761" s="173"/>
      <c r="C1761" s="694">
        <v>1</v>
      </c>
      <c r="D1761" s="695" t="s">
        <v>3903</v>
      </c>
      <c r="E1761" s="695">
        <v>3</v>
      </c>
      <c r="F1761" s="695" t="s">
        <v>4822</v>
      </c>
      <c r="G1761" s="695">
        <v>4</v>
      </c>
      <c r="H1761" s="695" t="s">
        <v>5245</v>
      </c>
      <c r="I1761" s="695">
        <v>60</v>
      </c>
      <c r="J1761" s="695" t="s">
        <v>5304</v>
      </c>
      <c r="K1761" s="695" t="s">
        <v>3907</v>
      </c>
      <c r="L1761" s="696">
        <v>6</v>
      </c>
      <c r="M1761" s="170"/>
    </row>
    <row r="1762" spans="2:13" x14ac:dyDescent="0.2">
      <c r="B1762" s="173"/>
      <c r="C1762" s="694">
        <v>1</v>
      </c>
      <c r="D1762" s="695" t="s">
        <v>3903</v>
      </c>
      <c r="E1762" s="695">
        <v>3</v>
      </c>
      <c r="F1762" s="695" t="s">
        <v>4822</v>
      </c>
      <c r="G1762" s="695">
        <v>4</v>
      </c>
      <c r="H1762" s="695" t="s">
        <v>5245</v>
      </c>
      <c r="I1762" s="695">
        <v>61</v>
      </c>
      <c r="J1762" s="695" t="s">
        <v>5305</v>
      </c>
      <c r="K1762" s="695" t="s">
        <v>3907</v>
      </c>
      <c r="L1762" s="696">
        <v>8</v>
      </c>
      <c r="M1762" s="170"/>
    </row>
    <row r="1763" spans="2:13" x14ac:dyDescent="0.2">
      <c r="B1763" s="173"/>
      <c r="C1763" s="694">
        <v>1</v>
      </c>
      <c r="D1763" s="695" t="s">
        <v>3903</v>
      </c>
      <c r="E1763" s="695">
        <v>3</v>
      </c>
      <c r="F1763" s="695" t="s">
        <v>4822</v>
      </c>
      <c r="G1763" s="695">
        <v>4</v>
      </c>
      <c r="H1763" s="695" t="s">
        <v>5245</v>
      </c>
      <c r="I1763" s="695">
        <v>62</v>
      </c>
      <c r="J1763" s="695" t="s">
        <v>5306</v>
      </c>
      <c r="K1763" s="695" t="s">
        <v>3907</v>
      </c>
      <c r="L1763" s="696">
        <v>3</v>
      </c>
      <c r="M1763" s="170"/>
    </row>
    <row r="1764" spans="2:13" x14ac:dyDescent="0.2">
      <c r="B1764" s="173"/>
      <c r="C1764" s="694">
        <v>1</v>
      </c>
      <c r="D1764" s="695" t="s">
        <v>3903</v>
      </c>
      <c r="E1764" s="695">
        <v>3</v>
      </c>
      <c r="F1764" s="695" t="s">
        <v>4822</v>
      </c>
      <c r="G1764" s="695">
        <v>4</v>
      </c>
      <c r="H1764" s="695" t="s">
        <v>5245</v>
      </c>
      <c r="I1764" s="695">
        <v>63</v>
      </c>
      <c r="J1764" s="695" t="s">
        <v>5307</v>
      </c>
      <c r="K1764" s="695" t="s">
        <v>3907</v>
      </c>
      <c r="L1764" s="696">
        <v>2</v>
      </c>
      <c r="M1764" s="170"/>
    </row>
    <row r="1765" spans="2:13" x14ac:dyDescent="0.2">
      <c r="B1765" s="173"/>
      <c r="C1765" s="694">
        <v>1</v>
      </c>
      <c r="D1765" s="695" t="s">
        <v>3903</v>
      </c>
      <c r="E1765" s="695">
        <v>3</v>
      </c>
      <c r="F1765" s="695" t="s">
        <v>4822</v>
      </c>
      <c r="G1765" s="695">
        <v>4</v>
      </c>
      <c r="H1765" s="695" t="s">
        <v>5245</v>
      </c>
      <c r="I1765" s="695">
        <v>64</v>
      </c>
      <c r="J1765" s="695" t="s">
        <v>5308</v>
      </c>
      <c r="K1765" s="695" t="s">
        <v>3907</v>
      </c>
      <c r="L1765" s="696">
        <v>1</v>
      </c>
      <c r="M1765" s="170"/>
    </row>
    <row r="1766" spans="2:13" x14ac:dyDescent="0.2">
      <c r="B1766" s="173"/>
      <c r="C1766" s="694">
        <v>1</v>
      </c>
      <c r="D1766" s="695" t="s">
        <v>3903</v>
      </c>
      <c r="E1766" s="695">
        <v>3</v>
      </c>
      <c r="F1766" s="695" t="s">
        <v>4822</v>
      </c>
      <c r="G1766" s="695">
        <v>4</v>
      </c>
      <c r="H1766" s="695" t="s">
        <v>5245</v>
      </c>
      <c r="I1766" s="695">
        <v>65</v>
      </c>
      <c r="J1766" s="695" t="s">
        <v>5309</v>
      </c>
      <c r="K1766" s="695" t="s">
        <v>3907</v>
      </c>
      <c r="L1766" s="696">
        <v>30</v>
      </c>
      <c r="M1766" s="170"/>
    </row>
    <row r="1767" spans="2:13" x14ac:dyDescent="0.2">
      <c r="B1767" s="173"/>
      <c r="C1767" s="694">
        <v>1</v>
      </c>
      <c r="D1767" s="695" t="s">
        <v>3903</v>
      </c>
      <c r="E1767" s="695">
        <v>3</v>
      </c>
      <c r="F1767" s="695" t="s">
        <v>4822</v>
      </c>
      <c r="G1767" s="695">
        <v>4</v>
      </c>
      <c r="H1767" s="695" t="s">
        <v>5245</v>
      </c>
      <c r="I1767" s="695">
        <v>66</v>
      </c>
      <c r="J1767" s="695" t="s">
        <v>5310</v>
      </c>
      <c r="K1767" s="695" t="s">
        <v>3907</v>
      </c>
      <c r="L1767" s="696">
        <v>8</v>
      </c>
      <c r="M1767" s="170"/>
    </row>
    <row r="1768" spans="2:13" x14ac:dyDescent="0.2">
      <c r="B1768" s="173"/>
      <c r="C1768" s="694">
        <v>1</v>
      </c>
      <c r="D1768" s="695" t="s">
        <v>3903</v>
      </c>
      <c r="E1768" s="695">
        <v>3</v>
      </c>
      <c r="F1768" s="695" t="s">
        <v>4822</v>
      </c>
      <c r="G1768" s="695">
        <v>4</v>
      </c>
      <c r="H1768" s="695" t="s">
        <v>5245</v>
      </c>
      <c r="I1768" s="695">
        <v>67</v>
      </c>
      <c r="J1768" s="695" t="s">
        <v>5285</v>
      </c>
      <c r="K1768" s="695" t="s">
        <v>8544</v>
      </c>
      <c r="L1768" s="696">
        <v>1</v>
      </c>
      <c r="M1768" s="170"/>
    </row>
    <row r="1769" spans="2:13" x14ac:dyDescent="0.2">
      <c r="B1769" s="173"/>
      <c r="C1769" s="694">
        <v>1</v>
      </c>
      <c r="D1769" s="695" t="s">
        <v>3903</v>
      </c>
      <c r="E1769" s="695">
        <v>3</v>
      </c>
      <c r="F1769" s="695" t="s">
        <v>4822</v>
      </c>
      <c r="G1769" s="695">
        <v>4</v>
      </c>
      <c r="H1769" s="695" t="s">
        <v>5245</v>
      </c>
      <c r="I1769" s="695">
        <v>68</v>
      </c>
      <c r="J1769" s="695" t="s">
        <v>5311</v>
      </c>
      <c r="K1769" s="695" t="s">
        <v>3907</v>
      </c>
      <c r="L1769" s="696">
        <v>1</v>
      </c>
      <c r="M1769" s="170"/>
    </row>
    <row r="1770" spans="2:13" x14ac:dyDescent="0.2">
      <c r="B1770" s="173"/>
      <c r="C1770" s="694">
        <v>1</v>
      </c>
      <c r="D1770" s="695" t="s">
        <v>3903</v>
      </c>
      <c r="E1770" s="695">
        <v>3</v>
      </c>
      <c r="F1770" s="695" t="s">
        <v>4822</v>
      </c>
      <c r="G1770" s="695">
        <v>4</v>
      </c>
      <c r="H1770" s="695" t="s">
        <v>5245</v>
      </c>
      <c r="I1770" s="695">
        <v>69</v>
      </c>
      <c r="J1770" s="695" t="s">
        <v>5312</v>
      </c>
      <c r="K1770" s="695" t="s">
        <v>3907</v>
      </c>
      <c r="L1770" s="696">
        <v>2</v>
      </c>
      <c r="M1770" s="170"/>
    </row>
    <row r="1771" spans="2:13" x14ac:dyDescent="0.2">
      <c r="B1771" s="173"/>
      <c r="C1771" s="694">
        <v>1</v>
      </c>
      <c r="D1771" s="695" t="s">
        <v>3903</v>
      </c>
      <c r="E1771" s="695">
        <v>3</v>
      </c>
      <c r="F1771" s="695" t="s">
        <v>4822</v>
      </c>
      <c r="G1771" s="695">
        <v>4</v>
      </c>
      <c r="H1771" s="695" t="s">
        <v>5245</v>
      </c>
      <c r="I1771" s="695">
        <v>70</v>
      </c>
      <c r="J1771" s="695" t="s">
        <v>5313</v>
      </c>
      <c r="K1771" s="695" t="s">
        <v>3907</v>
      </c>
      <c r="L1771" s="696">
        <v>3</v>
      </c>
      <c r="M1771" s="170"/>
    </row>
    <row r="1772" spans="2:13" x14ac:dyDescent="0.2">
      <c r="B1772" s="173"/>
      <c r="C1772" s="694">
        <v>1</v>
      </c>
      <c r="D1772" s="695" t="s">
        <v>3903</v>
      </c>
      <c r="E1772" s="695">
        <v>3</v>
      </c>
      <c r="F1772" s="695" t="s">
        <v>4822</v>
      </c>
      <c r="G1772" s="695">
        <v>4</v>
      </c>
      <c r="H1772" s="695" t="s">
        <v>5245</v>
      </c>
      <c r="I1772" s="695">
        <v>71</v>
      </c>
      <c r="J1772" s="695" t="s">
        <v>5314</v>
      </c>
      <c r="K1772" s="695" t="s">
        <v>3907</v>
      </c>
      <c r="L1772" s="696">
        <v>2</v>
      </c>
      <c r="M1772" s="170"/>
    </row>
    <row r="1773" spans="2:13" x14ac:dyDescent="0.2">
      <c r="B1773" s="173"/>
      <c r="C1773" s="694">
        <v>1</v>
      </c>
      <c r="D1773" s="695" t="s">
        <v>3903</v>
      </c>
      <c r="E1773" s="695">
        <v>3</v>
      </c>
      <c r="F1773" s="695" t="s">
        <v>4822</v>
      </c>
      <c r="G1773" s="695">
        <v>4</v>
      </c>
      <c r="H1773" s="695" t="s">
        <v>5245</v>
      </c>
      <c r="I1773" s="695">
        <v>72</v>
      </c>
      <c r="J1773" s="695" t="s">
        <v>5315</v>
      </c>
      <c r="K1773" s="695" t="s">
        <v>3907</v>
      </c>
      <c r="L1773" s="696">
        <v>1</v>
      </c>
      <c r="M1773" s="170"/>
    </row>
    <row r="1774" spans="2:13" x14ac:dyDescent="0.2">
      <c r="B1774" s="173"/>
      <c r="C1774" s="694">
        <v>1</v>
      </c>
      <c r="D1774" s="695" t="s">
        <v>3903</v>
      </c>
      <c r="E1774" s="695">
        <v>3</v>
      </c>
      <c r="F1774" s="695" t="s">
        <v>4822</v>
      </c>
      <c r="G1774" s="695">
        <v>4</v>
      </c>
      <c r="H1774" s="695" t="s">
        <v>5245</v>
      </c>
      <c r="I1774" s="695">
        <v>73</v>
      </c>
      <c r="J1774" s="695" t="s">
        <v>5316</v>
      </c>
      <c r="K1774" s="695" t="s">
        <v>3907</v>
      </c>
      <c r="L1774" s="696">
        <v>2</v>
      </c>
      <c r="M1774" s="170"/>
    </row>
    <row r="1775" spans="2:13" x14ac:dyDescent="0.2">
      <c r="B1775" s="173"/>
      <c r="C1775" s="694">
        <v>1</v>
      </c>
      <c r="D1775" s="695" t="s">
        <v>3903</v>
      </c>
      <c r="E1775" s="695">
        <v>3</v>
      </c>
      <c r="F1775" s="695" t="s">
        <v>4822</v>
      </c>
      <c r="G1775" s="695">
        <v>4</v>
      </c>
      <c r="H1775" s="695" t="s">
        <v>5245</v>
      </c>
      <c r="I1775" s="695">
        <v>74</v>
      </c>
      <c r="J1775" s="695" t="s">
        <v>5317</v>
      </c>
      <c r="K1775" s="695" t="s">
        <v>3907</v>
      </c>
      <c r="L1775" s="696">
        <v>1</v>
      </c>
      <c r="M1775" s="170"/>
    </row>
    <row r="1776" spans="2:13" x14ac:dyDescent="0.2">
      <c r="B1776" s="173"/>
      <c r="C1776" s="694">
        <v>1</v>
      </c>
      <c r="D1776" s="695" t="s">
        <v>3903</v>
      </c>
      <c r="E1776" s="695">
        <v>3</v>
      </c>
      <c r="F1776" s="695" t="s">
        <v>4822</v>
      </c>
      <c r="G1776" s="695">
        <v>4</v>
      </c>
      <c r="H1776" s="695" t="s">
        <v>5245</v>
      </c>
      <c r="I1776" s="695">
        <v>75</v>
      </c>
      <c r="J1776" s="695" t="s">
        <v>5318</v>
      </c>
      <c r="K1776" s="695" t="s">
        <v>3907</v>
      </c>
      <c r="L1776" s="696">
        <v>1</v>
      </c>
      <c r="M1776" s="170"/>
    </row>
    <row r="1777" spans="2:13" x14ac:dyDescent="0.2">
      <c r="B1777" s="173"/>
      <c r="C1777" s="694">
        <v>1</v>
      </c>
      <c r="D1777" s="695" t="s">
        <v>3903</v>
      </c>
      <c r="E1777" s="695">
        <v>3</v>
      </c>
      <c r="F1777" s="695" t="s">
        <v>4822</v>
      </c>
      <c r="G1777" s="695">
        <v>4</v>
      </c>
      <c r="H1777" s="695" t="s">
        <v>5245</v>
      </c>
      <c r="I1777" s="695">
        <v>76</v>
      </c>
      <c r="J1777" s="695" t="s">
        <v>5319</v>
      </c>
      <c r="K1777" s="695" t="s">
        <v>3907</v>
      </c>
      <c r="L1777" s="696">
        <v>15</v>
      </c>
      <c r="M1777" s="170"/>
    </row>
    <row r="1778" spans="2:13" x14ac:dyDescent="0.2">
      <c r="B1778" s="173"/>
      <c r="C1778" s="694">
        <v>1</v>
      </c>
      <c r="D1778" s="695" t="s">
        <v>3903</v>
      </c>
      <c r="E1778" s="695">
        <v>3</v>
      </c>
      <c r="F1778" s="695" t="s">
        <v>4822</v>
      </c>
      <c r="G1778" s="695">
        <v>4</v>
      </c>
      <c r="H1778" s="695" t="s">
        <v>5245</v>
      </c>
      <c r="I1778" s="695">
        <v>77</v>
      </c>
      <c r="J1778" s="695" t="s">
        <v>8783</v>
      </c>
      <c r="K1778" s="695" t="s">
        <v>3985</v>
      </c>
      <c r="L1778" s="696">
        <v>0</v>
      </c>
      <c r="M1778" s="170"/>
    </row>
    <row r="1779" spans="2:13" x14ac:dyDescent="0.2">
      <c r="B1779" s="173"/>
      <c r="C1779" s="694">
        <v>1</v>
      </c>
      <c r="D1779" s="695" t="s">
        <v>3903</v>
      </c>
      <c r="E1779" s="695">
        <v>3</v>
      </c>
      <c r="F1779" s="695" t="s">
        <v>4822</v>
      </c>
      <c r="G1779" s="695">
        <v>4</v>
      </c>
      <c r="H1779" s="695" t="s">
        <v>5245</v>
      </c>
      <c r="I1779" s="695">
        <v>78</v>
      </c>
      <c r="J1779" s="695" t="s">
        <v>8862</v>
      </c>
      <c r="K1779" s="695" t="s">
        <v>8544</v>
      </c>
      <c r="L1779" s="696">
        <v>0</v>
      </c>
      <c r="M1779" s="170"/>
    </row>
    <row r="1780" spans="2:13" x14ac:dyDescent="0.2">
      <c r="B1780" s="173"/>
      <c r="C1780" s="694">
        <v>1</v>
      </c>
      <c r="D1780" s="695" t="s">
        <v>3903</v>
      </c>
      <c r="E1780" s="695">
        <v>3</v>
      </c>
      <c r="F1780" s="695" t="s">
        <v>4822</v>
      </c>
      <c r="G1780" s="695">
        <v>4</v>
      </c>
      <c r="H1780" s="695" t="s">
        <v>5245</v>
      </c>
      <c r="I1780" s="695">
        <v>79</v>
      </c>
      <c r="J1780" s="695" t="s">
        <v>8863</v>
      </c>
      <c r="K1780" s="695" t="s">
        <v>3907</v>
      </c>
      <c r="L1780" s="696">
        <v>2</v>
      </c>
      <c r="M1780" s="170"/>
    </row>
    <row r="1781" spans="2:13" x14ac:dyDescent="0.2">
      <c r="B1781" s="173"/>
      <c r="C1781" s="694">
        <v>1</v>
      </c>
      <c r="D1781" s="695" t="s">
        <v>3903</v>
      </c>
      <c r="E1781" s="695">
        <v>3</v>
      </c>
      <c r="F1781" s="695" t="s">
        <v>4822</v>
      </c>
      <c r="G1781" s="695">
        <v>4</v>
      </c>
      <c r="H1781" s="695" t="s">
        <v>5245</v>
      </c>
      <c r="I1781" s="695">
        <v>80</v>
      </c>
      <c r="J1781" s="695" t="s">
        <v>8864</v>
      </c>
      <c r="K1781" s="695" t="s">
        <v>3907</v>
      </c>
      <c r="L1781" s="696">
        <v>1</v>
      </c>
      <c r="M1781" s="170"/>
    </row>
    <row r="1782" spans="2:13" x14ac:dyDescent="0.2">
      <c r="B1782" s="173"/>
      <c r="C1782" s="694">
        <v>1</v>
      </c>
      <c r="D1782" s="695" t="s">
        <v>3903</v>
      </c>
      <c r="E1782" s="695">
        <v>3</v>
      </c>
      <c r="F1782" s="695" t="s">
        <v>4822</v>
      </c>
      <c r="G1782" s="695">
        <v>4</v>
      </c>
      <c r="H1782" s="695" t="s">
        <v>5245</v>
      </c>
      <c r="I1782" s="695">
        <v>81</v>
      </c>
      <c r="J1782" s="695" t="s">
        <v>8865</v>
      </c>
      <c r="K1782" s="695" t="s">
        <v>3907</v>
      </c>
      <c r="L1782" s="696">
        <v>8</v>
      </c>
      <c r="M1782" s="170"/>
    </row>
    <row r="1783" spans="2:13" x14ac:dyDescent="0.2">
      <c r="B1783" s="173"/>
      <c r="C1783" s="694">
        <v>1</v>
      </c>
      <c r="D1783" s="695" t="s">
        <v>3903</v>
      </c>
      <c r="E1783" s="695">
        <v>3</v>
      </c>
      <c r="F1783" s="695" t="s">
        <v>4822</v>
      </c>
      <c r="G1783" s="695">
        <v>4</v>
      </c>
      <c r="H1783" s="695" t="s">
        <v>5245</v>
      </c>
      <c r="I1783" s="695">
        <v>82</v>
      </c>
      <c r="J1783" s="695" t="s">
        <v>8866</v>
      </c>
      <c r="K1783" s="695" t="s">
        <v>8544</v>
      </c>
      <c r="L1783" s="696">
        <v>1</v>
      </c>
      <c r="M1783" s="170"/>
    </row>
    <row r="1784" spans="2:13" x14ac:dyDescent="0.2">
      <c r="B1784" s="173"/>
      <c r="C1784" s="694">
        <v>1</v>
      </c>
      <c r="D1784" s="695" t="s">
        <v>3903</v>
      </c>
      <c r="E1784" s="695">
        <v>3</v>
      </c>
      <c r="F1784" s="695" t="s">
        <v>4822</v>
      </c>
      <c r="G1784" s="695">
        <v>4</v>
      </c>
      <c r="H1784" s="695" t="s">
        <v>5245</v>
      </c>
      <c r="I1784" s="695">
        <v>83</v>
      </c>
      <c r="J1784" s="695" t="s">
        <v>8867</v>
      </c>
      <c r="K1784" s="695" t="s">
        <v>8544</v>
      </c>
      <c r="L1784" s="696">
        <v>0</v>
      </c>
      <c r="M1784" s="170"/>
    </row>
    <row r="1785" spans="2:13" x14ac:dyDescent="0.2">
      <c r="B1785" s="173"/>
      <c r="C1785" s="694">
        <v>1</v>
      </c>
      <c r="D1785" s="695" t="s">
        <v>3903</v>
      </c>
      <c r="E1785" s="695">
        <v>3</v>
      </c>
      <c r="F1785" s="695" t="s">
        <v>4822</v>
      </c>
      <c r="G1785" s="695">
        <v>4</v>
      </c>
      <c r="H1785" s="695" t="s">
        <v>5245</v>
      </c>
      <c r="I1785" s="695">
        <v>84</v>
      </c>
      <c r="J1785" s="695" t="s">
        <v>8868</v>
      </c>
      <c r="K1785" s="695" t="s">
        <v>3985</v>
      </c>
      <c r="L1785" s="696">
        <v>2</v>
      </c>
      <c r="M1785" s="170"/>
    </row>
    <row r="1786" spans="2:13" x14ac:dyDescent="0.2">
      <c r="B1786" s="173"/>
      <c r="C1786" s="694">
        <v>1</v>
      </c>
      <c r="D1786" s="695" t="s">
        <v>3903</v>
      </c>
      <c r="E1786" s="695">
        <v>3</v>
      </c>
      <c r="F1786" s="695" t="s">
        <v>4822</v>
      </c>
      <c r="G1786" s="695">
        <v>4</v>
      </c>
      <c r="H1786" s="695" t="s">
        <v>5245</v>
      </c>
      <c r="I1786" s="695">
        <v>85</v>
      </c>
      <c r="J1786" s="695" t="s">
        <v>8869</v>
      </c>
      <c r="K1786" s="695" t="s">
        <v>8544</v>
      </c>
      <c r="L1786" s="696">
        <v>6</v>
      </c>
      <c r="M1786" s="170"/>
    </row>
    <row r="1787" spans="2:13" x14ac:dyDescent="0.2">
      <c r="B1787" s="173"/>
      <c r="C1787" s="694">
        <v>1</v>
      </c>
      <c r="D1787" s="695" t="s">
        <v>3903</v>
      </c>
      <c r="E1787" s="695">
        <v>3</v>
      </c>
      <c r="F1787" s="695" t="s">
        <v>4822</v>
      </c>
      <c r="G1787" s="695">
        <v>4</v>
      </c>
      <c r="H1787" s="695" t="s">
        <v>5245</v>
      </c>
      <c r="I1787" s="695">
        <v>86</v>
      </c>
      <c r="J1787" s="695" t="s">
        <v>8870</v>
      </c>
      <c r="K1787" s="695" t="s">
        <v>8544</v>
      </c>
      <c r="L1787" s="696">
        <v>1</v>
      </c>
      <c r="M1787" s="170"/>
    </row>
    <row r="1788" spans="2:13" x14ac:dyDescent="0.2">
      <c r="B1788" s="173"/>
      <c r="C1788" s="694">
        <v>1</v>
      </c>
      <c r="D1788" s="695" t="s">
        <v>3903</v>
      </c>
      <c r="E1788" s="695">
        <v>3</v>
      </c>
      <c r="F1788" s="695" t="s">
        <v>4822</v>
      </c>
      <c r="G1788" s="695">
        <v>4</v>
      </c>
      <c r="H1788" s="695" t="s">
        <v>5245</v>
      </c>
      <c r="I1788" s="695">
        <v>87</v>
      </c>
      <c r="J1788" s="695" t="s">
        <v>8871</v>
      </c>
      <c r="K1788" s="695" t="s">
        <v>3907</v>
      </c>
      <c r="L1788" s="696">
        <v>1</v>
      </c>
      <c r="M1788" s="170"/>
    </row>
    <row r="1789" spans="2:13" x14ac:dyDescent="0.2">
      <c r="B1789" s="173"/>
      <c r="C1789" s="694">
        <v>1</v>
      </c>
      <c r="D1789" s="695" t="s">
        <v>3903</v>
      </c>
      <c r="E1789" s="695">
        <v>3</v>
      </c>
      <c r="F1789" s="695" t="s">
        <v>4822</v>
      </c>
      <c r="G1789" s="695">
        <v>4</v>
      </c>
      <c r="H1789" s="695" t="s">
        <v>5245</v>
      </c>
      <c r="I1789" s="695">
        <v>88</v>
      </c>
      <c r="J1789" s="695" t="s">
        <v>8872</v>
      </c>
      <c r="K1789" s="695" t="s">
        <v>8544</v>
      </c>
      <c r="L1789" s="696">
        <v>2</v>
      </c>
      <c r="M1789" s="170"/>
    </row>
    <row r="1790" spans="2:13" x14ac:dyDescent="0.2">
      <c r="B1790" s="173"/>
      <c r="C1790" s="694">
        <v>1</v>
      </c>
      <c r="D1790" s="695" t="s">
        <v>3903</v>
      </c>
      <c r="E1790" s="695">
        <v>3</v>
      </c>
      <c r="F1790" s="695" t="s">
        <v>4822</v>
      </c>
      <c r="G1790" s="695">
        <v>4</v>
      </c>
      <c r="H1790" s="695" t="s">
        <v>5245</v>
      </c>
      <c r="I1790" s="695">
        <v>89</v>
      </c>
      <c r="J1790" s="695" t="s">
        <v>8873</v>
      </c>
      <c r="K1790" s="695" t="s">
        <v>8544</v>
      </c>
      <c r="L1790" s="696">
        <v>1</v>
      </c>
      <c r="M1790" s="170"/>
    </row>
    <row r="1791" spans="2:13" x14ac:dyDescent="0.2">
      <c r="B1791" s="173"/>
      <c r="C1791" s="694">
        <v>1</v>
      </c>
      <c r="D1791" s="695" t="s">
        <v>3903</v>
      </c>
      <c r="E1791" s="695">
        <v>3</v>
      </c>
      <c r="F1791" s="695" t="s">
        <v>4822</v>
      </c>
      <c r="G1791" s="695">
        <v>4</v>
      </c>
      <c r="H1791" s="695" t="s">
        <v>5245</v>
      </c>
      <c r="I1791" s="695">
        <v>90</v>
      </c>
      <c r="J1791" s="695" t="s">
        <v>8874</v>
      </c>
      <c r="K1791" s="695" t="s">
        <v>3907</v>
      </c>
      <c r="L1791" s="696">
        <v>6</v>
      </c>
      <c r="M1791" s="170"/>
    </row>
    <row r="1792" spans="2:13" x14ac:dyDescent="0.2">
      <c r="B1792" s="173"/>
      <c r="C1792" s="694">
        <v>1</v>
      </c>
      <c r="D1792" s="695" t="s">
        <v>3903</v>
      </c>
      <c r="E1792" s="695">
        <v>3</v>
      </c>
      <c r="F1792" s="695" t="s">
        <v>4822</v>
      </c>
      <c r="G1792" s="695">
        <v>4</v>
      </c>
      <c r="H1792" s="695" t="s">
        <v>5245</v>
      </c>
      <c r="I1792" s="695">
        <v>91</v>
      </c>
      <c r="J1792" s="695" t="s">
        <v>8875</v>
      </c>
      <c r="K1792" s="695" t="s">
        <v>8544</v>
      </c>
      <c r="L1792" s="696">
        <v>0</v>
      </c>
      <c r="M1792" s="170"/>
    </row>
    <row r="1793" spans="2:13" x14ac:dyDescent="0.2">
      <c r="B1793" s="173"/>
      <c r="C1793" s="694">
        <v>1</v>
      </c>
      <c r="D1793" s="695" t="s">
        <v>3903</v>
      </c>
      <c r="E1793" s="695">
        <v>3</v>
      </c>
      <c r="F1793" s="695" t="s">
        <v>4822</v>
      </c>
      <c r="G1793" s="695">
        <v>4</v>
      </c>
      <c r="H1793" s="695" t="s">
        <v>5245</v>
      </c>
      <c r="I1793" s="695">
        <v>92</v>
      </c>
      <c r="J1793" s="695" t="s">
        <v>5262</v>
      </c>
      <c r="K1793" s="695" t="s">
        <v>8544</v>
      </c>
      <c r="L1793" s="696">
        <v>2</v>
      </c>
      <c r="M1793" s="170"/>
    </row>
    <row r="1794" spans="2:13" x14ac:dyDescent="0.2">
      <c r="B1794" s="173"/>
      <c r="C1794" s="694">
        <v>1</v>
      </c>
      <c r="D1794" s="695" t="s">
        <v>3903</v>
      </c>
      <c r="E1794" s="695">
        <v>3</v>
      </c>
      <c r="F1794" s="695" t="s">
        <v>4822</v>
      </c>
      <c r="G1794" s="695">
        <v>4</v>
      </c>
      <c r="H1794" s="695" t="s">
        <v>5245</v>
      </c>
      <c r="I1794" s="695">
        <v>93</v>
      </c>
      <c r="J1794" s="695" t="s">
        <v>8876</v>
      </c>
      <c r="K1794" s="695" t="s">
        <v>3907</v>
      </c>
      <c r="L1794" s="696">
        <v>2</v>
      </c>
      <c r="M1794" s="170"/>
    </row>
    <row r="1795" spans="2:13" x14ac:dyDescent="0.2">
      <c r="B1795" s="173"/>
      <c r="C1795" s="694">
        <v>1</v>
      </c>
      <c r="D1795" s="695" t="s">
        <v>3903</v>
      </c>
      <c r="E1795" s="695">
        <v>3</v>
      </c>
      <c r="F1795" s="695" t="s">
        <v>4822</v>
      </c>
      <c r="G1795" s="695">
        <v>4</v>
      </c>
      <c r="H1795" s="695" t="s">
        <v>5245</v>
      </c>
      <c r="I1795" s="695">
        <v>94</v>
      </c>
      <c r="J1795" s="695" t="s">
        <v>8877</v>
      </c>
      <c r="K1795" s="695" t="s">
        <v>3907</v>
      </c>
      <c r="L1795" s="696">
        <v>5</v>
      </c>
      <c r="M1795" s="170"/>
    </row>
    <row r="1796" spans="2:13" x14ac:dyDescent="0.2">
      <c r="B1796" s="173"/>
      <c r="C1796" s="694">
        <v>1</v>
      </c>
      <c r="D1796" s="695" t="s">
        <v>3903</v>
      </c>
      <c r="E1796" s="695">
        <v>3</v>
      </c>
      <c r="F1796" s="695" t="s">
        <v>4822</v>
      </c>
      <c r="G1796" s="695">
        <v>5</v>
      </c>
      <c r="H1796" s="695" t="s">
        <v>5320</v>
      </c>
      <c r="I1796" s="695">
        <v>1</v>
      </c>
      <c r="J1796" s="695" t="s">
        <v>5321</v>
      </c>
      <c r="K1796" s="695" t="s">
        <v>5322</v>
      </c>
      <c r="L1796" s="696">
        <v>1536</v>
      </c>
      <c r="M1796" s="170"/>
    </row>
    <row r="1797" spans="2:13" x14ac:dyDescent="0.2">
      <c r="B1797" s="173"/>
      <c r="C1797" s="694">
        <v>1</v>
      </c>
      <c r="D1797" s="695" t="s">
        <v>3903</v>
      </c>
      <c r="E1797" s="695">
        <v>3</v>
      </c>
      <c r="F1797" s="695" t="s">
        <v>4822</v>
      </c>
      <c r="G1797" s="695">
        <v>5</v>
      </c>
      <c r="H1797" s="695" t="s">
        <v>5320</v>
      </c>
      <c r="I1797" s="695">
        <v>2</v>
      </c>
      <c r="J1797" s="695" t="s">
        <v>5323</v>
      </c>
      <c r="K1797" s="695" t="s">
        <v>3907</v>
      </c>
      <c r="L1797" s="696">
        <v>59</v>
      </c>
      <c r="M1797" s="170"/>
    </row>
    <row r="1798" spans="2:13" x14ac:dyDescent="0.2">
      <c r="B1798" s="173"/>
      <c r="C1798" s="694">
        <v>1</v>
      </c>
      <c r="D1798" s="695" t="s">
        <v>3903</v>
      </c>
      <c r="E1798" s="695">
        <v>3</v>
      </c>
      <c r="F1798" s="695" t="s">
        <v>4822</v>
      </c>
      <c r="G1798" s="695">
        <v>5</v>
      </c>
      <c r="H1798" s="695" t="s">
        <v>5320</v>
      </c>
      <c r="I1798" s="695">
        <v>3</v>
      </c>
      <c r="J1798" s="695" t="s">
        <v>5324</v>
      </c>
      <c r="K1798" s="695" t="s">
        <v>5322</v>
      </c>
      <c r="L1798" s="696">
        <v>1576</v>
      </c>
      <c r="M1798" s="170"/>
    </row>
    <row r="1799" spans="2:13" x14ac:dyDescent="0.2">
      <c r="B1799" s="173"/>
      <c r="C1799" s="694">
        <v>1</v>
      </c>
      <c r="D1799" s="695" t="s">
        <v>3903</v>
      </c>
      <c r="E1799" s="695">
        <v>3</v>
      </c>
      <c r="F1799" s="695" t="s">
        <v>4822</v>
      </c>
      <c r="G1799" s="695">
        <v>5</v>
      </c>
      <c r="H1799" s="695" t="s">
        <v>5320</v>
      </c>
      <c r="I1799" s="695">
        <v>4</v>
      </c>
      <c r="J1799" s="695" t="s">
        <v>5325</v>
      </c>
      <c r="K1799" s="695" t="s">
        <v>3907</v>
      </c>
      <c r="L1799" s="696">
        <v>9674</v>
      </c>
      <c r="M1799" s="170"/>
    </row>
    <row r="1800" spans="2:13" x14ac:dyDescent="0.2">
      <c r="B1800" s="173"/>
      <c r="C1800" s="694">
        <v>1</v>
      </c>
      <c r="D1800" s="695" t="s">
        <v>3903</v>
      </c>
      <c r="E1800" s="695">
        <v>3</v>
      </c>
      <c r="F1800" s="695" t="s">
        <v>4822</v>
      </c>
      <c r="G1800" s="695">
        <v>5</v>
      </c>
      <c r="H1800" s="695" t="s">
        <v>5320</v>
      </c>
      <c r="I1800" s="695">
        <v>5</v>
      </c>
      <c r="J1800" s="695" t="s">
        <v>5326</v>
      </c>
      <c r="K1800" s="695" t="s">
        <v>3907</v>
      </c>
      <c r="L1800" s="696">
        <v>11477</v>
      </c>
      <c r="M1800" s="170"/>
    </row>
    <row r="1801" spans="2:13" x14ac:dyDescent="0.2">
      <c r="B1801" s="173"/>
      <c r="C1801" s="694">
        <v>1</v>
      </c>
      <c r="D1801" s="695" t="s">
        <v>3903</v>
      </c>
      <c r="E1801" s="695">
        <v>3</v>
      </c>
      <c r="F1801" s="695" t="s">
        <v>4822</v>
      </c>
      <c r="G1801" s="695">
        <v>5</v>
      </c>
      <c r="H1801" s="695" t="s">
        <v>5320</v>
      </c>
      <c r="I1801" s="695">
        <v>6</v>
      </c>
      <c r="J1801" s="695" t="s">
        <v>5327</v>
      </c>
      <c r="K1801" s="695" t="s">
        <v>3907</v>
      </c>
      <c r="L1801" s="696">
        <v>55713</v>
      </c>
      <c r="M1801" s="170"/>
    </row>
    <row r="1802" spans="2:13" x14ac:dyDescent="0.2">
      <c r="B1802" s="173"/>
      <c r="C1802" s="694">
        <v>1</v>
      </c>
      <c r="D1802" s="695" t="s">
        <v>3903</v>
      </c>
      <c r="E1802" s="695">
        <v>3</v>
      </c>
      <c r="F1802" s="695" t="s">
        <v>4822</v>
      </c>
      <c r="G1802" s="695">
        <v>5</v>
      </c>
      <c r="H1802" s="695" t="s">
        <v>5320</v>
      </c>
      <c r="I1802" s="695">
        <v>7</v>
      </c>
      <c r="J1802" s="695" t="s">
        <v>5328</v>
      </c>
      <c r="K1802" s="695" t="s">
        <v>3907</v>
      </c>
      <c r="L1802" s="696">
        <v>124</v>
      </c>
      <c r="M1802" s="170"/>
    </row>
    <row r="1803" spans="2:13" x14ac:dyDescent="0.2">
      <c r="B1803" s="173"/>
      <c r="C1803" s="694">
        <v>1</v>
      </c>
      <c r="D1803" s="695" t="s">
        <v>3903</v>
      </c>
      <c r="E1803" s="695">
        <v>3</v>
      </c>
      <c r="F1803" s="695" t="s">
        <v>4822</v>
      </c>
      <c r="G1803" s="695">
        <v>5</v>
      </c>
      <c r="H1803" s="695" t="s">
        <v>5320</v>
      </c>
      <c r="I1803" s="695">
        <v>8</v>
      </c>
      <c r="J1803" s="695" t="s">
        <v>5329</v>
      </c>
      <c r="K1803" s="695" t="s">
        <v>5322</v>
      </c>
      <c r="L1803" s="696">
        <v>3323</v>
      </c>
      <c r="M1803" s="170"/>
    </row>
    <row r="1804" spans="2:13" x14ac:dyDescent="0.2">
      <c r="B1804" s="173"/>
      <c r="C1804" s="694">
        <v>1</v>
      </c>
      <c r="D1804" s="695" t="s">
        <v>3903</v>
      </c>
      <c r="E1804" s="695">
        <v>3</v>
      </c>
      <c r="F1804" s="695" t="s">
        <v>4822</v>
      </c>
      <c r="G1804" s="695">
        <v>5</v>
      </c>
      <c r="H1804" s="695" t="s">
        <v>5320</v>
      </c>
      <c r="I1804" s="695">
        <v>9</v>
      </c>
      <c r="J1804" s="695" t="s">
        <v>5330</v>
      </c>
      <c r="K1804" s="695" t="s">
        <v>3985</v>
      </c>
      <c r="L1804" s="696">
        <v>860</v>
      </c>
      <c r="M1804" s="170"/>
    </row>
    <row r="1805" spans="2:13" x14ac:dyDescent="0.2">
      <c r="B1805" s="173"/>
      <c r="C1805" s="694">
        <v>1</v>
      </c>
      <c r="D1805" s="695" t="s">
        <v>3903</v>
      </c>
      <c r="E1805" s="695">
        <v>3</v>
      </c>
      <c r="F1805" s="695" t="s">
        <v>4822</v>
      </c>
      <c r="G1805" s="695">
        <v>5</v>
      </c>
      <c r="H1805" s="695" t="s">
        <v>5320</v>
      </c>
      <c r="I1805" s="695">
        <v>10</v>
      </c>
      <c r="J1805" s="695" t="s">
        <v>5331</v>
      </c>
      <c r="K1805" s="695" t="s">
        <v>3907</v>
      </c>
      <c r="L1805" s="696">
        <v>53</v>
      </c>
      <c r="M1805" s="170"/>
    </row>
    <row r="1806" spans="2:13" x14ac:dyDescent="0.2">
      <c r="B1806" s="173"/>
      <c r="C1806" s="694">
        <v>1</v>
      </c>
      <c r="D1806" s="695" t="s">
        <v>3903</v>
      </c>
      <c r="E1806" s="695">
        <v>3</v>
      </c>
      <c r="F1806" s="695" t="s">
        <v>4822</v>
      </c>
      <c r="G1806" s="695">
        <v>5</v>
      </c>
      <c r="H1806" s="695" t="s">
        <v>5320</v>
      </c>
      <c r="I1806" s="695">
        <v>11</v>
      </c>
      <c r="J1806" s="695" t="s">
        <v>5332</v>
      </c>
      <c r="K1806" s="695" t="s">
        <v>4009</v>
      </c>
      <c r="L1806" s="696">
        <v>30</v>
      </c>
      <c r="M1806" s="170"/>
    </row>
    <row r="1807" spans="2:13" x14ac:dyDescent="0.2">
      <c r="B1807" s="173"/>
      <c r="C1807" s="694">
        <v>1</v>
      </c>
      <c r="D1807" s="695" t="s">
        <v>3903</v>
      </c>
      <c r="E1807" s="695">
        <v>3</v>
      </c>
      <c r="F1807" s="695" t="s">
        <v>4822</v>
      </c>
      <c r="G1807" s="695">
        <v>5</v>
      </c>
      <c r="H1807" s="695" t="s">
        <v>5320</v>
      </c>
      <c r="I1807" s="695">
        <v>12</v>
      </c>
      <c r="J1807" s="695" t="s">
        <v>5333</v>
      </c>
      <c r="K1807" s="695" t="s">
        <v>5334</v>
      </c>
      <c r="L1807" s="696">
        <v>8785</v>
      </c>
      <c r="M1807" s="170"/>
    </row>
    <row r="1808" spans="2:13" x14ac:dyDescent="0.2">
      <c r="B1808" s="173"/>
      <c r="C1808" s="694">
        <v>1</v>
      </c>
      <c r="D1808" s="695" t="s">
        <v>3903</v>
      </c>
      <c r="E1808" s="695">
        <v>3</v>
      </c>
      <c r="F1808" s="695" t="s">
        <v>4822</v>
      </c>
      <c r="G1808" s="695">
        <v>5</v>
      </c>
      <c r="H1808" s="695" t="s">
        <v>5320</v>
      </c>
      <c r="I1808" s="695">
        <v>13</v>
      </c>
      <c r="J1808" s="695" t="s">
        <v>5335</v>
      </c>
      <c r="K1808" s="695" t="s">
        <v>8544</v>
      </c>
      <c r="L1808" s="696">
        <v>31</v>
      </c>
      <c r="M1808" s="170"/>
    </row>
    <row r="1809" spans="2:13" x14ac:dyDescent="0.2">
      <c r="B1809" s="173"/>
      <c r="C1809" s="694">
        <v>1</v>
      </c>
      <c r="D1809" s="695" t="s">
        <v>3903</v>
      </c>
      <c r="E1809" s="695">
        <v>3</v>
      </c>
      <c r="F1809" s="695" t="s">
        <v>4822</v>
      </c>
      <c r="G1809" s="695">
        <v>5</v>
      </c>
      <c r="H1809" s="695" t="s">
        <v>5320</v>
      </c>
      <c r="I1809" s="695">
        <v>14</v>
      </c>
      <c r="J1809" s="695" t="s">
        <v>5336</v>
      </c>
      <c r="K1809" s="695" t="s">
        <v>8544</v>
      </c>
      <c r="L1809" s="696">
        <v>28</v>
      </c>
      <c r="M1809" s="170"/>
    </row>
    <row r="1810" spans="2:13" x14ac:dyDescent="0.2">
      <c r="B1810" s="173"/>
      <c r="C1810" s="694">
        <v>1</v>
      </c>
      <c r="D1810" s="695" t="s">
        <v>3903</v>
      </c>
      <c r="E1810" s="695">
        <v>3</v>
      </c>
      <c r="F1810" s="695" t="s">
        <v>4822</v>
      </c>
      <c r="G1810" s="695">
        <v>5</v>
      </c>
      <c r="H1810" s="695" t="s">
        <v>5320</v>
      </c>
      <c r="I1810" s="695">
        <v>17</v>
      </c>
      <c r="J1810" s="695" t="s">
        <v>5337</v>
      </c>
      <c r="K1810" s="695" t="s">
        <v>8544</v>
      </c>
      <c r="L1810" s="696">
        <v>863</v>
      </c>
      <c r="M1810" s="170"/>
    </row>
    <row r="1811" spans="2:13" x14ac:dyDescent="0.2">
      <c r="B1811" s="173"/>
      <c r="C1811" s="694">
        <v>1</v>
      </c>
      <c r="D1811" s="695" t="s">
        <v>3903</v>
      </c>
      <c r="E1811" s="695">
        <v>3</v>
      </c>
      <c r="F1811" s="695" t="s">
        <v>4822</v>
      </c>
      <c r="G1811" s="695">
        <v>5</v>
      </c>
      <c r="H1811" s="695" t="s">
        <v>5320</v>
      </c>
      <c r="I1811" s="695">
        <v>18</v>
      </c>
      <c r="J1811" s="695" t="s">
        <v>5338</v>
      </c>
      <c r="K1811" s="695" t="s">
        <v>8544</v>
      </c>
      <c r="L1811" s="696">
        <v>202</v>
      </c>
      <c r="M1811" s="170"/>
    </row>
    <row r="1812" spans="2:13" x14ac:dyDescent="0.2">
      <c r="B1812" s="173"/>
      <c r="C1812" s="694">
        <v>1</v>
      </c>
      <c r="D1812" s="695" t="s">
        <v>3903</v>
      </c>
      <c r="E1812" s="695">
        <v>3</v>
      </c>
      <c r="F1812" s="695" t="s">
        <v>4822</v>
      </c>
      <c r="G1812" s="695">
        <v>5</v>
      </c>
      <c r="H1812" s="695" t="s">
        <v>5320</v>
      </c>
      <c r="I1812" s="695">
        <v>23</v>
      </c>
      <c r="J1812" s="695" t="s">
        <v>5339</v>
      </c>
      <c r="K1812" s="695" t="s">
        <v>8544</v>
      </c>
      <c r="L1812" s="696">
        <v>129</v>
      </c>
      <c r="M1812" s="170"/>
    </row>
    <row r="1813" spans="2:13" x14ac:dyDescent="0.2">
      <c r="B1813" s="173"/>
      <c r="C1813" s="694">
        <v>1</v>
      </c>
      <c r="D1813" s="695" t="s">
        <v>3903</v>
      </c>
      <c r="E1813" s="695">
        <v>3</v>
      </c>
      <c r="F1813" s="695" t="s">
        <v>4822</v>
      </c>
      <c r="G1813" s="695">
        <v>5</v>
      </c>
      <c r="H1813" s="695" t="s">
        <v>5320</v>
      </c>
      <c r="I1813" s="695">
        <v>24</v>
      </c>
      <c r="J1813" s="695" t="s">
        <v>5340</v>
      </c>
      <c r="K1813" s="695" t="s">
        <v>8544</v>
      </c>
      <c r="L1813" s="696">
        <v>189</v>
      </c>
      <c r="M1813" s="170"/>
    </row>
    <row r="1814" spans="2:13" x14ac:dyDescent="0.2">
      <c r="B1814" s="173"/>
      <c r="C1814" s="694">
        <v>1</v>
      </c>
      <c r="D1814" s="695" t="s">
        <v>3903</v>
      </c>
      <c r="E1814" s="695">
        <v>3</v>
      </c>
      <c r="F1814" s="695" t="s">
        <v>4822</v>
      </c>
      <c r="G1814" s="695">
        <v>5</v>
      </c>
      <c r="H1814" s="695" t="s">
        <v>5320</v>
      </c>
      <c r="I1814" s="695">
        <v>25</v>
      </c>
      <c r="J1814" s="695" t="s">
        <v>5341</v>
      </c>
      <c r="K1814" s="695" t="s">
        <v>8544</v>
      </c>
      <c r="L1814" s="696">
        <v>1299</v>
      </c>
      <c r="M1814" s="170"/>
    </row>
    <row r="1815" spans="2:13" x14ac:dyDescent="0.2">
      <c r="B1815" s="173"/>
      <c r="C1815" s="694">
        <v>1</v>
      </c>
      <c r="D1815" s="695" t="s">
        <v>3903</v>
      </c>
      <c r="E1815" s="695">
        <v>3</v>
      </c>
      <c r="F1815" s="695" t="s">
        <v>4822</v>
      </c>
      <c r="G1815" s="695">
        <v>5</v>
      </c>
      <c r="H1815" s="695" t="s">
        <v>5320</v>
      </c>
      <c r="I1815" s="695">
        <v>26</v>
      </c>
      <c r="J1815" s="695" t="s">
        <v>5342</v>
      </c>
      <c r="K1815" s="695" t="s">
        <v>8544</v>
      </c>
      <c r="L1815" s="696">
        <v>291</v>
      </c>
      <c r="M1815" s="170"/>
    </row>
    <row r="1816" spans="2:13" x14ac:dyDescent="0.2">
      <c r="B1816" s="173"/>
      <c r="C1816" s="694">
        <v>1</v>
      </c>
      <c r="D1816" s="695" t="s">
        <v>3903</v>
      </c>
      <c r="E1816" s="695">
        <v>3</v>
      </c>
      <c r="F1816" s="695" t="s">
        <v>4822</v>
      </c>
      <c r="G1816" s="695">
        <v>5</v>
      </c>
      <c r="H1816" s="695" t="s">
        <v>5320</v>
      </c>
      <c r="I1816" s="695">
        <v>27</v>
      </c>
      <c r="J1816" s="695" t="s">
        <v>5343</v>
      </c>
      <c r="K1816" s="695" t="s">
        <v>8544</v>
      </c>
      <c r="L1816" s="696">
        <v>195</v>
      </c>
      <c r="M1816" s="170"/>
    </row>
    <row r="1817" spans="2:13" x14ac:dyDescent="0.2">
      <c r="B1817" s="173"/>
      <c r="C1817" s="694">
        <v>1</v>
      </c>
      <c r="D1817" s="695" t="s">
        <v>3903</v>
      </c>
      <c r="E1817" s="695">
        <v>3</v>
      </c>
      <c r="F1817" s="695" t="s">
        <v>4822</v>
      </c>
      <c r="G1817" s="695">
        <v>5</v>
      </c>
      <c r="H1817" s="695" t="s">
        <v>5320</v>
      </c>
      <c r="I1817" s="695">
        <v>28</v>
      </c>
      <c r="J1817" s="695" t="s">
        <v>5344</v>
      </c>
      <c r="K1817" s="695" t="s">
        <v>8544</v>
      </c>
      <c r="L1817" s="696">
        <v>3487</v>
      </c>
      <c r="M1817" s="170"/>
    </row>
    <row r="1818" spans="2:13" x14ac:dyDescent="0.2">
      <c r="B1818" s="173"/>
      <c r="C1818" s="694">
        <v>1</v>
      </c>
      <c r="D1818" s="695" t="s">
        <v>3903</v>
      </c>
      <c r="E1818" s="695">
        <v>3</v>
      </c>
      <c r="F1818" s="695" t="s">
        <v>4822</v>
      </c>
      <c r="G1818" s="695">
        <v>5</v>
      </c>
      <c r="H1818" s="695" t="s">
        <v>5320</v>
      </c>
      <c r="I1818" s="695">
        <v>29</v>
      </c>
      <c r="J1818" s="695" t="s">
        <v>5345</v>
      </c>
      <c r="K1818" s="695" t="s">
        <v>8544</v>
      </c>
      <c r="L1818" s="696">
        <v>485</v>
      </c>
      <c r="M1818" s="170"/>
    </row>
    <row r="1819" spans="2:13" x14ac:dyDescent="0.2">
      <c r="B1819" s="173"/>
      <c r="C1819" s="694">
        <v>1</v>
      </c>
      <c r="D1819" s="695" t="s">
        <v>3903</v>
      </c>
      <c r="E1819" s="695">
        <v>3</v>
      </c>
      <c r="F1819" s="695" t="s">
        <v>4822</v>
      </c>
      <c r="G1819" s="695">
        <v>5</v>
      </c>
      <c r="H1819" s="695" t="s">
        <v>5320</v>
      </c>
      <c r="I1819" s="695">
        <v>30</v>
      </c>
      <c r="J1819" s="695" t="s">
        <v>5346</v>
      </c>
      <c r="K1819" s="695" t="s">
        <v>8544</v>
      </c>
      <c r="L1819" s="696">
        <v>264</v>
      </c>
      <c r="M1819" s="170"/>
    </row>
    <row r="1820" spans="2:13" x14ac:dyDescent="0.2">
      <c r="B1820" s="173"/>
      <c r="C1820" s="694">
        <v>1</v>
      </c>
      <c r="D1820" s="695" t="s">
        <v>3903</v>
      </c>
      <c r="E1820" s="695">
        <v>3</v>
      </c>
      <c r="F1820" s="695" t="s">
        <v>4822</v>
      </c>
      <c r="G1820" s="695">
        <v>5</v>
      </c>
      <c r="H1820" s="695" t="s">
        <v>5320</v>
      </c>
      <c r="I1820" s="695">
        <v>31</v>
      </c>
      <c r="J1820" s="695" t="s">
        <v>5347</v>
      </c>
      <c r="K1820" s="695" t="s">
        <v>5322</v>
      </c>
      <c r="L1820" s="696">
        <v>39</v>
      </c>
      <c r="M1820" s="170"/>
    </row>
    <row r="1821" spans="2:13" x14ac:dyDescent="0.2">
      <c r="B1821" s="173"/>
      <c r="C1821" s="694">
        <v>1</v>
      </c>
      <c r="D1821" s="695" t="s">
        <v>3903</v>
      </c>
      <c r="E1821" s="695">
        <v>3</v>
      </c>
      <c r="F1821" s="695" t="s">
        <v>4822</v>
      </c>
      <c r="G1821" s="695">
        <v>5</v>
      </c>
      <c r="H1821" s="695" t="s">
        <v>5320</v>
      </c>
      <c r="I1821" s="695">
        <v>32</v>
      </c>
      <c r="J1821" s="695" t="s">
        <v>5348</v>
      </c>
      <c r="K1821" s="695" t="s">
        <v>5322</v>
      </c>
      <c r="L1821" s="696">
        <v>3</v>
      </c>
      <c r="M1821" s="170"/>
    </row>
    <row r="1822" spans="2:13" x14ac:dyDescent="0.2">
      <c r="B1822" s="173"/>
      <c r="C1822" s="694">
        <v>1</v>
      </c>
      <c r="D1822" s="695" t="s">
        <v>3903</v>
      </c>
      <c r="E1822" s="695">
        <v>3</v>
      </c>
      <c r="F1822" s="695" t="s">
        <v>4822</v>
      </c>
      <c r="G1822" s="695">
        <v>5</v>
      </c>
      <c r="H1822" s="695" t="s">
        <v>5320</v>
      </c>
      <c r="I1822" s="695">
        <v>33</v>
      </c>
      <c r="J1822" s="695" t="s">
        <v>5349</v>
      </c>
      <c r="K1822" s="695" t="s">
        <v>5322</v>
      </c>
      <c r="L1822" s="696">
        <v>238</v>
      </c>
      <c r="M1822" s="170"/>
    </row>
    <row r="1823" spans="2:13" x14ac:dyDescent="0.2">
      <c r="B1823" s="173"/>
      <c r="C1823" s="694">
        <v>1</v>
      </c>
      <c r="D1823" s="695" t="s">
        <v>3903</v>
      </c>
      <c r="E1823" s="695">
        <v>3</v>
      </c>
      <c r="F1823" s="695" t="s">
        <v>4822</v>
      </c>
      <c r="G1823" s="695">
        <v>5</v>
      </c>
      <c r="H1823" s="695" t="s">
        <v>5320</v>
      </c>
      <c r="I1823" s="695">
        <v>34</v>
      </c>
      <c r="J1823" s="695" t="s">
        <v>5350</v>
      </c>
      <c r="K1823" s="695" t="s">
        <v>5322</v>
      </c>
      <c r="L1823" s="696">
        <v>1</v>
      </c>
      <c r="M1823" s="170"/>
    </row>
    <row r="1824" spans="2:13" x14ac:dyDescent="0.2">
      <c r="B1824" s="173"/>
      <c r="C1824" s="694">
        <v>1</v>
      </c>
      <c r="D1824" s="695" t="s">
        <v>3903</v>
      </c>
      <c r="E1824" s="695">
        <v>3</v>
      </c>
      <c r="F1824" s="695" t="s">
        <v>4822</v>
      </c>
      <c r="G1824" s="695">
        <v>5</v>
      </c>
      <c r="H1824" s="695" t="s">
        <v>5320</v>
      </c>
      <c r="I1824" s="695">
        <v>35</v>
      </c>
      <c r="J1824" s="695" t="s">
        <v>4835</v>
      </c>
      <c r="K1824" s="695" t="s">
        <v>8544</v>
      </c>
      <c r="L1824" s="696">
        <v>51</v>
      </c>
      <c r="M1824" s="170"/>
    </row>
    <row r="1825" spans="2:13" x14ac:dyDescent="0.2">
      <c r="B1825" s="173"/>
      <c r="C1825" s="694">
        <v>1</v>
      </c>
      <c r="D1825" s="695" t="s">
        <v>3903</v>
      </c>
      <c r="E1825" s="695">
        <v>3</v>
      </c>
      <c r="F1825" s="695" t="s">
        <v>4822</v>
      </c>
      <c r="G1825" s="695">
        <v>5</v>
      </c>
      <c r="H1825" s="695" t="s">
        <v>5320</v>
      </c>
      <c r="I1825" s="695">
        <v>36</v>
      </c>
      <c r="J1825" s="695" t="s">
        <v>5351</v>
      </c>
      <c r="K1825" s="695" t="s">
        <v>8544</v>
      </c>
      <c r="L1825" s="696">
        <v>4</v>
      </c>
      <c r="M1825" s="170"/>
    </row>
    <row r="1826" spans="2:13" x14ac:dyDescent="0.2">
      <c r="B1826" s="173"/>
      <c r="C1826" s="694">
        <v>1</v>
      </c>
      <c r="D1826" s="695" t="s">
        <v>3903</v>
      </c>
      <c r="E1826" s="695">
        <v>3</v>
      </c>
      <c r="F1826" s="695" t="s">
        <v>4822</v>
      </c>
      <c r="G1826" s="695">
        <v>5</v>
      </c>
      <c r="H1826" s="695" t="s">
        <v>5320</v>
      </c>
      <c r="I1826" s="695">
        <v>37</v>
      </c>
      <c r="J1826" s="695" t="s">
        <v>5321</v>
      </c>
      <c r="K1826" s="695" t="s">
        <v>8544</v>
      </c>
      <c r="L1826" s="696">
        <v>439</v>
      </c>
      <c r="M1826" s="170"/>
    </row>
    <row r="1827" spans="2:13" x14ac:dyDescent="0.2">
      <c r="B1827" s="173"/>
      <c r="C1827" s="694">
        <v>1</v>
      </c>
      <c r="D1827" s="695" t="s">
        <v>3903</v>
      </c>
      <c r="E1827" s="695">
        <v>3</v>
      </c>
      <c r="F1827" s="695" t="s">
        <v>4822</v>
      </c>
      <c r="G1827" s="695">
        <v>5</v>
      </c>
      <c r="H1827" s="695" t="s">
        <v>5320</v>
      </c>
      <c r="I1827" s="695">
        <v>38</v>
      </c>
      <c r="J1827" s="695" t="s">
        <v>5352</v>
      </c>
      <c r="K1827" s="695" t="s">
        <v>8544</v>
      </c>
      <c r="L1827" s="696">
        <v>15</v>
      </c>
      <c r="M1827" s="170"/>
    </row>
    <row r="1828" spans="2:13" x14ac:dyDescent="0.2">
      <c r="B1828" s="173"/>
      <c r="C1828" s="694">
        <v>1</v>
      </c>
      <c r="D1828" s="695" t="s">
        <v>3903</v>
      </c>
      <c r="E1828" s="695">
        <v>3</v>
      </c>
      <c r="F1828" s="695" t="s">
        <v>4822</v>
      </c>
      <c r="G1828" s="695">
        <v>5</v>
      </c>
      <c r="H1828" s="695" t="s">
        <v>5320</v>
      </c>
      <c r="I1828" s="695">
        <v>40</v>
      </c>
      <c r="J1828" s="695" t="s">
        <v>5353</v>
      </c>
      <c r="K1828" s="695" t="s">
        <v>8544</v>
      </c>
      <c r="L1828" s="696">
        <v>41</v>
      </c>
      <c r="M1828" s="170"/>
    </row>
    <row r="1829" spans="2:13" x14ac:dyDescent="0.2">
      <c r="B1829" s="173"/>
      <c r="C1829" s="694">
        <v>1</v>
      </c>
      <c r="D1829" s="695" t="s">
        <v>3903</v>
      </c>
      <c r="E1829" s="695">
        <v>3</v>
      </c>
      <c r="F1829" s="695" t="s">
        <v>4822</v>
      </c>
      <c r="G1829" s="695">
        <v>5</v>
      </c>
      <c r="H1829" s="695" t="s">
        <v>5320</v>
      </c>
      <c r="I1829" s="695">
        <v>41</v>
      </c>
      <c r="J1829" s="695" t="s">
        <v>5354</v>
      </c>
      <c r="K1829" s="695" t="s">
        <v>8544</v>
      </c>
      <c r="L1829" s="696">
        <v>24</v>
      </c>
      <c r="M1829" s="170"/>
    </row>
    <row r="1830" spans="2:13" x14ac:dyDescent="0.2">
      <c r="B1830" s="173"/>
      <c r="C1830" s="694">
        <v>1</v>
      </c>
      <c r="D1830" s="695" t="s">
        <v>3903</v>
      </c>
      <c r="E1830" s="695">
        <v>3</v>
      </c>
      <c r="F1830" s="695" t="s">
        <v>4822</v>
      </c>
      <c r="G1830" s="695">
        <v>5</v>
      </c>
      <c r="H1830" s="695" t="s">
        <v>5320</v>
      </c>
      <c r="I1830" s="695">
        <v>42</v>
      </c>
      <c r="J1830" s="695" t="s">
        <v>5355</v>
      </c>
      <c r="K1830" s="695" t="s">
        <v>8544</v>
      </c>
      <c r="L1830" s="696">
        <v>16</v>
      </c>
      <c r="M1830" s="170"/>
    </row>
    <row r="1831" spans="2:13" x14ac:dyDescent="0.2">
      <c r="B1831" s="173"/>
      <c r="C1831" s="694">
        <v>1</v>
      </c>
      <c r="D1831" s="695" t="s">
        <v>3903</v>
      </c>
      <c r="E1831" s="695">
        <v>3</v>
      </c>
      <c r="F1831" s="695" t="s">
        <v>4822</v>
      </c>
      <c r="G1831" s="695">
        <v>5</v>
      </c>
      <c r="H1831" s="695" t="s">
        <v>5320</v>
      </c>
      <c r="I1831" s="695">
        <v>43</v>
      </c>
      <c r="J1831" s="695" t="s">
        <v>5356</v>
      </c>
      <c r="K1831" s="695" t="s">
        <v>8544</v>
      </c>
      <c r="L1831" s="696">
        <v>11</v>
      </c>
      <c r="M1831" s="170"/>
    </row>
    <row r="1832" spans="2:13" x14ac:dyDescent="0.2">
      <c r="B1832" s="173"/>
      <c r="C1832" s="694">
        <v>1</v>
      </c>
      <c r="D1832" s="695" t="s">
        <v>3903</v>
      </c>
      <c r="E1832" s="695">
        <v>3</v>
      </c>
      <c r="F1832" s="695" t="s">
        <v>4822</v>
      </c>
      <c r="G1832" s="695">
        <v>5</v>
      </c>
      <c r="H1832" s="695" t="s">
        <v>5320</v>
      </c>
      <c r="I1832" s="695">
        <v>44</v>
      </c>
      <c r="J1832" s="695" t="s">
        <v>5357</v>
      </c>
      <c r="K1832" s="695" t="s">
        <v>8544</v>
      </c>
      <c r="L1832" s="696">
        <v>46</v>
      </c>
      <c r="M1832" s="170"/>
    </row>
    <row r="1833" spans="2:13" x14ac:dyDescent="0.2">
      <c r="B1833" s="173"/>
      <c r="C1833" s="694">
        <v>1</v>
      </c>
      <c r="D1833" s="695" t="s">
        <v>3903</v>
      </c>
      <c r="E1833" s="695">
        <v>3</v>
      </c>
      <c r="F1833" s="695" t="s">
        <v>4822</v>
      </c>
      <c r="G1833" s="695">
        <v>5</v>
      </c>
      <c r="H1833" s="695" t="s">
        <v>5320</v>
      </c>
      <c r="I1833" s="695">
        <v>45</v>
      </c>
      <c r="J1833" s="695" t="s">
        <v>5358</v>
      </c>
      <c r="K1833" s="695" t="s">
        <v>8544</v>
      </c>
      <c r="L1833" s="696">
        <v>5</v>
      </c>
      <c r="M1833" s="170"/>
    </row>
    <row r="1834" spans="2:13" x14ac:dyDescent="0.2">
      <c r="B1834" s="173"/>
      <c r="C1834" s="694">
        <v>1</v>
      </c>
      <c r="D1834" s="695" t="s">
        <v>3903</v>
      </c>
      <c r="E1834" s="695">
        <v>3</v>
      </c>
      <c r="F1834" s="695" t="s">
        <v>4822</v>
      </c>
      <c r="G1834" s="695">
        <v>5</v>
      </c>
      <c r="H1834" s="695" t="s">
        <v>5320</v>
      </c>
      <c r="I1834" s="695">
        <v>46</v>
      </c>
      <c r="J1834" s="695" t="s">
        <v>5359</v>
      </c>
      <c r="K1834" s="695" t="s">
        <v>8544</v>
      </c>
      <c r="L1834" s="696">
        <v>4</v>
      </c>
      <c r="M1834" s="170"/>
    </row>
    <row r="1835" spans="2:13" x14ac:dyDescent="0.2">
      <c r="B1835" s="173"/>
      <c r="C1835" s="694">
        <v>1</v>
      </c>
      <c r="D1835" s="695" t="s">
        <v>3903</v>
      </c>
      <c r="E1835" s="695">
        <v>3</v>
      </c>
      <c r="F1835" s="695" t="s">
        <v>4822</v>
      </c>
      <c r="G1835" s="695">
        <v>5</v>
      </c>
      <c r="H1835" s="695" t="s">
        <v>5320</v>
      </c>
      <c r="I1835" s="695">
        <v>47</v>
      </c>
      <c r="J1835" s="695" t="s">
        <v>5360</v>
      </c>
      <c r="K1835" s="695" t="s">
        <v>8544</v>
      </c>
      <c r="L1835" s="696">
        <v>5</v>
      </c>
      <c r="M1835" s="170"/>
    </row>
    <row r="1836" spans="2:13" x14ac:dyDescent="0.2">
      <c r="B1836" s="173"/>
      <c r="C1836" s="694">
        <v>1</v>
      </c>
      <c r="D1836" s="695" t="s">
        <v>3903</v>
      </c>
      <c r="E1836" s="695">
        <v>3</v>
      </c>
      <c r="F1836" s="695" t="s">
        <v>4822</v>
      </c>
      <c r="G1836" s="695">
        <v>5</v>
      </c>
      <c r="H1836" s="695" t="s">
        <v>5320</v>
      </c>
      <c r="I1836" s="695">
        <v>48</v>
      </c>
      <c r="J1836" s="695" t="s">
        <v>5361</v>
      </c>
      <c r="K1836" s="695" t="s">
        <v>8544</v>
      </c>
      <c r="L1836" s="696">
        <v>13</v>
      </c>
      <c r="M1836" s="170"/>
    </row>
    <row r="1837" spans="2:13" x14ac:dyDescent="0.2">
      <c r="B1837" s="173"/>
      <c r="C1837" s="694">
        <v>1</v>
      </c>
      <c r="D1837" s="695" t="s">
        <v>3903</v>
      </c>
      <c r="E1837" s="695">
        <v>3</v>
      </c>
      <c r="F1837" s="695" t="s">
        <v>4822</v>
      </c>
      <c r="G1837" s="695">
        <v>5</v>
      </c>
      <c r="H1837" s="695" t="s">
        <v>5320</v>
      </c>
      <c r="I1837" s="695">
        <v>49</v>
      </c>
      <c r="J1837" s="695" t="s">
        <v>5362</v>
      </c>
      <c r="K1837" s="695" t="s">
        <v>8544</v>
      </c>
      <c r="L1837" s="696">
        <v>7</v>
      </c>
      <c r="M1837" s="170"/>
    </row>
    <row r="1838" spans="2:13" x14ac:dyDescent="0.2">
      <c r="B1838" s="173"/>
      <c r="C1838" s="694">
        <v>1</v>
      </c>
      <c r="D1838" s="695" t="s">
        <v>3903</v>
      </c>
      <c r="E1838" s="695">
        <v>3</v>
      </c>
      <c r="F1838" s="695" t="s">
        <v>4822</v>
      </c>
      <c r="G1838" s="695">
        <v>5</v>
      </c>
      <c r="H1838" s="695" t="s">
        <v>5320</v>
      </c>
      <c r="I1838" s="695">
        <v>50</v>
      </c>
      <c r="J1838" s="695" t="s">
        <v>5363</v>
      </c>
      <c r="K1838" s="695" t="s">
        <v>8544</v>
      </c>
      <c r="L1838" s="696">
        <v>90</v>
      </c>
      <c r="M1838" s="170"/>
    </row>
    <row r="1839" spans="2:13" x14ac:dyDescent="0.2">
      <c r="B1839" s="173"/>
      <c r="C1839" s="694">
        <v>1</v>
      </c>
      <c r="D1839" s="695" t="s">
        <v>3903</v>
      </c>
      <c r="E1839" s="695">
        <v>3</v>
      </c>
      <c r="F1839" s="695" t="s">
        <v>4822</v>
      </c>
      <c r="G1839" s="695">
        <v>5</v>
      </c>
      <c r="H1839" s="695" t="s">
        <v>5320</v>
      </c>
      <c r="I1839" s="695">
        <v>51</v>
      </c>
      <c r="J1839" s="695" t="s">
        <v>8790</v>
      </c>
      <c r="K1839" s="695" t="s">
        <v>8544</v>
      </c>
      <c r="L1839" s="696">
        <v>366</v>
      </c>
      <c r="M1839" s="170"/>
    </row>
    <row r="1840" spans="2:13" x14ac:dyDescent="0.2">
      <c r="B1840" s="173"/>
      <c r="C1840" s="694">
        <v>1</v>
      </c>
      <c r="D1840" s="695" t="s">
        <v>3903</v>
      </c>
      <c r="E1840" s="695">
        <v>3</v>
      </c>
      <c r="F1840" s="695" t="s">
        <v>4822</v>
      </c>
      <c r="G1840" s="695">
        <v>5</v>
      </c>
      <c r="H1840" s="695" t="s">
        <v>5320</v>
      </c>
      <c r="I1840" s="695">
        <v>52</v>
      </c>
      <c r="J1840" s="695" t="s">
        <v>5364</v>
      </c>
      <c r="K1840" s="695" t="s">
        <v>8544</v>
      </c>
      <c r="L1840" s="696">
        <v>84</v>
      </c>
      <c r="M1840" s="170"/>
    </row>
    <row r="1841" spans="2:13" x14ac:dyDescent="0.2">
      <c r="B1841" s="173"/>
      <c r="C1841" s="694">
        <v>1</v>
      </c>
      <c r="D1841" s="695" t="s">
        <v>3903</v>
      </c>
      <c r="E1841" s="695">
        <v>3</v>
      </c>
      <c r="F1841" s="695" t="s">
        <v>4822</v>
      </c>
      <c r="G1841" s="695">
        <v>5</v>
      </c>
      <c r="H1841" s="695" t="s">
        <v>5320</v>
      </c>
      <c r="I1841" s="695">
        <v>53</v>
      </c>
      <c r="J1841" s="695" t="s">
        <v>5365</v>
      </c>
      <c r="K1841" s="695" t="s">
        <v>8544</v>
      </c>
      <c r="L1841" s="696">
        <v>0</v>
      </c>
      <c r="M1841" s="170"/>
    </row>
    <row r="1842" spans="2:13" x14ac:dyDescent="0.2">
      <c r="B1842" s="173"/>
      <c r="C1842" s="694">
        <v>1</v>
      </c>
      <c r="D1842" s="695" t="s">
        <v>3903</v>
      </c>
      <c r="E1842" s="695">
        <v>3</v>
      </c>
      <c r="F1842" s="695" t="s">
        <v>4822</v>
      </c>
      <c r="G1842" s="695">
        <v>5</v>
      </c>
      <c r="H1842" s="695" t="s">
        <v>5320</v>
      </c>
      <c r="I1842" s="695">
        <v>54</v>
      </c>
      <c r="J1842" s="695" t="s">
        <v>5366</v>
      </c>
      <c r="K1842" s="695" t="s">
        <v>8544</v>
      </c>
      <c r="L1842" s="696">
        <v>14</v>
      </c>
      <c r="M1842" s="170"/>
    </row>
    <row r="1843" spans="2:13" x14ac:dyDescent="0.2">
      <c r="B1843" s="173"/>
      <c r="C1843" s="694">
        <v>1</v>
      </c>
      <c r="D1843" s="695" t="s">
        <v>3903</v>
      </c>
      <c r="E1843" s="695">
        <v>3</v>
      </c>
      <c r="F1843" s="695" t="s">
        <v>4822</v>
      </c>
      <c r="G1843" s="695">
        <v>5</v>
      </c>
      <c r="H1843" s="695" t="s">
        <v>5320</v>
      </c>
      <c r="I1843" s="695">
        <v>55</v>
      </c>
      <c r="J1843" s="695" t="s">
        <v>5367</v>
      </c>
      <c r="K1843" s="695" t="s">
        <v>8544</v>
      </c>
      <c r="L1843" s="696">
        <v>1410</v>
      </c>
      <c r="M1843" s="170"/>
    </row>
    <row r="1844" spans="2:13" x14ac:dyDescent="0.2">
      <c r="B1844" s="173"/>
      <c r="C1844" s="694">
        <v>1</v>
      </c>
      <c r="D1844" s="695" t="s">
        <v>3903</v>
      </c>
      <c r="E1844" s="695">
        <v>3</v>
      </c>
      <c r="F1844" s="695" t="s">
        <v>4822</v>
      </c>
      <c r="G1844" s="695">
        <v>5</v>
      </c>
      <c r="H1844" s="695" t="s">
        <v>5320</v>
      </c>
      <c r="I1844" s="695">
        <v>56</v>
      </c>
      <c r="J1844" s="695" t="s">
        <v>5368</v>
      </c>
      <c r="K1844" s="695" t="s">
        <v>8544</v>
      </c>
      <c r="L1844" s="696">
        <v>126</v>
      </c>
      <c r="M1844" s="170"/>
    </row>
    <row r="1845" spans="2:13" x14ac:dyDescent="0.2">
      <c r="B1845" s="173"/>
      <c r="C1845" s="694">
        <v>1</v>
      </c>
      <c r="D1845" s="695" t="s">
        <v>3903</v>
      </c>
      <c r="E1845" s="695">
        <v>3</v>
      </c>
      <c r="F1845" s="695" t="s">
        <v>4822</v>
      </c>
      <c r="G1845" s="695">
        <v>5</v>
      </c>
      <c r="H1845" s="695" t="s">
        <v>5320</v>
      </c>
      <c r="I1845" s="695">
        <v>57</v>
      </c>
      <c r="J1845" s="695" t="s">
        <v>5369</v>
      </c>
      <c r="K1845" s="695" t="s">
        <v>8544</v>
      </c>
      <c r="L1845" s="696">
        <v>1389</v>
      </c>
      <c r="M1845" s="170"/>
    </row>
    <row r="1846" spans="2:13" x14ac:dyDescent="0.2">
      <c r="B1846" s="173"/>
      <c r="C1846" s="694">
        <v>1</v>
      </c>
      <c r="D1846" s="695" t="s">
        <v>3903</v>
      </c>
      <c r="E1846" s="695">
        <v>3</v>
      </c>
      <c r="F1846" s="695" t="s">
        <v>4822</v>
      </c>
      <c r="G1846" s="695">
        <v>5</v>
      </c>
      <c r="H1846" s="695" t="s">
        <v>5320</v>
      </c>
      <c r="I1846" s="695">
        <v>58</v>
      </c>
      <c r="J1846" s="695" t="s">
        <v>5370</v>
      </c>
      <c r="K1846" s="695" t="s">
        <v>8544</v>
      </c>
      <c r="L1846" s="696">
        <v>756</v>
      </c>
      <c r="M1846" s="170"/>
    </row>
    <row r="1847" spans="2:13" x14ac:dyDescent="0.2">
      <c r="B1847" s="173"/>
      <c r="C1847" s="694">
        <v>1</v>
      </c>
      <c r="D1847" s="695" t="s">
        <v>3903</v>
      </c>
      <c r="E1847" s="695">
        <v>3</v>
      </c>
      <c r="F1847" s="695" t="s">
        <v>4822</v>
      </c>
      <c r="G1847" s="695">
        <v>5</v>
      </c>
      <c r="H1847" s="695" t="s">
        <v>5320</v>
      </c>
      <c r="I1847" s="695">
        <v>59</v>
      </c>
      <c r="J1847" s="695" t="s">
        <v>5371</v>
      </c>
      <c r="K1847" s="695" t="s">
        <v>8544</v>
      </c>
      <c r="L1847" s="696">
        <v>537</v>
      </c>
      <c r="M1847" s="170"/>
    </row>
    <row r="1848" spans="2:13" x14ac:dyDescent="0.2">
      <c r="B1848" s="173"/>
      <c r="C1848" s="694">
        <v>1</v>
      </c>
      <c r="D1848" s="695" t="s">
        <v>3903</v>
      </c>
      <c r="E1848" s="695">
        <v>3</v>
      </c>
      <c r="F1848" s="695" t="s">
        <v>4822</v>
      </c>
      <c r="G1848" s="695">
        <v>5</v>
      </c>
      <c r="H1848" s="695" t="s">
        <v>5320</v>
      </c>
      <c r="I1848" s="695">
        <v>60</v>
      </c>
      <c r="J1848" s="695" t="s">
        <v>5372</v>
      </c>
      <c r="K1848" s="695" t="s">
        <v>8544</v>
      </c>
      <c r="L1848" s="696">
        <v>373</v>
      </c>
      <c r="M1848" s="170"/>
    </row>
    <row r="1849" spans="2:13" x14ac:dyDescent="0.2">
      <c r="B1849" s="173"/>
      <c r="C1849" s="694">
        <v>1</v>
      </c>
      <c r="D1849" s="695" t="s">
        <v>3903</v>
      </c>
      <c r="E1849" s="695">
        <v>3</v>
      </c>
      <c r="F1849" s="695" t="s">
        <v>4822</v>
      </c>
      <c r="G1849" s="695">
        <v>5</v>
      </c>
      <c r="H1849" s="695" t="s">
        <v>5320</v>
      </c>
      <c r="I1849" s="695">
        <v>61</v>
      </c>
      <c r="J1849" s="695" t="s">
        <v>5373</v>
      </c>
      <c r="K1849" s="695" t="s">
        <v>8544</v>
      </c>
      <c r="L1849" s="696">
        <v>9</v>
      </c>
      <c r="M1849" s="170"/>
    </row>
    <row r="1850" spans="2:13" x14ac:dyDescent="0.2">
      <c r="B1850" s="173"/>
      <c r="C1850" s="694">
        <v>1</v>
      </c>
      <c r="D1850" s="695" t="s">
        <v>3903</v>
      </c>
      <c r="E1850" s="695">
        <v>3</v>
      </c>
      <c r="F1850" s="695" t="s">
        <v>4822</v>
      </c>
      <c r="G1850" s="695">
        <v>5</v>
      </c>
      <c r="H1850" s="695" t="s">
        <v>5320</v>
      </c>
      <c r="I1850" s="695">
        <v>62</v>
      </c>
      <c r="J1850" s="695" t="s">
        <v>5374</v>
      </c>
      <c r="K1850" s="695" t="s">
        <v>8544</v>
      </c>
      <c r="L1850" s="696">
        <v>56</v>
      </c>
      <c r="M1850" s="170"/>
    </row>
    <row r="1851" spans="2:13" x14ac:dyDescent="0.2">
      <c r="B1851" s="173"/>
      <c r="C1851" s="694">
        <v>1</v>
      </c>
      <c r="D1851" s="695" t="s">
        <v>3903</v>
      </c>
      <c r="E1851" s="695">
        <v>3</v>
      </c>
      <c r="F1851" s="695" t="s">
        <v>4822</v>
      </c>
      <c r="G1851" s="695">
        <v>5</v>
      </c>
      <c r="H1851" s="695" t="s">
        <v>5320</v>
      </c>
      <c r="I1851" s="695">
        <v>63</v>
      </c>
      <c r="J1851" s="695" t="s">
        <v>5375</v>
      </c>
      <c r="K1851" s="695" t="s">
        <v>3907</v>
      </c>
      <c r="L1851" s="696">
        <v>514</v>
      </c>
      <c r="M1851" s="170"/>
    </row>
    <row r="1852" spans="2:13" x14ac:dyDescent="0.2">
      <c r="B1852" s="173"/>
      <c r="C1852" s="694">
        <v>1</v>
      </c>
      <c r="D1852" s="695" t="s">
        <v>3903</v>
      </c>
      <c r="E1852" s="695">
        <v>3</v>
      </c>
      <c r="F1852" s="695" t="s">
        <v>4822</v>
      </c>
      <c r="G1852" s="695">
        <v>5</v>
      </c>
      <c r="H1852" s="695" t="s">
        <v>5320</v>
      </c>
      <c r="I1852" s="695">
        <v>64</v>
      </c>
      <c r="J1852" s="695" t="s">
        <v>5376</v>
      </c>
      <c r="K1852" s="695" t="s">
        <v>8544</v>
      </c>
      <c r="L1852" s="696">
        <v>1310</v>
      </c>
      <c r="M1852" s="170"/>
    </row>
    <row r="1853" spans="2:13" x14ac:dyDescent="0.2">
      <c r="B1853" s="173"/>
      <c r="C1853" s="694">
        <v>1</v>
      </c>
      <c r="D1853" s="695" t="s">
        <v>3903</v>
      </c>
      <c r="E1853" s="695">
        <v>3</v>
      </c>
      <c r="F1853" s="695" t="s">
        <v>4822</v>
      </c>
      <c r="G1853" s="695">
        <v>5</v>
      </c>
      <c r="H1853" s="695" t="s">
        <v>5320</v>
      </c>
      <c r="I1853" s="695">
        <v>65</v>
      </c>
      <c r="J1853" s="695" t="s">
        <v>5377</v>
      </c>
      <c r="K1853" s="695" t="s">
        <v>8544</v>
      </c>
      <c r="L1853" s="696">
        <v>277</v>
      </c>
      <c r="M1853" s="170"/>
    </row>
    <row r="1854" spans="2:13" x14ac:dyDescent="0.2">
      <c r="B1854" s="173"/>
      <c r="C1854" s="694">
        <v>1</v>
      </c>
      <c r="D1854" s="695" t="s">
        <v>3903</v>
      </c>
      <c r="E1854" s="695">
        <v>3</v>
      </c>
      <c r="F1854" s="695" t="s">
        <v>4822</v>
      </c>
      <c r="G1854" s="695">
        <v>5</v>
      </c>
      <c r="H1854" s="695" t="s">
        <v>5320</v>
      </c>
      <c r="I1854" s="695">
        <v>66</v>
      </c>
      <c r="J1854" s="695" t="s">
        <v>5378</v>
      </c>
      <c r="K1854" s="695" t="s">
        <v>8544</v>
      </c>
      <c r="L1854" s="696">
        <v>12</v>
      </c>
      <c r="M1854" s="170"/>
    </row>
    <row r="1855" spans="2:13" x14ac:dyDescent="0.2">
      <c r="B1855" s="173"/>
      <c r="C1855" s="694">
        <v>1</v>
      </c>
      <c r="D1855" s="695" t="s">
        <v>3903</v>
      </c>
      <c r="E1855" s="695">
        <v>3</v>
      </c>
      <c r="F1855" s="695" t="s">
        <v>4822</v>
      </c>
      <c r="G1855" s="695">
        <v>5</v>
      </c>
      <c r="H1855" s="695" t="s">
        <v>5320</v>
      </c>
      <c r="I1855" s="695">
        <v>67</v>
      </c>
      <c r="J1855" s="695" t="s">
        <v>5379</v>
      </c>
      <c r="K1855" s="695" t="s">
        <v>8544</v>
      </c>
      <c r="L1855" s="696">
        <v>17</v>
      </c>
      <c r="M1855" s="170"/>
    </row>
    <row r="1856" spans="2:13" x14ac:dyDescent="0.2">
      <c r="B1856" s="173"/>
      <c r="C1856" s="694">
        <v>1</v>
      </c>
      <c r="D1856" s="695" t="s">
        <v>3903</v>
      </c>
      <c r="E1856" s="695">
        <v>3</v>
      </c>
      <c r="F1856" s="695" t="s">
        <v>4822</v>
      </c>
      <c r="G1856" s="695">
        <v>5</v>
      </c>
      <c r="H1856" s="695" t="s">
        <v>5320</v>
      </c>
      <c r="I1856" s="695">
        <v>68</v>
      </c>
      <c r="J1856" s="695" t="s">
        <v>5380</v>
      </c>
      <c r="K1856" s="695" t="s">
        <v>8544</v>
      </c>
      <c r="L1856" s="696">
        <v>11</v>
      </c>
      <c r="M1856" s="170"/>
    </row>
    <row r="1857" spans="2:13" x14ac:dyDescent="0.2">
      <c r="B1857" s="173"/>
      <c r="C1857" s="694">
        <v>1</v>
      </c>
      <c r="D1857" s="695" t="s">
        <v>3903</v>
      </c>
      <c r="E1857" s="695">
        <v>3</v>
      </c>
      <c r="F1857" s="695" t="s">
        <v>4822</v>
      </c>
      <c r="G1857" s="695">
        <v>5</v>
      </c>
      <c r="H1857" s="695" t="s">
        <v>5320</v>
      </c>
      <c r="I1857" s="695">
        <v>69</v>
      </c>
      <c r="J1857" s="695" t="s">
        <v>5381</v>
      </c>
      <c r="K1857" s="695" t="s">
        <v>8544</v>
      </c>
      <c r="L1857" s="696">
        <v>7</v>
      </c>
      <c r="M1857" s="170"/>
    </row>
    <row r="1858" spans="2:13" x14ac:dyDescent="0.2">
      <c r="B1858" s="173"/>
      <c r="C1858" s="694">
        <v>1</v>
      </c>
      <c r="D1858" s="695" t="s">
        <v>3903</v>
      </c>
      <c r="E1858" s="695">
        <v>3</v>
      </c>
      <c r="F1858" s="695" t="s">
        <v>4822</v>
      </c>
      <c r="G1858" s="695">
        <v>5</v>
      </c>
      <c r="H1858" s="695" t="s">
        <v>5320</v>
      </c>
      <c r="I1858" s="695">
        <v>70</v>
      </c>
      <c r="J1858" s="695" t="s">
        <v>5330</v>
      </c>
      <c r="K1858" s="695" t="s">
        <v>8544</v>
      </c>
      <c r="L1858" s="696">
        <v>269</v>
      </c>
      <c r="M1858" s="170"/>
    </row>
    <row r="1859" spans="2:13" x14ac:dyDescent="0.2">
      <c r="B1859" s="173"/>
      <c r="C1859" s="694">
        <v>1</v>
      </c>
      <c r="D1859" s="695" t="s">
        <v>3903</v>
      </c>
      <c r="E1859" s="695">
        <v>3</v>
      </c>
      <c r="F1859" s="695" t="s">
        <v>4822</v>
      </c>
      <c r="G1859" s="695">
        <v>5</v>
      </c>
      <c r="H1859" s="695" t="s">
        <v>5320</v>
      </c>
      <c r="I1859" s="695">
        <v>71</v>
      </c>
      <c r="J1859" s="695" t="s">
        <v>5382</v>
      </c>
      <c r="K1859" s="695" t="s">
        <v>8544</v>
      </c>
      <c r="L1859" s="696">
        <v>8</v>
      </c>
      <c r="M1859" s="170"/>
    </row>
    <row r="1860" spans="2:13" x14ac:dyDescent="0.2">
      <c r="B1860" s="173"/>
      <c r="C1860" s="694">
        <v>1</v>
      </c>
      <c r="D1860" s="695" t="s">
        <v>3903</v>
      </c>
      <c r="E1860" s="695">
        <v>3</v>
      </c>
      <c r="F1860" s="695" t="s">
        <v>4822</v>
      </c>
      <c r="G1860" s="695">
        <v>5</v>
      </c>
      <c r="H1860" s="695" t="s">
        <v>5320</v>
      </c>
      <c r="I1860" s="695">
        <v>72</v>
      </c>
      <c r="J1860" s="695" t="s">
        <v>5383</v>
      </c>
      <c r="K1860" s="695" t="s">
        <v>8544</v>
      </c>
      <c r="L1860" s="696">
        <v>7</v>
      </c>
      <c r="M1860" s="170"/>
    </row>
    <row r="1861" spans="2:13" x14ac:dyDescent="0.2">
      <c r="B1861" s="173"/>
      <c r="C1861" s="694">
        <v>1</v>
      </c>
      <c r="D1861" s="695" t="s">
        <v>3903</v>
      </c>
      <c r="E1861" s="695">
        <v>3</v>
      </c>
      <c r="F1861" s="695" t="s">
        <v>4822</v>
      </c>
      <c r="G1861" s="695">
        <v>5</v>
      </c>
      <c r="H1861" s="695" t="s">
        <v>5320</v>
      </c>
      <c r="I1861" s="695">
        <v>73</v>
      </c>
      <c r="J1861" s="695" t="s">
        <v>5384</v>
      </c>
      <c r="K1861" s="695" t="s">
        <v>8544</v>
      </c>
      <c r="L1861" s="696">
        <v>19</v>
      </c>
      <c r="M1861" s="170"/>
    </row>
    <row r="1862" spans="2:13" x14ac:dyDescent="0.2">
      <c r="B1862" s="173"/>
      <c r="C1862" s="694">
        <v>1</v>
      </c>
      <c r="D1862" s="695" t="s">
        <v>3903</v>
      </c>
      <c r="E1862" s="695">
        <v>3</v>
      </c>
      <c r="F1862" s="695" t="s">
        <v>4822</v>
      </c>
      <c r="G1862" s="695">
        <v>5</v>
      </c>
      <c r="H1862" s="695" t="s">
        <v>5320</v>
      </c>
      <c r="I1862" s="695">
        <v>74</v>
      </c>
      <c r="J1862" s="695" t="s">
        <v>5385</v>
      </c>
      <c r="K1862" s="695" t="s">
        <v>8544</v>
      </c>
      <c r="L1862" s="696">
        <v>32</v>
      </c>
      <c r="M1862" s="170"/>
    </row>
    <row r="1863" spans="2:13" x14ac:dyDescent="0.2">
      <c r="B1863" s="173"/>
      <c r="C1863" s="694">
        <v>1</v>
      </c>
      <c r="D1863" s="695" t="s">
        <v>3903</v>
      </c>
      <c r="E1863" s="695">
        <v>3</v>
      </c>
      <c r="F1863" s="695" t="s">
        <v>4822</v>
      </c>
      <c r="G1863" s="695">
        <v>5</v>
      </c>
      <c r="H1863" s="695" t="s">
        <v>5320</v>
      </c>
      <c r="I1863" s="695">
        <v>75</v>
      </c>
      <c r="J1863" s="695" t="s">
        <v>5386</v>
      </c>
      <c r="K1863" s="695" t="s">
        <v>8544</v>
      </c>
      <c r="L1863" s="696">
        <v>18</v>
      </c>
      <c r="M1863" s="170"/>
    </row>
    <row r="1864" spans="2:13" x14ac:dyDescent="0.2">
      <c r="B1864" s="173"/>
      <c r="C1864" s="694">
        <v>1</v>
      </c>
      <c r="D1864" s="695" t="s">
        <v>3903</v>
      </c>
      <c r="E1864" s="695">
        <v>3</v>
      </c>
      <c r="F1864" s="695" t="s">
        <v>4822</v>
      </c>
      <c r="G1864" s="695">
        <v>5</v>
      </c>
      <c r="H1864" s="695" t="s">
        <v>5320</v>
      </c>
      <c r="I1864" s="695">
        <v>76</v>
      </c>
      <c r="J1864" s="695" t="s">
        <v>5387</v>
      </c>
      <c r="K1864" s="695" t="s">
        <v>8544</v>
      </c>
      <c r="L1864" s="696">
        <v>54</v>
      </c>
      <c r="M1864" s="170"/>
    </row>
    <row r="1865" spans="2:13" x14ac:dyDescent="0.2">
      <c r="B1865" s="173"/>
      <c r="C1865" s="694">
        <v>1</v>
      </c>
      <c r="D1865" s="695" t="s">
        <v>3903</v>
      </c>
      <c r="E1865" s="695">
        <v>3</v>
      </c>
      <c r="F1865" s="695" t="s">
        <v>4822</v>
      </c>
      <c r="G1865" s="695">
        <v>5</v>
      </c>
      <c r="H1865" s="695" t="s">
        <v>5320</v>
      </c>
      <c r="I1865" s="695">
        <v>77</v>
      </c>
      <c r="J1865" s="695" t="s">
        <v>5388</v>
      </c>
      <c r="K1865" s="695" t="s">
        <v>8544</v>
      </c>
      <c r="L1865" s="696">
        <v>71</v>
      </c>
      <c r="M1865" s="170"/>
    </row>
    <row r="1866" spans="2:13" x14ac:dyDescent="0.2">
      <c r="B1866" s="173"/>
      <c r="C1866" s="694">
        <v>1</v>
      </c>
      <c r="D1866" s="695" t="s">
        <v>3903</v>
      </c>
      <c r="E1866" s="695">
        <v>3</v>
      </c>
      <c r="F1866" s="695" t="s">
        <v>4822</v>
      </c>
      <c r="G1866" s="695">
        <v>5</v>
      </c>
      <c r="H1866" s="695" t="s">
        <v>5320</v>
      </c>
      <c r="I1866" s="695">
        <v>78</v>
      </c>
      <c r="J1866" s="695" t="s">
        <v>5389</v>
      </c>
      <c r="K1866" s="695" t="s">
        <v>8544</v>
      </c>
      <c r="L1866" s="696">
        <v>71</v>
      </c>
      <c r="M1866" s="170"/>
    </row>
    <row r="1867" spans="2:13" x14ac:dyDescent="0.2">
      <c r="B1867" s="173"/>
      <c r="C1867" s="694">
        <v>1</v>
      </c>
      <c r="D1867" s="695" t="s">
        <v>3903</v>
      </c>
      <c r="E1867" s="695">
        <v>3</v>
      </c>
      <c r="F1867" s="695" t="s">
        <v>4822</v>
      </c>
      <c r="G1867" s="695">
        <v>5</v>
      </c>
      <c r="H1867" s="695" t="s">
        <v>5320</v>
      </c>
      <c r="I1867" s="695">
        <v>79</v>
      </c>
      <c r="J1867" s="695" t="s">
        <v>5390</v>
      </c>
      <c r="K1867" s="695" t="s">
        <v>8544</v>
      </c>
      <c r="L1867" s="696">
        <v>1</v>
      </c>
      <c r="M1867" s="170"/>
    </row>
    <row r="1868" spans="2:13" x14ac:dyDescent="0.2">
      <c r="B1868" s="173"/>
      <c r="C1868" s="694">
        <v>1</v>
      </c>
      <c r="D1868" s="695" t="s">
        <v>3903</v>
      </c>
      <c r="E1868" s="695">
        <v>3</v>
      </c>
      <c r="F1868" s="695" t="s">
        <v>4822</v>
      </c>
      <c r="G1868" s="695">
        <v>5</v>
      </c>
      <c r="H1868" s="695" t="s">
        <v>5320</v>
      </c>
      <c r="I1868" s="695">
        <v>80</v>
      </c>
      <c r="J1868" s="695" t="s">
        <v>5391</v>
      </c>
      <c r="K1868" s="695" t="s">
        <v>8544</v>
      </c>
      <c r="L1868" s="696">
        <v>5</v>
      </c>
      <c r="M1868" s="170"/>
    </row>
    <row r="1869" spans="2:13" x14ac:dyDescent="0.2">
      <c r="B1869" s="173"/>
      <c r="C1869" s="694">
        <v>1</v>
      </c>
      <c r="D1869" s="695" t="s">
        <v>3903</v>
      </c>
      <c r="E1869" s="695">
        <v>3</v>
      </c>
      <c r="F1869" s="695" t="s">
        <v>4822</v>
      </c>
      <c r="G1869" s="695">
        <v>5</v>
      </c>
      <c r="H1869" s="695" t="s">
        <v>5320</v>
      </c>
      <c r="I1869" s="695">
        <v>81</v>
      </c>
      <c r="J1869" s="695" t="s">
        <v>5392</v>
      </c>
      <c r="K1869" s="695" t="s">
        <v>8544</v>
      </c>
      <c r="L1869" s="696">
        <v>90</v>
      </c>
      <c r="M1869" s="170"/>
    </row>
    <row r="1870" spans="2:13" x14ac:dyDescent="0.2">
      <c r="B1870" s="173"/>
      <c r="C1870" s="694">
        <v>1</v>
      </c>
      <c r="D1870" s="695" t="s">
        <v>3903</v>
      </c>
      <c r="E1870" s="695">
        <v>3</v>
      </c>
      <c r="F1870" s="695" t="s">
        <v>4822</v>
      </c>
      <c r="G1870" s="695">
        <v>5</v>
      </c>
      <c r="H1870" s="695" t="s">
        <v>5320</v>
      </c>
      <c r="I1870" s="695">
        <v>82</v>
      </c>
      <c r="J1870" s="695" t="s">
        <v>5393</v>
      </c>
      <c r="K1870" s="695" t="s">
        <v>8544</v>
      </c>
      <c r="L1870" s="696">
        <v>22</v>
      </c>
      <c r="M1870" s="170"/>
    </row>
    <row r="1871" spans="2:13" x14ac:dyDescent="0.2">
      <c r="B1871" s="173"/>
      <c r="C1871" s="694">
        <v>1</v>
      </c>
      <c r="D1871" s="695" t="s">
        <v>3903</v>
      </c>
      <c r="E1871" s="695">
        <v>3</v>
      </c>
      <c r="F1871" s="695" t="s">
        <v>4822</v>
      </c>
      <c r="G1871" s="695">
        <v>5</v>
      </c>
      <c r="H1871" s="695" t="s">
        <v>5320</v>
      </c>
      <c r="I1871" s="695">
        <v>83</v>
      </c>
      <c r="J1871" s="695" t="s">
        <v>5394</v>
      </c>
      <c r="K1871" s="695" t="s">
        <v>8544</v>
      </c>
      <c r="L1871" s="696">
        <v>695</v>
      </c>
      <c r="M1871" s="170"/>
    </row>
    <row r="1872" spans="2:13" x14ac:dyDescent="0.2">
      <c r="B1872" s="173"/>
      <c r="C1872" s="694">
        <v>1</v>
      </c>
      <c r="D1872" s="695" t="s">
        <v>3903</v>
      </c>
      <c r="E1872" s="695">
        <v>3</v>
      </c>
      <c r="F1872" s="695" t="s">
        <v>4822</v>
      </c>
      <c r="G1872" s="695">
        <v>5</v>
      </c>
      <c r="H1872" s="695" t="s">
        <v>5320</v>
      </c>
      <c r="I1872" s="695">
        <v>84</v>
      </c>
      <c r="J1872" s="695" t="s">
        <v>5395</v>
      </c>
      <c r="K1872" s="695" t="s">
        <v>8544</v>
      </c>
      <c r="L1872" s="696">
        <v>137</v>
      </c>
      <c r="M1872" s="170"/>
    </row>
    <row r="1873" spans="2:13" x14ac:dyDescent="0.2">
      <c r="B1873" s="173"/>
      <c r="C1873" s="694">
        <v>1</v>
      </c>
      <c r="D1873" s="695" t="s">
        <v>3903</v>
      </c>
      <c r="E1873" s="695">
        <v>3</v>
      </c>
      <c r="F1873" s="695" t="s">
        <v>4822</v>
      </c>
      <c r="G1873" s="695">
        <v>5</v>
      </c>
      <c r="H1873" s="695" t="s">
        <v>5320</v>
      </c>
      <c r="I1873" s="695">
        <v>85</v>
      </c>
      <c r="J1873" s="695" t="s">
        <v>5396</v>
      </c>
      <c r="K1873" s="695" t="s">
        <v>8544</v>
      </c>
      <c r="L1873" s="696">
        <v>465</v>
      </c>
      <c r="M1873" s="170"/>
    </row>
    <row r="1874" spans="2:13" x14ac:dyDescent="0.2">
      <c r="B1874" s="173"/>
      <c r="C1874" s="694">
        <v>1</v>
      </c>
      <c r="D1874" s="695" t="s">
        <v>3903</v>
      </c>
      <c r="E1874" s="695">
        <v>3</v>
      </c>
      <c r="F1874" s="695" t="s">
        <v>4822</v>
      </c>
      <c r="G1874" s="695">
        <v>5</v>
      </c>
      <c r="H1874" s="695" t="s">
        <v>5320</v>
      </c>
      <c r="I1874" s="695">
        <v>86</v>
      </c>
      <c r="J1874" s="695" t="s">
        <v>5397</v>
      </c>
      <c r="K1874" s="695" t="s">
        <v>8544</v>
      </c>
      <c r="L1874" s="696">
        <v>14</v>
      </c>
      <c r="M1874" s="170"/>
    </row>
    <row r="1875" spans="2:13" x14ac:dyDescent="0.2">
      <c r="B1875" s="173"/>
      <c r="C1875" s="694">
        <v>1</v>
      </c>
      <c r="D1875" s="695" t="s">
        <v>3903</v>
      </c>
      <c r="E1875" s="695">
        <v>3</v>
      </c>
      <c r="F1875" s="695" t="s">
        <v>4822</v>
      </c>
      <c r="G1875" s="695">
        <v>5</v>
      </c>
      <c r="H1875" s="695" t="s">
        <v>5320</v>
      </c>
      <c r="I1875" s="695">
        <v>87</v>
      </c>
      <c r="J1875" s="695" t="s">
        <v>5398</v>
      </c>
      <c r="K1875" s="695" t="s">
        <v>8544</v>
      </c>
      <c r="L1875" s="696">
        <v>7</v>
      </c>
      <c r="M1875" s="170"/>
    </row>
    <row r="1876" spans="2:13" x14ac:dyDescent="0.2">
      <c r="B1876" s="173"/>
      <c r="C1876" s="694">
        <v>1</v>
      </c>
      <c r="D1876" s="695" t="s">
        <v>3903</v>
      </c>
      <c r="E1876" s="695">
        <v>3</v>
      </c>
      <c r="F1876" s="695" t="s">
        <v>4822</v>
      </c>
      <c r="G1876" s="695">
        <v>5</v>
      </c>
      <c r="H1876" s="695" t="s">
        <v>5320</v>
      </c>
      <c r="I1876" s="695">
        <v>88</v>
      </c>
      <c r="J1876" s="695" t="s">
        <v>5399</v>
      </c>
      <c r="K1876" s="695" t="s">
        <v>8544</v>
      </c>
      <c r="L1876" s="696">
        <v>3</v>
      </c>
      <c r="M1876" s="170"/>
    </row>
    <row r="1877" spans="2:13" x14ac:dyDescent="0.2">
      <c r="B1877" s="173"/>
      <c r="C1877" s="694">
        <v>1</v>
      </c>
      <c r="D1877" s="695" t="s">
        <v>3903</v>
      </c>
      <c r="E1877" s="695">
        <v>3</v>
      </c>
      <c r="F1877" s="695" t="s">
        <v>4822</v>
      </c>
      <c r="G1877" s="695">
        <v>5</v>
      </c>
      <c r="H1877" s="695" t="s">
        <v>5320</v>
      </c>
      <c r="I1877" s="695">
        <v>89</v>
      </c>
      <c r="J1877" s="695" t="s">
        <v>5400</v>
      </c>
      <c r="K1877" s="695" t="s">
        <v>8544</v>
      </c>
      <c r="L1877" s="696">
        <v>5</v>
      </c>
      <c r="M1877" s="170"/>
    </row>
    <row r="1878" spans="2:13" x14ac:dyDescent="0.2">
      <c r="B1878" s="173"/>
      <c r="C1878" s="694">
        <v>1</v>
      </c>
      <c r="D1878" s="695" t="s">
        <v>3903</v>
      </c>
      <c r="E1878" s="695">
        <v>3</v>
      </c>
      <c r="F1878" s="695" t="s">
        <v>4822</v>
      </c>
      <c r="G1878" s="695">
        <v>5</v>
      </c>
      <c r="H1878" s="695" t="s">
        <v>5320</v>
      </c>
      <c r="I1878" s="695">
        <v>90</v>
      </c>
      <c r="J1878" s="695" t="s">
        <v>5401</v>
      </c>
      <c r="K1878" s="695" t="s">
        <v>8544</v>
      </c>
      <c r="L1878" s="696">
        <v>435</v>
      </c>
      <c r="M1878" s="170"/>
    </row>
    <row r="1879" spans="2:13" x14ac:dyDescent="0.2">
      <c r="B1879" s="173"/>
      <c r="C1879" s="694">
        <v>1</v>
      </c>
      <c r="D1879" s="695" t="s">
        <v>3903</v>
      </c>
      <c r="E1879" s="695">
        <v>3</v>
      </c>
      <c r="F1879" s="695" t="s">
        <v>4822</v>
      </c>
      <c r="G1879" s="695">
        <v>5</v>
      </c>
      <c r="H1879" s="695" t="s">
        <v>5320</v>
      </c>
      <c r="I1879" s="695">
        <v>91</v>
      </c>
      <c r="J1879" s="695" t="s">
        <v>5402</v>
      </c>
      <c r="K1879" s="695" t="s">
        <v>8544</v>
      </c>
      <c r="L1879" s="696">
        <v>517</v>
      </c>
      <c r="M1879" s="170"/>
    </row>
    <row r="1880" spans="2:13" x14ac:dyDescent="0.2">
      <c r="B1880" s="173"/>
      <c r="C1880" s="694">
        <v>1</v>
      </c>
      <c r="D1880" s="695" t="s">
        <v>3903</v>
      </c>
      <c r="E1880" s="695">
        <v>3</v>
      </c>
      <c r="F1880" s="695" t="s">
        <v>4822</v>
      </c>
      <c r="G1880" s="695">
        <v>5</v>
      </c>
      <c r="H1880" s="695" t="s">
        <v>5320</v>
      </c>
      <c r="I1880" s="695">
        <v>92</v>
      </c>
      <c r="J1880" s="695" t="s">
        <v>5403</v>
      </c>
      <c r="K1880" s="695" t="s">
        <v>8544</v>
      </c>
      <c r="L1880" s="696">
        <v>28</v>
      </c>
      <c r="M1880" s="170"/>
    </row>
    <row r="1881" spans="2:13" x14ac:dyDescent="0.2">
      <c r="B1881" s="173"/>
      <c r="C1881" s="694">
        <v>1</v>
      </c>
      <c r="D1881" s="695" t="s">
        <v>3903</v>
      </c>
      <c r="E1881" s="695">
        <v>3</v>
      </c>
      <c r="F1881" s="695" t="s">
        <v>4822</v>
      </c>
      <c r="G1881" s="695">
        <v>5</v>
      </c>
      <c r="H1881" s="695" t="s">
        <v>5320</v>
      </c>
      <c r="I1881" s="695">
        <v>93</v>
      </c>
      <c r="J1881" s="695" t="s">
        <v>5404</v>
      </c>
      <c r="K1881" s="695" t="s">
        <v>8544</v>
      </c>
      <c r="L1881" s="696">
        <v>362</v>
      </c>
      <c r="M1881" s="170"/>
    </row>
    <row r="1882" spans="2:13" x14ac:dyDescent="0.2">
      <c r="B1882" s="173"/>
      <c r="C1882" s="694">
        <v>1</v>
      </c>
      <c r="D1882" s="695" t="s">
        <v>3903</v>
      </c>
      <c r="E1882" s="695">
        <v>3</v>
      </c>
      <c r="F1882" s="695" t="s">
        <v>4822</v>
      </c>
      <c r="G1882" s="695">
        <v>5</v>
      </c>
      <c r="H1882" s="695" t="s">
        <v>5320</v>
      </c>
      <c r="I1882" s="695">
        <v>94</v>
      </c>
      <c r="J1882" s="695" t="s">
        <v>5405</v>
      </c>
      <c r="K1882" s="695" t="s">
        <v>8544</v>
      </c>
      <c r="L1882" s="696">
        <v>86</v>
      </c>
      <c r="M1882" s="170"/>
    </row>
    <row r="1883" spans="2:13" x14ac:dyDescent="0.2">
      <c r="B1883" s="173"/>
      <c r="C1883" s="694">
        <v>1</v>
      </c>
      <c r="D1883" s="695" t="s">
        <v>3903</v>
      </c>
      <c r="E1883" s="695">
        <v>3</v>
      </c>
      <c r="F1883" s="695" t="s">
        <v>4822</v>
      </c>
      <c r="G1883" s="695">
        <v>5</v>
      </c>
      <c r="H1883" s="695" t="s">
        <v>5320</v>
      </c>
      <c r="I1883" s="695">
        <v>95</v>
      </c>
      <c r="J1883" s="695" t="s">
        <v>5406</v>
      </c>
      <c r="K1883" s="695" t="s">
        <v>8544</v>
      </c>
      <c r="L1883" s="696">
        <v>4</v>
      </c>
      <c r="M1883" s="170"/>
    </row>
    <row r="1884" spans="2:13" x14ac:dyDescent="0.2">
      <c r="B1884" s="173"/>
      <c r="C1884" s="694">
        <v>1</v>
      </c>
      <c r="D1884" s="695" t="s">
        <v>3903</v>
      </c>
      <c r="E1884" s="695">
        <v>3</v>
      </c>
      <c r="F1884" s="695" t="s">
        <v>4822</v>
      </c>
      <c r="G1884" s="695">
        <v>5</v>
      </c>
      <c r="H1884" s="695" t="s">
        <v>5320</v>
      </c>
      <c r="I1884" s="695">
        <v>96</v>
      </c>
      <c r="J1884" s="695" t="s">
        <v>5407</v>
      </c>
      <c r="K1884" s="695" t="s">
        <v>8544</v>
      </c>
      <c r="L1884" s="696">
        <v>439</v>
      </c>
      <c r="M1884" s="170"/>
    </row>
    <row r="1885" spans="2:13" x14ac:dyDescent="0.2">
      <c r="B1885" s="173"/>
      <c r="C1885" s="694">
        <v>1</v>
      </c>
      <c r="D1885" s="695" t="s">
        <v>3903</v>
      </c>
      <c r="E1885" s="695">
        <v>3</v>
      </c>
      <c r="F1885" s="695" t="s">
        <v>4822</v>
      </c>
      <c r="G1885" s="695">
        <v>5</v>
      </c>
      <c r="H1885" s="695" t="s">
        <v>5320</v>
      </c>
      <c r="I1885" s="695">
        <v>97</v>
      </c>
      <c r="J1885" s="695" t="s">
        <v>5331</v>
      </c>
      <c r="K1885" s="695" t="s">
        <v>8544</v>
      </c>
      <c r="L1885" s="696">
        <v>20</v>
      </c>
      <c r="M1885" s="170"/>
    </row>
    <row r="1886" spans="2:13" x14ac:dyDescent="0.2">
      <c r="B1886" s="173"/>
      <c r="C1886" s="694">
        <v>1</v>
      </c>
      <c r="D1886" s="695" t="s">
        <v>3903</v>
      </c>
      <c r="E1886" s="695">
        <v>3</v>
      </c>
      <c r="F1886" s="695" t="s">
        <v>4822</v>
      </c>
      <c r="G1886" s="695">
        <v>5</v>
      </c>
      <c r="H1886" s="695" t="s">
        <v>5320</v>
      </c>
      <c r="I1886" s="695">
        <v>98</v>
      </c>
      <c r="J1886" s="695" t="s">
        <v>5051</v>
      </c>
      <c r="K1886" s="695" t="s">
        <v>8544</v>
      </c>
      <c r="L1886" s="696">
        <v>24</v>
      </c>
      <c r="M1886" s="170"/>
    </row>
    <row r="1887" spans="2:13" x14ac:dyDescent="0.2">
      <c r="B1887" s="173"/>
      <c r="C1887" s="694">
        <v>1</v>
      </c>
      <c r="D1887" s="695" t="s">
        <v>3903</v>
      </c>
      <c r="E1887" s="695">
        <v>3</v>
      </c>
      <c r="F1887" s="695" t="s">
        <v>4822</v>
      </c>
      <c r="G1887" s="695">
        <v>5</v>
      </c>
      <c r="H1887" s="695" t="s">
        <v>5320</v>
      </c>
      <c r="I1887" s="695">
        <v>99</v>
      </c>
      <c r="J1887" s="695" t="s">
        <v>5408</v>
      </c>
      <c r="K1887" s="695" t="s">
        <v>8544</v>
      </c>
      <c r="L1887" s="696">
        <v>406</v>
      </c>
      <c r="M1887" s="170"/>
    </row>
    <row r="1888" spans="2:13" x14ac:dyDescent="0.2">
      <c r="B1888" s="173"/>
      <c r="C1888" s="694">
        <v>1</v>
      </c>
      <c r="D1888" s="695" t="s">
        <v>3903</v>
      </c>
      <c r="E1888" s="695">
        <v>3</v>
      </c>
      <c r="F1888" s="695" t="s">
        <v>4822</v>
      </c>
      <c r="G1888" s="695">
        <v>5</v>
      </c>
      <c r="H1888" s="695" t="s">
        <v>5320</v>
      </c>
      <c r="I1888" s="695">
        <v>100</v>
      </c>
      <c r="J1888" s="695" t="s">
        <v>5409</v>
      </c>
      <c r="K1888" s="695" t="s">
        <v>8544</v>
      </c>
      <c r="L1888" s="696">
        <v>688</v>
      </c>
      <c r="M1888" s="170"/>
    </row>
    <row r="1889" spans="2:13" x14ac:dyDescent="0.2">
      <c r="B1889" s="173"/>
      <c r="C1889" s="694">
        <v>1</v>
      </c>
      <c r="D1889" s="695" t="s">
        <v>3903</v>
      </c>
      <c r="E1889" s="695">
        <v>3</v>
      </c>
      <c r="F1889" s="695" t="s">
        <v>4822</v>
      </c>
      <c r="G1889" s="695">
        <v>5</v>
      </c>
      <c r="H1889" s="695" t="s">
        <v>5320</v>
      </c>
      <c r="I1889" s="695">
        <v>101</v>
      </c>
      <c r="J1889" s="695" t="s">
        <v>5410</v>
      </c>
      <c r="K1889" s="695" t="s">
        <v>8544</v>
      </c>
      <c r="L1889" s="696">
        <v>25</v>
      </c>
      <c r="M1889" s="170"/>
    </row>
    <row r="1890" spans="2:13" x14ac:dyDescent="0.2">
      <c r="B1890" s="173"/>
      <c r="C1890" s="694">
        <v>1</v>
      </c>
      <c r="D1890" s="695" t="s">
        <v>3903</v>
      </c>
      <c r="E1890" s="695">
        <v>3</v>
      </c>
      <c r="F1890" s="695" t="s">
        <v>4822</v>
      </c>
      <c r="G1890" s="695">
        <v>5</v>
      </c>
      <c r="H1890" s="695" t="s">
        <v>5320</v>
      </c>
      <c r="I1890" s="695">
        <v>102</v>
      </c>
      <c r="J1890" s="695" t="s">
        <v>5411</v>
      </c>
      <c r="K1890" s="695" t="s">
        <v>8544</v>
      </c>
      <c r="L1890" s="696">
        <v>756</v>
      </c>
      <c r="M1890" s="170"/>
    </row>
    <row r="1891" spans="2:13" x14ac:dyDescent="0.2">
      <c r="B1891" s="173"/>
      <c r="C1891" s="694">
        <v>1</v>
      </c>
      <c r="D1891" s="695" t="s">
        <v>3903</v>
      </c>
      <c r="E1891" s="695">
        <v>3</v>
      </c>
      <c r="F1891" s="695" t="s">
        <v>4822</v>
      </c>
      <c r="G1891" s="695">
        <v>5</v>
      </c>
      <c r="H1891" s="695" t="s">
        <v>5320</v>
      </c>
      <c r="I1891" s="695">
        <v>103</v>
      </c>
      <c r="J1891" s="695" t="s">
        <v>5412</v>
      </c>
      <c r="K1891" s="695" t="s">
        <v>8544</v>
      </c>
      <c r="L1891" s="696">
        <v>91</v>
      </c>
      <c r="M1891" s="170"/>
    </row>
    <row r="1892" spans="2:13" x14ac:dyDescent="0.2">
      <c r="B1892" s="173"/>
      <c r="C1892" s="694">
        <v>1</v>
      </c>
      <c r="D1892" s="695" t="s">
        <v>3903</v>
      </c>
      <c r="E1892" s="695">
        <v>3</v>
      </c>
      <c r="F1892" s="695" t="s">
        <v>4822</v>
      </c>
      <c r="G1892" s="695">
        <v>5</v>
      </c>
      <c r="H1892" s="695" t="s">
        <v>5320</v>
      </c>
      <c r="I1892" s="695">
        <v>104</v>
      </c>
      <c r="J1892" s="695" t="s">
        <v>5413</v>
      </c>
      <c r="K1892" s="695" t="s">
        <v>8544</v>
      </c>
      <c r="L1892" s="696">
        <v>44</v>
      </c>
      <c r="M1892" s="170"/>
    </row>
    <row r="1893" spans="2:13" x14ac:dyDescent="0.2">
      <c r="B1893" s="173"/>
      <c r="C1893" s="694">
        <v>1</v>
      </c>
      <c r="D1893" s="695" t="s">
        <v>3903</v>
      </c>
      <c r="E1893" s="695">
        <v>3</v>
      </c>
      <c r="F1893" s="695" t="s">
        <v>4822</v>
      </c>
      <c r="G1893" s="695">
        <v>5</v>
      </c>
      <c r="H1893" s="695" t="s">
        <v>5320</v>
      </c>
      <c r="I1893" s="695">
        <v>105</v>
      </c>
      <c r="J1893" s="695" t="s">
        <v>5414</v>
      </c>
      <c r="K1893" s="695" t="s">
        <v>8544</v>
      </c>
      <c r="L1893" s="696">
        <v>1</v>
      </c>
      <c r="M1893" s="170"/>
    </row>
    <row r="1894" spans="2:13" x14ac:dyDescent="0.2">
      <c r="B1894" s="173"/>
      <c r="C1894" s="694">
        <v>1</v>
      </c>
      <c r="D1894" s="695" t="s">
        <v>3903</v>
      </c>
      <c r="E1894" s="695">
        <v>3</v>
      </c>
      <c r="F1894" s="695" t="s">
        <v>4822</v>
      </c>
      <c r="G1894" s="695">
        <v>5</v>
      </c>
      <c r="H1894" s="695" t="s">
        <v>5320</v>
      </c>
      <c r="I1894" s="695">
        <v>106</v>
      </c>
      <c r="J1894" s="695" t="s">
        <v>5415</v>
      </c>
      <c r="K1894" s="695" t="s">
        <v>8544</v>
      </c>
      <c r="L1894" s="696">
        <v>45</v>
      </c>
      <c r="M1894" s="170"/>
    </row>
    <row r="1895" spans="2:13" x14ac:dyDescent="0.2">
      <c r="B1895" s="173"/>
      <c r="C1895" s="694">
        <v>1</v>
      </c>
      <c r="D1895" s="695" t="s">
        <v>3903</v>
      </c>
      <c r="E1895" s="695">
        <v>3</v>
      </c>
      <c r="F1895" s="695" t="s">
        <v>4822</v>
      </c>
      <c r="G1895" s="695">
        <v>5</v>
      </c>
      <c r="H1895" s="695" t="s">
        <v>5320</v>
      </c>
      <c r="I1895" s="695">
        <v>107</v>
      </c>
      <c r="J1895" s="695" t="s">
        <v>5416</v>
      </c>
      <c r="K1895" s="695" t="s">
        <v>8544</v>
      </c>
      <c r="L1895" s="696">
        <v>43</v>
      </c>
      <c r="M1895" s="170"/>
    </row>
    <row r="1896" spans="2:13" x14ac:dyDescent="0.2">
      <c r="B1896" s="173"/>
      <c r="C1896" s="694">
        <v>1</v>
      </c>
      <c r="D1896" s="695" t="s">
        <v>3903</v>
      </c>
      <c r="E1896" s="695">
        <v>3</v>
      </c>
      <c r="F1896" s="695" t="s">
        <v>4822</v>
      </c>
      <c r="G1896" s="695">
        <v>5</v>
      </c>
      <c r="H1896" s="695" t="s">
        <v>5320</v>
      </c>
      <c r="I1896" s="695">
        <v>108</v>
      </c>
      <c r="J1896" s="695" t="s">
        <v>5417</v>
      </c>
      <c r="K1896" s="695" t="s">
        <v>8544</v>
      </c>
      <c r="L1896" s="696">
        <v>38</v>
      </c>
      <c r="M1896" s="170"/>
    </row>
    <row r="1897" spans="2:13" x14ac:dyDescent="0.2">
      <c r="B1897" s="173"/>
      <c r="C1897" s="694">
        <v>1</v>
      </c>
      <c r="D1897" s="695" t="s">
        <v>3903</v>
      </c>
      <c r="E1897" s="695">
        <v>3</v>
      </c>
      <c r="F1897" s="695" t="s">
        <v>4822</v>
      </c>
      <c r="G1897" s="695">
        <v>5</v>
      </c>
      <c r="H1897" s="695" t="s">
        <v>5320</v>
      </c>
      <c r="I1897" s="695">
        <v>109</v>
      </c>
      <c r="J1897" s="695" t="s">
        <v>5418</v>
      </c>
      <c r="K1897" s="695" t="s">
        <v>8544</v>
      </c>
      <c r="L1897" s="696">
        <v>495</v>
      </c>
      <c r="M1897" s="170"/>
    </row>
    <row r="1898" spans="2:13" x14ac:dyDescent="0.2">
      <c r="B1898" s="173"/>
      <c r="C1898" s="694">
        <v>1</v>
      </c>
      <c r="D1898" s="695" t="s">
        <v>3903</v>
      </c>
      <c r="E1898" s="695">
        <v>3</v>
      </c>
      <c r="F1898" s="695" t="s">
        <v>4822</v>
      </c>
      <c r="G1898" s="695">
        <v>5</v>
      </c>
      <c r="H1898" s="695" t="s">
        <v>5320</v>
      </c>
      <c r="I1898" s="695">
        <v>110</v>
      </c>
      <c r="J1898" s="695" t="s">
        <v>4183</v>
      </c>
      <c r="K1898" s="695" t="s">
        <v>8544</v>
      </c>
      <c r="L1898" s="696">
        <v>20</v>
      </c>
      <c r="M1898" s="170"/>
    </row>
    <row r="1899" spans="2:13" x14ac:dyDescent="0.2">
      <c r="B1899" s="173"/>
      <c r="C1899" s="694">
        <v>1</v>
      </c>
      <c r="D1899" s="695" t="s">
        <v>3903</v>
      </c>
      <c r="E1899" s="695">
        <v>3</v>
      </c>
      <c r="F1899" s="695" t="s">
        <v>4822</v>
      </c>
      <c r="G1899" s="695">
        <v>5</v>
      </c>
      <c r="H1899" s="695" t="s">
        <v>5320</v>
      </c>
      <c r="I1899" s="695">
        <v>111</v>
      </c>
      <c r="J1899" s="695" t="s">
        <v>5419</v>
      </c>
      <c r="K1899" s="695" t="s">
        <v>8544</v>
      </c>
      <c r="L1899" s="696">
        <v>3</v>
      </c>
      <c r="M1899" s="170"/>
    </row>
    <row r="1900" spans="2:13" x14ac:dyDescent="0.2">
      <c r="B1900" s="173"/>
      <c r="C1900" s="694">
        <v>1</v>
      </c>
      <c r="D1900" s="695" t="s">
        <v>3903</v>
      </c>
      <c r="E1900" s="695">
        <v>3</v>
      </c>
      <c r="F1900" s="695" t="s">
        <v>4822</v>
      </c>
      <c r="G1900" s="695">
        <v>5</v>
      </c>
      <c r="H1900" s="695" t="s">
        <v>5320</v>
      </c>
      <c r="I1900" s="695">
        <v>112</v>
      </c>
      <c r="J1900" s="695" t="s">
        <v>5420</v>
      </c>
      <c r="K1900" s="695" t="s">
        <v>8544</v>
      </c>
      <c r="L1900" s="696">
        <v>11</v>
      </c>
      <c r="M1900" s="170"/>
    </row>
    <row r="1901" spans="2:13" x14ac:dyDescent="0.2">
      <c r="B1901" s="173"/>
      <c r="C1901" s="694">
        <v>1</v>
      </c>
      <c r="D1901" s="695" t="s">
        <v>3903</v>
      </c>
      <c r="E1901" s="695">
        <v>3</v>
      </c>
      <c r="F1901" s="695" t="s">
        <v>4822</v>
      </c>
      <c r="G1901" s="695">
        <v>5</v>
      </c>
      <c r="H1901" s="695" t="s">
        <v>5320</v>
      </c>
      <c r="I1901" s="695">
        <v>113</v>
      </c>
      <c r="J1901" s="695" t="s">
        <v>5421</v>
      </c>
      <c r="K1901" s="695" t="s">
        <v>8544</v>
      </c>
      <c r="L1901" s="696">
        <v>22</v>
      </c>
      <c r="M1901" s="170"/>
    </row>
    <row r="1902" spans="2:13" x14ac:dyDescent="0.2">
      <c r="B1902" s="173"/>
      <c r="C1902" s="694">
        <v>1</v>
      </c>
      <c r="D1902" s="695" t="s">
        <v>3903</v>
      </c>
      <c r="E1902" s="695">
        <v>3</v>
      </c>
      <c r="F1902" s="695" t="s">
        <v>4822</v>
      </c>
      <c r="G1902" s="695">
        <v>5</v>
      </c>
      <c r="H1902" s="695" t="s">
        <v>5320</v>
      </c>
      <c r="I1902" s="695">
        <v>114</v>
      </c>
      <c r="J1902" s="695" t="s">
        <v>5422</v>
      </c>
      <c r="K1902" s="695" t="s">
        <v>8544</v>
      </c>
      <c r="L1902" s="696">
        <v>16</v>
      </c>
      <c r="M1902" s="170"/>
    </row>
    <row r="1903" spans="2:13" x14ac:dyDescent="0.2">
      <c r="B1903" s="173"/>
      <c r="C1903" s="694">
        <v>1</v>
      </c>
      <c r="D1903" s="695" t="s">
        <v>3903</v>
      </c>
      <c r="E1903" s="695">
        <v>3</v>
      </c>
      <c r="F1903" s="695" t="s">
        <v>4822</v>
      </c>
      <c r="G1903" s="695">
        <v>5</v>
      </c>
      <c r="H1903" s="695" t="s">
        <v>5320</v>
      </c>
      <c r="I1903" s="695">
        <v>115</v>
      </c>
      <c r="J1903" s="695" t="s">
        <v>5423</v>
      </c>
      <c r="K1903" s="695" t="s">
        <v>8544</v>
      </c>
      <c r="L1903" s="696">
        <v>19</v>
      </c>
      <c r="M1903" s="170"/>
    </row>
    <row r="1904" spans="2:13" x14ac:dyDescent="0.2">
      <c r="B1904" s="173"/>
      <c r="C1904" s="694">
        <v>1</v>
      </c>
      <c r="D1904" s="695" t="s">
        <v>3903</v>
      </c>
      <c r="E1904" s="695">
        <v>3</v>
      </c>
      <c r="F1904" s="695" t="s">
        <v>4822</v>
      </c>
      <c r="G1904" s="695">
        <v>5</v>
      </c>
      <c r="H1904" s="695" t="s">
        <v>5320</v>
      </c>
      <c r="I1904" s="695">
        <v>116</v>
      </c>
      <c r="J1904" s="695" t="s">
        <v>5424</v>
      </c>
      <c r="K1904" s="695" t="s">
        <v>8544</v>
      </c>
      <c r="L1904" s="696">
        <v>36</v>
      </c>
      <c r="M1904" s="170"/>
    </row>
    <row r="1905" spans="2:13" x14ac:dyDescent="0.2">
      <c r="B1905" s="173"/>
      <c r="C1905" s="694">
        <v>1</v>
      </c>
      <c r="D1905" s="695" t="s">
        <v>3903</v>
      </c>
      <c r="E1905" s="695">
        <v>3</v>
      </c>
      <c r="F1905" s="695" t="s">
        <v>4822</v>
      </c>
      <c r="G1905" s="695">
        <v>5</v>
      </c>
      <c r="H1905" s="695" t="s">
        <v>5320</v>
      </c>
      <c r="I1905" s="695">
        <v>117</v>
      </c>
      <c r="J1905" s="695" t="s">
        <v>5425</v>
      </c>
      <c r="K1905" s="695" t="s">
        <v>8544</v>
      </c>
      <c r="L1905" s="696">
        <v>13</v>
      </c>
      <c r="M1905" s="170"/>
    </row>
    <row r="1906" spans="2:13" x14ac:dyDescent="0.2">
      <c r="B1906" s="173"/>
      <c r="C1906" s="694">
        <v>1</v>
      </c>
      <c r="D1906" s="695" t="s">
        <v>3903</v>
      </c>
      <c r="E1906" s="695">
        <v>3</v>
      </c>
      <c r="F1906" s="695" t="s">
        <v>4822</v>
      </c>
      <c r="G1906" s="695">
        <v>5</v>
      </c>
      <c r="H1906" s="695" t="s">
        <v>5320</v>
      </c>
      <c r="I1906" s="695">
        <v>118</v>
      </c>
      <c r="J1906" s="695" t="s">
        <v>5426</v>
      </c>
      <c r="K1906" s="695" t="s">
        <v>8544</v>
      </c>
      <c r="L1906" s="696">
        <v>3</v>
      </c>
      <c r="M1906" s="170"/>
    </row>
    <row r="1907" spans="2:13" x14ac:dyDescent="0.2">
      <c r="B1907" s="173"/>
      <c r="C1907" s="694">
        <v>1</v>
      </c>
      <c r="D1907" s="695" t="s">
        <v>3903</v>
      </c>
      <c r="E1907" s="695">
        <v>3</v>
      </c>
      <c r="F1907" s="695" t="s">
        <v>4822</v>
      </c>
      <c r="G1907" s="695">
        <v>5</v>
      </c>
      <c r="H1907" s="695" t="s">
        <v>5320</v>
      </c>
      <c r="I1907" s="695">
        <v>119</v>
      </c>
      <c r="J1907" s="695" t="s">
        <v>5427</v>
      </c>
      <c r="K1907" s="695" t="s">
        <v>8544</v>
      </c>
      <c r="L1907" s="696">
        <v>14</v>
      </c>
      <c r="M1907" s="170"/>
    </row>
    <row r="1908" spans="2:13" x14ac:dyDescent="0.2">
      <c r="B1908" s="173"/>
      <c r="C1908" s="694">
        <v>1</v>
      </c>
      <c r="D1908" s="695" t="s">
        <v>3903</v>
      </c>
      <c r="E1908" s="695">
        <v>3</v>
      </c>
      <c r="F1908" s="695" t="s">
        <v>4822</v>
      </c>
      <c r="G1908" s="695">
        <v>5</v>
      </c>
      <c r="H1908" s="695" t="s">
        <v>5320</v>
      </c>
      <c r="I1908" s="695">
        <v>120</v>
      </c>
      <c r="J1908" s="695" t="s">
        <v>5428</v>
      </c>
      <c r="K1908" s="695" t="s">
        <v>8544</v>
      </c>
      <c r="L1908" s="696">
        <v>72</v>
      </c>
      <c r="M1908" s="170"/>
    </row>
    <row r="1909" spans="2:13" x14ac:dyDescent="0.2">
      <c r="B1909" s="173"/>
      <c r="C1909" s="694">
        <v>1</v>
      </c>
      <c r="D1909" s="695" t="s">
        <v>3903</v>
      </c>
      <c r="E1909" s="695">
        <v>3</v>
      </c>
      <c r="F1909" s="695" t="s">
        <v>4822</v>
      </c>
      <c r="G1909" s="695">
        <v>5</v>
      </c>
      <c r="H1909" s="695" t="s">
        <v>5320</v>
      </c>
      <c r="I1909" s="695">
        <v>121</v>
      </c>
      <c r="J1909" s="695" t="s">
        <v>5429</v>
      </c>
      <c r="K1909" s="695" t="s">
        <v>8544</v>
      </c>
      <c r="L1909" s="696">
        <v>79</v>
      </c>
      <c r="M1909" s="170"/>
    </row>
    <row r="1910" spans="2:13" x14ac:dyDescent="0.2">
      <c r="B1910" s="173"/>
      <c r="C1910" s="694">
        <v>1</v>
      </c>
      <c r="D1910" s="695" t="s">
        <v>3903</v>
      </c>
      <c r="E1910" s="695">
        <v>3</v>
      </c>
      <c r="F1910" s="695" t="s">
        <v>4822</v>
      </c>
      <c r="G1910" s="695">
        <v>5</v>
      </c>
      <c r="H1910" s="695" t="s">
        <v>5320</v>
      </c>
      <c r="I1910" s="695">
        <v>122</v>
      </c>
      <c r="J1910" s="695" t="s">
        <v>5430</v>
      </c>
      <c r="K1910" s="695" t="s">
        <v>8544</v>
      </c>
      <c r="L1910" s="696">
        <v>70</v>
      </c>
      <c r="M1910" s="170"/>
    </row>
    <row r="1911" spans="2:13" x14ac:dyDescent="0.2">
      <c r="B1911" s="173"/>
      <c r="C1911" s="694">
        <v>1</v>
      </c>
      <c r="D1911" s="695" t="s">
        <v>3903</v>
      </c>
      <c r="E1911" s="695">
        <v>3</v>
      </c>
      <c r="F1911" s="695" t="s">
        <v>4822</v>
      </c>
      <c r="G1911" s="695">
        <v>5</v>
      </c>
      <c r="H1911" s="695" t="s">
        <v>5320</v>
      </c>
      <c r="I1911" s="695">
        <v>123</v>
      </c>
      <c r="J1911" s="695" t="s">
        <v>5324</v>
      </c>
      <c r="K1911" s="695" t="s">
        <v>8544</v>
      </c>
      <c r="L1911" s="696">
        <v>1045</v>
      </c>
      <c r="M1911" s="170"/>
    </row>
    <row r="1912" spans="2:13" x14ac:dyDescent="0.2">
      <c r="B1912" s="173"/>
      <c r="C1912" s="694">
        <v>1</v>
      </c>
      <c r="D1912" s="695" t="s">
        <v>3903</v>
      </c>
      <c r="E1912" s="695">
        <v>3</v>
      </c>
      <c r="F1912" s="695" t="s">
        <v>4822</v>
      </c>
      <c r="G1912" s="695">
        <v>5</v>
      </c>
      <c r="H1912" s="695" t="s">
        <v>5320</v>
      </c>
      <c r="I1912" s="695">
        <v>124</v>
      </c>
      <c r="J1912" s="695" t="s">
        <v>5431</v>
      </c>
      <c r="K1912" s="695" t="s">
        <v>8544</v>
      </c>
      <c r="L1912" s="696">
        <v>25</v>
      </c>
      <c r="M1912" s="170"/>
    </row>
    <row r="1913" spans="2:13" x14ac:dyDescent="0.2">
      <c r="B1913" s="173"/>
      <c r="C1913" s="694">
        <v>1</v>
      </c>
      <c r="D1913" s="695" t="s">
        <v>3903</v>
      </c>
      <c r="E1913" s="695">
        <v>3</v>
      </c>
      <c r="F1913" s="695" t="s">
        <v>4822</v>
      </c>
      <c r="G1913" s="695">
        <v>5</v>
      </c>
      <c r="H1913" s="695" t="s">
        <v>5320</v>
      </c>
      <c r="I1913" s="695">
        <v>125</v>
      </c>
      <c r="J1913" s="695" t="s">
        <v>5432</v>
      </c>
      <c r="K1913" s="695" t="s">
        <v>8544</v>
      </c>
      <c r="L1913" s="696">
        <v>3</v>
      </c>
      <c r="M1913" s="170"/>
    </row>
    <row r="1914" spans="2:13" x14ac:dyDescent="0.2">
      <c r="B1914" s="173"/>
      <c r="C1914" s="694">
        <v>1</v>
      </c>
      <c r="D1914" s="695" t="s">
        <v>3903</v>
      </c>
      <c r="E1914" s="695">
        <v>3</v>
      </c>
      <c r="F1914" s="695" t="s">
        <v>4822</v>
      </c>
      <c r="G1914" s="695">
        <v>5</v>
      </c>
      <c r="H1914" s="695" t="s">
        <v>5320</v>
      </c>
      <c r="I1914" s="695">
        <v>126</v>
      </c>
      <c r="J1914" s="695" t="s">
        <v>5433</v>
      </c>
      <c r="K1914" s="695" t="s">
        <v>8544</v>
      </c>
      <c r="L1914" s="696">
        <v>30</v>
      </c>
      <c r="M1914" s="170"/>
    </row>
    <row r="1915" spans="2:13" x14ac:dyDescent="0.2">
      <c r="B1915" s="173"/>
      <c r="C1915" s="694">
        <v>1</v>
      </c>
      <c r="D1915" s="695" t="s">
        <v>3903</v>
      </c>
      <c r="E1915" s="695">
        <v>3</v>
      </c>
      <c r="F1915" s="695" t="s">
        <v>4822</v>
      </c>
      <c r="G1915" s="695">
        <v>5</v>
      </c>
      <c r="H1915" s="695" t="s">
        <v>5320</v>
      </c>
      <c r="I1915" s="695">
        <v>127</v>
      </c>
      <c r="J1915" s="695" t="s">
        <v>5434</v>
      </c>
      <c r="K1915" s="695" t="s">
        <v>8544</v>
      </c>
      <c r="L1915" s="696">
        <v>12</v>
      </c>
      <c r="M1915" s="170"/>
    </row>
    <row r="1916" spans="2:13" x14ac:dyDescent="0.2">
      <c r="B1916" s="173"/>
      <c r="C1916" s="694">
        <v>1</v>
      </c>
      <c r="D1916" s="695" t="s">
        <v>3903</v>
      </c>
      <c r="E1916" s="695">
        <v>3</v>
      </c>
      <c r="F1916" s="695" t="s">
        <v>4822</v>
      </c>
      <c r="G1916" s="695">
        <v>5</v>
      </c>
      <c r="H1916" s="695" t="s">
        <v>5320</v>
      </c>
      <c r="I1916" s="695">
        <v>128</v>
      </c>
      <c r="J1916" s="695" t="s">
        <v>5435</v>
      </c>
      <c r="K1916" s="695" t="s">
        <v>8544</v>
      </c>
      <c r="L1916" s="696">
        <v>33</v>
      </c>
      <c r="M1916" s="170"/>
    </row>
    <row r="1917" spans="2:13" x14ac:dyDescent="0.2">
      <c r="B1917" s="173"/>
      <c r="C1917" s="694">
        <v>1</v>
      </c>
      <c r="D1917" s="695" t="s">
        <v>3903</v>
      </c>
      <c r="E1917" s="695">
        <v>3</v>
      </c>
      <c r="F1917" s="695" t="s">
        <v>4822</v>
      </c>
      <c r="G1917" s="695">
        <v>5</v>
      </c>
      <c r="H1917" s="695" t="s">
        <v>5320</v>
      </c>
      <c r="I1917" s="695">
        <v>129</v>
      </c>
      <c r="J1917" s="695" t="s">
        <v>5436</v>
      </c>
      <c r="K1917" s="695" t="s">
        <v>8544</v>
      </c>
      <c r="L1917" s="696">
        <v>23</v>
      </c>
      <c r="M1917" s="170"/>
    </row>
    <row r="1918" spans="2:13" x14ac:dyDescent="0.2">
      <c r="B1918" s="173"/>
      <c r="C1918" s="694">
        <v>1</v>
      </c>
      <c r="D1918" s="695" t="s">
        <v>3903</v>
      </c>
      <c r="E1918" s="695">
        <v>3</v>
      </c>
      <c r="F1918" s="695" t="s">
        <v>4822</v>
      </c>
      <c r="G1918" s="695">
        <v>5</v>
      </c>
      <c r="H1918" s="695" t="s">
        <v>5320</v>
      </c>
      <c r="I1918" s="695">
        <v>130</v>
      </c>
      <c r="J1918" s="695" t="s">
        <v>5437</v>
      </c>
      <c r="K1918" s="695" t="s">
        <v>8544</v>
      </c>
      <c r="L1918" s="696">
        <v>8</v>
      </c>
      <c r="M1918" s="170"/>
    </row>
    <row r="1919" spans="2:13" x14ac:dyDescent="0.2">
      <c r="B1919" s="173"/>
      <c r="C1919" s="694">
        <v>1</v>
      </c>
      <c r="D1919" s="695" t="s">
        <v>3903</v>
      </c>
      <c r="E1919" s="695">
        <v>3</v>
      </c>
      <c r="F1919" s="695" t="s">
        <v>4822</v>
      </c>
      <c r="G1919" s="695">
        <v>5</v>
      </c>
      <c r="H1919" s="695" t="s">
        <v>5320</v>
      </c>
      <c r="I1919" s="695">
        <v>131</v>
      </c>
      <c r="J1919" s="695" t="s">
        <v>5438</v>
      </c>
      <c r="K1919" s="695" t="s">
        <v>8544</v>
      </c>
      <c r="L1919" s="696">
        <v>353</v>
      </c>
      <c r="M1919" s="170"/>
    </row>
    <row r="1920" spans="2:13" x14ac:dyDescent="0.2">
      <c r="B1920" s="173"/>
      <c r="C1920" s="694">
        <v>1</v>
      </c>
      <c r="D1920" s="695" t="s">
        <v>3903</v>
      </c>
      <c r="E1920" s="695">
        <v>3</v>
      </c>
      <c r="F1920" s="695" t="s">
        <v>4822</v>
      </c>
      <c r="G1920" s="695">
        <v>5</v>
      </c>
      <c r="H1920" s="695" t="s">
        <v>5320</v>
      </c>
      <c r="I1920" s="695">
        <v>132</v>
      </c>
      <c r="J1920" s="695" t="s">
        <v>4954</v>
      </c>
      <c r="K1920" s="695" t="s">
        <v>8544</v>
      </c>
      <c r="L1920" s="696">
        <v>664</v>
      </c>
      <c r="M1920" s="170"/>
    </row>
    <row r="1921" spans="2:13" x14ac:dyDescent="0.2">
      <c r="B1921" s="173"/>
      <c r="C1921" s="694">
        <v>1</v>
      </c>
      <c r="D1921" s="695" t="s">
        <v>3903</v>
      </c>
      <c r="E1921" s="695">
        <v>3</v>
      </c>
      <c r="F1921" s="695" t="s">
        <v>4822</v>
      </c>
      <c r="G1921" s="695">
        <v>5</v>
      </c>
      <c r="H1921" s="695" t="s">
        <v>5320</v>
      </c>
      <c r="I1921" s="695">
        <v>133</v>
      </c>
      <c r="J1921" s="695" t="s">
        <v>5439</v>
      </c>
      <c r="K1921" s="695" t="s">
        <v>8544</v>
      </c>
      <c r="L1921" s="696">
        <v>102</v>
      </c>
      <c r="M1921" s="170"/>
    </row>
    <row r="1922" spans="2:13" x14ac:dyDescent="0.2">
      <c r="B1922" s="173"/>
      <c r="C1922" s="694">
        <v>1</v>
      </c>
      <c r="D1922" s="695" t="s">
        <v>3903</v>
      </c>
      <c r="E1922" s="695">
        <v>3</v>
      </c>
      <c r="F1922" s="695" t="s">
        <v>4822</v>
      </c>
      <c r="G1922" s="695">
        <v>5</v>
      </c>
      <c r="H1922" s="695" t="s">
        <v>5320</v>
      </c>
      <c r="I1922" s="695">
        <v>134</v>
      </c>
      <c r="J1922" s="695" t="s">
        <v>5440</v>
      </c>
      <c r="K1922" s="695" t="s">
        <v>8544</v>
      </c>
      <c r="L1922" s="696">
        <v>4</v>
      </c>
      <c r="M1922" s="170"/>
    </row>
    <row r="1923" spans="2:13" x14ac:dyDescent="0.2">
      <c r="B1923" s="173"/>
      <c r="C1923" s="694">
        <v>1</v>
      </c>
      <c r="D1923" s="695" t="s">
        <v>3903</v>
      </c>
      <c r="E1923" s="695">
        <v>3</v>
      </c>
      <c r="F1923" s="695" t="s">
        <v>4822</v>
      </c>
      <c r="G1923" s="695">
        <v>5</v>
      </c>
      <c r="H1923" s="695" t="s">
        <v>5320</v>
      </c>
      <c r="I1923" s="695">
        <v>135</v>
      </c>
      <c r="J1923" s="695" t="s">
        <v>5441</v>
      </c>
      <c r="K1923" s="695" t="s">
        <v>8544</v>
      </c>
      <c r="L1923" s="696">
        <v>88</v>
      </c>
      <c r="M1923" s="170"/>
    </row>
    <row r="1924" spans="2:13" x14ac:dyDescent="0.2">
      <c r="B1924" s="173"/>
      <c r="C1924" s="694">
        <v>1</v>
      </c>
      <c r="D1924" s="695" t="s">
        <v>3903</v>
      </c>
      <c r="E1924" s="695">
        <v>3</v>
      </c>
      <c r="F1924" s="695" t="s">
        <v>4822</v>
      </c>
      <c r="G1924" s="695">
        <v>5</v>
      </c>
      <c r="H1924" s="695" t="s">
        <v>5320</v>
      </c>
      <c r="I1924" s="695">
        <v>136</v>
      </c>
      <c r="J1924" s="695" t="s">
        <v>5442</v>
      </c>
      <c r="K1924" s="695" t="s">
        <v>8544</v>
      </c>
      <c r="L1924" s="696">
        <v>29</v>
      </c>
      <c r="M1924" s="170"/>
    </row>
    <row r="1925" spans="2:13" x14ac:dyDescent="0.2">
      <c r="B1925" s="173"/>
      <c r="C1925" s="694">
        <v>1</v>
      </c>
      <c r="D1925" s="695" t="s">
        <v>3903</v>
      </c>
      <c r="E1925" s="695">
        <v>3</v>
      </c>
      <c r="F1925" s="695" t="s">
        <v>4822</v>
      </c>
      <c r="G1925" s="695">
        <v>5</v>
      </c>
      <c r="H1925" s="695" t="s">
        <v>5320</v>
      </c>
      <c r="I1925" s="695">
        <v>137</v>
      </c>
      <c r="J1925" s="695" t="s">
        <v>5443</v>
      </c>
      <c r="K1925" s="695" t="s">
        <v>8544</v>
      </c>
      <c r="L1925" s="696">
        <v>72</v>
      </c>
      <c r="M1925" s="170"/>
    </row>
    <row r="1926" spans="2:13" x14ac:dyDescent="0.2">
      <c r="B1926" s="173"/>
      <c r="C1926" s="694">
        <v>1</v>
      </c>
      <c r="D1926" s="695" t="s">
        <v>3903</v>
      </c>
      <c r="E1926" s="695">
        <v>3</v>
      </c>
      <c r="F1926" s="695" t="s">
        <v>4822</v>
      </c>
      <c r="G1926" s="695">
        <v>5</v>
      </c>
      <c r="H1926" s="695" t="s">
        <v>5320</v>
      </c>
      <c r="I1926" s="695">
        <v>138</v>
      </c>
      <c r="J1926" s="695" t="s">
        <v>5444</v>
      </c>
      <c r="K1926" s="695" t="s">
        <v>8544</v>
      </c>
      <c r="L1926" s="696">
        <v>6</v>
      </c>
      <c r="M1926" s="170"/>
    </row>
    <row r="1927" spans="2:13" x14ac:dyDescent="0.2">
      <c r="B1927" s="173"/>
      <c r="C1927" s="694">
        <v>1</v>
      </c>
      <c r="D1927" s="695" t="s">
        <v>3903</v>
      </c>
      <c r="E1927" s="695">
        <v>3</v>
      </c>
      <c r="F1927" s="695" t="s">
        <v>4822</v>
      </c>
      <c r="G1927" s="695">
        <v>5</v>
      </c>
      <c r="H1927" s="695" t="s">
        <v>5320</v>
      </c>
      <c r="I1927" s="695">
        <v>139</v>
      </c>
      <c r="J1927" s="695" t="s">
        <v>5047</v>
      </c>
      <c r="K1927" s="695" t="s">
        <v>8544</v>
      </c>
      <c r="L1927" s="696">
        <v>37</v>
      </c>
      <c r="M1927" s="170"/>
    </row>
    <row r="1928" spans="2:13" x14ac:dyDescent="0.2">
      <c r="B1928" s="173"/>
      <c r="C1928" s="694">
        <v>1</v>
      </c>
      <c r="D1928" s="695" t="s">
        <v>3903</v>
      </c>
      <c r="E1928" s="695">
        <v>3</v>
      </c>
      <c r="F1928" s="695" t="s">
        <v>4822</v>
      </c>
      <c r="G1928" s="695">
        <v>5</v>
      </c>
      <c r="H1928" s="695" t="s">
        <v>5320</v>
      </c>
      <c r="I1928" s="695">
        <v>140</v>
      </c>
      <c r="J1928" s="695" t="s">
        <v>5445</v>
      </c>
      <c r="K1928" s="695" t="s">
        <v>8544</v>
      </c>
      <c r="L1928" s="696">
        <v>0</v>
      </c>
      <c r="M1928" s="170"/>
    </row>
    <row r="1929" spans="2:13" x14ac:dyDescent="0.2">
      <c r="B1929" s="173"/>
      <c r="C1929" s="694">
        <v>1</v>
      </c>
      <c r="D1929" s="695" t="s">
        <v>3903</v>
      </c>
      <c r="E1929" s="695">
        <v>3</v>
      </c>
      <c r="F1929" s="695" t="s">
        <v>4822</v>
      </c>
      <c r="G1929" s="695">
        <v>5</v>
      </c>
      <c r="H1929" s="695" t="s">
        <v>5320</v>
      </c>
      <c r="I1929" s="695">
        <v>141</v>
      </c>
      <c r="J1929" s="695" t="s">
        <v>5446</v>
      </c>
      <c r="K1929" s="695" t="s">
        <v>8544</v>
      </c>
      <c r="L1929" s="696">
        <v>940</v>
      </c>
      <c r="M1929" s="170"/>
    </row>
    <row r="1930" spans="2:13" x14ac:dyDescent="0.2">
      <c r="B1930" s="173"/>
      <c r="C1930" s="694">
        <v>1</v>
      </c>
      <c r="D1930" s="695" t="s">
        <v>3903</v>
      </c>
      <c r="E1930" s="695">
        <v>3</v>
      </c>
      <c r="F1930" s="695" t="s">
        <v>4822</v>
      </c>
      <c r="G1930" s="695">
        <v>5</v>
      </c>
      <c r="H1930" s="695" t="s">
        <v>5320</v>
      </c>
      <c r="I1930" s="695">
        <v>142</v>
      </c>
      <c r="J1930" s="695" t="s">
        <v>5447</v>
      </c>
      <c r="K1930" s="695" t="s">
        <v>8544</v>
      </c>
      <c r="L1930" s="696">
        <v>531</v>
      </c>
      <c r="M1930" s="170"/>
    </row>
    <row r="1931" spans="2:13" x14ac:dyDescent="0.2">
      <c r="B1931" s="173"/>
      <c r="C1931" s="694">
        <v>1</v>
      </c>
      <c r="D1931" s="695" t="s">
        <v>3903</v>
      </c>
      <c r="E1931" s="695">
        <v>3</v>
      </c>
      <c r="F1931" s="695" t="s">
        <v>4822</v>
      </c>
      <c r="G1931" s="695">
        <v>5</v>
      </c>
      <c r="H1931" s="695" t="s">
        <v>5320</v>
      </c>
      <c r="I1931" s="695">
        <v>143</v>
      </c>
      <c r="J1931" s="695" t="s">
        <v>5448</v>
      </c>
      <c r="K1931" s="695" t="s">
        <v>8544</v>
      </c>
      <c r="L1931" s="696">
        <v>197</v>
      </c>
      <c r="M1931" s="170"/>
    </row>
    <row r="1932" spans="2:13" x14ac:dyDescent="0.2">
      <c r="B1932" s="173"/>
      <c r="C1932" s="694">
        <v>1</v>
      </c>
      <c r="D1932" s="695" t="s">
        <v>3903</v>
      </c>
      <c r="E1932" s="695">
        <v>3</v>
      </c>
      <c r="F1932" s="695" t="s">
        <v>4822</v>
      </c>
      <c r="G1932" s="695">
        <v>5</v>
      </c>
      <c r="H1932" s="695" t="s">
        <v>5320</v>
      </c>
      <c r="I1932" s="695">
        <v>144</v>
      </c>
      <c r="J1932" s="695" t="s">
        <v>5449</v>
      </c>
      <c r="K1932" s="695" t="s">
        <v>8544</v>
      </c>
      <c r="L1932" s="696">
        <v>326</v>
      </c>
      <c r="M1932" s="170"/>
    </row>
    <row r="1933" spans="2:13" x14ac:dyDescent="0.2">
      <c r="B1933" s="173"/>
      <c r="C1933" s="694">
        <v>1</v>
      </c>
      <c r="D1933" s="695" t="s">
        <v>3903</v>
      </c>
      <c r="E1933" s="695">
        <v>3</v>
      </c>
      <c r="F1933" s="695" t="s">
        <v>4822</v>
      </c>
      <c r="G1933" s="695">
        <v>5</v>
      </c>
      <c r="H1933" s="695" t="s">
        <v>5320</v>
      </c>
      <c r="I1933" s="695">
        <v>145</v>
      </c>
      <c r="J1933" s="695" t="s">
        <v>5450</v>
      </c>
      <c r="K1933" s="695" t="s">
        <v>8544</v>
      </c>
      <c r="L1933" s="696">
        <v>644</v>
      </c>
      <c r="M1933" s="170"/>
    </row>
    <row r="1934" spans="2:13" x14ac:dyDescent="0.2">
      <c r="B1934" s="173"/>
      <c r="C1934" s="694">
        <v>1</v>
      </c>
      <c r="D1934" s="695" t="s">
        <v>3903</v>
      </c>
      <c r="E1934" s="695">
        <v>3</v>
      </c>
      <c r="F1934" s="695" t="s">
        <v>4822</v>
      </c>
      <c r="G1934" s="695">
        <v>5</v>
      </c>
      <c r="H1934" s="695" t="s">
        <v>5320</v>
      </c>
      <c r="I1934" s="695">
        <v>146</v>
      </c>
      <c r="J1934" s="695" t="s">
        <v>5451</v>
      </c>
      <c r="K1934" s="695" t="s">
        <v>8544</v>
      </c>
      <c r="L1934" s="696">
        <v>381</v>
      </c>
      <c r="M1934" s="170"/>
    </row>
    <row r="1935" spans="2:13" x14ac:dyDescent="0.2">
      <c r="B1935" s="173"/>
      <c r="C1935" s="694">
        <v>1</v>
      </c>
      <c r="D1935" s="695" t="s">
        <v>3903</v>
      </c>
      <c r="E1935" s="695">
        <v>3</v>
      </c>
      <c r="F1935" s="695" t="s">
        <v>4822</v>
      </c>
      <c r="G1935" s="695">
        <v>5</v>
      </c>
      <c r="H1935" s="695" t="s">
        <v>5320</v>
      </c>
      <c r="I1935" s="695">
        <v>147</v>
      </c>
      <c r="J1935" s="695" t="s">
        <v>5452</v>
      </c>
      <c r="K1935" s="695" t="s">
        <v>8544</v>
      </c>
      <c r="L1935" s="696">
        <v>940</v>
      </c>
      <c r="M1935" s="170"/>
    </row>
    <row r="1936" spans="2:13" x14ac:dyDescent="0.2">
      <c r="B1936" s="173"/>
      <c r="C1936" s="694">
        <v>1</v>
      </c>
      <c r="D1936" s="695" t="s">
        <v>3903</v>
      </c>
      <c r="E1936" s="695">
        <v>3</v>
      </c>
      <c r="F1936" s="695" t="s">
        <v>4822</v>
      </c>
      <c r="G1936" s="695">
        <v>5</v>
      </c>
      <c r="H1936" s="695" t="s">
        <v>5320</v>
      </c>
      <c r="I1936" s="695">
        <v>148</v>
      </c>
      <c r="J1936" s="695" t="s">
        <v>5453</v>
      </c>
      <c r="K1936" s="695" t="s">
        <v>8544</v>
      </c>
      <c r="L1936" s="696">
        <v>682</v>
      </c>
      <c r="M1936" s="170"/>
    </row>
    <row r="1937" spans="2:13" x14ac:dyDescent="0.2">
      <c r="B1937" s="173"/>
      <c r="C1937" s="694">
        <v>1</v>
      </c>
      <c r="D1937" s="695" t="s">
        <v>3903</v>
      </c>
      <c r="E1937" s="695">
        <v>3</v>
      </c>
      <c r="F1937" s="695" t="s">
        <v>4822</v>
      </c>
      <c r="G1937" s="695">
        <v>5</v>
      </c>
      <c r="H1937" s="695" t="s">
        <v>5320</v>
      </c>
      <c r="I1937" s="695">
        <v>149</v>
      </c>
      <c r="J1937" s="695" t="s">
        <v>5454</v>
      </c>
      <c r="K1937" s="695" t="s">
        <v>8544</v>
      </c>
      <c r="L1937" s="696">
        <v>41</v>
      </c>
      <c r="M1937" s="170"/>
    </row>
    <row r="1938" spans="2:13" x14ac:dyDescent="0.2">
      <c r="B1938" s="173"/>
      <c r="C1938" s="694">
        <v>1</v>
      </c>
      <c r="D1938" s="695" t="s">
        <v>3903</v>
      </c>
      <c r="E1938" s="695">
        <v>3</v>
      </c>
      <c r="F1938" s="695" t="s">
        <v>4822</v>
      </c>
      <c r="G1938" s="695">
        <v>5</v>
      </c>
      <c r="H1938" s="695" t="s">
        <v>5320</v>
      </c>
      <c r="I1938" s="695">
        <v>150</v>
      </c>
      <c r="J1938" s="695" t="s">
        <v>5455</v>
      </c>
      <c r="K1938" s="695" t="s">
        <v>8544</v>
      </c>
      <c r="L1938" s="696">
        <v>1437</v>
      </c>
      <c r="M1938" s="170"/>
    </row>
    <row r="1939" spans="2:13" x14ac:dyDescent="0.2">
      <c r="B1939" s="173"/>
      <c r="C1939" s="694">
        <v>1</v>
      </c>
      <c r="D1939" s="695" t="s">
        <v>3903</v>
      </c>
      <c r="E1939" s="695">
        <v>3</v>
      </c>
      <c r="F1939" s="695" t="s">
        <v>4822</v>
      </c>
      <c r="G1939" s="695">
        <v>5</v>
      </c>
      <c r="H1939" s="695" t="s">
        <v>5320</v>
      </c>
      <c r="I1939" s="695">
        <v>151</v>
      </c>
      <c r="J1939" s="695" t="s">
        <v>5456</v>
      </c>
      <c r="K1939" s="695" t="s">
        <v>8544</v>
      </c>
      <c r="L1939" s="696">
        <v>110</v>
      </c>
      <c r="M1939" s="170"/>
    </row>
    <row r="1940" spans="2:13" x14ac:dyDescent="0.2">
      <c r="B1940" s="173"/>
      <c r="C1940" s="694">
        <v>1</v>
      </c>
      <c r="D1940" s="695" t="s">
        <v>3903</v>
      </c>
      <c r="E1940" s="695">
        <v>3</v>
      </c>
      <c r="F1940" s="695" t="s">
        <v>4822</v>
      </c>
      <c r="G1940" s="695">
        <v>5</v>
      </c>
      <c r="H1940" s="695" t="s">
        <v>5320</v>
      </c>
      <c r="I1940" s="695">
        <v>152</v>
      </c>
      <c r="J1940" s="695" t="s">
        <v>5457</v>
      </c>
      <c r="K1940" s="695" t="s">
        <v>8544</v>
      </c>
      <c r="L1940" s="696">
        <v>946</v>
      </c>
      <c r="M1940" s="170"/>
    </row>
    <row r="1941" spans="2:13" x14ac:dyDescent="0.2">
      <c r="B1941" s="173"/>
      <c r="C1941" s="694">
        <v>1</v>
      </c>
      <c r="D1941" s="695" t="s">
        <v>3903</v>
      </c>
      <c r="E1941" s="695">
        <v>3</v>
      </c>
      <c r="F1941" s="695" t="s">
        <v>4822</v>
      </c>
      <c r="G1941" s="695">
        <v>5</v>
      </c>
      <c r="H1941" s="695" t="s">
        <v>5320</v>
      </c>
      <c r="I1941" s="695">
        <v>153</v>
      </c>
      <c r="J1941" s="695" t="s">
        <v>5458</v>
      </c>
      <c r="K1941" s="695" t="s">
        <v>8544</v>
      </c>
      <c r="L1941" s="696">
        <v>558</v>
      </c>
      <c r="M1941" s="170"/>
    </row>
    <row r="1942" spans="2:13" x14ac:dyDescent="0.2">
      <c r="B1942" s="173"/>
      <c r="C1942" s="694">
        <v>1</v>
      </c>
      <c r="D1942" s="695" t="s">
        <v>3903</v>
      </c>
      <c r="E1942" s="695">
        <v>3</v>
      </c>
      <c r="F1942" s="695" t="s">
        <v>4822</v>
      </c>
      <c r="G1942" s="695">
        <v>5</v>
      </c>
      <c r="H1942" s="695" t="s">
        <v>5320</v>
      </c>
      <c r="I1942" s="695">
        <v>154</v>
      </c>
      <c r="J1942" s="695" t="s">
        <v>5459</v>
      </c>
      <c r="K1942" s="695" t="s">
        <v>8544</v>
      </c>
      <c r="L1942" s="696">
        <v>3249</v>
      </c>
      <c r="M1942" s="170"/>
    </row>
    <row r="1943" spans="2:13" x14ac:dyDescent="0.2">
      <c r="B1943" s="173"/>
      <c r="C1943" s="694">
        <v>1</v>
      </c>
      <c r="D1943" s="695" t="s">
        <v>3903</v>
      </c>
      <c r="E1943" s="695">
        <v>3</v>
      </c>
      <c r="F1943" s="695" t="s">
        <v>4822</v>
      </c>
      <c r="G1943" s="695">
        <v>5</v>
      </c>
      <c r="H1943" s="695" t="s">
        <v>5320</v>
      </c>
      <c r="I1943" s="695">
        <v>155</v>
      </c>
      <c r="J1943" s="695" t="s">
        <v>5460</v>
      </c>
      <c r="K1943" s="695" t="s">
        <v>8544</v>
      </c>
      <c r="L1943" s="696">
        <v>80</v>
      </c>
      <c r="M1943" s="170"/>
    </row>
    <row r="1944" spans="2:13" x14ac:dyDescent="0.2">
      <c r="B1944" s="173"/>
      <c r="C1944" s="694">
        <v>1</v>
      </c>
      <c r="D1944" s="695" t="s">
        <v>3903</v>
      </c>
      <c r="E1944" s="695">
        <v>3</v>
      </c>
      <c r="F1944" s="695" t="s">
        <v>4822</v>
      </c>
      <c r="G1944" s="695">
        <v>5</v>
      </c>
      <c r="H1944" s="695" t="s">
        <v>5320</v>
      </c>
      <c r="I1944" s="695">
        <v>156</v>
      </c>
      <c r="J1944" s="695" t="s">
        <v>5461</v>
      </c>
      <c r="K1944" s="695" t="s">
        <v>8544</v>
      </c>
      <c r="L1944" s="696">
        <v>19</v>
      </c>
      <c r="M1944" s="170"/>
    </row>
    <row r="1945" spans="2:13" x14ac:dyDescent="0.2">
      <c r="B1945" s="173"/>
      <c r="C1945" s="694">
        <v>1</v>
      </c>
      <c r="D1945" s="695" t="s">
        <v>3903</v>
      </c>
      <c r="E1945" s="695">
        <v>3</v>
      </c>
      <c r="F1945" s="695" t="s">
        <v>4822</v>
      </c>
      <c r="G1945" s="695">
        <v>5</v>
      </c>
      <c r="H1945" s="695" t="s">
        <v>5320</v>
      </c>
      <c r="I1945" s="695">
        <v>157</v>
      </c>
      <c r="J1945" s="695" t="s">
        <v>5462</v>
      </c>
      <c r="K1945" s="695" t="s">
        <v>8544</v>
      </c>
      <c r="L1945" s="696">
        <v>36</v>
      </c>
      <c r="M1945" s="170"/>
    </row>
    <row r="1946" spans="2:13" x14ac:dyDescent="0.2">
      <c r="B1946" s="173"/>
      <c r="C1946" s="694">
        <v>1</v>
      </c>
      <c r="D1946" s="695" t="s">
        <v>3903</v>
      </c>
      <c r="E1946" s="695">
        <v>3</v>
      </c>
      <c r="F1946" s="695" t="s">
        <v>4822</v>
      </c>
      <c r="G1946" s="695">
        <v>5</v>
      </c>
      <c r="H1946" s="695" t="s">
        <v>5320</v>
      </c>
      <c r="I1946" s="695">
        <v>158</v>
      </c>
      <c r="J1946" s="695" t="s">
        <v>5463</v>
      </c>
      <c r="K1946" s="695" t="s">
        <v>8544</v>
      </c>
      <c r="L1946" s="696">
        <v>60</v>
      </c>
      <c r="M1946" s="170"/>
    </row>
    <row r="1947" spans="2:13" x14ac:dyDescent="0.2">
      <c r="B1947" s="173"/>
      <c r="C1947" s="694">
        <v>1</v>
      </c>
      <c r="D1947" s="695" t="s">
        <v>3903</v>
      </c>
      <c r="E1947" s="695">
        <v>3</v>
      </c>
      <c r="F1947" s="695" t="s">
        <v>4822</v>
      </c>
      <c r="G1947" s="695">
        <v>5</v>
      </c>
      <c r="H1947" s="695" t="s">
        <v>5320</v>
      </c>
      <c r="I1947" s="695">
        <v>159</v>
      </c>
      <c r="J1947" s="695" t="s">
        <v>5464</v>
      </c>
      <c r="K1947" s="695" t="s">
        <v>8544</v>
      </c>
      <c r="L1947" s="696">
        <v>177</v>
      </c>
      <c r="M1947" s="170"/>
    </row>
    <row r="1948" spans="2:13" x14ac:dyDescent="0.2">
      <c r="B1948" s="173"/>
      <c r="C1948" s="694">
        <v>1</v>
      </c>
      <c r="D1948" s="695" t="s">
        <v>3903</v>
      </c>
      <c r="E1948" s="695">
        <v>3</v>
      </c>
      <c r="F1948" s="695" t="s">
        <v>4822</v>
      </c>
      <c r="G1948" s="695">
        <v>5</v>
      </c>
      <c r="H1948" s="695" t="s">
        <v>5320</v>
      </c>
      <c r="I1948" s="695">
        <v>160</v>
      </c>
      <c r="J1948" s="695" t="s">
        <v>5326</v>
      </c>
      <c r="K1948" s="695" t="s">
        <v>8544</v>
      </c>
      <c r="L1948" s="696">
        <v>1392</v>
      </c>
      <c r="M1948" s="170"/>
    </row>
    <row r="1949" spans="2:13" x14ac:dyDescent="0.2">
      <c r="B1949" s="173"/>
      <c r="C1949" s="694">
        <v>1</v>
      </c>
      <c r="D1949" s="695" t="s">
        <v>3903</v>
      </c>
      <c r="E1949" s="695">
        <v>3</v>
      </c>
      <c r="F1949" s="695" t="s">
        <v>4822</v>
      </c>
      <c r="G1949" s="695">
        <v>5</v>
      </c>
      <c r="H1949" s="695" t="s">
        <v>5320</v>
      </c>
      <c r="I1949" s="695">
        <v>161</v>
      </c>
      <c r="J1949" s="695" t="s">
        <v>5465</v>
      </c>
      <c r="K1949" s="695" t="s">
        <v>8544</v>
      </c>
      <c r="L1949" s="696">
        <v>7</v>
      </c>
      <c r="M1949" s="170"/>
    </row>
    <row r="1950" spans="2:13" x14ac:dyDescent="0.2">
      <c r="B1950" s="173"/>
      <c r="C1950" s="694">
        <v>1</v>
      </c>
      <c r="D1950" s="695" t="s">
        <v>3903</v>
      </c>
      <c r="E1950" s="695">
        <v>3</v>
      </c>
      <c r="F1950" s="695" t="s">
        <v>4822</v>
      </c>
      <c r="G1950" s="695">
        <v>5</v>
      </c>
      <c r="H1950" s="695" t="s">
        <v>5320</v>
      </c>
      <c r="I1950" s="695">
        <v>162</v>
      </c>
      <c r="J1950" s="695" t="s">
        <v>5466</v>
      </c>
      <c r="K1950" s="695" t="s">
        <v>8544</v>
      </c>
      <c r="L1950" s="696">
        <v>53</v>
      </c>
      <c r="M1950" s="170"/>
    </row>
    <row r="1951" spans="2:13" x14ac:dyDescent="0.2">
      <c r="B1951" s="173"/>
      <c r="C1951" s="694">
        <v>1</v>
      </c>
      <c r="D1951" s="695" t="s">
        <v>3903</v>
      </c>
      <c r="E1951" s="695">
        <v>3</v>
      </c>
      <c r="F1951" s="695" t="s">
        <v>4822</v>
      </c>
      <c r="G1951" s="695">
        <v>5</v>
      </c>
      <c r="H1951" s="695" t="s">
        <v>5320</v>
      </c>
      <c r="I1951" s="695">
        <v>163</v>
      </c>
      <c r="J1951" s="695" t="s">
        <v>5467</v>
      </c>
      <c r="K1951" s="695" t="s">
        <v>8544</v>
      </c>
      <c r="L1951" s="696">
        <v>59</v>
      </c>
      <c r="M1951" s="170"/>
    </row>
    <row r="1952" spans="2:13" x14ac:dyDescent="0.2">
      <c r="B1952" s="173"/>
      <c r="C1952" s="694">
        <v>1</v>
      </c>
      <c r="D1952" s="695" t="s">
        <v>3903</v>
      </c>
      <c r="E1952" s="695">
        <v>3</v>
      </c>
      <c r="F1952" s="695" t="s">
        <v>4822</v>
      </c>
      <c r="G1952" s="695">
        <v>5</v>
      </c>
      <c r="H1952" s="695" t="s">
        <v>5320</v>
      </c>
      <c r="I1952" s="695">
        <v>164</v>
      </c>
      <c r="J1952" s="695" t="s">
        <v>5468</v>
      </c>
      <c r="K1952" s="695" t="s">
        <v>8544</v>
      </c>
      <c r="L1952" s="696">
        <v>3</v>
      </c>
      <c r="M1952" s="170"/>
    </row>
    <row r="1953" spans="2:13" x14ac:dyDescent="0.2">
      <c r="B1953" s="173"/>
      <c r="C1953" s="694">
        <v>1</v>
      </c>
      <c r="D1953" s="695" t="s">
        <v>3903</v>
      </c>
      <c r="E1953" s="695">
        <v>3</v>
      </c>
      <c r="F1953" s="695" t="s">
        <v>4822</v>
      </c>
      <c r="G1953" s="695">
        <v>5</v>
      </c>
      <c r="H1953" s="695" t="s">
        <v>5320</v>
      </c>
      <c r="I1953" s="695">
        <v>165</v>
      </c>
      <c r="J1953" s="695" t="s">
        <v>5469</v>
      </c>
      <c r="K1953" s="695" t="s">
        <v>8544</v>
      </c>
      <c r="L1953" s="696">
        <v>8</v>
      </c>
      <c r="M1953" s="170"/>
    </row>
    <row r="1954" spans="2:13" x14ac:dyDescent="0.2">
      <c r="B1954" s="173"/>
      <c r="C1954" s="694">
        <v>1</v>
      </c>
      <c r="D1954" s="695" t="s">
        <v>3903</v>
      </c>
      <c r="E1954" s="695">
        <v>3</v>
      </c>
      <c r="F1954" s="695" t="s">
        <v>4822</v>
      </c>
      <c r="G1954" s="695">
        <v>5</v>
      </c>
      <c r="H1954" s="695" t="s">
        <v>5320</v>
      </c>
      <c r="I1954" s="695">
        <v>166</v>
      </c>
      <c r="J1954" s="695" t="s">
        <v>5470</v>
      </c>
      <c r="K1954" s="695" t="s">
        <v>8544</v>
      </c>
      <c r="L1954" s="696">
        <v>262</v>
      </c>
      <c r="M1954" s="170"/>
    </row>
    <row r="1955" spans="2:13" x14ac:dyDescent="0.2">
      <c r="B1955" s="173"/>
      <c r="C1955" s="694">
        <v>1</v>
      </c>
      <c r="D1955" s="695" t="s">
        <v>3903</v>
      </c>
      <c r="E1955" s="695">
        <v>3</v>
      </c>
      <c r="F1955" s="695" t="s">
        <v>4822</v>
      </c>
      <c r="G1955" s="695">
        <v>5</v>
      </c>
      <c r="H1955" s="695" t="s">
        <v>5320</v>
      </c>
      <c r="I1955" s="695">
        <v>167</v>
      </c>
      <c r="J1955" s="695" t="s">
        <v>5471</v>
      </c>
      <c r="K1955" s="695" t="s">
        <v>8544</v>
      </c>
      <c r="L1955" s="696">
        <v>242</v>
      </c>
      <c r="M1955" s="170"/>
    </row>
    <row r="1956" spans="2:13" x14ac:dyDescent="0.2">
      <c r="B1956" s="173"/>
      <c r="C1956" s="694">
        <v>1</v>
      </c>
      <c r="D1956" s="695" t="s">
        <v>3903</v>
      </c>
      <c r="E1956" s="695">
        <v>3</v>
      </c>
      <c r="F1956" s="695" t="s">
        <v>4822</v>
      </c>
      <c r="G1956" s="695">
        <v>5</v>
      </c>
      <c r="H1956" s="695" t="s">
        <v>5320</v>
      </c>
      <c r="I1956" s="695">
        <v>168</v>
      </c>
      <c r="J1956" s="695" t="s">
        <v>5472</v>
      </c>
      <c r="K1956" s="695" t="s">
        <v>8544</v>
      </c>
      <c r="L1956" s="696">
        <v>806</v>
      </c>
      <c r="M1956" s="170"/>
    </row>
    <row r="1957" spans="2:13" x14ac:dyDescent="0.2">
      <c r="B1957" s="173"/>
      <c r="C1957" s="694">
        <v>1</v>
      </c>
      <c r="D1957" s="695" t="s">
        <v>3903</v>
      </c>
      <c r="E1957" s="695">
        <v>3</v>
      </c>
      <c r="F1957" s="695" t="s">
        <v>4822</v>
      </c>
      <c r="G1957" s="695">
        <v>5</v>
      </c>
      <c r="H1957" s="695" t="s">
        <v>5320</v>
      </c>
      <c r="I1957" s="695">
        <v>169</v>
      </c>
      <c r="J1957" s="695" t="s">
        <v>5473</v>
      </c>
      <c r="K1957" s="695" t="s">
        <v>8544</v>
      </c>
      <c r="L1957" s="696">
        <v>588</v>
      </c>
      <c r="M1957" s="170"/>
    </row>
    <row r="1958" spans="2:13" x14ac:dyDescent="0.2">
      <c r="B1958" s="173"/>
      <c r="C1958" s="694">
        <v>1</v>
      </c>
      <c r="D1958" s="695" t="s">
        <v>3903</v>
      </c>
      <c r="E1958" s="695">
        <v>3</v>
      </c>
      <c r="F1958" s="695" t="s">
        <v>4822</v>
      </c>
      <c r="G1958" s="695">
        <v>5</v>
      </c>
      <c r="H1958" s="695" t="s">
        <v>5320</v>
      </c>
      <c r="I1958" s="695">
        <v>170</v>
      </c>
      <c r="J1958" s="695" t="s">
        <v>5474</v>
      </c>
      <c r="K1958" s="695" t="s">
        <v>8544</v>
      </c>
      <c r="L1958" s="696">
        <v>493</v>
      </c>
      <c r="M1958" s="170"/>
    </row>
    <row r="1959" spans="2:13" x14ac:dyDescent="0.2">
      <c r="B1959" s="173"/>
      <c r="C1959" s="694">
        <v>1</v>
      </c>
      <c r="D1959" s="695" t="s">
        <v>3903</v>
      </c>
      <c r="E1959" s="695">
        <v>3</v>
      </c>
      <c r="F1959" s="695" t="s">
        <v>4822</v>
      </c>
      <c r="G1959" s="695">
        <v>5</v>
      </c>
      <c r="H1959" s="695" t="s">
        <v>5320</v>
      </c>
      <c r="I1959" s="695">
        <v>171</v>
      </c>
      <c r="J1959" s="695" t="s">
        <v>5329</v>
      </c>
      <c r="K1959" s="695" t="s">
        <v>8544</v>
      </c>
      <c r="L1959" s="696">
        <v>2627</v>
      </c>
      <c r="M1959" s="170"/>
    </row>
    <row r="1960" spans="2:13" x14ac:dyDescent="0.2">
      <c r="B1960" s="173"/>
      <c r="C1960" s="694">
        <v>1</v>
      </c>
      <c r="D1960" s="695" t="s">
        <v>3903</v>
      </c>
      <c r="E1960" s="695">
        <v>3</v>
      </c>
      <c r="F1960" s="695" t="s">
        <v>4822</v>
      </c>
      <c r="G1960" s="695">
        <v>5</v>
      </c>
      <c r="H1960" s="695" t="s">
        <v>5320</v>
      </c>
      <c r="I1960" s="695">
        <v>172</v>
      </c>
      <c r="J1960" s="695" t="s">
        <v>5475</v>
      </c>
      <c r="K1960" s="695" t="s">
        <v>8544</v>
      </c>
      <c r="L1960" s="696">
        <v>72</v>
      </c>
      <c r="M1960" s="170"/>
    </row>
    <row r="1961" spans="2:13" x14ac:dyDescent="0.2">
      <c r="B1961" s="173"/>
      <c r="C1961" s="694">
        <v>1</v>
      </c>
      <c r="D1961" s="695" t="s">
        <v>3903</v>
      </c>
      <c r="E1961" s="695">
        <v>3</v>
      </c>
      <c r="F1961" s="695" t="s">
        <v>4822</v>
      </c>
      <c r="G1961" s="695">
        <v>5</v>
      </c>
      <c r="H1961" s="695" t="s">
        <v>5320</v>
      </c>
      <c r="I1961" s="695">
        <v>173</v>
      </c>
      <c r="J1961" s="695" t="s">
        <v>5476</v>
      </c>
      <c r="K1961" s="695" t="s">
        <v>8544</v>
      </c>
      <c r="L1961" s="696">
        <v>40</v>
      </c>
      <c r="M1961" s="170"/>
    </row>
    <row r="1962" spans="2:13" x14ac:dyDescent="0.2">
      <c r="B1962" s="173"/>
      <c r="C1962" s="694">
        <v>1</v>
      </c>
      <c r="D1962" s="695" t="s">
        <v>3903</v>
      </c>
      <c r="E1962" s="695">
        <v>3</v>
      </c>
      <c r="F1962" s="695" t="s">
        <v>4822</v>
      </c>
      <c r="G1962" s="695">
        <v>5</v>
      </c>
      <c r="H1962" s="695" t="s">
        <v>5320</v>
      </c>
      <c r="I1962" s="695">
        <v>174</v>
      </c>
      <c r="J1962" s="695" t="s">
        <v>5477</v>
      </c>
      <c r="K1962" s="695" t="s">
        <v>8544</v>
      </c>
      <c r="L1962" s="696">
        <v>0</v>
      </c>
      <c r="M1962" s="170"/>
    </row>
    <row r="1963" spans="2:13" x14ac:dyDescent="0.2">
      <c r="B1963" s="173"/>
      <c r="C1963" s="694">
        <v>1</v>
      </c>
      <c r="D1963" s="695" t="s">
        <v>3903</v>
      </c>
      <c r="E1963" s="695">
        <v>3</v>
      </c>
      <c r="F1963" s="695" t="s">
        <v>4822</v>
      </c>
      <c r="G1963" s="695">
        <v>5</v>
      </c>
      <c r="H1963" s="695" t="s">
        <v>5320</v>
      </c>
      <c r="I1963" s="695">
        <v>175</v>
      </c>
      <c r="J1963" s="695" t="s">
        <v>4932</v>
      </c>
      <c r="K1963" s="695" t="s">
        <v>8544</v>
      </c>
      <c r="L1963" s="696">
        <v>13</v>
      </c>
      <c r="M1963" s="170"/>
    </row>
    <row r="1964" spans="2:13" x14ac:dyDescent="0.2">
      <c r="B1964" s="173"/>
      <c r="C1964" s="694">
        <v>1</v>
      </c>
      <c r="D1964" s="695" t="s">
        <v>3903</v>
      </c>
      <c r="E1964" s="695">
        <v>3</v>
      </c>
      <c r="F1964" s="695" t="s">
        <v>4822</v>
      </c>
      <c r="G1964" s="695">
        <v>5</v>
      </c>
      <c r="H1964" s="695" t="s">
        <v>5320</v>
      </c>
      <c r="I1964" s="695">
        <v>176</v>
      </c>
      <c r="J1964" s="695" t="s">
        <v>5478</v>
      </c>
      <c r="K1964" s="695" t="s">
        <v>8544</v>
      </c>
      <c r="L1964" s="696">
        <v>158</v>
      </c>
      <c r="M1964" s="170"/>
    </row>
    <row r="1965" spans="2:13" x14ac:dyDescent="0.2">
      <c r="B1965" s="173"/>
      <c r="C1965" s="694">
        <v>1</v>
      </c>
      <c r="D1965" s="695" t="s">
        <v>3903</v>
      </c>
      <c r="E1965" s="695">
        <v>3</v>
      </c>
      <c r="F1965" s="695" t="s">
        <v>4822</v>
      </c>
      <c r="G1965" s="695">
        <v>5</v>
      </c>
      <c r="H1965" s="695" t="s">
        <v>5320</v>
      </c>
      <c r="I1965" s="695">
        <v>177</v>
      </c>
      <c r="J1965" s="695" t="s">
        <v>5479</v>
      </c>
      <c r="K1965" s="695" t="s">
        <v>8544</v>
      </c>
      <c r="L1965" s="696">
        <v>10</v>
      </c>
      <c r="M1965" s="170"/>
    </row>
    <row r="1966" spans="2:13" x14ac:dyDescent="0.2">
      <c r="B1966" s="173"/>
      <c r="C1966" s="694">
        <v>1</v>
      </c>
      <c r="D1966" s="695" t="s">
        <v>3903</v>
      </c>
      <c r="E1966" s="695">
        <v>3</v>
      </c>
      <c r="F1966" s="695" t="s">
        <v>4822</v>
      </c>
      <c r="G1966" s="695">
        <v>5</v>
      </c>
      <c r="H1966" s="695" t="s">
        <v>5320</v>
      </c>
      <c r="I1966" s="695">
        <v>178</v>
      </c>
      <c r="J1966" s="695" t="s">
        <v>5480</v>
      </c>
      <c r="K1966" s="695" t="s">
        <v>8544</v>
      </c>
      <c r="L1966" s="696">
        <v>5</v>
      </c>
      <c r="M1966" s="170"/>
    </row>
    <row r="1967" spans="2:13" x14ac:dyDescent="0.2">
      <c r="B1967" s="173"/>
      <c r="C1967" s="694">
        <v>1</v>
      </c>
      <c r="D1967" s="695" t="s">
        <v>3903</v>
      </c>
      <c r="E1967" s="695">
        <v>3</v>
      </c>
      <c r="F1967" s="695" t="s">
        <v>4822</v>
      </c>
      <c r="G1967" s="695">
        <v>5</v>
      </c>
      <c r="H1967" s="695" t="s">
        <v>5320</v>
      </c>
      <c r="I1967" s="695">
        <v>179</v>
      </c>
      <c r="J1967" s="695" t="s">
        <v>5481</v>
      </c>
      <c r="K1967" s="695" t="s">
        <v>8544</v>
      </c>
      <c r="L1967" s="696">
        <v>29</v>
      </c>
      <c r="M1967" s="170"/>
    </row>
    <row r="1968" spans="2:13" x14ac:dyDescent="0.2">
      <c r="B1968" s="173"/>
      <c r="C1968" s="694">
        <v>1</v>
      </c>
      <c r="D1968" s="695" t="s">
        <v>3903</v>
      </c>
      <c r="E1968" s="695">
        <v>3</v>
      </c>
      <c r="F1968" s="695" t="s">
        <v>4822</v>
      </c>
      <c r="G1968" s="695">
        <v>5</v>
      </c>
      <c r="H1968" s="695" t="s">
        <v>5320</v>
      </c>
      <c r="I1968" s="695">
        <v>180</v>
      </c>
      <c r="J1968" s="695" t="s">
        <v>5482</v>
      </c>
      <c r="K1968" s="695" t="s">
        <v>8544</v>
      </c>
      <c r="L1968" s="696">
        <v>10</v>
      </c>
      <c r="M1968" s="170"/>
    </row>
    <row r="1969" spans="2:13" x14ac:dyDescent="0.2">
      <c r="B1969" s="173"/>
      <c r="C1969" s="694">
        <v>1</v>
      </c>
      <c r="D1969" s="695" t="s">
        <v>3903</v>
      </c>
      <c r="E1969" s="695">
        <v>3</v>
      </c>
      <c r="F1969" s="695" t="s">
        <v>4822</v>
      </c>
      <c r="G1969" s="695">
        <v>5</v>
      </c>
      <c r="H1969" s="695" t="s">
        <v>5320</v>
      </c>
      <c r="I1969" s="695">
        <v>181</v>
      </c>
      <c r="J1969" s="695" t="s">
        <v>5483</v>
      </c>
      <c r="K1969" s="695" t="s">
        <v>8544</v>
      </c>
      <c r="L1969" s="696">
        <v>232</v>
      </c>
      <c r="M1969" s="170"/>
    </row>
    <row r="1970" spans="2:13" x14ac:dyDescent="0.2">
      <c r="B1970" s="173"/>
      <c r="C1970" s="694">
        <v>1</v>
      </c>
      <c r="D1970" s="695" t="s">
        <v>3903</v>
      </c>
      <c r="E1970" s="695">
        <v>3</v>
      </c>
      <c r="F1970" s="695" t="s">
        <v>4822</v>
      </c>
      <c r="G1970" s="695">
        <v>5</v>
      </c>
      <c r="H1970" s="695" t="s">
        <v>5320</v>
      </c>
      <c r="I1970" s="695">
        <v>182</v>
      </c>
      <c r="J1970" s="695" t="s">
        <v>5484</v>
      </c>
      <c r="K1970" s="695" t="s">
        <v>8544</v>
      </c>
      <c r="L1970" s="696">
        <v>32</v>
      </c>
      <c r="M1970" s="170"/>
    </row>
    <row r="1971" spans="2:13" x14ac:dyDescent="0.2">
      <c r="B1971" s="173"/>
      <c r="C1971" s="694">
        <v>1</v>
      </c>
      <c r="D1971" s="695" t="s">
        <v>3903</v>
      </c>
      <c r="E1971" s="695">
        <v>3</v>
      </c>
      <c r="F1971" s="695" t="s">
        <v>4822</v>
      </c>
      <c r="G1971" s="695">
        <v>5</v>
      </c>
      <c r="H1971" s="695" t="s">
        <v>5320</v>
      </c>
      <c r="I1971" s="695">
        <v>183</v>
      </c>
      <c r="J1971" s="695" t="s">
        <v>5333</v>
      </c>
      <c r="K1971" s="695" t="s">
        <v>4045</v>
      </c>
      <c r="L1971" s="696">
        <v>736</v>
      </c>
      <c r="M1971" s="170"/>
    </row>
    <row r="1972" spans="2:13" x14ac:dyDescent="0.2">
      <c r="B1972" s="173"/>
      <c r="C1972" s="694">
        <v>1</v>
      </c>
      <c r="D1972" s="695" t="s">
        <v>3903</v>
      </c>
      <c r="E1972" s="695">
        <v>3</v>
      </c>
      <c r="F1972" s="695" t="s">
        <v>4822</v>
      </c>
      <c r="G1972" s="695">
        <v>5</v>
      </c>
      <c r="H1972" s="695" t="s">
        <v>5320</v>
      </c>
      <c r="I1972" s="695">
        <v>184</v>
      </c>
      <c r="J1972" s="695" t="s">
        <v>5485</v>
      </c>
      <c r="K1972" s="695" t="s">
        <v>5322</v>
      </c>
      <c r="L1972" s="696">
        <v>4584</v>
      </c>
      <c r="M1972" s="170"/>
    </row>
    <row r="1973" spans="2:13" x14ac:dyDescent="0.2">
      <c r="B1973" s="173"/>
      <c r="C1973" s="694">
        <v>1</v>
      </c>
      <c r="D1973" s="695" t="s">
        <v>3903</v>
      </c>
      <c r="E1973" s="695">
        <v>3</v>
      </c>
      <c r="F1973" s="695" t="s">
        <v>4822</v>
      </c>
      <c r="G1973" s="695">
        <v>5</v>
      </c>
      <c r="H1973" s="695" t="s">
        <v>5320</v>
      </c>
      <c r="I1973" s="695">
        <v>185</v>
      </c>
      <c r="J1973" s="695" t="s">
        <v>5486</v>
      </c>
      <c r="K1973" s="695" t="s">
        <v>5322</v>
      </c>
      <c r="L1973" s="696">
        <v>1486</v>
      </c>
      <c r="M1973" s="170"/>
    </row>
    <row r="1974" spans="2:13" x14ac:dyDescent="0.2">
      <c r="B1974" s="173"/>
      <c r="C1974" s="694">
        <v>1</v>
      </c>
      <c r="D1974" s="695" t="s">
        <v>3903</v>
      </c>
      <c r="E1974" s="695">
        <v>3</v>
      </c>
      <c r="F1974" s="695" t="s">
        <v>4822</v>
      </c>
      <c r="G1974" s="695">
        <v>5</v>
      </c>
      <c r="H1974" s="695" t="s">
        <v>5320</v>
      </c>
      <c r="I1974" s="695">
        <v>186</v>
      </c>
      <c r="J1974" s="695" t="s">
        <v>5487</v>
      </c>
      <c r="K1974" s="695" t="s">
        <v>5322</v>
      </c>
      <c r="L1974" s="696">
        <v>405</v>
      </c>
      <c r="M1974" s="170"/>
    </row>
    <row r="1975" spans="2:13" x14ac:dyDescent="0.2">
      <c r="B1975" s="173"/>
      <c r="C1975" s="694">
        <v>1</v>
      </c>
      <c r="D1975" s="695" t="s">
        <v>3903</v>
      </c>
      <c r="E1975" s="695">
        <v>3</v>
      </c>
      <c r="F1975" s="695" t="s">
        <v>4822</v>
      </c>
      <c r="G1975" s="695">
        <v>5</v>
      </c>
      <c r="H1975" s="695" t="s">
        <v>5320</v>
      </c>
      <c r="I1975" s="695">
        <v>187</v>
      </c>
      <c r="J1975" s="695" t="s">
        <v>5488</v>
      </c>
      <c r="K1975" s="695" t="s">
        <v>5322</v>
      </c>
      <c r="L1975" s="696">
        <v>16345</v>
      </c>
      <c r="M1975" s="170"/>
    </row>
    <row r="1976" spans="2:13" x14ac:dyDescent="0.2">
      <c r="B1976" s="173"/>
      <c r="C1976" s="694">
        <v>1</v>
      </c>
      <c r="D1976" s="695" t="s">
        <v>3903</v>
      </c>
      <c r="E1976" s="695">
        <v>3</v>
      </c>
      <c r="F1976" s="695" t="s">
        <v>4822</v>
      </c>
      <c r="G1976" s="695">
        <v>5</v>
      </c>
      <c r="H1976" s="695" t="s">
        <v>5320</v>
      </c>
      <c r="I1976" s="695">
        <v>188</v>
      </c>
      <c r="J1976" s="695" t="s">
        <v>5489</v>
      </c>
      <c r="K1976" s="695" t="s">
        <v>5322</v>
      </c>
      <c r="L1976" s="696">
        <v>11037</v>
      </c>
      <c r="M1976" s="170"/>
    </row>
    <row r="1977" spans="2:13" x14ac:dyDescent="0.2">
      <c r="B1977" s="173"/>
      <c r="C1977" s="694">
        <v>1</v>
      </c>
      <c r="D1977" s="695" t="s">
        <v>3903</v>
      </c>
      <c r="E1977" s="695">
        <v>3</v>
      </c>
      <c r="F1977" s="695" t="s">
        <v>4822</v>
      </c>
      <c r="G1977" s="695">
        <v>5</v>
      </c>
      <c r="H1977" s="695" t="s">
        <v>5320</v>
      </c>
      <c r="I1977" s="695">
        <v>189</v>
      </c>
      <c r="J1977" s="695" t="s">
        <v>5490</v>
      </c>
      <c r="K1977" s="695" t="s">
        <v>5322</v>
      </c>
      <c r="L1977" s="696">
        <v>4820</v>
      </c>
      <c r="M1977" s="170"/>
    </row>
    <row r="1978" spans="2:13" x14ac:dyDescent="0.2">
      <c r="B1978" s="173"/>
      <c r="C1978" s="694">
        <v>1</v>
      </c>
      <c r="D1978" s="695" t="s">
        <v>3903</v>
      </c>
      <c r="E1978" s="695">
        <v>3</v>
      </c>
      <c r="F1978" s="695" t="s">
        <v>4822</v>
      </c>
      <c r="G1978" s="695">
        <v>5</v>
      </c>
      <c r="H1978" s="695" t="s">
        <v>5320</v>
      </c>
      <c r="I1978" s="695">
        <v>190</v>
      </c>
      <c r="J1978" s="695" t="s">
        <v>5491</v>
      </c>
      <c r="K1978" s="695" t="s">
        <v>5322</v>
      </c>
      <c r="L1978" s="696">
        <v>2233</v>
      </c>
      <c r="M1978" s="170"/>
    </row>
    <row r="1979" spans="2:13" x14ac:dyDescent="0.2">
      <c r="B1979" s="173"/>
      <c r="C1979" s="694">
        <v>1</v>
      </c>
      <c r="D1979" s="695" t="s">
        <v>3903</v>
      </c>
      <c r="E1979" s="695">
        <v>3</v>
      </c>
      <c r="F1979" s="695" t="s">
        <v>4822</v>
      </c>
      <c r="G1979" s="695">
        <v>5</v>
      </c>
      <c r="H1979" s="695" t="s">
        <v>5320</v>
      </c>
      <c r="I1979" s="695">
        <v>191</v>
      </c>
      <c r="J1979" s="695" t="s">
        <v>5492</v>
      </c>
      <c r="K1979" s="695" t="s">
        <v>5322</v>
      </c>
      <c r="L1979" s="696">
        <v>3833</v>
      </c>
      <c r="M1979" s="170"/>
    </row>
    <row r="1980" spans="2:13" x14ac:dyDescent="0.2">
      <c r="B1980" s="173"/>
      <c r="C1980" s="694">
        <v>1</v>
      </c>
      <c r="D1980" s="695" t="s">
        <v>3903</v>
      </c>
      <c r="E1980" s="695">
        <v>3</v>
      </c>
      <c r="F1980" s="695" t="s">
        <v>4822</v>
      </c>
      <c r="G1980" s="695">
        <v>5</v>
      </c>
      <c r="H1980" s="695" t="s">
        <v>5320</v>
      </c>
      <c r="I1980" s="695">
        <v>192</v>
      </c>
      <c r="J1980" s="695" t="s">
        <v>5493</v>
      </c>
      <c r="K1980" s="695" t="s">
        <v>5322</v>
      </c>
      <c r="L1980" s="696">
        <v>20255</v>
      </c>
      <c r="M1980" s="170"/>
    </row>
    <row r="1981" spans="2:13" x14ac:dyDescent="0.2">
      <c r="B1981" s="173"/>
      <c r="C1981" s="694">
        <v>1</v>
      </c>
      <c r="D1981" s="695" t="s">
        <v>3903</v>
      </c>
      <c r="E1981" s="695">
        <v>3</v>
      </c>
      <c r="F1981" s="695" t="s">
        <v>4822</v>
      </c>
      <c r="G1981" s="695">
        <v>5</v>
      </c>
      <c r="H1981" s="695" t="s">
        <v>5320</v>
      </c>
      <c r="I1981" s="695">
        <v>193</v>
      </c>
      <c r="J1981" s="695" t="s">
        <v>5494</v>
      </c>
      <c r="K1981" s="695" t="s">
        <v>5322</v>
      </c>
      <c r="L1981" s="696">
        <v>35</v>
      </c>
      <c r="M1981" s="170"/>
    </row>
    <row r="1982" spans="2:13" x14ac:dyDescent="0.2">
      <c r="B1982" s="173"/>
      <c r="C1982" s="694">
        <v>1</v>
      </c>
      <c r="D1982" s="695" t="s">
        <v>3903</v>
      </c>
      <c r="E1982" s="695">
        <v>3</v>
      </c>
      <c r="F1982" s="695" t="s">
        <v>4822</v>
      </c>
      <c r="G1982" s="695">
        <v>5</v>
      </c>
      <c r="H1982" s="695" t="s">
        <v>5320</v>
      </c>
      <c r="I1982" s="695">
        <v>194</v>
      </c>
      <c r="J1982" s="695" t="s">
        <v>5495</v>
      </c>
      <c r="K1982" s="695" t="s">
        <v>5322</v>
      </c>
      <c r="L1982" s="696">
        <v>163</v>
      </c>
      <c r="M1982" s="170"/>
    </row>
    <row r="1983" spans="2:13" x14ac:dyDescent="0.2">
      <c r="B1983" s="173"/>
      <c r="C1983" s="694">
        <v>1</v>
      </c>
      <c r="D1983" s="695" t="s">
        <v>3903</v>
      </c>
      <c r="E1983" s="695">
        <v>3</v>
      </c>
      <c r="F1983" s="695" t="s">
        <v>4822</v>
      </c>
      <c r="G1983" s="695">
        <v>5</v>
      </c>
      <c r="H1983" s="695" t="s">
        <v>5320</v>
      </c>
      <c r="I1983" s="695">
        <v>195</v>
      </c>
      <c r="J1983" s="695" t="s">
        <v>5496</v>
      </c>
      <c r="K1983" s="695" t="s">
        <v>5322</v>
      </c>
      <c r="L1983" s="696">
        <v>872</v>
      </c>
      <c r="M1983" s="170"/>
    </row>
    <row r="1984" spans="2:13" x14ac:dyDescent="0.2">
      <c r="B1984" s="173"/>
      <c r="C1984" s="694">
        <v>1</v>
      </c>
      <c r="D1984" s="695" t="s">
        <v>3903</v>
      </c>
      <c r="E1984" s="695">
        <v>3</v>
      </c>
      <c r="F1984" s="695" t="s">
        <v>4822</v>
      </c>
      <c r="G1984" s="695">
        <v>5</v>
      </c>
      <c r="H1984" s="695" t="s">
        <v>5320</v>
      </c>
      <c r="I1984" s="695">
        <v>196</v>
      </c>
      <c r="J1984" s="695" t="s">
        <v>5497</v>
      </c>
      <c r="K1984" s="695" t="s">
        <v>5322</v>
      </c>
      <c r="L1984" s="696">
        <v>72</v>
      </c>
      <c r="M1984" s="170"/>
    </row>
    <row r="1985" spans="2:13" x14ac:dyDescent="0.2">
      <c r="B1985" s="173"/>
      <c r="C1985" s="694">
        <v>1</v>
      </c>
      <c r="D1985" s="695" t="s">
        <v>3903</v>
      </c>
      <c r="E1985" s="695">
        <v>3</v>
      </c>
      <c r="F1985" s="695" t="s">
        <v>4822</v>
      </c>
      <c r="G1985" s="695">
        <v>5</v>
      </c>
      <c r="H1985" s="695" t="s">
        <v>5320</v>
      </c>
      <c r="I1985" s="695">
        <v>197</v>
      </c>
      <c r="J1985" s="695" t="s">
        <v>5498</v>
      </c>
      <c r="K1985" s="695" t="s">
        <v>4045</v>
      </c>
      <c r="L1985" s="696">
        <v>5301</v>
      </c>
      <c r="M1985" s="170"/>
    </row>
    <row r="1986" spans="2:13" x14ac:dyDescent="0.2">
      <c r="B1986" s="173"/>
      <c r="C1986" s="694">
        <v>1</v>
      </c>
      <c r="D1986" s="695" t="s">
        <v>3903</v>
      </c>
      <c r="E1986" s="695">
        <v>3</v>
      </c>
      <c r="F1986" s="695" t="s">
        <v>4822</v>
      </c>
      <c r="G1986" s="695">
        <v>5</v>
      </c>
      <c r="H1986" s="695" t="s">
        <v>5320</v>
      </c>
      <c r="I1986" s="695">
        <v>198</v>
      </c>
      <c r="J1986" s="695" t="s">
        <v>5499</v>
      </c>
      <c r="K1986" s="695" t="s">
        <v>4045</v>
      </c>
      <c r="L1986" s="696">
        <v>779</v>
      </c>
      <c r="M1986" s="170"/>
    </row>
    <row r="1987" spans="2:13" x14ac:dyDescent="0.2">
      <c r="B1987" s="173"/>
      <c r="C1987" s="694">
        <v>1</v>
      </c>
      <c r="D1987" s="695" t="s">
        <v>3903</v>
      </c>
      <c r="E1987" s="695">
        <v>3</v>
      </c>
      <c r="F1987" s="695" t="s">
        <v>4822</v>
      </c>
      <c r="G1987" s="695">
        <v>5</v>
      </c>
      <c r="H1987" s="695" t="s">
        <v>5320</v>
      </c>
      <c r="I1987" s="695">
        <v>199</v>
      </c>
      <c r="J1987" s="695" t="s">
        <v>5500</v>
      </c>
      <c r="K1987" s="695" t="s">
        <v>4045</v>
      </c>
      <c r="L1987" s="696">
        <v>1366</v>
      </c>
      <c r="M1987" s="170"/>
    </row>
    <row r="1988" spans="2:13" x14ac:dyDescent="0.2">
      <c r="B1988" s="173"/>
      <c r="C1988" s="694">
        <v>1</v>
      </c>
      <c r="D1988" s="695" t="s">
        <v>3903</v>
      </c>
      <c r="E1988" s="695">
        <v>3</v>
      </c>
      <c r="F1988" s="695" t="s">
        <v>4822</v>
      </c>
      <c r="G1988" s="695">
        <v>5</v>
      </c>
      <c r="H1988" s="695" t="s">
        <v>5320</v>
      </c>
      <c r="I1988" s="695">
        <v>200</v>
      </c>
      <c r="J1988" s="695" t="s">
        <v>5501</v>
      </c>
      <c r="K1988" s="695" t="s">
        <v>8544</v>
      </c>
      <c r="L1988" s="696">
        <v>2</v>
      </c>
      <c r="M1988" s="170"/>
    </row>
    <row r="1989" spans="2:13" x14ac:dyDescent="0.2">
      <c r="B1989" s="173"/>
      <c r="C1989" s="694">
        <v>1</v>
      </c>
      <c r="D1989" s="695" t="s">
        <v>3903</v>
      </c>
      <c r="E1989" s="695">
        <v>3</v>
      </c>
      <c r="F1989" s="695" t="s">
        <v>4822</v>
      </c>
      <c r="G1989" s="695">
        <v>5</v>
      </c>
      <c r="H1989" s="695" t="s">
        <v>5320</v>
      </c>
      <c r="I1989" s="695">
        <v>201</v>
      </c>
      <c r="J1989" s="695" t="s">
        <v>5502</v>
      </c>
      <c r="K1989" s="695" t="s">
        <v>4045</v>
      </c>
      <c r="L1989" s="696">
        <v>150</v>
      </c>
      <c r="M1989" s="170"/>
    </row>
    <row r="1990" spans="2:13" x14ac:dyDescent="0.2">
      <c r="B1990" s="173"/>
      <c r="C1990" s="694">
        <v>1</v>
      </c>
      <c r="D1990" s="695" t="s">
        <v>3903</v>
      </c>
      <c r="E1990" s="695">
        <v>3</v>
      </c>
      <c r="F1990" s="695" t="s">
        <v>4822</v>
      </c>
      <c r="G1990" s="695">
        <v>5</v>
      </c>
      <c r="H1990" s="695" t="s">
        <v>5320</v>
      </c>
      <c r="I1990" s="695">
        <v>202</v>
      </c>
      <c r="J1990" s="695" t="s">
        <v>5503</v>
      </c>
      <c r="K1990" s="695" t="s">
        <v>8544</v>
      </c>
      <c r="L1990" s="696">
        <v>55</v>
      </c>
      <c r="M1990" s="170"/>
    </row>
    <row r="1991" spans="2:13" x14ac:dyDescent="0.2">
      <c r="B1991" s="173"/>
      <c r="C1991" s="694">
        <v>1</v>
      </c>
      <c r="D1991" s="695" t="s">
        <v>3903</v>
      </c>
      <c r="E1991" s="695">
        <v>3</v>
      </c>
      <c r="F1991" s="695" t="s">
        <v>4822</v>
      </c>
      <c r="G1991" s="695">
        <v>5</v>
      </c>
      <c r="H1991" s="695" t="s">
        <v>5320</v>
      </c>
      <c r="I1991" s="695">
        <v>203</v>
      </c>
      <c r="J1991" s="695" t="s">
        <v>5478</v>
      </c>
      <c r="K1991" s="695" t="s">
        <v>8544</v>
      </c>
      <c r="L1991" s="696">
        <v>13</v>
      </c>
      <c r="M1991" s="170"/>
    </row>
    <row r="1992" spans="2:13" x14ac:dyDescent="0.2">
      <c r="B1992" s="173"/>
      <c r="C1992" s="694">
        <v>1</v>
      </c>
      <c r="D1992" s="695" t="s">
        <v>3903</v>
      </c>
      <c r="E1992" s="695">
        <v>3</v>
      </c>
      <c r="F1992" s="695" t="s">
        <v>4822</v>
      </c>
      <c r="G1992" s="695">
        <v>5</v>
      </c>
      <c r="H1992" s="695" t="s">
        <v>5320</v>
      </c>
      <c r="I1992" s="695">
        <v>204</v>
      </c>
      <c r="J1992" s="695" t="s">
        <v>5504</v>
      </c>
      <c r="K1992" s="695" t="s">
        <v>8544</v>
      </c>
      <c r="L1992" s="696">
        <v>5</v>
      </c>
      <c r="M1992" s="170"/>
    </row>
    <row r="1993" spans="2:13" x14ac:dyDescent="0.2">
      <c r="B1993" s="173"/>
      <c r="C1993" s="694">
        <v>1</v>
      </c>
      <c r="D1993" s="695" t="s">
        <v>3903</v>
      </c>
      <c r="E1993" s="695">
        <v>3</v>
      </c>
      <c r="F1993" s="695" t="s">
        <v>4822</v>
      </c>
      <c r="G1993" s="695">
        <v>5</v>
      </c>
      <c r="H1993" s="695" t="s">
        <v>5320</v>
      </c>
      <c r="I1993" s="695">
        <v>205</v>
      </c>
      <c r="J1993" s="695" t="s">
        <v>5505</v>
      </c>
      <c r="K1993" s="695" t="s">
        <v>8544</v>
      </c>
      <c r="L1993" s="696">
        <v>197</v>
      </c>
      <c r="M1993" s="170"/>
    </row>
    <row r="1994" spans="2:13" x14ac:dyDescent="0.2">
      <c r="B1994" s="173"/>
      <c r="C1994" s="694">
        <v>1</v>
      </c>
      <c r="D1994" s="695" t="s">
        <v>3903</v>
      </c>
      <c r="E1994" s="695">
        <v>3</v>
      </c>
      <c r="F1994" s="695" t="s">
        <v>4822</v>
      </c>
      <c r="G1994" s="695">
        <v>5</v>
      </c>
      <c r="H1994" s="695" t="s">
        <v>5320</v>
      </c>
      <c r="I1994" s="695">
        <v>206</v>
      </c>
      <c r="J1994" s="695" t="s">
        <v>5506</v>
      </c>
      <c r="K1994" s="695" t="s">
        <v>4045</v>
      </c>
      <c r="L1994" s="696">
        <v>350</v>
      </c>
      <c r="M1994" s="170"/>
    </row>
    <row r="1995" spans="2:13" x14ac:dyDescent="0.2">
      <c r="B1995" s="173"/>
      <c r="C1995" s="694">
        <v>1</v>
      </c>
      <c r="D1995" s="695" t="s">
        <v>3903</v>
      </c>
      <c r="E1995" s="695">
        <v>3</v>
      </c>
      <c r="F1995" s="695" t="s">
        <v>4822</v>
      </c>
      <c r="G1995" s="695">
        <v>5</v>
      </c>
      <c r="H1995" s="695" t="s">
        <v>5320</v>
      </c>
      <c r="I1995" s="695">
        <v>207</v>
      </c>
      <c r="J1995" s="695" t="s">
        <v>5507</v>
      </c>
      <c r="K1995" s="695" t="s">
        <v>8544</v>
      </c>
      <c r="L1995" s="696">
        <v>26</v>
      </c>
      <c r="M1995" s="170"/>
    </row>
    <row r="1996" spans="2:13" x14ac:dyDescent="0.2">
      <c r="B1996" s="173"/>
      <c r="C1996" s="694">
        <v>1</v>
      </c>
      <c r="D1996" s="695" t="s">
        <v>3903</v>
      </c>
      <c r="E1996" s="695">
        <v>3</v>
      </c>
      <c r="F1996" s="695" t="s">
        <v>4822</v>
      </c>
      <c r="G1996" s="695">
        <v>5</v>
      </c>
      <c r="H1996" s="695" t="s">
        <v>5320</v>
      </c>
      <c r="I1996" s="695">
        <v>208</v>
      </c>
      <c r="J1996" s="695" t="s">
        <v>5508</v>
      </c>
      <c r="K1996" s="695" t="s">
        <v>8544</v>
      </c>
      <c r="L1996" s="696">
        <v>17</v>
      </c>
      <c r="M1996" s="170"/>
    </row>
    <row r="1997" spans="2:13" x14ac:dyDescent="0.2">
      <c r="B1997" s="173"/>
      <c r="C1997" s="694">
        <v>1</v>
      </c>
      <c r="D1997" s="695" t="s">
        <v>3903</v>
      </c>
      <c r="E1997" s="695">
        <v>3</v>
      </c>
      <c r="F1997" s="695" t="s">
        <v>4822</v>
      </c>
      <c r="G1997" s="695">
        <v>5</v>
      </c>
      <c r="H1997" s="695" t="s">
        <v>5320</v>
      </c>
      <c r="I1997" s="695">
        <v>209</v>
      </c>
      <c r="J1997" s="695" t="s">
        <v>5509</v>
      </c>
      <c r="K1997" s="695" t="s">
        <v>8544</v>
      </c>
      <c r="L1997" s="696">
        <v>15</v>
      </c>
      <c r="M1997" s="170"/>
    </row>
    <row r="1998" spans="2:13" x14ac:dyDescent="0.2">
      <c r="B1998" s="173"/>
      <c r="C1998" s="694">
        <v>1</v>
      </c>
      <c r="D1998" s="695" t="s">
        <v>3903</v>
      </c>
      <c r="E1998" s="695">
        <v>3</v>
      </c>
      <c r="F1998" s="695" t="s">
        <v>4822</v>
      </c>
      <c r="G1998" s="695">
        <v>5</v>
      </c>
      <c r="H1998" s="695" t="s">
        <v>5320</v>
      </c>
      <c r="I1998" s="695">
        <v>210</v>
      </c>
      <c r="J1998" s="695" t="s">
        <v>5510</v>
      </c>
      <c r="K1998" s="695" t="s">
        <v>8544</v>
      </c>
      <c r="L1998" s="696">
        <v>377</v>
      </c>
      <c r="M1998" s="170"/>
    </row>
    <row r="1999" spans="2:13" x14ac:dyDescent="0.2">
      <c r="B1999" s="173"/>
      <c r="C1999" s="694">
        <v>1</v>
      </c>
      <c r="D1999" s="695" t="s">
        <v>3903</v>
      </c>
      <c r="E1999" s="695">
        <v>3</v>
      </c>
      <c r="F1999" s="695" t="s">
        <v>4822</v>
      </c>
      <c r="G1999" s="695">
        <v>5</v>
      </c>
      <c r="H1999" s="695" t="s">
        <v>5320</v>
      </c>
      <c r="I1999" s="695">
        <v>211</v>
      </c>
      <c r="J1999" s="695" t="s">
        <v>5511</v>
      </c>
      <c r="K1999" s="695" t="s">
        <v>8544</v>
      </c>
      <c r="L1999" s="696">
        <v>64</v>
      </c>
      <c r="M1999" s="170"/>
    </row>
    <row r="2000" spans="2:13" x14ac:dyDescent="0.2">
      <c r="B2000" s="173"/>
      <c r="C2000" s="694">
        <v>1</v>
      </c>
      <c r="D2000" s="695" t="s">
        <v>3903</v>
      </c>
      <c r="E2000" s="695">
        <v>3</v>
      </c>
      <c r="F2000" s="695" t="s">
        <v>4822</v>
      </c>
      <c r="G2000" s="695">
        <v>5</v>
      </c>
      <c r="H2000" s="695" t="s">
        <v>5320</v>
      </c>
      <c r="I2000" s="695">
        <v>212</v>
      </c>
      <c r="J2000" s="695" t="s">
        <v>5512</v>
      </c>
      <c r="K2000" s="695" t="s">
        <v>8544</v>
      </c>
      <c r="L2000" s="696">
        <v>607</v>
      </c>
      <c r="M2000" s="170"/>
    </row>
    <row r="2001" spans="2:13" x14ac:dyDescent="0.2">
      <c r="B2001" s="173"/>
      <c r="C2001" s="694">
        <v>1</v>
      </c>
      <c r="D2001" s="695" t="s">
        <v>3903</v>
      </c>
      <c r="E2001" s="695">
        <v>3</v>
      </c>
      <c r="F2001" s="695" t="s">
        <v>4822</v>
      </c>
      <c r="G2001" s="695">
        <v>5</v>
      </c>
      <c r="H2001" s="695" t="s">
        <v>5320</v>
      </c>
      <c r="I2001" s="695">
        <v>213</v>
      </c>
      <c r="J2001" s="695" t="s">
        <v>5513</v>
      </c>
      <c r="K2001" s="695" t="s">
        <v>8544</v>
      </c>
      <c r="L2001" s="696">
        <v>144</v>
      </c>
      <c r="M2001" s="170"/>
    </row>
    <row r="2002" spans="2:13" x14ac:dyDescent="0.2">
      <c r="B2002" s="173"/>
      <c r="C2002" s="694">
        <v>1</v>
      </c>
      <c r="D2002" s="695" t="s">
        <v>3903</v>
      </c>
      <c r="E2002" s="695">
        <v>3</v>
      </c>
      <c r="F2002" s="695" t="s">
        <v>4822</v>
      </c>
      <c r="G2002" s="695">
        <v>5</v>
      </c>
      <c r="H2002" s="695" t="s">
        <v>5320</v>
      </c>
      <c r="I2002" s="695">
        <v>214</v>
      </c>
      <c r="J2002" s="695" t="s">
        <v>5514</v>
      </c>
      <c r="K2002" s="695" t="s">
        <v>8544</v>
      </c>
      <c r="L2002" s="696">
        <v>116</v>
      </c>
      <c r="M2002" s="170"/>
    </row>
    <row r="2003" spans="2:13" x14ac:dyDescent="0.2">
      <c r="B2003" s="173"/>
      <c r="C2003" s="694">
        <v>1</v>
      </c>
      <c r="D2003" s="695" t="s">
        <v>3903</v>
      </c>
      <c r="E2003" s="695">
        <v>3</v>
      </c>
      <c r="F2003" s="695" t="s">
        <v>4822</v>
      </c>
      <c r="G2003" s="695">
        <v>5</v>
      </c>
      <c r="H2003" s="695" t="s">
        <v>5320</v>
      </c>
      <c r="I2003" s="695">
        <v>215</v>
      </c>
      <c r="J2003" s="695" t="s">
        <v>5515</v>
      </c>
      <c r="K2003" s="695" t="s">
        <v>5322</v>
      </c>
      <c r="L2003" s="696">
        <v>204</v>
      </c>
      <c r="M2003" s="170"/>
    </row>
    <row r="2004" spans="2:13" x14ac:dyDescent="0.2">
      <c r="B2004" s="173"/>
      <c r="C2004" s="694">
        <v>1</v>
      </c>
      <c r="D2004" s="695" t="s">
        <v>3903</v>
      </c>
      <c r="E2004" s="695">
        <v>3</v>
      </c>
      <c r="F2004" s="695" t="s">
        <v>4822</v>
      </c>
      <c r="G2004" s="695">
        <v>5</v>
      </c>
      <c r="H2004" s="695" t="s">
        <v>5320</v>
      </c>
      <c r="I2004" s="695">
        <v>216</v>
      </c>
      <c r="J2004" s="695" t="s">
        <v>5512</v>
      </c>
      <c r="K2004" s="695" t="s">
        <v>5322</v>
      </c>
      <c r="L2004" s="696">
        <v>268</v>
      </c>
      <c r="M2004" s="170"/>
    </row>
    <row r="2005" spans="2:13" x14ac:dyDescent="0.2">
      <c r="B2005" s="173"/>
      <c r="C2005" s="694">
        <v>1</v>
      </c>
      <c r="D2005" s="695" t="s">
        <v>3903</v>
      </c>
      <c r="E2005" s="695">
        <v>3</v>
      </c>
      <c r="F2005" s="695" t="s">
        <v>4822</v>
      </c>
      <c r="G2005" s="695">
        <v>5</v>
      </c>
      <c r="H2005" s="695" t="s">
        <v>5320</v>
      </c>
      <c r="I2005" s="695">
        <v>217</v>
      </c>
      <c r="J2005" s="695" t="s">
        <v>5516</v>
      </c>
      <c r="K2005" s="695" t="s">
        <v>5322</v>
      </c>
      <c r="L2005" s="696">
        <v>679</v>
      </c>
      <c r="M2005" s="170"/>
    </row>
    <row r="2006" spans="2:13" x14ac:dyDescent="0.2">
      <c r="B2006" s="173"/>
      <c r="C2006" s="694">
        <v>1</v>
      </c>
      <c r="D2006" s="695" t="s">
        <v>3903</v>
      </c>
      <c r="E2006" s="695">
        <v>3</v>
      </c>
      <c r="F2006" s="695" t="s">
        <v>4822</v>
      </c>
      <c r="G2006" s="695">
        <v>5</v>
      </c>
      <c r="H2006" s="695" t="s">
        <v>5320</v>
      </c>
      <c r="I2006" s="695">
        <v>218</v>
      </c>
      <c r="J2006" s="695" t="s">
        <v>5447</v>
      </c>
      <c r="K2006" s="695" t="s">
        <v>8544</v>
      </c>
      <c r="L2006" s="696">
        <v>46</v>
      </c>
      <c r="M2006" s="170"/>
    </row>
    <row r="2007" spans="2:13" x14ac:dyDescent="0.2">
      <c r="B2007" s="173"/>
      <c r="C2007" s="694">
        <v>1</v>
      </c>
      <c r="D2007" s="695" t="s">
        <v>3903</v>
      </c>
      <c r="E2007" s="695">
        <v>3</v>
      </c>
      <c r="F2007" s="695" t="s">
        <v>4822</v>
      </c>
      <c r="G2007" s="695">
        <v>5</v>
      </c>
      <c r="H2007" s="695" t="s">
        <v>5320</v>
      </c>
      <c r="I2007" s="695">
        <v>219</v>
      </c>
      <c r="J2007" s="695" t="s">
        <v>5517</v>
      </c>
      <c r="K2007" s="695" t="s">
        <v>8544</v>
      </c>
      <c r="L2007" s="696">
        <v>77</v>
      </c>
      <c r="M2007" s="170"/>
    </row>
    <row r="2008" spans="2:13" x14ac:dyDescent="0.2">
      <c r="B2008" s="173"/>
      <c r="C2008" s="694">
        <v>1</v>
      </c>
      <c r="D2008" s="695" t="s">
        <v>3903</v>
      </c>
      <c r="E2008" s="695">
        <v>3</v>
      </c>
      <c r="F2008" s="695" t="s">
        <v>4822</v>
      </c>
      <c r="G2008" s="695">
        <v>5</v>
      </c>
      <c r="H2008" s="695" t="s">
        <v>5320</v>
      </c>
      <c r="I2008" s="695">
        <v>220</v>
      </c>
      <c r="J2008" s="695" t="s">
        <v>5518</v>
      </c>
      <c r="K2008" s="695" t="s">
        <v>8544</v>
      </c>
      <c r="L2008" s="696">
        <v>384</v>
      </c>
      <c r="M2008" s="170"/>
    </row>
    <row r="2009" spans="2:13" x14ac:dyDescent="0.2">
      <c r="B2009" s="173"/>
      <c r="C2009" s="694">
        <v>1</v>
      </c>
      <c r="D2009" s="695" t="s">
        <v>3903</v>
      </c>
      <c r="E2009" s="695">
        <v>3</v>
      </c>
      <c r="F2009" s="695" t="s">
        <v>4822</v>
      </c>
      <c r="G2009" s="695">
        <v>5</v>
      </c>
      <c r="H2009" s="695" t="s">
        <v>5320</v>
      </c>
      <c r="I2009" s="695">
        <v>221</v>
      </c>
      <c r="J2009" s="695" t="s">
        <v>5519</v>
      </c>
      <c r="K2009" s="695" t="s">
        <v>8544</v>
      </c>
      <c r="L2009" s="696">
        <v>49</v>
      </c>
      <c r="M2009" s="170"/>
    </row>
    <row r="2010" spans="2:13" x14ac:dyDescent="0.2">
      <c r="B2010" s="173"/>
      <c r="C2010" s="694">
        <v>1</v>
      </c>
      <c r="D2010" s="695" t="s">
        <v>3903</v>
      </c>
      <c r="E2010" s="695">
        <v>3</v>
      </c>
      <c r="F2010" s="695" t="s">
        <v>4822</v>
      </c>
      <c r="G2010" s="695">
        <v>5</v>
      </c>
      <c r="H2010" s="695" t="s">
        <v>5320</v>
      </c>
      <c r="I2010" s="695">
        <v>222</v>
      </c>
      <c r="J2010" s="695" t="s">
        <v>5520</v>
      </c>
      <c r="K2010" s="695" t="s">
        <v>8544</v>
      </c>
      <c r="L2010" s="696">
        <v>33</v>
      </c>
      <c r="M2010" s="170"/>
    </row>
    <row r="2011" spans="2:13" x14ac:dyDescent="0.2">
      <c r="B2011" s="173"/>
      <c r="C2011" s="694">
        <v>1</v>
      </c>
      <c r="D2011" s="695" t="s">
        <v>3903</v>
      </c>
      <c r="E2011" s="695">
        <v>3</v>
      </c>
      <c r="F2011" s="695" t="s">
        <v>4822</v>
      </c>
      <c r="G2011" s="695">
        <v>5</v>
      </c>
      <c r="H2011" s="695" t="s">
        <v>5320</v>
      </c>
      <c r="I2011" s="695">
        <v>223</v>
      </c>
      <c r="J2011" s="695" t="s">
        <v>5521</v>
      </c>
      <c r="K2011" s="695" t="s">
        <v>5322</v>
      </c>
      <c r="L2011" s="696">
        <v>534</v>
      </c>
      <c r="M2011" s="170"/>
    </row>
    <row r="2012" spans="2:13" x14ac:dyDescent="0.2">
      <c r="B2012" s="173"/>
      <c r="C2012" s="694">
        <v>1</v>
      </c>
      <c r="D2012" s="695" t="s">
        <v>3903</v>
      </c>
      <c r="E2012" s="695">
        <v>3</v>
      </c>
      <c r="F2012" s="695" t="s">
        <v>4822</v>
      </c>
      <c r="G2012" s="695">
        <v>5</v>
      </c>
      <c r="H2012" s="695" t="s">
        <v>5320</v>
      </c>
      <c r="I2012" s="695">
        <v>224</v>
      </c>
      <c r="J2012" s="695" t="s">
        <v>5522</v>
      </c>
      <c r="K2012" s="695" t="s">
        <v>8544</v>
      </c>
      <c r="L2012" s="696">
        <v>128</v>
      </c>
      <c r="M2012" s="170"/>
    </row>
    <row r="2013" spans="2:13" x14ac:dyDescent="0.2">
      <c r="B2013" s="173"/>
      <c r="C2013" s="694">
        <v>1</v>
      </c>
      <c r="D2013" s="695" t="s">
        <v>3903</v>
      </c>
      <c r="E2013" s="695">
        <v>3</v>
      </c>
      <c r="F2013" s="695" t="s">
        <v>4822</v>
      </c>
      <c r="G2013" s="695">
        <v>5</v>
      </c>
      <c r="H2013" s="695" t="s">
        <v>5320</v>
      </c>
      <c r="I2013" s="695">
        <v>225</v>
      </c>
      <c r="J2013" s="695" t="s">
        <v>5523</v>
      </c>
      <c r="K2013" s="695" t="s">
        <v>8544</v>
      </c>
      <c r="L2013" s="696">
        <v>24</v>
      </c>
      <c r="M2013" s="170"/>
    </row>
    <row r="2014" spans="2:13" x14ac:dyDescent="0.2">
      <c r="B2014" s="173"/>
      <c r="C2014" s="694">
        <v>1</v>
      </c>
      <c r="D2014" s="695" t="s">
        <v>3903</v>
      </c>
      <c r="E2014" s="695">
        <v>3</v>
      </c>
      <c r="F2014" s="695" t="s">
        <v>4822</v>
      </c>
      <c r="G2014" s="695">
        <v>5</v>
      </c>
      <c r="H2014" s="695" t="s">
        <v>5320</v>
      </c>
      <c r="I2014" s="695">
        <v>226</v>
      </c>
      <c r="J2014" s="695" t="s">
        <v>5457</v>
      </c>
      <c r="K2014" s="695" t="s">
        <v>8544</v>
      </c>
      <c r="L2014" s="696">
        <v>83</v>
      </c>
      <c r="M2014" s="170"/>
    </row>
    <row r="2015" spans="2:13" x14ac:dyDescent="0.2">
      <c r="B2015" s="173"/>
      <c r="C2015" s="694">
        <v>1</v>
      </c>
      <c r="D2015" s="695" t="s">
        <v>3903</v>
      </c>
      <c r="E2015" s="695">
        <v>3</v>
      </c>
      <c r="F2015" s="695" t="s">
        <v>4822</v>
      </c>
      <c r="G2015" s="695">
        <v>5</v>
      </c>
      <c r="H2015" s="695" t="s">
        <v>5320</v>
      </c>
      <c r="I2015" s="695">
        <v>227</v>
      </c>
      <c r="J2015" s="695" t="s">
        <v>5524</v>
      </c>
      <c r="K2015" s="695" t="s">
        <v>8544</v>
      </c>
      <c r="L2015" s="696">
        <v>28</v>
      </c>
      <c r="M2015" s="170"/>
    </row>
    <row r="2016" spans="2:13" x14ac:dyDescent="0.2">
      <c r="B2016" s="173"/>
      <c r="C2016" s="694">
        <v>1</v>
      </c>
      <c r="D2016" s="695" t="s">
        <v>3903</v>
      </c>
      <c r="E2016" s="695">
        <v>3</v>
      </c>
      <c r="F2016" s="695" t="s">
        <v>4822</v>
      </c>
      <c r="G2016" s="695">
        <v>5</v>
      </c>
      <c r="H2016" s="695" t="s">
        <v>5320</v>
      </c>
      <c r="I2016" s="695">
        <v>228</v>
      </c>
      <c r="J2016" s="695" t="s">
        <v>5525</v>
      </c>
      <c r="K2016" s="695" t="s">
        <v>8544</v>
      </c>
      <c r="L2016" s="696">
        <v>3</v>
      </c>
      <c r="M2016" s="170"/>
    </row>
    <row r="2017" spans="2:13" x14ac:dyDescent="0.2">
      <c r="B2017" s="173"/>
      <c r="C2017" s="694">
        <v>1</v>
      </c>
      <c r="D2017" s="695" t="s">
        <v>3903</v>
      </c>
      <c r="E2017" s="695">
        <v>3</v>
      </c>
      <c r="F2017" s="695" t="s">
        <v>4822</v>
      </c>
      <c r="G2017" s="695">
        <v>5</v>
      </c>
      <c r="H2017" s="695" t="s">
        <v>5320</v>
      </c>
      <c r="I2017" s="695">
        <v>229</v>
      </c>
      <c r="J2017" s="695" t="s">
        <v>5526</v>
      </c>
      <c r="K2017" s="695" t="s">
        <v>8544</v>
      </c>
      <c r="L2017" s="696">
        <v>85</v>
      </c>
      <c r="M2017" s="170"/>
    </row>
    <row r="2018" spans="2:13" x14ac:dyDescent="0.2">
      <c r="B2018" s="173"/>
      <c r="C2018" s="694">
        <v>1</v>
      </c>
      <c r="D2018" s="695" t="s">
        <v>3903</v>
      </c>
      <c r="E2018" s="695">
        <v>3</v>
      </c>
      <c r="F2018" s="695" t="s">
        <v>4822</v>
      </c>
      <c r="G2018" s="695">
        <v>5</v>
      </c>
      <c r="H2018" s="695" t="s">
        <v>5320</v>
      </c>
      <c r="I2018" s="695">
        <v>230</v>
      </c>
      <c r="J2018" s="695" t="s">
        <v>5527</v>
      </c>
      <c r="K2018" s="695" t="s">
        <v>8544</v>
      </c>
      <c r="L2018" s="696">
        <v>39</v>
      </c>
      <c r="M2018" s="170"/>
    </row>
    <row r="2019" spans="2:13" x14ac:dyDescent="0.2">
      <c r="B2019" s="173"/>
      <c r="C2019" s="694">
        <v>1</v>
      </c>
      <c r="D2019" s="695" t="s">
        <v>3903</v>
      </c>
      <c r="E2019" s="695">
        <v>3</v>
      </c>
      <c r="F2019" s="695" t="s">
        <v>4822</v>
      </c>
      <c r="G2019" s="695">
        <v>5</v>
      </c>
      <c r="H2019" s="695" t="s">
        <v>5320</v>
      </c>
      <c r="I2019" s="695">
        <v>231</v>
      </c>
      <c r="J2019" s="695" t="s">
        <v>5528</v>
      </c>
      <c r="K2019" s="695" t="s">
        <v>8544</v>
      </c>
      <c r="L2019" s="696">
        <v>336</v>
      </c>
      <c r="M2019" s="170"/>
    </row>
    <row r="2020" spans="2:13" x14ac:dyDescent="0.2">
      <c r="B2020" s="173"/>
      <c r="C2020" s="694">
        <v>1</v>
      </c>
      <c r="D2020" s="695" t="s">
        <v>3903</v>
      </c>
      <c r="E2020" s="695">
        <v>3</v>
      </c>
      <c r="F2020" s="695" t="s">
        <v>4822</v>
      </c>
      <c r="G2020" s="695">
        <v>5</v>
      </c>
      <c r="H2020" s="695" t="s">
        <v>5320</v>
      </c>
      <c r="I2020" s="695">
        <v>232</v>
      </c>
      <c r="J2020" s="695" t="s">
        <v>5529</v>
      </c>
      <c r="K2020" s="695" t="s">
        <v>8544</v>
      </c>
      <c r="L2020" s="696">
        <v>205</v>
      </c>
      <c r="M2020" s="170"/>
    </row>
    <row r="2021" spans="2:13" x14ac:dyDescent="0.2">
      <c r="B2021" s="173"/>
      <c r="C2021" s="694">
        <v>1</v>
      </c>
      <c r="D2021" s="695" t="s">
        <v>3903</v>
      </c>
      <c r="E2021" s="695">
        <v>3</v>
      </c>
      <c r="F2021" s="695" t="s">
        <v>4822</v>
      </c>
      <c r="G2021" s="695">
        <v>5</v>
      </c>
      <c r="H2021" s="695" t="s">
        <v>5320</v>
      </c>
      <c r="I2021" s="695">
        <v>233</v>
      </c>
      <c r="J2021" s="695" t="s">
        <v>5530</v>
      </c>
      <c r="K2021" s="695" t="s">
        <v>8544</v>
      </c>
      <c r="L2021" s="696">
        <v>32</v>
      </c>
      <c r="M2021" s="170"/>
    </row>
    <row r="2022" spans="2:13" x14ac:dyDescent="0.2">
      <c r="B2022" s="173"/>
      <c r="C2022" s="694">
        <v>1</v>
      </c>
      <c r="D2022" s="695" t="s">
        <v>3903</v>
      </c>
      <c r="E2022" s="695">
        <v>3</v>
      </c>
      <c r="F2022" s="695" t="s">
        <v>4822</v>
      </c>
      <c r="G2022" s="695">
        <v>5</v>
      </c>
      <c r="H2022" s="695" t="s">
        <v>5320</v>
      </c>
      <c r="I2022" s="695">
        <v>234</v>
      </c>
      <c r="J2022" s="695" t="s">
        <v>5531</v>
      </c>
      <c r="K2022" s="695" t="s">
        <v>8544</v>
      </c>
      <c r="L2022" s="696">
        <v>3</v>
      </c>
      <c r="M2022" s="170"/>
    </row>
    <row r="2023" spans="2:13" x14ac:dyDescent="0.2">
      <c r="B2023" s="173"/>
      <c r="C2023" s="694">
        <v>1</v>
      </c>
      <c r="D2023" s="695" t="s">
        <v>3903</v>
      </c>
      <c r="E2023" s="695">
        <v>3</v>
      </c>
      <c r="F2023" s="695" t="s">
        <v>4822</v>
      </c>
      <c r="G2023" s="695">
        <v>5</v>
      </c>
      <c r="H2023" s="695" t="s">
        <v>5320</v>
      </c>
      <c r="I2023" s="695">
        <v>235</v>
      </c>
      <c r="J2023" s="695" t="s">
        <v>5532</v>
      </c>
      <c r="K2023" s="695" t="s">
        <v>8544</v>
      </c>
      <c r="L2023" s="696">
        <v>12</v>
      </c>
      <c r="M2023" s="170"/>
    </row>
    <row r="2024" spans="2:13" x14ac:dyDescent="0.2">
      <c r="B2024" s="173"/>
      <c r="C2024" s="694">
        <v>1</v>
      </c>
      <c r="D2024" s="695" t="s">
        <v>3903</v>
      </c>
      <c r="E2024" s="695">
        <v>3</v>
      </c>
      <c r="F2024" s="695" t="s">
        <v>4822</v>
      </c>
      <c r="G2024" s="695">
        <v>5</v>
      </c>
      <c r="H2024" s="695" t="s">
        <v>5320</v>
      </c>
      <c r="I2024" s="695">
        <v>236</v>
      </c>
      <c r="J2024" s="695" t="s">
        <v>5533</v>
      </c>
      <c r="K2024" s="695" t="s">
        <v>8544</v>
      </c>
      <c r="L2024" s="696">
        <v>56</v>
      </c>
      <c r="M2024" s="170"/>
    </row>
    <row r="2025" spans="2:13" x14ac:dyDescent="0.2">
      <c r="B2025" s="173"/>
      <c r="C2025" s="694">
        <v>1</v>
      </c>
      <c r="D2025" s="695" t="s">
        <v>3903</v>
      </c>
      <c r="E2025" s="695">
        <v>3</v>
      </c>
      <c r="F2025" s="695" t="s">
        <v>4822</v>
      </c>
      <c r="G2025" s="695">
        <v>5</v>
      </c>
      <c r="H2025" s="695" t="s">
        <v>5320</v>
      </c>
      <c r="I2025" s="695">
        <v>237</v>
      </c>
      <c r="J2025" s="695" t="s">
        <v>5534</v>
      </c>
      <c r="K2025" s="695" t="s">
        <v>8544</v>
      </c>
      <c r="L2025" s="696">
        <v>90</v>
      </c>
      <c r="M2025" s="170"/>
    </row>
    <row r="2026" spans="2:13" x14ac:dyDescent="0.2">
      <c r="B2026" s="173"/>
      <c r="C2026" s="694">
        <v>1</v>
      </c>
      <c r="D2026" s="695" t="s">
        <v>3903</v>
      </c>
      <c r="E2026" s="695">
        <v>3</v>
      </c>
      <c r="F2026" s="695" t="s">
        <v>4822</v>
      </c>
      <c r="G2026" s="695">
        <v>5</v>
      </c>
      <c r="H2026" s="695" t="s">
        <v>5320</v>
      </c>
      <c r="I2026" s="695">
        <v>238</v>
      </c>
      <c r="J2026" s="695" t="s">
        <v>5535</v>
      </c>
      <c r="K2026" s="695" t="s">
        <v>5322</v>
      </c>
      <c r="L2026" s="696">
        <v>28</v>
      </c>
      <c r="M2026" s="170"/>
    </row>
    <row r="2027" spans="2:13" x14ac:dyDescent="0.2">
      <c r="B2027" s="173"/>
      <c r="C2027" s="694">
        <v>1</v>
      </c>
      <c r="D2027" s="695" t="s">
        <v>3903</v>
      </c>
      <c r="E2027" s="695">
        <v>3</v>
      </c>
      <c r="F2027" s="695" t="s">
        <v>4822</v>
      </c>
      <c r="G2027" s="695">
        <v>5</v>
      </c>
      <c r="H2027" s="695" t="s">
        <v>5320</v>
      </c>
      <c r="I2027" s="695">
        <v>239</v>
      </c>
      <c r="J2027" s="695" t="s">
        <v>5536</v>
      </c>
      <c r="K2027" s="695" t="s">
        <v>5322</v>
      </c>
      <c r="L2027" s="696">
        <v>63</v>
      </c>
      <c r="M2027" s="170"/>
    </row>
    <row r="2028" spans="2:13" x14ac:dyDescent="0.2">
      <c r="B2028" s="173"/>
      <c r="C2028" s="694">
        <v>1</v>
      </c>
      <c r="D2028" s="695" t="s">
        <v>3903</v>
      </c>
      <c r="E2028" s="695">
        <v>3</v>
      </c>
      <c r="F2028" s="695" t="s">
        <v>4822</v>
      </c>
      <c r="G2028" s="695">
        <v>5</v>
      </c>
      <c r="H2028" s="695" t="s">
        <v>5320</v>
      </c>
      <c r="I2028" s="695">
        <v>240</v>
      </c>
      <c r="J2028" s="695" t="s">
        <v>5537</v>
      </c>
      <c r="K2028" s="695" t="s">
        <v>8544</v>
      </c>
      <c r="L2028" s="696">
        <v>2</v>
      </c>
      <c r="M2028" s="170"/>
    </row>
    <row r="2029" spans="2:13" x14ac:dyDescent="0.2">
      <c r="B2029" s="173"/>
      <c r="C2029" s="694">
        <v>1</v>
      </c>
      <c r="D2029" s="695" t="s">
        <v>3903</v>
      </c>
      <c r="E2029" s="695">
        <v>3</v>
      </c>
      <c r="F2029" s="695" t="s">
        <v>4822</v>
      </c>
      <c r="G2029" s="695">
        <v>5</v>
      </c>
      <c r="H2029" s="695" t="s">
        <v>5320</v>
      </c>
      <c r="I2029" s="695">
        <v>241</v>
      </c>
      <c r="J2029" s="695" t="s">
        <v>5523</v>
      </c>
      <c r="K2029" s="695" t="s">
        <v>8544</v>
      </c>
      <c r="L2029" s="696">
        <v>3</v>
      </c>
      <c r="M2029" s="170"/>
    </row>
    <row r="2030" spans="2:13" x14ac:dyDescent="0.2">
      <c r="B2030" s="173"/>
      <c r="C2030" s="694">
        <v>1</v>
      </c>
      <c r="D2030" s="695" t="s">
        <v>3903</v>
      </c>
      <c r="E2030" s="695">
        <v>3</v>
      </c>
      <c r="F2030" s="695" t="s">
        <v>4822</v>
      </c>
      <c r="G2030" s="695">
        <v>5</v>
      </c>
      <c r="H2030" s="695" t="s">
        <v>5320</v>
      </c>
      <c r="I2030" s="695">
        <v>242</v>
      </c>
      <c r="J2030" s="695" t="s">
        <v>5538</v>
      </c>
      <c r="K2030" s="695" t="s">
        <v>8544</v>
      </c>
      <c r="L2030" s="696">
        <v>9</v>
      </c>
      <c r="M2030" s="170"/>
    </row>
    <row r="2031" spans="2:13" x14ac:dyDescent="0.2">
      <c r="B2031" s="173"/>
      <c r="C2031" s="694">
        <v>1</v>
      </c>
      <c r="D2031" s="695" t="s">
        <v>3903</v>
      </c>
      <c r="E2031" s="695">
        <v>3</v>
      </c>
      <c r="F2031" s="695" t="s">
        <v>4822</v>
      </c>
      <c r="G2031" s="695">
        <v>5</v>
      </c>
      <c r="H2031" s="695" t="s">
        <v>5320</v>
      </c>
      <c r="I2031" s="695">
        <v>243</v>
      </c>
      <c r="J2031" s="695" t="s">
        <v>5539</v>
      </c>
      <c r="K2031" s="695" t="s">
        <v>8544</v>
      </c>
      <c r="L2031" s="696">
        <v>10</v>
      </c>
      <c r="M2031" s="170"/>
    </row>
    <row r="2032" spans="2:13" x14ac:dyDescent="0.2">
      <c r="B2032" s="173"/>
      <c r="C2032" s="694">
        <v>1</v>
      </c>
      <c r="D2032" s="695" t="s">
        <v>3903</v>
      </c>
      <c r="E2032" s="695">
        <v>3</v>
      </c>
      <c r="F2032" s="695" t="s">
        <v>4822</v>
      </c>
      <c r="G2032" s="695">
        <v>5</v>
      </c>
      <c r="H2032" s="695" t="s">
        <v>5320</v>
      </c>
      <c r="I2032" s="695">
        <v>244</v>
      </c>
      <c r="J2032" s="695" t="s">
        <v>5540</v>
      </c>
      <c r="K2032" s="695" t="s">
        <v>8544</v>
      </c>
      <c r="L2032" s="696">
        <v>3</v>
      </c>
      <c r="M2032" s="170"/>
    </row>
    <row r="2033" spans="2:13" x14ac:dyDescent="0.2">
      <c r="B2033" s="173"/>
      <c r="C2033" s="694">
        <v>1</v>
      </c>
      <c r="D2033" s="695" t="s">
        <v>3903</v>
      </c>
      <c r="E2033" s="695">
        <v>3</v>
      </c>
      <c r="F2033" s="695" t="s">
        <v>4822</v>
      </c>
      <c r="G2033" s="695">
        <v>5</v>
      </c>
      <c r="H2033" s="695" t="s">
        <v>5320</v>
      </c>
      <c r="I2033" s="695">
        <v>245</v>
      </c>
      <c r="J2033" s="695" t="s">
        <v>5541</v>
      </c>
      <c r="K2033" s="695" t="s">
        <v>8544</v>
      </c>
      <c r="L2033" s="696">
        <v>90</v>
      </c>
      <c r="M2033" s="170"/>
    </row>
    <row r="2034" spans="2:13" x14ac:dyDescent="0.2">
      <c r="B2034" s="173"/>
      <c r="C2034" s="694">
        <v>1</v>
      </c>
      <c r="D2034" s="695" t="s">
        <v>3903</v>
      </c>
      <c r="E2034" s="695">
        <v>3</v>
      </c>
      <c r="F2034" s="695" t="s">
        <v>4822</v>
      </c>
      <c r="G2034" s="695">
        <v>5</v>
      </c>
      <c r="H2034" s="695" t="s">
        <v>5320</v>
      </c>
      <c r="I2034" s="695">
        <v>246</v>
      </c>
      <c r="J2034" s="695" t="s">
        <v>5542</v>
      </c>
      <c r="K2034" s="695" t="s">
        <v>8544</v>
      </c>
      <c r="L2034" s="696">
        <v>8</v>
      </c>
      <c r="M2034" s="170"/>
    </row>
    <row r="2035" spans="2:13" x14ac:dyDescent="0.2">
      <c r="B2035" s="173"/>
      <c r="C2035" s="694">
        <v>1</v>
      </c>
      <c r="D2035" s="695" t="s">
        <v>3903</v>
      </c>
      <c r="E2035" s="695">
        <v>3</v>
      </c>
      <c r="F2035" s="695" t="s">
        <v>4822</v>
      </c>
      <c r="G2035" s="695">
        <v>5</v>
      </c>
      <c r="H2035" s="695" t="s">
        <v>5320</v>
      </c>
      <c r="I2035" s="695">
        <v>247</v>
      </c>
      <c r="J2035" s="695" t="s">
        <v>5543</v>
      </c>
      <c r="K2035" s="695" t="s">
        <v>5322</v>
      </c>
      <c r="L2035" s="696">
        <v>60</v>
      </c>
      <c r="M2035" s="170"/>
    </row>
    <row r="2036" spans="2:13" x14ac:dyDescent="0.2">
      <c r="B2036" s="173"/>
      <c r="C2036" s="694">
        <v>1</v>
      </c>
      <c r="D2036" s="695" t="s">
        <v>3903</v>
      </c>
      <c r="E2036" s="695">
        <v>3</v>
      </c>
      <c r="F2036" s="695" t="s">
        <v>4822</v>
      </c>
      <c r="G2036" s="695">
        <v>5</v>
      </c>
      <c r="H2036" s="695" t="s">
        <v>5320</v>
      </c>
      <c r="I2036" s="695">
        <v>248</v>
      </c>
      <c r="J2036" s="695" t="s">
        <v>5544</v>
      </c>
      <c r="K2036" s="695" t="s">
        <v>5322</v>
      </c>
      <c r="L2036" s="696">
        <v>87</v>
      </c>
      <c r="M2036" s="170"/>
    </row>
    <row r="2037" spans="2:13" x14ac:dyDescent="0.2">
      <c r="B2037" s="173"/>
      <c r="C2037" s="694">
        <v>1</v>
      </c>
      <c r="D2037" s="695" t="s">
        <v>3903</v>
      </c>
      <c r="E2037" s="695">
        <v>3</v>
      </c>
      <c r="F2037" s="695" t="s">
        <v>4822</v>
      </c>
      <c r="G2037" s="695">
        <v>5</v>
      </c>
      <c r="H2037" s="695" t="s">
        <v>5320</v>
      </c>
      <c r="I2037" s="695">
        <v>249</v>
      </c>
      <c r="J2037" s="695" t="s">
        <v>5545</v>
      </c>
      <c r="K2037" s="695" t="s">
        <v>8544</v>
      </c>
      <c r="L2037" s="696">
        <v>29</v>
      </c>
      <c r="M2037" s="170"/>
    </row>
    <row r="2038" spans="2:13" x14ac:dyDescent="0.2">
      <c r="B2038" s="173"/>
      <c r="C2038" s="694">
        <v>1</v>
      </c>
      <c r="D2038" s="695" t="s">
        <v>3903</v>
      </c>
      <c r="E2038" s="695">
        <v>3</v>
      </c>
      <c r="F2038" s="695" t="s">
        <v>4822</v>
      </c>
      <c r="G2038" s="695">
        <v>5</v>
      </c>
      <c r="H2038" s="695" t="s">
        <v>5320</v>
      </c>
      <c r="I2038" s="695">
        <v>250</v>
      </c>
      <c r="J2038" s="695" t="s">
        <v>5546</v>
      </c>
      <c r="K2038" s="695" t="s">
        <v>8544</v>
      </c>
      <c r="L2038" s="696">
        <v>0</v>
      </c>
      <c r="M2038" s="170"/>
    </row>
    <row r="2039" spans="2:13" x14ac:dyDescent="0.2">
      <c r="B2039" s="173"/>
      <c r="C2039" s="694">
        <v>1</v>
      </c>
      <c r="D2039" s="695" t="s">
        <v>3903</v>
      </c>
      <c r="E2039" s="695">
        <v>3</v>
      </c>
      <c r="F2039" s="695" t="s">
        <v>4822</v>
      </c>
      <c r="G2039" s="695">
        <v>5</v>
      </c>
      <c r="H2039" s="695" t="s">
        <v>5320</v>
      </c>
      <c r="I2039" s="695">
        <v>251</v>
      </c>
      <c r="J2039" s="695" t="s">
        <v>5547</v>
      </c>
      <c r="K2039" s="695" t="s">
        <v>8544</v>
      </c>
      <c r="L2039" s="696">
        <v>28</v>
      </c>
      <c r="M2039" s="170"/>
    </row>
    <row r="2040" spans="2:13" x14ac:dyDescent="0.2">
      <c r="B2040" s="173"/>
      <c r="C2040" s="694">
        <v>1</v>
      </c>
      <c r="D2040" s="695" t="s">
        <v>3903</v>
      </c>
      <c r="E2040" s="695">
        <v>3</v>
      </c>
      <c r="F2040" s="695" t="s">
        <v>4822</v>
      </c>
      <c r="G2040" s="695">
        <v>5</v>
      </c>
      <c r="H2040" s="695" t="s">
        <v>5320</v>
      </c>
      <c r="I2040" s="695">
        <v>252</v>
      </c>
      <c r="J2040" s="695" t="s">
        <v>5548</v>
      </c>
      <c r="K2040" s="695" t="s">
        <v>5322</v>
      </c>
      <c r="L2040" s="696">
        <v>104</v>
      </c>
      <c r="M2040" s="170"/>
    </row>
    <row r="2041" spans="2:13" x14ac:dyDescent="0.2">
      <c r="B2041" s="173"/>
      <c r="C2041" s="694">
        <v>1</v>
      </c>
      <c r="D2041" s="695" t="s">
        <v>3903</v>
      </c>
      <c r="E2041" s="695">
        <v>3</v>
      </c>
      <c r="F2041" s="695" t="s">
        <v>4822</v>
      </c>
      <c r="G2041" s="695">
        <v>5</v>
      </c>
      <c r="H2041" s="695" t="s">
        <v>5320</v>
      </c>
      <c r="I2041" s="695">
        <v>253</v>
      </c>
      <c r="J2041" s="695" t="s">
        <v>5549</v>
      </c>
      <c r="K2041" s="695" t="s">
        <v>8544</v>
      </c>
      <c r="L2041" s="696">
        <v>22</v>
      </c>
      <c r="M2041" s="170"/>
    </row>
    <row r="2042" spans="2:13" x14ac:dyDescent="0.2">
      <c r="B2042" s="173"/>
      <c r="C2042" s="694">
        <v>1</v>
      </c>
      <c r="D2042" s="695" t="s">
        <v>3903</v>
      </c>
      <c r="E2042" s="695">
        <v>3</v>
      </c>
      <c r="F2042" s="695" t="s">
        <v>4822</v>
      </c>
      <c r="G2042" s="695">
        <v>5</v>
      </c>
      <c r="H2042" s="695" t="s">
        <v>5320</v>
      </c>
      <c r="I2042" s="695">
        <v>254</v>
      </c>
      <c r="J2042" s="695" t="s">
        <v>5550</v>
      </c>
      <c r="K2042" s="695" t="s">
        <v>8544</v>
      </c>
      <c r="L2042" s="696">
        <v>10</v>
      </c>
      <c r="M2042" s="170"/>
    </row>
    <row r="2043" spans="2:13" x14ac:dyDescent="0.2">
      <c r="B2043" s="173"/>
      <c r="C2043" s="694">
        <v>1</v>
      </c>
      <c r="D2043" s="695" t="s">
        <v>3903</v>
      </c>
      <c r="E2043" s="695">
        <v>3</v>
      </c>
      <c r="F2043" s="695" t="s">
        <v>4822</v>
      </c>
      <c r="G2043" s="695">
        <v>5</v>
      </c>
      <c r="H2043" s="695" t="s">
        <v>5320</v>
      </c>
      <c r="I2043" s="695">
        <v>255</v>
      </c>
      <c r="J2043" s="695" t="s">
        <v>5551</v>
      </c>
      <c r="K2043" s="695" t="s">
        <v>8544</v>
      </c>
      <c r="L2043" s="696">
        <v>5</v>
      </c>
      <c r="M2043" s="170"/>
    </row>
    <row r="2044" spans="2:13" x14ac:dyDescent="0.2">
      <c r="B2044" s="173"/>
      <c r="C2044" s="694">
        <v>1</v>
      </c>
      <c r="D2044" s="695" t="s">
        <v>3903</v>
      </c>
      <c r="E2044" s="695">
        <v>3</v>
      </c>
      <c r="F2044" s="695" t="s">
        <v>4822</v>
      </c>
      <c r="G2044" s="695">
        <v>5</v>
      </c>
      <c r="H2044" s="695" t="s">
        <v>5320</v>
      </c>
      <c r="I2044" s="695">
        <v>256</v>
      </c>
      <c r="J2044" s="695" t="s">
        <v>5552</v>
      </c>
      <c r="K2044" s="695" t="s">
        <v>8544</v>
      </c>
      <c r="L2044" s="696">
        <v>541</v>
      </c>
      <c r="M2044" s="170"/>
    </row>
    <row r="2045" spans="2:13" x14ac:dyDescent="0.2">
      <c r="B2045" s="173"/>
      <c r="C2045" s="694">
        <v>1</v>
      </c>
      <c r="D2045" s="695" t="s">
        <v>3903</v>
      </c>
      <c r="E2045" s="695">
        <v>3</v>
      </c>
      <c r="F2045" s="695" t="s">
        <v>4822</v>
      </c>
      <c r="G2045" s="695">
        <v>5</v>
      </c>
      <c r="H2045" s="695" t="s">
        <v>5320</v>
      </c>
      <c r="I2045" s="695">
        <v>257</v>
      </c>
      <c r="J2045" s="695" t="s">
        <v>5553</v>
      </c>
      <c r="K2045" s="695" t="s">
        <v>8544</v>
      </c>
      <c r="L2045" s="696">
        <v>4</v>
      </c>
      <c r="M2045" s="170"/>
    </row>
    <row r="2046" spans="2:13" x14ac:dyDescent="0.2">
      <c r="B2046" s="173"/>
      <c r="C2046" s="694">
        <v>1</v>
      </c>
      <c r="D2046" s="695" t="s">
        <v>3903</v>
      </c>
      <c r="E2046" s="695">
        <v>3</v>
      </c>
      <c r="F2046" s="695" t="s">
        <v>4822</v>
      </c>
      <c r="G2046" s="695">
        <v>5</v>
      </c>
      <c r="H2046" s="695" t="s">
        <v>5320</v>
      </c>
      <c r="I2046" s="695">
        <v>258</v>
      </c>
      <c r="J2046" s="695" t="s">
        <v>5554</v>
      </c>
      <c r="K2046" s="695" t="s">
        <v>8544</v>
      </c>
      <c r="L2046" s="696">
        <v>27</v>
      </c>
      <c r="M2046" s="170"/>
    </row>
    <row r="2047" spans="2:13" x14ac:dyDescent="0.2">
      <c r="B2047" s="173"/>
      <c r="C2047" s="694">
        <v>1</v>
      </c>
      <c r="D2047" s="695" t="s">
        <v>3903</v>
      </c>
      <c r="E2047" s="695">
        <v>3</v>
      </c>
      <c r="F2047" s="695" t="s">
        <v>4822</v>
      </c>
      <c r="G2047" s="695">
        <v>5</v>
      </c>
      <c r="H2047" s="695" t="s">
        <v>5320</v>
      </c>
      <c r="I2047" s="695">
        <v>259</v>
      </c>
      <c r="J2047" s="695" t="s">
        <v>5555</v>
      </c>
      <c r="K2047" s="695" t="s">
        <v>8544</v>
      </c>
      <c r="L2047" s="696">
        <v>7</v>
      </c>
      <c r="M2047" s="170"/>
    </row>
    <row r="2048" spans="2:13" x14ac:dyDescent="0.2">
      <c r="B2048" s="173"/>
      <c r="C2048" s="694">
        <v>1</v>
      </c>
      <c r="D2048" s="695" t="s">
        <v>3903</v>
      </c>
      <c r="E2048" s="695">
        <v>3</v>
      </c>
      <c r="F2048" s="695" t="s">
        <v>4822</v>
      </c>
      <c r="G2048" s="695">
        <v>5</v>
      </c>
      <c r="H2048" s="695" t="s">
        <v>5320</v>
      </c>
      <c r="I2048" s="695">
        <v>260</v>
      </c>
      <c r="J2048" s="695" t="s">
        <v>5347</v>
      </c>
      <c r="K2048" s="695" t="s">
        <v>8544</v>
      </c>
      <c r="L2048" s="696">
        <v>83</v>
      </c>
      <c r="M2048" s="170"/>
    </row>
    <row r="2049" spans="2:13" x14ac:dyDescent="0.2">
      <c r="B2049" s="173"/>
      <c r="C2049" s="694">
        <v>1</v>
      </c>
      <c r="D2049" s="695" t="s">
        <v>3903</v>
      </c>
      <c r="E2049" s="695">
        <v>3</v>
      </c>
      <c r="F2049" s="695" t="s">
        <v>4822</v>
      </c>
      <c r="G2049" s="695">
        <v>5</v>
      </c>
      <c r="H2049" s="695" t="s">
        <v>5320</v>
      </c>
      <c r="I2049" s="695">
        <v>261</v>
      </c>
      <c r="J2049" s="695" t="s">
        <v>5556</v>
      </c>
      <c r="K2049" s="695" t="s">
        <v>8544</v>
      </c>
      <c r="L2049" s="696">
        <v>4</v>
      </c>
      <c r="M2049" s="170"/>
    </row>
    <row r="2050" spans="2:13" x14ac:dyDescent="0.2">
      <c r="B2050" s="173"/>
      <c r="C2050" s="694">
        <v>1</v>
      </c>
      <c r="D2050" s="695" t="s">
        <v>3903</v>
      </c>
      <c r="E2050" s="695">
        <v>3</v>
      </c>
      <c r="F2050" s="695" t="s">
        <v>4822</v>
      </c>
      <c r="G2050" s="695">
        <v>5</v>
      </c>
      <c r="H2050" s="695" t="s">
        <v>5320</v>
      </c>
      <c r="I2050" s="695">
        <v>262</v>
      </c>
      <c r="J2050" s="695" t="s">
        <v>5557</v>
      </c>
      <c r="K2050" s="695" t="s">
        <v>8544</v>
      </c>
      <c r="L2050" s="696">
        <v>81</v>
      </c>
      <c r="M2050" s="170"/>
    </row>
    <row r="2051" spans="2:13" x14ac:dyDescent="0.2">
      <c r="B2051" s="173"/>
      <c r="C2051" s="694">
        <v>1</v>
      </c>
      <c r="D2051" s="695" t="s">
        <v>3903</v>
      </c>
      <c r="E2051" s="695">
        <v>3</v>
      </c>
      <c r="F2051" s="695" t="s">
        <v>4822</v>
      </c>
      <c r="G2051" s="695">
        <v>5</v>
      </c>
      <c r="H2051" s="695" t="s">
        <v>5320</v>
      </c>
      <c r="I2051" s="695">
        <v>263</v>
      </c>
      <c r="J2051" s="695" t="s">
        <v>5558</v>
      </c>
      <c r="K2051" s="695" t="s">
        <v>8544</v>
      </c>
      <c r="L2051" s="696">
        <v>34</v>
      </c>
      <c r="M2051" s="170"/>
    </row>
    <row r="2052" spans="2:13" x14ac:dyDescent="0.2">
      <c r="B2052" s="173"/>
      <c r="C2052" s="694">
        <v>1</v>
      </c>
      <c r="D2052" s="695" t="s">
        <v>3903</v>
      </c>
      <c r="E2052" s="695">
        <v>3</v>
      </c>
      <c r="F2052" s="695" t="s">
        <v>4822</v>
      </c>
      <c r="G2052" s="695">
        <v>5</v>
      </c>
      <c r="H2052" s="695" t="s">
        <v>5320</v>
      </c>
      <c r="I2052" s="695">
        <v>264</v>
      </c>
      <c r="J2052" s="695" t="s">
        <v>5559</v>
      </c>
      <c r="K2052" s="695" t="s">
        <v>8544</v>
      </c>
      <c r="L2052" s="696">
        <v>9</v>
      </c>
      <c r="M2052" s="170"/>
    </row>
    <row r="2053" spans="2:13" x14ac:dyDescent="0.2">
      <c r="B2053" s="173"/>
      <c r="C2053" s="694">
        <v>1</v>
      </c>
      <c r="D2053" s="695" t="s">
        <v>3903</v>
      </c>
      <c r="E2053" s="695">
        <v>3</v>
      </c>
      <c r="F2053" s="695" t="s">
        <v>4822</v>
      </c>
      <c r="G2053" s="695">
        <v>5</v>
      </c>
      <c r="H2053" s="695" t="s">
        <v>5320</v>
      </c>
      <c r="I2053" s="695">
        <v>265</v>
      </c>
      <c r="J2053" s="695" t="s">
        <v>5560</v>
      </c>
      <c r="K2053" s="695" t="s">
        <v>8544</v>
      </c>
      <c r="L2053" s="696">
        <v>29</v>
      </c>
      <c r="M2053" s="170"/>
    </row>
    <row r="2054" spans="2:13" x14ac:dyDescent="0.2">
      <c r="B2054" s="173"/>
      <c r="C2054" s="694">
        <v>1</v>
      </c>
      <c r="D2054" s="695" t="s">
        <v>3903</v>
      </c>
      <c r="E2054" s="695">
        <v>3</v>
      </c>
      <c r="F2054" s="695" t="s">
        <v>4822</v>
      </c>
      <c r="G2054" s="695">
        <v>5</v>
      </c>
      <c r="H2054" s="695" t="s">
        <v>5320</v>
      </c>
      <c r="I2054" s="695">
        <v>266</v>
      </c>
      <c r="J2054" s="695" t="s">
        <v>4336</v>
      </c>
      <c r="K2054" s="695" t="s">
        <v>8544</v>
      </c>
      <c r="L2054" s="696">
        <v>12</v>
      </c>
      <c r="M2054" s="170"/>
    </row>
    <row r="2055" spans="2:13" x14ac:dyDescent="0.2">
      <c r="B2055" s="173"/>
      <c r="C2055" s="694">
        <v>1</v>
      </c>
      <c r="D2055" s="695" t="s">
        <v>3903</v>
      </c>
      <c r="E2055" s="695">
        <v>3</v>
      </c>
      <c r="F2055" s="695" t="s">
        <v>4822</v>
      </c>
      <c r="G2055" s="695">
        <v>5</v>
      </c>
      <c r="H2055" s="695" t="s">
        <v>5320</v>
      </c>
      <c r="I2055" s="695">
        <v>267</v>
      </c>
      <c r="J2055" s="695" t="s">
        <v>5561</v>
      </c>
      <c r="K2055" s="695" t="s">
        <v>8544</v>
      </c>
      <c r="L2055" s="696">
        <v>43</v>
      </c>
      <c r="M2055" s="170"/>
    </row>
    <row r="2056" spans="2:13" x14ac:dyDescent="0.2">
      <c r="B2056" s="173"/>
      <c r="C2056" s="694">
        <v>1</v>
      </c>
      <c r="D2056" s="695" t="s">
        <v>3903</v>
      </c>
      <c r="E2056" s="695">
        <v>3</v>
      </c>
      <c r="F2056" s="695" t="s">
        <v>4822</v>
      </c>
      <c r="G2056" s="695">
        <v>5</v>
      </c>
      <c r="H2056" s="695" t="s">
        <v>5320</v>
      </c>
      <c r="I2056" s="695">
        <v>268</v>
      </c>
      <c r="J2056" s="695" t="s">
        <v>5562</v>
      </c>
      <c r="K2056" s="695" t="s">
        <v>5322</v>
      </c>
      <c r="L2056" s="696">
        <v>98</v>
      </c>
      <c r="M2056" s="170"/>
    </row>
    <row r="2057" spans="2:13" x14ac:dyDescent="0.2">
      <c r="B2057" s="173"/>
      <c r="C2057" s="694">
        <v>1</v>
      </c>
      <c r="D2057" s="695" t="s">
        <v>3903</v>
      </c>
      <c r="E2057" s="695">
        <v>3</v>
      </c>
      <c r="F2057" s="695" t="s">
        <v>4822</v>
      </c>
      <c r="G2057" s="695">
        <v>5</v>
      </c>
      <c r="H2057" s="695" t="s">
        <v>5320</v>
      </c>
      <c r="I2057" s="695">
        <v>269</v>
      </c>
      <c r="J2057" s="695" t="s">
        <v>5563</v>
      </c>
      <c r="K2057" s="695" t="s">
        <v>3907</v>
      </c>
      <c r="L2057" s="696">
        <v>68</v>
      </c>
      <c r="M2057" s="170"/>
    </row>
    <row r="2058" spans="2:13" x14ac:dyDescent="0.2">
      <c r="B2058" s="173"/>
      <c r="C2058" s="694">
        <v>1</v>
      </c>
      <c r="D2058" s="695" t="s">
        <v>3903</v>
      </c>
      <c r="E2058" s="695">
        <v>3</v>
      </c>
      <c r="F2058" s="695" t="s">
        <v>4822</v>
      </c>
      <c r="G2058" s="695">
        <v>5</v>
      </c>
      <c r="H2058" s="695" t="s">
        <v>5320</v>
      </c>
      <c r="I2058" s="695">
        <v>270</v>
      </c>
      <c r="J2058" s="695" t="s">
        <v>5564</v>
      </c>
      <c r="K2058" s="695" t="s">
        <v>4045</v>
      </c>
      <c r="L2058" s="696">
        <v>17</v>
      </c>
      <c r="M2058" s="170"/>
    </row>
    <row r="2059" spans="2:13" x14ac:dyDescent="0.2">
      <c r="B2059" s="173"/>
      <c r="C2059" s="694">
        <v>1</v>
      </c>
      <c r="D2059" s="695" t="s">
        <v>3903</v>
      </c>
      <c r="E2059" s="695">
        <v>3</v>
      </c>
      <c r="F2059" s="695" t="s">
        <v>4822</v>
      </c>
      <c r="G2059" s="695">
        <v>5</v>
      </c>
      <c r="H2059" s="695" t="s">
        <v>5320</v>
      </c>
      <c r="I2059" s="695">
        <v>271</v>
      </c>
      <c r="J2059" s="695" t="s">
        <v>5565</v>
      </c>
      <c r="K2059" s="695" t="s">
        <v>8544</v>
      </c>
      <c r="L2059" s="696">
        <v>119</v>
      </c>
      <c r="M2059" s="170"/>
    </row>
    <row r="2060" spans="2:13" x14ac:dyDescent="0.2">
      <c r="B2060" s="173"/>
      <c r="C2060" s="694">
        <v>1</v>
      </c>
      <c r="D2060" s="695" t="s">
        <v>3903</v>
      </c>
      <c r="E2060" s="695">
        <v>3</v>
      </c>
      <c r="F2060" s="695" t="s">
        <v>4822</v>
      </c>
      <c r="G2060" s="695">
        <v>5</v>
      </c>
      <c r="H2060" s="695" t="s">
        <v>5320</v>
      </c>
      <c r="I2060" s="695">
        <v>272</v>
      </c>
      <c r="J2060" s="695" t="s">
        <v>5566</v>
      </c>
      <c r="K2060" s="695" t="s">
        <v>8544</v>
      </c>
      <c r="L2060" s="696">
        <v>46</v>
      </c>
      <c r="M2060" s="170"/>
    </row>
    <row r="2061" spans="2:13" x14ac:dyDescent="0.2">
      <c r="B2061" s="173"/>
      <c r="C2061" s="694">
        <v>1</v>
      </c>
      <c r="D2061" s="695" t="s">
        <v>3903</v>
      </c>
      <c r="E2061" s="695">
        <v>3</v>
      </c>
      <c r="F2061" s="695" t="s">
        <v>4822</v>
      </c>
      <c r="G2061" s="695">
        <v>5</v>
      </c>
      <c r="H2061" s="695" t="s">
        <v>5320</v>
      </c>
      <c r="I2061" s="695">
        <v>273</v>
      </c>
      <c r="J2061" s="695" t="s">
        <v>5567</v>
      </c>
      <c r="K2061" s="695" t="s">
        <v>8544</v>
      </c>
      <c r="L2061" s="696">
        <v>14</v>
      </c>
      <c r="M2061" s="170"/>
    </row>
    <row r="2062" spans="2:13" x14ac:dyDescent="0.2">
      <c r="B2062" s="173"/>
      <c r="C2062" s="694">
        <v>1</v>
      </c>
      <c r="D2062" s="695" t="s">
        <v>3903</v>
      </c>
      <c r="E2062" s="695">
        <v>3</v>
      </c>
      <c r="F2062" s="695" t="s">
        <v>4822</v>
      </c>
      <c r="G2062" s="695">
        <v>5</v>
      </c>
      <c r="H2062" s="695" t="s">
        <v>5320</v>
      </c>
      <c r="I2062" s="695">
        <v>274</v>
      </c>
      <c r="J2062" s="695" t="s">
        <v>5568</v>
      </c>
      <c r="K2062" s="695" t="s">
        <v>8544</v>
      </c>
      <c r="L2062" s="696">
        <v>26</v>
      </c>
      <c r="M2062" s="170"/>
    </row>
    <row r="2063" spans="2:13" x14ac:dyDescent="0.2">
      <c r="B2063" s="173"/>
      <c r="C2063" s="694">
        <v>1</v>
      </c>
      <c r="D2063" s="695" t="s">
        <v>3903</v>
      </c>
      <c r="E2063" s="695">
        <v>3</v>
      </c>
      <c r="F2063" s="695" t="s">
        <v>4822</v>
      </c>
      <c r="G2063" s="695">
        <v>5</v>
      </c>
      <c r="H2063" s="695" t="s">
        <v>5320</v>
      </c>
      <c r="I2063" s="695">
        <v>275</v>
      </c>
      <c r="J2063" s="695" t="s">
        <v>5569</v>
      </c>
      <c r="K2063" s="695" t="s">
        <v>8544</v>
      </c>
      <c r="L2063" s="696">
        <v>37</v>
      </c>
      <c r="M2063" s="170"/>
    </row>
    <row r="2064" spans="2:13" x14ac:dyDescent="0.2">
      <c r="B2064" s="173"/>
      <c r="C2064" s="694">
        <v>1</v>
      </c>
      <c r="D2064" s="695" t="s">
        <v>3903</v>
      </c>
      <c r="E2064" s="695">
        <v>3</v>
      </c>
      <c r="F2064" s="695" t="s">
        <v>4822</v>
      </c>
      <c r="G2064" s="695">
        <v>5</v>
      </c>
      <c r="H2064" s="695" t="s">
        <v>5320</v>
      </c>
      <c r="I2064" s="695">
        <v>276</v>
      </c>
      <c r="J2064" s="695" t="s">
        <v>5570</v>
      </c>
      <c r="K2064" s="695" t="s">
        <v>8544</v>
      </c>
      <c r="L2064" s="696">
        <v>8</v>
      </c>
      <c r="M2064" s="170"/>
    </row>
    <row r="2065" spans="2:13" x14ac:dyDescent="0.2">
      <c r="B2065" s="173"/>
      <c r="C2065" s="694">
        <v>1</v>
      </c>
      <c r="D2065" s="695" t="s">
        <v>3903</v>
      </c>
      <c r="E2065" s="695">
        <v>3</v>
      </c>
      <c r="F2065" s="695" t="s">
        <v>4822</v>
      </c>
      <c r="G2065" s="695">
        <v>5</v>
      </c>
      <c r="H2065" s="695" t="s">
        <v>5320</v>
      </c>
      <c r="I2065" s="695">
        <v>277</v>
      </c>
      <c r="J2065" s="695" t="s">
        <v>5571</v>
      </c>
      <c r="K2065" s="695" t="s">
        <v>8544</v>
      </c>
      <c r="L2065" s="696">
        <v>6</v>
      </c>
      <c r="M2065" s="170"/>
    </row>
    <row r="2066" spans="2:13" x14ac:dyDescent="0.2">
      <c r="B2066" s="173"/>
      <c r="C2066" s="694">
        <v>1</v>
      </c>
      <c r="D2066" s="695" t="s">
        <v>3903</v>
      </c>
      <c r="E2066" s="695">
        <v>3</v>
      </c>
      <c r="F2066" s="695" t="s">
        <v>4822</v>
      </c>
      <c r="G2066" s="695">
        <v>5</v>
      </c>
      <c r="H2066" s="695" t="s">
        <v>5320</v>
      </c>
      <c r="I2066" s="695">
        <v>278</v>
      </c>
      <c r="J2066" s="695" t="s">
        <v>5572</v>
      </c>
      <c r="K2066" s="695" t="s">
        <v>8544</v>
      </c>
      <c r="L2066" s="696">
        <v>67</v>
      </c>
      <c r="M2066" s="170"/>
    </row>
    <row r="2067" spans="2:13" x14ac:dyDescent="0.2">
      <c r="B2067" s="173"/>
      <c r="C2067" s="694">
        <v>1</v>
      </c>
      <c r="D2067" s="695" t="s">
        <v>3903</v>
      </c>
      <c r="E2067" s="695">
        <v>3</v>
      </c>
      <c r="F2067" s="695" t="s">
        <v>4822</v>
      </c>
      <c r="G2067" s="695">
        <v>5</v>
      </c>
      <c r="H2067" s="695" t="s">
        <v>5320</v>
      </c>
      <c r="I2067" s="695">
        <v>279</v>
      </c>
      <c r="J2067" s="695" t="s">
        <v>5573</v>
      </c>
      <c r="K2067" s="695" t="s">
        <v>8544</v>
      </c>
      <c r="L2067" s="696">
        <v>1</v>
      </c>
      <c r="M2067" s="170"/>
    </row>
    <row r="2068" spans="2:13" x14ac:dyDescent="0.2">
      <c r="B2068" s="173"/>
      <c r="C2068" s="694">
        <v>1</v>
      </c>
      <c r="D2068" s="695" t="s">
        <v>3903</v>
      </c>
      <c r="E2068" s="695">
        <v>3</v>
      </c>
      <c r="F2068" s="695" t="s">
        <v>4822</v>
      </c>
      <c r="G2068" s="695">
        <v>5</v>
      </c>
      <c r="H2068" s="695" t="s">
        <v>5320</v>
      </c>
      <c r="I2068" s="695">
        <v>280</v>
      </c>
      <c r="J2068" s="695" t="s">
        <v>5574</v>
      </c>
      <c r="K2068" s="695" t="s">
        <v>8544</v>
      </c>
      <c r="L2068" s="696">
        <v>55</v>
      </c>
      <c r="M2068" s="170"/>
    </row>
    <row r="2069" spans="2:13" x14ac:dyDescent="0.2">
      <c r="B2069" s="173"/>
      <c r="C2069" s="694">
        <v>1</v>
      </c>
      <c r="D2069" s="695" t="s">
        <v>3903</v>
      </c>
      <c r="E2069" s="695">
        <v>3</v>
      </c>
      <c r="F2069" s="695" t="s">
        <v>4822</v>
      </c>
      <c r="G2069" s="695">
        <v>5</v>
      </c>
      <c r="H2069" s="695" t="s">
        <v>5320</v>
      </c>
      <c r="I2069" s="695">
        <v>281</v>
      </c>
      <c r="J2069" s="695" t="s">
        <v>5575</v>
      </c>
      <c r="K2069" s="695" t="s">
        <v>5322</v>
      </c>
      <c r="L2069" s="696">
        <v>19</v>
      </c>
      <c r="M2069" s="170"/>
    </row>
    <row r="2070" spans="2:13" x14ac:dyDescent="0.2">
      <c r="B2070" s="173"/>
      <c r="C2070" s="694">
        <v>1</v>
      </c>
      <c r="D2070" s="695" t="s">
        <v>3903</v>
      </c>
      <c r="E2070" s="695">
        <v>3</v>
      </c>
      <c r="F2070" s="695" t="s">
        <v>4822</v>
      </c>
      <c r="G2070" s="695">
        <v>5</v>
      </c>
      <c r="H2070" s="695" t="s">
        <v>5320</v>
      </c>
      <c r="I2070" s="695">
        <v>282</v>
      </c>
      <c r="J2070" s="695" t="s">
        <v>5576</v>
      </c>
      <c r="K2070" s="695" t="s">
        <v>8544</v>
      </c>
      <c r="L2070" s="696">
        <v>61</v>
      </c>
      <c r="M2070" s="170"/>
    </row>
    <row r="2071" spans="2:13" x14ac:dyDescent="0.2">
      <c r="B2071" s="173"/>
      <c r="C2071" s="694">
        <v>1</v>
      </c>
      <c r="D2071" s="695" t="s">
        <v>3903</v>
      </c>
      <c r="E2071" s="695">
        <v>3</v>
      </c>
      <c r="F2071" s="695" t="s">
        <v>4822</v>
      </c>
      <c r="G2071" s="695">
        <v>5</v>
      </c>
      <c r="H2071" s="695" t="s">
        <v>5320</v>
      </c>
      <c r="I2071" s="695">
        <v>283</v>
      </c>
      <c r="J2071" s="695" t="s">
        <v>5577</v>
      </c>
      <c r="K2071" s="695" t="s">
        <v>8544</v>
      </c>
      <c r="L2071" s="696">
        <v>58</v>
      </c>
      <c r="M2071" s="170"/>
    </row>
    <row r="2072" spans="2:13" x14ac:dyDescent="0.2">
      <c r="B2072" s="173"/>
      <c r="C2072" s="694">
        <v>1</v>
      </c>
      <c r="D2072" s="695" t="s">
        <v>3903</v>
      </c>
      <c r="E2072" s="695">
        <v>3</v>
      </c>
      <c r="F2072" s="695" t="s">
        <v>4822</v>
      </c>
      <c r="G2072" s="695">
        <v>5</v>
      </c>
      <c r="H2072" s="695" t="s">
        <v>5320</v>
      </c>
      <c r="I2072" s="695">
        <v>284</v>
      </c>
      <c r="J2072" s="695" t="s">
        <v>5578</v>
      </c>
      <c r="K2072" s="695" t="s">
        <v>8544</v>
      </c>
      <c r="L2072" s="696">
        <v>106</v>
      </c>
      <c r="M2072" s="170"/>
    </row>
    <row r="2073" spans="2:13" x14ac:dyDescent="0.2">
      <c r="B2073" s="173"/>
      <c r="C2073" s="694">
        <v>1</v>
      </c>
      <c r="D2073" s="695" t="s">
        <v>3903</v>
      </c>
      <c r="E2073" s="695">
        <v>3</v>
      </c>
      <c r="F2073" s="695" t="s">
        <v>4822</v>
      </c>
      <c r="G2073" s="695">
        <v>5</v>
      </c>
      <c r="H2073" s="695" t="s">
        <v>5320</v>
      </c>
      <c r="I2073" s="695">
        <v>285</v>
      </c>
      <c r="J2073" s="695" t="s">
        <v>5579</v>
      </c>
      <c r="K2073" s="695" t="s">
        <v>8544</v>
      </c>
      <c r="L2073" s="696">
        <v>5</v>
      </c>
      <c r="M2073" s="170"/>
    </row>
    <row r="2074" spans="2:13" x14ac:dyDescent="0.2">
      <c r="B2074" s="173"/>
      <c r="C2074" s="694">
        <v>1</v>
      </c>
      <c r="D2074" s="695" t="s">
        <v>3903</v>
      </c>
      <c r="E2074" s="695">
        <v>3</v>
      </c>
      <c r="F2074" s="695" t="s">
        <v>4822</v>
      </c>
      <c r="G2074" s="695">
        <v>5</v>
      </c>
      <c r="H2074" s="695" t="s">
        <v>5320</v>
      </c>
      <c r="I2074" s="695">
        <v>286</v>
      </c>
      <c r="J2074" s="695" t="s">
        <v>5580</v>
      </c>
      <c r="K2074" s="695" t="s">
        <v>8544</v>
      </c>
      <c r="L2074" s="696">
        <v>16</v>
      </c>
      <c r="M2074" s="170"/>
    </row>
    <row r="2075" spans="2:13" x14ac:dyDescent="0.2">
      <c r="B2075" s="173"/>
      <c r="C2075" s="694">
        <v>1</v>
      </c>
      <c r="D2075" s="695" t="s">
        <v>3903</v>
      </c>
      <c r="E2075" s="695">
        <v>3</v>
      </c>
      <c r="F2075" s="695" t="s">
        <v>4822</v>
      </c>
      <c r="G2075" s="695">
        <v>5</v>
      </c>
      <c r="H2075" s="695" t="s">
        <v>5320</v>
      </c>
      <c r="I2075" s="695">
        <v>287</v>
      </c>
      <c r="J2075" s="695" t="s">
        <v>5581</v>
      </c>
      <c r="K2075" s="695" t="s">
        <v>8544</v>
      </c>
      <c r="L2075" s="696">
        <v>10</v>
      </c>
      <c r="M2075" s="170"/>
    </row>
    <row r="2076" spans="2:13" x14ac:dyDescent="0.2">
      <c r="B2076" s="173"/>
      <c r="C2076" s="694">
        <v>1</v>
      </c>
      <c r="D2076" s="695" t="s">
        <v>3903</v>
      </c>
      <c r="E2076" s="695">
        <v>3</v>
      </c>
      <c r="F2076" s="695" t="s">
        <v>4822</v>
      </c>
      <c r="G2076" s="695">
        <v>5</v>
      </c>
      <c r="H2076" s="695" t="s">
        <v>5320</v>
      </c>
      <c r="I2076" s="695">
        <v>288</v>
      </c>
      <c r="J2076" s="695" t="s">
        <v>5582</v>
      </c>
      <c r="K2076" s="695" t="s">
        <v>8544</v>
      </c>
      <c r="L2076" s="696">
        <v>53</v>
      </c>
      <c r="M2076" s="170"/>
    </row>
    <row r="2077" spans="2:13" x14ac:dyDescent="0.2">
      <c r="B2077" s="173"/>
      <c r="C2077" s="694">
        <v>1</v>
      </c>
      <c r="D2077" s="695" t="s">
        <v>3903</v>
      </c>
      <c r="E2077" s="695">
        <v>3</v>
      </c>
      <c r="F2077" s="695" t="s">
        <v>4822</v>
      </c>
      <c r="G2077" s="695">
        <v>5</v>
      </c>
      <c r="H2077" s="695" t="s">
        <v>5320</v>
      </c>
      <c r="I2077" s="695">
        <v>289</v>
      </c>
      <c r="J2077" s="695" t="s">
        <v>5583</v>
      </c>
      <c r="K2077" s="695" t="s">
        <v>8544</v>
      </c>
      <c r="L2077" s="696">
        <v>8</v>
      </c>
      <c r="M2077" s="170"/>
    </row>
    <row r="2078" spans="2:13" x14ac:dyDescent="0.2">
      <c r="B2078" s="173"/>
      <c r="C2078" s="694">
        <v>1</v>
      </c>
      <c r="D2078" s="695" t="s">
        <v>3903</v>
      </c>
      <c r="E2078" s="695">
        <v>3</v>
      </c>
      <c r="F2078" s="695" t="s">
        <v>4822</v>
      </c>
      <c r="G2078" s="695">
        <v>5</v>
      </c>
      <c r="H2078" s="695" t="s">
        <v>5320</v>
      </c>
      <c r="I2078" s="695">
        <v>290</v>
      </c>
      <c r="J2078" s="695" t="s">
        <v>5584</v>
      </c>
      <c r="K2078" s="695" t="s">
        <v>8544</v>
      </c>
      <c r="L2078" s="696">
        <v>10</v>
      </c>
      <c r="M2078" s="170"/>
    </row>
    <row r="2079" spans="2:13" x14ac:dyDescent="0.2">
      <c r="B2079" s="173"/>
      <c r="C2079" s="694">
        <v>1</v>
      </c>
      <c r="D2079" s="695" t="s">
        <v>3903</v>
      </c>
      <c r="E2079" s="695">
        <v>3</v>
      </c>
      <c r="F2079" s="695" t="s">
        <v>4822</v>
      </c>
      <c r="G2079" s="695">
        <v>5</v>
      </c>
      <c r="H2079" s="695" t="s">
        <v>5320</v>
      </c>
      <c r="I2079" s="695">
        <v>291</v>
      </c>
      <c r="J2079" s="695" t="s">
        <v>5585</v>
      </c>
      <c r="K2079" s="695" t="s">
        <v>8544</v>
      </c>
      <c r="L2079" s="696">
        <v>21</v>
      </c>
      <c r="M2079" s="170"/>
    </row>
    <row r="2080" spans="2:13" x14ac:dyDescent="0.2">
      <c r="B2080" s="173"/>
      <c r="C2080" s="694">
        <v>1</v>
      </c>
      <c r="D2080" s="695" t="s">
        <v>3903</v>
      </c>
      <c r="E2080" s="695">
        <v>3</v>
      </c>
      <c r="F2080" s="695" t="s">
        <v>4822</v>
      </c>
      <c r="G2080" s="695">
        <v>5</v>
      </c>
      <c r="H2080" s="695" t="s">
        <v>5320</v>
      </c>
      <c r="I2080" s="695">
        <v>292</v>
      </c>
      <c r="J2080" s="695" t="s">
        <v>5586</v>
      </c>
      <c r="K2080" s="695" t="s">
        <v>8544</v>
      </c>
      <c r="L2080" s="696">
        <v>74</v>
      </c>
      <c r="M2080" s="170"/>
    </row>
    <row r="2081" spans="2:13" x14ac:dyDescent="0.2">
      <c r="B2081" s="173"/>
      <c r="C2081" s="694">
        <v>1</v>
      </c>
      <c r="D2081" s="695" t="s">
        <v>3903</v>
      </c>
      <c r="E2081" s="695">
        <v>3</v>
      </c>
      <c r="F2081" s="695" t="s">
        <v>4822</v>
      </c>
      <c r="G2081" s="695">
        <v>5</v>
      </c>
      <c r="H2081" s="695" t="s">
        <v>5320</v>
      </c>
      <c r="I2081" s="695">
        <v>293</v>
      </c>
      <c r="J2081" s="695" t="s">
        <v>5587</v>
      </c>
      <c r="K2081" s="695" t="s">
        <v>4045</v>
      </c>
      <c r="L2081" s="696">
        <v>66</v>
      </c>
      <c r="M2081" s="170"/>
    </row>
    <row r="2082" spans="2:13" x14ac:dyDescent="0.2">
      <c r="B2082" s="173"/>
      <c r="C2082" s="694">
        <v>1</v>
      </c>
      <c r="D2082" s="695" t="s">
        <v>3903</v>
      </c>
      <c r="E2082" s="695">
        <v>3</v>
      </c>
      <c r="F2082" s="695" t="s">
        <v>4822</v>
      </c>
      <c r="G2082" s="695">
        <v>5</v>
      </c>
      <c r="H2082" s="695" t="s">
        <v>5320</v>
      </c>
      <c r="I2082" s="695">
        <v>294</v>
      </c>
      <c r="J2082" s="695" t="s">
        <v>5588</v>
      </c>
      <c r="K2082" s="695" t="s">
        <v>5322</v>
      </c>
      <c r="L2082" s="696">
        <v>5</v>
      </c>
      <c r="M2082" s="170"/>
    </row>
    <row r="2083" spans="2:13" x14ac:dyDescent="0.2">
      <c r="B2083" s="173"/>
      <c r="C2083" s="694">
        <v>1</v>
      </c>
      <c r="D2083" s="695" t="s">
        <v>3903</v>
      </c>
      <c r="E2083" s="695">
        <v>3</v>
      </c>
      <c r="F2083" s="695" t="s">
        <v>4822</v>
      </c>
      <c r="G2083" s="695">
        <v>5</v>
      </c>
      <c r="H2083" s="695" t="s">
        <v>5320</v>
      </c>
      <c r="I2083" s="695">
        <v>295</v>
      </c>
      <c r="J2083" s="695" t="s">
        <v>5589</v>
      </c>
      <c r="K2083" s="695" t="s">
        <v>4085</v>
      </c>
      <c r="L2083" s="696">
        <v>9</v>
      </c>
      <c r="M2083" s="170"/>
    </row>
    <row r="2084" spans="2:13" x14ac:dyDescent="0.2">
      <c r="B2084" s="173"/>
      <c r="C2084" s="694">
        <v>1</v>
      </c>
      <c r="D2084" s="695" t="s">
        <v>3903</v>
      </c>
      <c r="E2084" s="695">
        <v>3</v>
      </c>
      <c r="F2084" s="695" t="s">
        <v>4822</v>
      </c>
      <c r="G2084" s="695">
        <v>5</v>
      </c>
      <c r="H2084" s="695" t="s">
        <v>5320</v>
      </c>
      <c r="I2084" s="695">
        <v>296</v>
      </c>
      <c r="J2084" s="695" t="s">
        <v>5590</v>
      </c>
      <c r="K2084" s="695" t="s">
        <v>8544</v>
      </c>
      <c r="L2084" s="696">
        <v>38</v>
      </c>
      <c r="M2084" s="170"/>
    </row>
    <row r="2085" spans="2:13" x14ac:dyDescent="0.2">
      <c r="B2085" s="173"/>
      <c r="C2085" s="694">
        <v>1</v>
      </c>
      <c r="D2085" s="695" t="s">
        <v>3903</v>
      </c>
      <c r="E2085" s="695">
        <v>3</v>
      </c>
      <c r="F2085" s="695" t="s">
        <v>4822</v>
      </c>
      <c r="G2085" s="695">
        <v>5</v>
      </c>
      <c r="H2085" s="695" t="s">
        <v>5320</v>
      </c>
      <c r="I2085" s="695">
        <v>297</v>
      </c>
      <c r="J2085" s="695" t="s">
        <v>5579</v>
      </c>
      <c r="K2085" s="695" t="s">
        <v>8544</v>
      </c>
      <c r="L2085" s="696">
        <v>5</v>
      </c>
      <c r="M2085" s="170"/>
    </row>
    <row r="2086" spans="2:13" x14ac:dyDescent="0.2">
      <c r="B2086" s="173"/>
      <c r="C2086" s="694">
        <v>1</v>
      </c>
      <c r="D2086" s="695" t="s">
        <v>3903</v>
      </c>
      <c r="E2086" s="695">
        <v>3</v>
      </c>
      <c r="F2086" s="695" t="s">
        <v>4822</v>
      </c>
      <c r="G2086" s="695">
        <v>5</v>
      </c>
      <c r="H2086" s="695" t="s">
        <v>5320</v>
      </c>
      <c r="I2086" s="695">
        <v>298</v>
      </c>
      <c r="J2086" s="695" t="s">
        <v>5591</v>
      </c>
      <c r="K2086" s="695" t="s">
        <v>8544</v>
      </c>
      <c r="L2086" s="696">
        <v>79</v>
      </c>
      <c r="M2086" s="170"/>
    </row>
    <row r="2087" spans="2:13" x14ac:dyDescent="0.2">
      <c r="B2087" s="173"/>
      <c r="C2087" s="694">
        <v>1</v>
      </c>
      <c r="D2087" s="695" t="s">
        <v>3903</v>
      </c>
      <c r="E2087" s="695">
        <v>3</v>
      </c>
      <c r="F2087" s="695" t="s">
        <v>4822</v>
      </c>
      <c r="G2087" s="695">
        <v>5</v>
      </c>
      <c r="H2087" s="695" t="s">
        <v>5320</v>
      </c>
      <c r="I2087" s="695">
        <v>299</v>
      </c>
      <c r="J2087" s="695" t="s">
        <v>5592</v>
      </c>
      <c r="K2087" s="695" t="s">
        <v>8544</v>
      </c>
      <c r="L2087" s="696">
        <v>264</v>
      </c>
      <c r="M2087" s="170"/>
    </row>
    <row r="2088" spans="2:13" x14ac:dyDescent="0.2">
      <c r="B2088" s="173"/>
      <c r="C2088" s="694">
        <v>1</v>
      </c>
      <c r="D2088" s="695" t="s">
        <v>3903</v>
      </c>
      <c r="E2088" s="695">
        <v>3</v>
      </c>
      <c r="F2088" s="695" t="s">
        <v>4822</v>
      </c>
      <c r="G2088" s="695">
        <v>5</v>
      </c>
      <c r="H2088" s="695" t="s">
        <v>5320</v>
      </c>
      <c r="I2088" s="695">
        <v>300</v>
      </c>
      <c r="J2088" s="695" t="s">
        <v>5593</v>
      </c>
      <c r="K2088" s="695" t="s">
        <v>8544</v>
      </c>
      <c r="L2088" s="696">
        <v>92</v>
      </c>
      <c r="M2088" s="170"/>
    </row>
    <row r="2089" spans="2:13" x14ac:dyDescent="0.2">
      <c r="B2089" s="173"/>
      <c r="C2089" s="694">
        <v>1</v>
      </c>
      <c r="D2089" s="695" t="s">
        <v>3903</v>
      </c>
      <c r="E2089" s="695">
        <v>3</v>
      </c>
      <c r="F2089" s="695" t="s">
        <v>4822</v>
      </c>
      <c r="G2089" s="695">
        <v>5</v>
      </c>
      <c r="H2089" s="695" t="s">
        <v>5320</v>
      </c>
      <c r="I2089" s="695">
        <v>301</v>
      </c>
      <c r="J2089" s="695" t="s">
        <v>5594</v>
      </c>
      <c r="K2089" s="695" t="s">
        <v>8544</v>
      </c>
      <c r="L2089" s="696">
        <v>26</v>
      </c>
      <c r="M2089" s="170"/>
    </row>
    <row r="2090" spans="2:13" x14ac:dyDescent="0.2">
      <c r="B2090" s="173"/>
      <c r="C2090" s="694">
        <v>1</v>
      </c>
      <c r="D2090" s="695" t="s">
        <v>3903</v>
      </c>
      <c r="E2090" s="695">
        <v>3</v>
      </c>
      <c r="F2090" s="695" t="s">
        <v>4822</v>
      </c>
      <c r="G2090" s="695">
        <v>5</v>
      </c>
      <c r="H2090" s="695" t="s">
        <v>5320</v>
      </c>
      <c r="I2090" s="695">
        <v>302</v>
      </c>
      <c r="J2090" s="695" t="s">
        <v>5595</v>
      </c>
      <c r="K2090" s="695" t="s">
        <v>8544</v>
      </c>
      <c r="L2090" s="696">
        <v>22</v>
      </c>
      <c r="M2090" s="170"/>
    </row>
    <row r="2091" spans="2:13" x14ac:dyDescent="0.2">
      <c r="B2091" s="173"/>
      <c r="C2091" s="694">
        <v>1</v>
      </c>
      <c r="D2091" s="695" t="s">
        <v>3903</v>
      </c>
      <c r="E2091" s="695">
        <v>3</v>
      </c>
      <c r="F2091" s="695" t="s">
        <v>4822</v>
      </c>
      <c r="G2091" s="695">
        <v>5</v>
      </c>
      <c r="H2091" s="695" t="s">
        <v>5320</v>
      </c>
      <c r="I2091" s="695">
        <v>303</v>
      </c>
      <c r="J2091" s="695" t="s">
        <v>5596</v>
      </c>
      <c r="K2091" s="695" t="s">
        <v>8544</v>
      </c>
      <c r="L2091" s="696">
        <v>5</v>
      </c>
      <c r="M2091" s="170"/>
    </row>
    <row r="2092" spans="2:13" x14ac:dyDescent="0.2">
      <c r="B2092" s="173"/>
      <c r="C2092" s="694">
        <v>1</v>
      </c>
      <c r="D2092" s="695" t="s">
        <v>3903</v>
      </c>
      <c r="E2092" s="695">
        <v>3</v>
      </c>
      <c r="F2092" s="695" t="s">
        <v>4822</v>
      </c>
      <c r="G2092" s="695">
        <v>5</v>
      </c>
      <c r="H2092" s="695" t="s">
        <v>5320</v>
      </c>
      <c r="I2092" s="695">
        <v>304</v>
      </c>
      <c r="J2092" s="695" t="s">
        <v>5597</v>
      </c>
      <c r="K2092" s="695" t="s">
        <v>8544</v>
      </c>
      <c r="L2092" s="696">
        <v>12</v>
      </c>
      <c r="M2092" s="170"/>
    </row>
    <row r="2093" spans="2:13" x14ac:dyDescent="0.2">
      <c r="B2093" s="173"/>
      <c r="C2093" s="694">
        <v>1</v>
      </c>
      <c r="D2093" s="695" t="s">
        <v>3903</v>
      </c>
      <c r="E2093" s="695">
        <v>3</v>
      </c>
      <c r="F2093" s="695" t="s">
        <v>4822</v>
      </c>
      <c r="G2093" s="695">
        <v>5</v>
      </c>
      <c r="H2093" s="695" t="s">
        <v>5320</v>
      </c>
      <c r="I2093" s="695">
        <v>305</v>
      </c>
      <c r="J2093" s="695" t="s">
        <v>5598</v>
      </c>
      <c r="K2093" s="695" t="s">
        <v>8544</v>
      </c>
      <c r="L2093" s="696">
        <v>43</v>
      </c>
      <c r="M2093" s="170"/>
    </row>
    <row r="2094" spans="2:13" x14ac:dyDescent="0.2">
      <c r="B2094" s="173"/>
      <c r="C2094" s="694">
        <v>1</v>
      </c>
      <c r="D2094" s="695" t="s">
        <v>3903</v>
      </c>
      <c r="E2094" s="695">
        <v>3</v>
      </c>
      <c r="F2094" s="695" t="s">
        <v>4822</v>
      </c>
      <c r="G2094" s="695">
        <v>5</v>
      </c>
      <c r="H2094" s="695" t="s">
        <v>5320</v>
      </c>
      <c r="I2094" s="695">
        <v>306</v>
      </c>
      <c r="J2094" s="695" t="s">
        <v>5599</v>
      </c>
      <c r="K2094" s="695" t="s">
        <v>8544</v>
      </c>
      <c r="L2094" s="696">
        <v>63</v>
      </c>
      <c r="M2094" s="170"/>
    </row>
    <row r="2095" spans="2:13" x14ac:dyDescent="0.2">
      <c r="B2095" s="173"/>
      <c r="C2095" s="694">
        <v>1</v>
      </c>
      <c r="D2095" s="695" t="s">
        <v>3903</v>
      </c>
      <c r="E2095" s="695">
        <v>3</v>
      </c>
      <c r="F2095" s="695" t="s">
        <v>4822</v>
      </c>
      <c r="G2095" s="695">
        <v>5</v>
      </c>
      <c r="H2095" s="695" t="s">
        <v>5320</v>
      </c>
      <c r="I2095" s="695">
        <v>307</v>
      </c>
      <c r="J2095" s="695" t="s">
        <v>5600</v>
      </c>
      <c r="K2095" s="695" t="s">
        <v>8544</v>
      </c>
      <c r="L2095" s="696">
        <v>142</v>
      </c>
      <c r="M2095" s="170"/>
    </row>
    <row r="2096" spans="2:13" x14ac:dyDescent="0.2">
      <c r="B2096" s="173"/>
      <c r="C2096" s="694">
        <v>1</v>
      </c>
      <c r="D2096" s="695" t="s">
        <v>3903</v>
      </c>
      <c r="E2096" s="695">
        <v>3</v>
      </c>
      <c r="F2096" s="695" t="s">
        <v>4822</v>
      </c>
      <c r="G2096" s="695">
        <v>5</v>
      </c>
      <c r="H2096" s="695" t="s">
        <v>5320</v>
      </c>
      <c r="I2096" s="695">
        <v>308</v>
      </c>
      <c r="J2096" s="695" t="s">
        <v>5601</v>
      </c>
      <c r="K2096" s="695" t="s">
        <v>8544</v>
      </c>
      <c r="L2096" s="696">
        <v>3</v>
      </c>
      <c r="M2096" s="170"/>
    </row>
    <row r="2097" spans="2:13" x14ac:dyDescent="0.2">
      <c r="B2097" s="173"/>
      <c r="C2097" s="694">
        <v>1</v>
      </c>
      <c r="D2097" s="695" t="s">
        <v>3903</v>
      </c>
      <c r="E2097" s="695">
        <v>3</v>
      </c>
      <c r="F2097" s="695" t="s">
        <v>4822</v>
      </c>
      <c r="G2097" s="695">
        <v>5</v>
      </c>
      <c r="H2097" s="695" t="s">
        <v>5320</v>
      </c>
      <c r="I2097" s="695">
        <v>309</v>
      </c>
      <c r="J2097" s="695" t="s">
        <v>5588</v>
      </c>
      <c r="K2097" s="695" t="s">
        <v>5322</v>
      </c>
      <c r="L2097" s="696">
        <v>2</v>
      </c>
      <c r="M2097" s="170"/>
    </row>
    <row r="2098" spans="2:13" x14ac:dyDescent="0.2">
      <c r="B2098" s="173"/>
      <c r="C2098" s="694">
        <v>1</v>
      </c>
      <c r="D2098" s="695" t="s">
        <v>3903</v>
      </c>
      <c r="E2098" s="695">
        <v>3</v>
      </c>
      <c r="F2098" s="695" t="s">
        <v>4822</v>
      </c>
      <c r="G2098" s="695">
        <v>5</v>
      </c>
      <c r="H2098" s="695" t="s">
        <v>5320</v>
      </c>
      <c r="I2098" s="695">
        <v>310</v>
      </c>
      <c r="J2098" s="695" t="s">
        <v>5602</v>
      </c>
      <c r="K2098" s="695" t="s">
        <v>3907</v>
      </c>
      <c r="L2098" s="696">
        <v>3</v>
      </c>
      <c r="M2098" s="170"/>
    </row>
    <row r="2099" spans="2:13" x14ac:dyDescent="0.2">
      <c r="B2099" s="173"/>
      <c r="C2099" s="694">
        <v>1</v>
      </c>
      <c r="D2099" s="695" t="s">
        <v>3903</v>
      </c>
      <c r="E2099" s="695">
        <v>3</v>
      </c>
      <c r="F2099" s="695" t="s">
        <v>4822</v>
      </c>
      <c r="G2099" s="695">
        <v>5</v>
      </c>
      <c r="H2099" s="695" t="s">
        <v>5320</v>
      </c>
      <c r="I2099" s="695">
        <v>311</v>
      </c>
      <c r="J2099" s="695" t="s">
        <v>5603</v>
      </c>
      <c r="K2099" s="695" t="s">
        <v>3907</v>
      </c>
      <c r="L2099" s="696">
        <v>39</v>
      </c>
      <c r="M2099" s="170"/>
    </row>
    <row r="2100" spans="2:13" x14ac:dyDescent="0.2">
      <c r="B2100" s="173"/>
      <c r="C2100" s="694">
        <v>1</v>
      </c>
      <c r="D2100" s="695" t="s">
        <v>3903</v>
      </c>
      <c r="E2100" s="695">
        <v>3</v>
      </c>
      <c r="F2100" s="695" t="s">
        <v>4822</v>
      </c>
      <c r="G2100" s="695">
        <v>5</v>
      </c>
      <c r="H2100" s="695" t="s">
        <v>5320</v>
      </c>
      <c r="I2100" s="695">
        <v>312</v>
      </c>
      <c r="J2100" s="695" t="s">
        <v>5604</v>
      </c>
      <c r="K2100" s="695" t="s">
        <v>3907</v>
      </c>
      <c r="L2100" s="696">
        <v>15</v>
      </c>
      <c r="M2100" s="170"/>
    </row>
    <row r="2101" spans="2:13" x14ac:dyDescent="0.2">
      <c r="B2101" s="173"/>
      <c r="C2101" s="694">
        <v>1</v>
      </c>
      <c r="D2101" s="695" t="s">
        <v>3903</v>
      </c>
      <c r="E2101" s="695">
        <v>3</v>
      </c>
      <c r="F2101" s="695" t="s">
        <v>4822</v>
      </c>
      <c r="G2101" s="695">
        <v>5</v>
      </c>
      <c r="H2101" s="695" t="s">
        <v>5320</v>
      </c>
      <c r="I2101" s="695">
        <v>313</v>
      </c>
      <c r="J2101" s="695" t="s">
        <v>5605</v>
      </c>
      <c r="K2101" s="695" t="s">
        <v>3907</v>
      </c>
      <c r="L2101" s="696">
        <v>10</v>
      </c>
      <c r="M2101" s="170"/>
    </row>
    <row r="2102" spans="2:13" x14ac:dyDescent="0.2">
      <c r="B2102" s="173"/>
      <c r="C2102" s="694">
        <v>1</v>
      </c>
      <c r="D2102" s="695" t="s">
        <v>3903</v>
      </c>
      <c r="E2102" s="695">
        <v>3</v>
      </c>
      <c r="F2102" s="695" t="s">
        <v>4822</v>
      </c>
      <c r="G2102" s="695">
        <v>5</v>
      </c>
      <c r="H2102" s="695" t="s">
        <v>5320</v>
      </c>
      <c r="I2102" s="695">
        <v>314</v>
      </c>
      <c r="J2102" s="695" t="s">
        <v>5606</v>
      </c>
      <c r="K2102" s="695" t="s">
        <v>3907</v>
      </c>
      <c r="L2102" s="696">
        <v>34</v>
      </c>
      <c r="M2102" s="170"/>
    </row>
    <row r="2103" spans="2:13" x14ac:dyDescent="0.2">
      <c r="B2103" s="173"/>
      <c r="C2103" s="694">
        <v>1</v>
      </c>
      <c r="D2103" s="695" t="s">
        <v>3903</v>
      </c>
      <c r="E2103" s="695">
        <v>3</v>
      </c>
      <c r="F2103" s="695" t="s">
        <v>4822</v>
      </c>
      <c r="G2103" s="695">
        <v>5</v>
      </c>
      <c r="H2103" s="695" t="s">
        <v>5320</v>
      </c>
      <c r="I2103" s="695">
        <v>315</v>
      </c>
      <c r="J2103" s="695" t="s">
        <v>5607</v>
      </c>
      <c r="K2103" s="695" t="s">
        <v>3907</v>
      </c>
      <c r="L2103" s="696">
        <v>24</v>
      </c>
      <c r="M2103" s="170"/>
    </row>
    <row r="2104" spans="2:13" x14ac:dyDescent="0.2">
      <c r="B2104" s="173"/>
      <c r="C2104" s="694">
        <v>1</v>
      </c>
      <c r="D2104" s="695" t="s">
        <v>3903</v>
      </c>
      <c r="E2104" s="695">
        <v>3</v>
      </c>
      <c r="F2104" s="695" t="s">
        <v>4822</v>
      </c>
      <c r="G2104" s="695">
        <v>5</v>
      </c>
      <c r="H2104" s="695" t="s">
        <v>5320</v>
      </c>
      <c r="I2104" s="695">
        <v>316</v>
      </c>
      <c r="J2104" s="695" t="s">
        <v>5608</v>
      </c>
      <c r="K2104" s="695" t="s">
        <v>3907</v>
      </c>
      <c r="L2104" s="696">
        <v>14</v>
      </c>
      <c r="M2104" s="170"/>
    </row>
    <row r="2105" spans="2:13" x14ac:dyDescent="0.2">
      <c r="B2105" s="173"/>
      <c r="C2105" s="694">
        <v>1</v>
      </c>
      <c r="D2105" s="695" t="s">
        <v>3903</v>
      </c>
      <c r="E2105" s="695">
        <v>3</v>
      </c>
      <c r="F2105" s="695" t="s">
        <v>4822</v>
      </c>
      <c r="G2105" s="695">
        <v>5</v>
      </c>
      <c r="H2105" s="695" t="s">
        <v>5320</v>
      </c>
      <c r="I2105" s="695">
        <v>317</v>
      </c>
      <c r="J2105" s="695" t="s">
        <v>5609</v>
      </c>
      <c r="K2105" s="695" t="s">
        <v>3907</v>
      </c>
      <c r="L2105" s="696">
        <v>4</v>
      </c>
      <c r="M2105" s="170"/>
    </row>
    <row r="2106" spans="2:13" x14ac:dyDescent="0.2">
      <c r="B2106" s="173"/>
      <c r="C2106" s="694">
        <v>1</v>
      </c>
      <c r="D2106" s="695" t="s">
        <v>3903</v>
      </c>
      <c r="E2106" s="695">
        <v>3</v>
      </c>
      <c r="F2106" s="695" t="s">
        <v>4822</v>
      </c>
      <c r="G2106" s="695">
        <v>5</v>
      </c>
      <c r="H2106" s="695" t="s">
        <v>5320</v>
      </c>
      <c r="I2106" s="695">
        <v>318</v>
      </c>
      <c r="J2106" s="695" t="s">
        <v>5610</v>
      </c>
      <c r="K2106" s="695" t="s">
        <v>3907</v>
      </c>
      <c r="L2106" s="696">
        <v>23</v>
      </c>
      <c r="M2106" s="170"/>
    </row>
    <row r="2107" spans="2:13" x14ac:dyDescent="0.2">
      <c r="B2107" s="173"/>
      <c r="C2107" s="694">
        <v>1</v>
      </c>
      <c r="D2107" s="695" t="s">
        <v>3903</v>
      </c>
      <c r="E2107" s="695">
        <v>3</v>
      </c>
      <c r="F2107" s="695" t="s">
        <v>4822</v>
      </c>
      <c r="G2107" s="695">
        <v>5</v>
      </c>
      <c r="H2107" s="695" t="s">
        <v>5320</v>
      </c>
      <c r="I2107" s="695">
        <v>319</v>
      </c>
      <c r="J2107" s="695" t="s">
        <v>5611</v>
      </c>
      <c r="K2107" s="695" t="s">
        <v>3907</v>
      </c>
      <c r="L2107" s="696">
        <v>22</v>
      </c>
      <c r="M2107" s="170"/>
    </row>
    <row r="2108" spans="2:13" x14ac:dyDescent="0.2">
      <c r="B2108" s="173"/>
      <c r="C2108" s="694">
        <v>1</v>
      </c>
      <c r="D2108" s="695" t="s">
        <v>3903</v>
      </c>
      <c r="E2108" s="695">
        <v>3</v>
      </c>
      <c r="F2108" s="695" t="s">
        <v>4822</v>
      </c>
      <c r="G2108" s="695">
        <v>5</v>
      </c>
      <c r="H2108" s="695" t="s">
        <v>5320</v>
      </c>
      <c r="I2108" s="695">
        <v>320</v>
      </c>
      <c r="J2108" s="695" t="s">
        <v>5612</v>
      </c>
      <c r="K2108" s="695" t="s">
        <v>3907</v>
      </c>
      <c r="L2108" s="696">
        <v>69</v>
      </c>
      <c r="M2108" s="170"/>
    </row>
    <row r="2109" spans="2:13" x14ac:dyDescent="0.2">
      <c r="B2109" s="173"/>
      <c r="C2109" s="694">
        <v>1</v>
      </c>
      <c r="D2109" s="695" t="s">
        <v>3903</v>
      </c>
      <c r="E2109" s="695">
        <v>3</v>
      </c>
      <c r="F2109" s="695" t="s">
        <v>4822</v>
      </c>
      <c r="G2109" s="695">
        <v>5</v>
      </c>
      <c r="H2109" s="695" t="s">
        <v>5320</v>
      </c>
      <c r="I2109" s="695">
        <v>321</v>
      </c>
      <c r="J2109" s="695" t="s">
        <v>5613</v>
      </c>
      <c r="K2109" s="695" t="s">
        <v>8544</v>
      </c>
      <c r="L2109" s="696">
        <v>0</v>
      </c>
      <c r="M2109" s="170"/>
    </row>
    <row r="2110" spans="2:13" x14ac:dyDescent="0.2">
      <c r="B2110" s="173"/>
      <c r="C2110" s="694">
        <v>1</v>
      </c>
      <c r="D2110" s="695" t="s">
        <v>3903</v>
      </c>
      <c r="E2110" s="695">
        <v>3</v>
      </c>
      <c r="F2110" s="695" t="s">
        <v>4822</v>
      </c>
      <c r="G2110" s="695">
        <v>5</v>
      </c>
      <c r="H2110" s="695" t="s">
        <v>5320</v>
      </c>
      <c r="I2110" s="695">
        <v>322</v>
      </c>
      <c r="J2110" s="695" t="s">
        <v>5614</v>
      </c>
      <c r="K2110" s="695" t="s">
        <v>8544</v>
      </c>
      <c r="L2110" s="696">
        <v>546</v>
      </c>
      <c r="M2110" s="170"/>
    </row>
    <row r="2111" spans="2:13" x14ac:dyDescent="0.2">
      <c r="B2111" s="173"/>
      <c r="C2111" s="694">
        <v>1</v>
      </c>
      <c r="D2111" s="695" t="s">
        <v>3903</v>
      </c>
      <c r="E2111" s="695">
        <v>3</v>
      </c>
      <c r="F2111" s="695" t="s">
        <v>4822</v>
      </c>
      <c r="G2111" s="695">
        <v>5</v>
      </c>
      <c r="H2111" s="695" t="s">
        <v>5320</v>
      </c>
      <c r="I2111" s="695">
        <v>323</v>
      </c>
      <c r="J2111" s="695" t="s">
        <v>5615</v>
      </c>
      <c r="K2111" s="695" t="s">
        <v>8544</v>
      </c>
      <c r="L2111" s="696">
        <v>6</v>
      </c>
      <c r="M2111" s="170"/>
    </row>
    <row r="2112" spans="2:13" x14ac:dyDescent="0.2">
      <c r="B2112" s="173"/>
      <c r="C2112" s="694">
        <v>1</v>
      </c>
      <c r="D2112" s="695" t="s">
        <v>3903</v>
      </c>
      <c r="E2112" s="695">
        <v>3</v>
      </c>
      <c r="F2112" s="695" t="s">
        <v>4822</v>
      </c>
      <c r="G2112" s="695">
        <v>5</v>
      </c>
      <c r="H2112" s="695" t="s">
        <v>5320</v>
      </c>
      <c r="I2112" s="695">
        <v>324</v>
      </c>
      <c r="J2112" s="695" t="s">
        <v>5616</v>
      </c>
      <c r="K2112" s="695" t="s">
        <v>8544</v>
      </c>
      <c r="L2112" s="696">
        <v>35</v>
      </c>
      <c r="M2112" s="170"/>
    </row>
    <row r="2113" spans="2:13" x14ac:dyDescent="0.2">
      <c r="B2113" s="173"/>
      <c r="C2113" s="694">
        <v>1</v>
      </c>
      <c r="D2113" s="695" t="s">
        <v>3903</v>
      </c>
      <c r="E2113" s="695">
        <v>3</v>
      </c>
      <c r="F2113" s="695" t="s">
        <v>4822</v>
      </c>
      <c r="G2113" s="695">
        <v>5</v>
      </c>
      <c r="H2113" s="695" t="s">
        <v>5320</v>
      </c>
      <c r="I2113" s="695">
        <v>325</v>
      </c>
      <c r="J2113" s="695" t="s">
        <v>5617</v>
      </c>
      <c r="K2113" s="695" t="s">
        <v>8544</v>
      </c>
      <c r="L2113" s="696">
        <v>25</v>
      </c>
      <c r="M2113" s="170"/>
    </row>
    <row r="2114" spans="2:13" x14ac:dyDescent="0.2">
      <c r="B2114" s="173"/>
      <c r="C2114" s="694">
        <v>1</v>
      </c>
      <c r="D2114" s="695" t="s">
        <v>3903</v>
      </c>
      <c r="E2114" s="695">
        <v>3</v>
      </c>
      <c r="F2114" s="695" t="s">
        <v>4822</v>
      </c>
      <c r="G2114" s="695">
        <v>5</v>
      </c>
      <c r="H2114" s="695" t="s">
        <v>5320</v>
      </c>
      <c r="I2114" s="695">
        <v>326</v>
      </c>
      <c r="J2114" s="695" t="s">
        <v>5618</v>
      </c>
      <c r="K2114" s="695" t="s">
        <v>8544</v>
      </c>
      <c r="L2114" s="696">
        <v>16</v>
      </c>
      <c r="M2114" s="170"/>
    </row>
    <row r="2115" spans="2:13" x14ac:dyDescent="0.2">
      <c r="B2115" s="173"/>
      <c r="C2115" s="694">
        <v>1</v>
      </c>
      <c r="D2115" s="695" t="s">
        <v>3903</v>
      </c>
      <c r="E2115" s="695">
        <v>3</v>
      </c>
      <c r="F2115" s="695" t="s">
        <v>4822</v>
      </c>
      <c r="G2115" s="695">
        <v>5</v>
      </c>
      <c r="H2115" s="695" t="s">
        <v>5320</v>
      </c>
      <c r="I2115" s="695">
        <v>327</v>
      </c>
      <c r="J2115" s="695" t="s">
        <v>5619</v>
      </c>
      <c r="K2115" s="695" t="s">
        <v>8544</v>
      </c>
      <c r="L2115" s="696">
        <v>164</v>
      </c>
      <c r="M2115" s="170"/>
    </row>
    <row r="2116" spans="2:13" x14ac:dyDescent="0.2">
      <c r="B2116" s="173"/>
      <c r="C2116" s="694">
        <v>1</v>
      </c>
      <c r="D2116" s="695" t="s">
        <v>3903</v>
      </c>
      <c r="E2116" s="695">
        <v>3</v>
      </c>
      <c r="F2116" s="695" t="s">
        <v>4822</v>
      </c>
      <c r="G2116" s="695">
        <v>5</v>
      </c>
      <c r="H2116" s="695" t="s">
        <v>5320</v>
      </c>
      <c r="I2116" s="695">
        <v>328</v>
      </c>
      <c r="J2116" s="695" t="s">
        <v>5620</v>
      </c>
      <c r="K2116" s="695" t="s">
        <v>8544</v>
      </c>
      <c r="L2116" s="696">
        <v>6</v>
      </c>
      <c r="M2116" s="170"/>
    </row>
    <row r="2117" spans="2:13" x14ac:dyDescent="0.2">
      <c r="B2117" s="173"/>
      <c r="C2117" s="694">
        <v>1</v>
      </c>
      <c r="D2117" s="695" t="s">
        <v>3903</v>
      </c>
      <c r="E2117" s="695">
        <v>3</v>
      </c>
      <c r="F2117" s="695" t="s">
        <v>4822</v>
      </c>
      <c r="G2117" s="695">
        <v>5</v>
      </c>
      <c r="H2117" s="695" t="s">
        <v>5320</v>
      </c>
      <c r="I2117" s="695">
        <v>329</v>
      </c>
      <c r="J2117" s="695" t="s">
        <v>5621</v>
      </c>
      <c r="K2117" s="695" t="s">
        <v>8544</v>
      </c>
      <c r="L2117" s="696">
        <v>15</v>
      </c>
      <c r="M2117" s="170"/>
    </row>
    <row r="2118" spans="2:13" x14ac:dyDescent="0.2">
      <c r="B2118" s="173"/>
      <c r="C2118" s="694">
        <v>1</v>
      </c>
      <c r="D2118" s="695" t="s">
        <v>3903</v>
      </c>
      <c r="E2118" s="695">
        <v>3</v>
      </c>
      <c r="F2118" s="695" t="s">
        <v>4822</v>
      </c>
      <c r="G2118" s="695">
        <v>5</v>
      </c>
      <c r="H2118" s="695" t="s">
        <v>5320</v>
      </c>
      <c r="I2118" s="695">
        <v>330</v>
      </c>
      <c r="J2118" s="695" t="s">
        <v>5622</v>
      </c>
      <c r="K2118" s="695" t="s">
        <v>8544</v>
      </c>
      <c r="L2118" s="696">
        <v>30</v>
      </c>
      <c r="M2118" s="170"/>
    </row>
    <row r="2119" spans="2:13" x14ac:dyDescent="0.2">
      <c r="B2119" s="173"/>
      <c r="C2119" s="694">
        <v>1</v>
      </c>
      <c r="D2119" s="695" t="s">
        <v>3903</v>
      </c>
      <c r="E2119" s="695">
        <v>3</v>
      </c>
      <c r="F2119" s="695" t="s">
        <v>4822</v>
      </c>
      <c r="G2119" s="695">
        <v>5</v>
      </c>
      <c r="H2119" s="695" t="s">
        <v>5320</v>
      </c>
      <c r="I2119" s="695">
        <v>331</v>
      </c>
      <c r="J2119" s="695" t="s">
        <v>5623</v>
      </c>
      <c r="K2119" s="695" t="s">
        <v>8544</v>
      </c>
      <c r="L2119" s="696">
        <v>5</v>
      </c>
      <c r="M2119" s="170"/>
    </row>
    <row r="2120" spans="2:13" x14ac:dyDescent="0.2">
      <c r="B2120" s="173"/>
      <c r="C2120" s="694">
        <v>1</v>
      </c>
      <c r="D2120" s="695" t="s">
        <v>3903</v>
      </c>
      <c r="E2120" s="695">
        <v>3</v>
      </c>
      <c r="F2120" s="695" t="s">
        <v>4822</v>
      </c>
      <c r="G2120" s="695">
        <v>5</v>
      </c>
      <c r="H2120" s="695" t="s">
        <v>5320</v>
      </c>
      <c r="I2120" s="695">
        <v>332</v>
      </c>
      <c r="J2120" s="695" t="s">
        <v>5624</v>
      </c>
      <c r="K2120" s="695" t="s">
        <v>8544</v>
      </c>
      <c r="L2120" s="696">
        <v>2</v>
      </c>
      <c r="M2120" s="170"/>
    </row>
    <row r="2121" spans="2:13" x14ac:dyDescent="0.2">
      <c r="B2121" s="173"/>
      <c r="C2121" s="694">
        <v>1</v>
      </c>
      <c r="D2121" s="695" t="s">
        <v>3903</v>
      </c>
      <c r="E2121" s="695">
        <v>3</v>
      </c>
      <c r="F2121" s="695" t="s">
        <v>4822</v>
      </c>
      <c r="G2121" s="695">
        <v>5</v>
      </c>
      <c r="H2121" s="695" t="s">
        <v>5320</v>
      </c>
      <c r="I2121" s="695">
        <v>333</v>
      </c>
      <c r="J2121" s="695" t="s">
        <v>5625</v>
      </c>
      <c r="K2121" s="695" t="s">
        <v>8544</v>
      </c>
      <c r="L2121" s="696">
        <v>67</v>
      </c>
      <c r="M2121" s="170"/>
    </row>
    <row r="2122" spans="2:13" x14ac:dyDescent="0.2">
      <c r="B2122" s="173"/>
      <c r="C2122" s="694">
        <v>1</v>
      </c>
      <c r="D2122" s="695" t="s">
        <v>3903</v>
      </c>
      <c r="E2122" s="695">
        <v>3</v>
      </c>
      <c r="F2122" s="695" t="s">
        <v>4822</v>
      </c>
      <c r="G2122" s="695">
        <v>5</v>
      </c>
      <c r="H2122" s="695" t="s">
        <v>5320</v>
      </c>
      <c r="I2122" s="695">
        <v>334</v>
      </c>
      <c r="J2122" s="695" t="s">
        <v>5626</v>
      </c>
      <c r="K2122" s="695" t="s">
        <v>8544</v>
      </c>
      <c r="L2122" s="696">
        <v>77</v>
      </c>
      <c r="M2122" s="170"/>
    </row>
    <row r="2123" spans="2:13" x14ac:dyDescent="0.2">
      <c r="B2123" s="173"/>
      <c r="C2123" s="694">
        <v>1</v>
      </c>
      <c r="D2123" s="695" t="s">
        <v>3903</v>
      </c>
      <c r="E2123" s="695">
        <v>3</v>
      </c>
      <c r="F2123" s="695" t="s">
        <v>4822</v>
      </c>
      <c r="G2123" s="695">
        <v>5</v>
      </c>
      <c r="H2123" s="695" t="s">
        <v>5320</v>
      </c>
      <c r="I2123" s="695">
        <v>335</v>
      </c>
      <c r="J2123" s="695" t="s">
        <v>5627</v>
      </c>
      <c r="K2123" s="695" t="s">
        <v>8544</v>
      </c>
      <c r="L2123" s="696">
        <v>19</v>
      </c>
      <c r="M2123" s="170"/>
    </row>
    <row r="2124" spans="2:13" x14ac:dyDescent="0.2">
      <c r="B2124" s="173"/>
      <c r="C2124" s="694">
        <v>1</v>
      </c>
      <c r="D2124" s="695" t="s">
        <v>3903</v>
      </c>
      <c r="E2124" s="695">
        <v>3</v>
      </c>
      <c r="F2124" s="695" t="s">
        <v>4822</v>
      </c>
      <c r="G2124" s="695">
        <v>5</v>
      </c>
      <c r="H2124" s="695" t="s">
        <v>5320</v>
      </c>
      <c r="I2124" s="695">
        <v>336</v>
      </c>
      <c r="J2124" s="695" t="s">
        <v>5628</v>
      </c>
      <c r="K2124" s="695" t="s">
        <v>8544</v>
      </c>
      <c r="L2124" s="696">
        <v>1</v>
      </c>
      <c r="M2124" s="170"/>
    </row>
    <row r="2125" spans="2:13" x14ac:dyDescent="0.2">
      <c r="B2125" s="173"/>
      <c r="C2125" s="694">
        <v>1</v>
      </c>
      <c r="D2125" s="695" t="s">
        <v>3903</v>
      </c>
      <c r="E2125" s="695">
        <v>3</v>
      </c>
      <c r="F2125" s="695" t="s">
        <v>4822</v>
      </c>
      <c r="G2125" s="695">
        <v>5</v>
      </c>
      <c r="H2125" s="695" t="s">
        <v>5320</v>
      </c>
      <c r="I2125" s="695">
        <v>337</v>
      </c>
      <c r="J2125" s="695" t="s">
        <v>5629</v>
      </c>
      <c r="K2125" s="695" t="s">
        <v>8544</v>
      </c>
      <c r="L2125" s="696">
        <v>10</v>
      </c>
      <c r="M2125" s="170"/>
    </row>
    <row r="2126" spans="2:13" x14ac:dyDescent="0.2">
      <c r="B2126" s="173"/>
      <c r="C2126" s="694">
        <v>1</v>
      </c>
      <c r="D2126" s="695" t="s">
        <v>3903</v>
      </c>
      <c r="E2126" s="695">
        <v>3</v>
      </c>
      <c r="F2126" s="695" t="s">
        <v>4822</v>
      </c>
      <c r="G2126" s="695">
        <v>5</v>
      </c>
      <c r="H2126" s="695" t="s">
        <v>5320</v>
      </c>
      <c r="I2126" s="695">
        <v>338</v>
      </c>
      <c r="J2126" s="695" t="s">
        <v>5630</v>
      </c>
      <c r="K2126" s="695" t="s">
        <v>8544</v>
      </c>
      <c r="L2126" s="696">
        <v>27</v>
      </c>
      <c r="M2126" s="170"/>
    </row>
    <row r="2127" spans="2:13" x14ac:dyDescent="0.2">
      <c r="B2127" s="173"/>
      <c r="C2127" s="694">
        <v>1</v>
      </c>
      <c r="D2127" s="695" t="s">
        <v>3903</v>
      </c>
      <c r="E2127" s="695">
        <v>3</v>
      </c>
      <c r="F2127" s="695" t="s">
        <v>4822</v>
      </c>
      <c r="G2127" s="695">
        <v>5</v>
      </c>
      <c r="H2127" s="695" t="s">
        <v>5320</v>
      </c>
      <c r="I2127" s="695">
        <v>339</v>
      </c>
      <c r="J2127" s="695" t="s">
        <v>5631</v>
      </c>
      <c r="K2127" s="695" t="s">
        <v>8544</v>
      </c>
      <c r="L2127" s="696">
        <v>30</v>
      </c>
      <c r="M2127" s="170"/>
    </row>
    <row r="2128" spans="2:13" x14ac:dyDescent="0.2">
      <c r="B2128" s="173"/>
      <c r="C2128" s="694">
        <v>1</v>
      </c>
      <c r="D2128" s="695" t="s">
        <v>3903</v>
      </c>
      <c r="E2128" s="695">
        <v>3</v>
      </c>
      <c r="F2128" s="695" t="s">
        <v>4822</v>
      </c>
      <c r="G2128" s="695">
        <v>5</v>
      </c>
      <c r="H2128" s="695" t="s">
        <v>5320</v>
      </c>
      <c r="I2128" s="695">
        <v>340</v>
      </c>
      <c r="J2128" s="695" t="s">
        <v>5632</v>
      </c>
      <c r="K2128" s="695" t="s">
        <v>8544</v>
      </c>
      <c r="L2128" s="696">
        <v>42</v>
      </c>
      <c r="M2128" s="170"/>
    </row>
    <row r="2129" spans="2:13" x14ac:dyDescent="0.2">
      <c r="B2129" s="173"/>
      <c r="C2129" s="694">
        <v>1</v>
      </c>
      <c r="D2129" s="695" t="s">
        <v>3903</v>
      </c>
      <c r="E2129" s="695">
        <v>3</v>
      </c>
      <c r="F2129" s="695" t="s">
        <v>4822</v>
      </c>
      <c r="G2129" s="695">
        <v>5</v>
      </c>
      <c r="H2129" s="695" t="s">
        <v>5320</v>
      </c>
      <c r="I2129" s="695">
        <v>341</v>
      </c>
      <c r="J2129" s="695" t="s">
        <v>5633</v>
      </c>
      <c r="K2129" s="695" t="s">
        <v>8544</v>
      </c>
      <c r="L2129" s="696">
        <v>7</v>
      </c>
      <c r="M2129" s="170"/>
    </row>
    <row r="2130" spans="2:13" x14ac:dyDescent="0.2">
      <c r="B2130" s="173"/>
      <c r="C2130" s="694">
        <v>1</v>
      </c>
      <c r="D2130" s="695" t="s">
        <v>3903</v>
      </c>
      <c r="E2130" s="695">
        <v>3</v>
      </c>
      <c r="F2130" s="695" t="s">
        <v>4822</v>
      </c>
      <c r="G2130" s="695">
        <v>5</v>
      </c>
      <c r="H2130" s="695" t="s">
        <v>5320</v>
      </c>
      <c r="I2130" s="695">
        <v>342</v>
      </c>
      <c r="J2130" s="695" t="s">
        <v>5620</v>
      </c>
      <c r="K2130" s="695" t="s">
        <v>8544</v>
      </c>
      <c r="L2130" s="696">
        <v>8</v>
      </c>
      <c r="M2130" s="170"/>
    </row>
    <row r="2131" spans="2:13" x14ac:dyDescent="0.2">
      <c r="B2131" s="173"/>
      <c r="C2131" s="694">
        <v>1</v>
      </c>
      <c r="D2131" s="695" t="s">
        <v>3903</v>
      </c>
      <c r="E2131" s="695">
        <v>3</v>
      </c>
      <c r="F2131" s="695" t="s">
        <v>4822</v>
      </c>
      <c r="G2131" s="695">
        <v>5</v>
      </c>
      <c r="H2131" s="695" t="s">
        <v>5320</v>
      </c>
      <c r="I2131" s="695">
        <v>343</v>
      </c>
      <c r="J2131" s="695" t="s">
        <v>5634</v>
      </c>
      <c r="K2131" s="695" t="s">
        <v>8544</v>
      </c>
      <c r="L2131" s="696">
        <v>7</v>
      </c>
      <c r="M2131" s="170"/>
    </row>
    <row r="2132" spans="2:13" x14ac:dyDescent="0.2">
      <c r="B2132" s="173"/>
      <c r="C2132" s="694">
        <v>1</v>
      </c>
      <c r="D2132" s="695" t="s">
        <v>3903</v>
      </c>
      <c r="E2132" s="695">
        <v>3</v>
      </c>
      <c r="F2132" s="695" t="s">
        <v>4822</v>
      </c>
      <c r="G2132" s="695">
        <v>5</v>
      </c>
      <c r="H2132" s="695" t="s">
        <v>5320</v>
      </c>
      <c r="I2132" s="695">
        <v>344</v>
      </c>
      <c r="J2132" s="695" t="s">
        <v>5635</v>
      </c>
      <c r="K2132" s="695" t="s">
        <v>8544</v>
      </c>
      <c r="L2132" s="696">
        <v>3</v>
      </c>
      <c r="M2132" s="170"/>
    </row>
    <row r="2133" spans="2:13" x14ac:dyDescent="0.2">
      <c r="B2133" s="173"/>
      <c r="C2133" s="694">
        <v>1</v>
      </c>
      <c r="D2133" s="695" t="s">
        <v>3903</v>
      </c>
      <c r="E2133" s="695">
        <v>3</v>
      </c>
      <c r="F2133" s="695" t="s">
        <v>4822</v>
      </c>
      <c r="G2133" s="695">
        <v>5</v>
      </c>
      <c r="H2133" s="695" t="s">
        <v>5320</v>
      </c>
      <c r="I2133" s="695">
        <v>345</v>
      </c>
      <c r="J2133" s="695" t="s">
        <v>5636</v>
      </c>
      <c r="K2133" s="695" t="s">
        <v>8544</v>
      </c>
      <c r="L2133" s="696">
        <v>22</v>
      </c>
      <c r="M2133" s="170"/>
    </row>
    <row r="2134" spans="2:13" x14ac:dyDescent="0.2">
      <c r="B2134" s="173"/>
      <c r="C2134" s="694">
        <v>1</v>
      </c>
      <c r="D2134" s="695" t="s">
        <v>3903</v>
      </c>
      <c r="E2134" s="695">
        <v>3</v>
      </c>
      <c r="F2134" s="695" t="s">
        <v>4822</v>
      </c>
      <c r="G2134" s="695">
        <v>5</v>
      </c>
      <c r="H2134" s="695" t="s">
        <v>5320</v>
      </c>
      <c r="I2134" s="695">
        <v>346</v>
      </c>
      <c r="J2134" s="695" t="s">
        <v>5637</v>
      </c>
      <c r="K2134" s="695" t="s">
        <v>8544</v>
      </c>
      <c r="L2134" s="696">
        <v>24</v>
      </c>
      <c r="M2134" s="170"/>
    </row>
    <row r="2135" spans="2:13" x14ac:dyDescent="0.2">
      <c r="B2135" s="173"/>
      <c r="C2135" s="694">
        <v>1</v>
      </c>
      <c r="D2135" s="695" t="s">
        <v>3903</v>
      </c>
      <c r="E2135" s="695">
        <v>3</v>
      </c>
      <c r="F2135" s="695" t="s">
        <v>4822</v>
      </c>
      <c r="G2135" s="695">
        <v>5</v>
      </c>
      <c r="H2135" s="695" t="s">
        <v>5320</v>
      </c>
      <c r="I2135" s="695">
        <v>347</v>
      </c>
      <c r="J2135" s="695" t="s">
        <v>5638</v>
      </c>
      <c r="K2135" s="695" t="s">
        <v>8544</v>
      </c>
      <c r="L2135" s="696">
        <v>3</v>
      </c>
      <c r="M2135" s="170"/>
    </row>
    <row r="2136" spans="2:13" x14ac:dyDescent="0.2">
      <c r="B2136" s="173"/>
      <c r="C2136" s="694">
        <v>1</v>
      </c>
      <c r="D2136" s="695" t="s">
        <v>3903</v>
      </c>
      <c r="E2136" s="695">
        <v>3</v>
      </c>
      <c r="F2136" s="695" t="s">
        <v>4822</v>
      </c>
      <c r="G2136" s="695">
        <v>5</v>
      </c>
      <c r="H2136" s="695" t="s">
        <v>5320</v>
      </c>
      <c r="I2136" s="695">
        <v>348</v>
      </c>
      <c r="J2136" s="695" t="s">
        <v>5639</v>
      </c>
      <c r="K2136" s="695" t="s">
        <v>8544</v>
      </c>
      <c r="L2136" s="696">
        <v>1</v>
      </c>
      <c r="M2136" s="170"/>
    </row>
    <row r="2137" spans="2:13" x14ac:dyDescent="0.2">
      <c r="B2137" s="173"/>
      <c r="C2137" s="694">
        <v>1</v>
      </c>
      <c r="D2137" s="695" t="s">
        <v>3903</v>
      </c>
      <c r="E2137" s="695">
        <v>3</v>
      </c>
      <c r="F2137" s="695" t="s">
        <v>4822</v>
      </c>
      <c r="G2137" s="695">
        <v>5</v>
      </c>
      <c r="H2137" s="695" t="s">
        <v>5320</v>
      </c>
      <c r="I2137" s="695">
        <v>349</v>
      </c>
      <c r="J2137" s="695" t="s">
        <v>5640</v>
      </c>
      <c r="K2137" s="695" t="s">
        <v>4045</v>
      </c>
      <c r="L2137" s="696">
        <v>65</v>
      </c>
      <c r="M2137" s="170"/>
    </row>
    <row r="2138" spans="2:13" x14ac:dyDescent="0.2">
      <c r="B2138" s="173"/>
      <c r="C2138" s="694">
        <v>1</v>
      </c>
      <c r="D2138" s="695" t="s">
        <v>3903</v>
      </c>
      <c r="E2138" s="695">
        <v>3</v>
      </c>
      <c r="F2138" s="695" t="s">
        <v>4822</v>
      </c>
      <c r="G2138" s="695">
        <v>5</v>
      </c>
      <c r="H2138" s="695" t="s">
        <v>5320</v>
      </c>
      <c r="I2138" s="695">
        <v>350</v>
      </c>
      <c r="J2138" s="695" t="s">
        <v>5641</v>
      </c>
      <c r="K2138" s="695" t="s">
        <v>4045</v>
      </c>
      <c r="L2138" s="696">
        <v>43</v>
      </c>
      <c r="M2138" s="170"/>
    </row>
    <row r="2139" spans="2:13" x14ac:dyDescent="0.2">
      <c r="B2139" s="173"/>
      <c r="C2139" s="694">
        <v>1</v>
      </c>
      <c r="D2139" s="695" t="s">
        <v>3903</v>
      </c>
      <c r="E2139" s="695">
        <v>3</v>
      </c>
      <c r="F2139" s="695" t="s">
        <v>4822</v>
      </c>
      <c r="G2139" s="695">
        <v>5</v>
      </c>
      <c r="H2139" s="695" t="s">
        <v>5320</v>
      </c>
      <c r="I2139" s="695">
        <v>351</v>
      </c>
      <c r="J2139" s="695" t="s">
        <v>5642</v>
      </c>
      <c r="K2139" s="695" t="s">
        <v>8544</v>
      </c>
      <c r="L2139" s="696">
        <v>8</v>
      </c>
      <c r="M2139" s="170"/>
    </row>
    <row r="2140" spans="2:13" x14ac:dyDescent="0.2">
      <c r="B2140" s="173"/>
      <c r="C2140" s="694">
        <v>1</v>
      </c>
      <c r="D2140" s="695" t="s">
        <v>3903</v>
      </c>
      <c r="E2140" s="695">
        <v>3</v>
      </c>
      <c r="F2140" s="695" t="s">
        <v>4822</v>
      </c>
      <c r="G2140" s="695">
        <v>5</v>
      </c>
      <c r="H2140" s="695" t="s">
        <v>5320</v>
      </c>
      <c r="I2140" s="695">
        <v>352</v>
      </c>
      <c r="J2140" s="695" t="s">
        <v>8878</v>
      </c>
      <c r="K2140" s="695" t="s">
        <v>8544</v>
      </c>
      <c r="L2140" s="696">
        <v>5</v>
      </c>
      <c r="M2140" s="170"/>
    </row>
    <row r="2141" spans="2:13" x14ac:dyDescent="0.2">
      <c r="B2141" s="173"/>
      <c r="C2141" s="694">
        <v>1</v>
      </c>
      <c r="D2141" s="695" t="s">
        <v>3903</v>
      </c>
      <c r="E2141" s="695">
        <v>3</v>
      </c>
      <c r="F2141" s="695" t="s">
        <v>4822</v>
      </c>
      <c r="G2141" s="695">
        <v>5</v>
      </c>
      <c r="H2141" s="695" t="s">
        <v>5320</v>
      </c>
      <c r="I2141" s="695">
        <v>353</v>
      </c>
      <c r="J2141" s="695" t="s">
        <v>5643</v>
      </c>
      <c r="K2141" s="695" t="s">
        <v>8544</v>
      </c>
      <c r="L2141" s="696">
        <v>3</v>
      </c>
      <c r="M2141" s="170"/>
    </row>
    <row r="2142" spans="2:13" x14ac:dyDescent="0.2">
      <c r="B2142" s="173"/>
      <c r="C2142" s="694">
        <v>1</v>
      </c>
      <c r="D2142" s="695" t="s">
        <v>3903</v>
      </c>
      <c r="E2142" s="695">
        <v>3</v>
      </c>
      <c r="F2142" s="695" t="s">
        <v>4822</v>
      </c>
      <c r="G2142" s="695">
        <v>5</v>
      </c>
      <c r="H2142" s="695" t="s">
        <v>5320</v>
      </c>
      <c r="I2142" s="695">
        <v>354</v>
      </c>
      <c r="J2142" s="695" t="s">
        <v>5644</v>
      </c>
      <c r="K2142" s="695" t="s">
        <v>8544</v>
      </c>
      <c r="L2142" s="696">
        <v>16</v>
      </c>
      <c r="M2142" s="170"/>
    </row>
    <row r="2143" spans="2:13" x14ac:dyDescent="0.2">
      <c r="B2143" s="173"/>
      <c r="C2143" s="694">
        <v>1</v>
      </c>
      <c r="D2143" s="695" t="s">
        <v>3903</v>
      </c>
      <c r="E2143" s="695">
        <v>3</v>
      </c>
      <c r="F2143" s="695" t="s">
        <v>4822</v>
      </c>
      <c r="G2143" s="695">
        <v>5</v>
      </c>
      <c r="H2143" s="695" t="s">
        <v>5320</v>
      </c>
      <c r="I2143" s="695">
        <v>355</v>
      </c>
      <c r="J2143" s="695" t="s">
        <v>5645</v>
      </c>
      <c r="K2143" s="695" t="s">
        <v>8544</v>
      </c>
      <c r="L2143" s="696">
        <v>5</v>
      </c>
      <c r="M2143" s="170"/>
    </row>
    <row r="2144" spans="2:13" x14ac:dyDescent="0.2">
      <c r="B2144" s="173"/>
      <c r="C2144" s="694">
        <v>1</v>
      </c>
      <c r="D2144" s="695" t="s">
        <v>3903</v>
      </c>
      <c r="E2144" s="695">
        <v>3</v>
      </c>
      <c r="F2144" s="695" t="s">
        <v>4822</v>
      </c>
      <c r="G2144" s="695">
        <v>5</v>
      </c>
      <c r="H2144" s="695" t="s">
        <v>5320</v>
      </c>
      <c r="I2144" s="695">
        <v>356</v>
      </c>
      <c r="J2144" s="695" t="s">
        <v>5646</v>
      </c>
      <c r="K2144" s="695" t="s">
        <v>8544</v>
      </c>
      <c r="L2144" s="696">
        <v>10</v>
      </c>
      <c r="M2144" s="170"/>
    </row>
    <row r="2145" spans="2:13" x14ac:dyDescent="0.2">
      <c r="B2145" s="173"/>
      <c r="C2145" s="694">
        <v>1</v>
      </c>
      <c r="D2145" s="695" t="s">
        <v>3903</v>
      </c>
      <c r="E2145" s="695">
        <v>3</v>
      </c>
      <c r="F2145" s="695" t="s">
        <v>4822</v>
      </c>
      <c r="G2145" s="695">
        <v>5</v>
      </c>
      <c r="H2145" s="695" t="s">
        <v>5320</v>
      </c>
      <c r="I2145" s="695">
        <v>357</v>
      </c>
      <c r="J2145" s="695" t="s">
        <v>5647</v>
      </c>
      <c r="K2145" s="695" t="s">
        <v>8544</v>
      </c>
      <c r="L2145" s="696">
        <v>23</v>
      </c>
      <c r="M2145" s="170"/>
    </row>
    <row r="2146" spans="2:13" x14ac:dyDescent="0.2">
      <c r="B2146" s="173"/>
      <c r="C2146" s="694">
        <v>1</v>
      </c>
      <c r="D2146" s="695" t="s">
        <v>3903</v>
      </c>
      <c r="E2146" s="695">
        <v>3</v>
      </c>
      <c r="F2146" s="695" t="s">
        <v>4822</v>
      </c>
      <c r="G2146" s="695">
        <v>5</v>
      </c>
      <c r="H2146" s="695" t="s">
        <v>5320</v>
      </c>
      <c r="I2146" s="695">
        <v>358</v>
      </c>
      <c r="J2146" s="695" t="s">
        <v>5648</v>
      </c>
      <c r="K2146" s="695" t="s">
        <v>8544</v>
      </c>
      <c r="L2146" s="696">
        <v>38</v>
      </c>
      <c r="M2146" s="170"/>
    </row>
    <row r="2147" spans="2:13" x14ac:dyDescent="0.2">
      <c r="B2147" s="173"/>
      <c r="C2147" s="694">
        <v>1</v>
      </c>
      <c r="D2147" s="695" t="s">
        <v>3903</v>
      </c>
      <c r="E2147" s="695">
        <v>3</v>
      </c>
      <c r="F2147" s="695" t="s">
        <v>4822</v>
      </c>
      <c r="G2147" s="695">
        <v>5</v>
      </c>
      <c r="H2147" s="695" t="s">
        <v>5320</v>
      </c>
      <c r="I2147" s="695">
        <v>359</v>
      </c>
      <c r="J2147" s="695" t="s">
        <v>5649</v>
      </c>
      <c r="K2147" s="695" t="s">
        <v>8544</v>
      </c>
      <c r="L2147" s="696">
        <v>29</v>
      </c>
      <c r="M2147" s="170"/>
    </row>
    <row r="2148" spans="2:13" x14ac:dyDescent="0.2">
      <c r="B2148" s="173"/>
      <c r="C2148" s="694">
        <v>1</v>
      </c>
      <c r="D2148" s="695" t="s">
        <v>3903</v>
      </c>
      <c r="E2148" s="695">
        <v>3</v>
      </c>
      <c r="F2148" s="695" t="s">
        <v>4822</v>
      </c>
      <c r="G2148" s="695">
        <v>5</v>
      </c>
      <c r="H2148" s="695" t="s">
        <v>5320</v>
      </c>
      <c r="I2148" s="695">
        <v>360</v>
      </c>
      <c r="J2148" s="695" t="s">
        <v>5650</v>
      </c>
      <c r="K2148" s="695" t="s">
        <v>8544</v>
      </c>
      <c r="L2148" s="696">
        <v>1</v>
      </c>
      <c r="M2148" s="170"/>
    </row>
    <row r="2149" spans="2:13" x14ac:dyDescent="0.2">
      <c r="B2149" s="173"/>
      <c r="C2149" s="694">
        <v>1</v>
      </c>
      <c r="D2149" s="695" t="s">
        <v>3903</v>
      </c>
      <c r="E2149" s="695">
        <v>3</v>
      </c>
      <c r="F2149" s="695" t="s">
        <v>4822</v>
      </c>
      <c r="G2149" s="695">
        <v>5</v>
      </c>
      <c r="H2149" s="695" t="s">
        <v>5320</v>
      </c>
      <c r="I2149" s="695">
        <v>361</v>
      </c>
      <c r="J2149" s="695" t="s">
        <v>5651</v>
      </c>
      <c r="K2149" s="695" t="s">
        <v>8544</v>
      </c>
      <c r="L2149" s="696">
        <v>18</v>
      </c>
      <c r="M2149" s="170"/>
    </row>
    <row r="2150" spans="2:13" x14ac:dyDescent="0.2">
      <c r="B2150" s="173"/>
      <c r="C2150" s="694">
        <v>1</v>
      </c>
      <c r="D2150" s="695" t="s">
        <v>3903</v>
      </c>
      <c r="E2150" s="695">
        <v>3</v>
      </c>
      <c r="F2150" s="695" t="s">
        <v>4822</v>
      </c>
      <c r="G2150" s="695">
        <v>5</v>
      </c>
      <c r="H2150" s="695" t="s">
        <v>5320</v>
      </c>
      <c r="I2150" s="695">
        <v>362</v>
      </c>
      <c r="J2150" s="695" t="s">
        <v>5652</v>
      </c>
      <c r="K2150" s="695" t="s">
        <v>8544</v>
      </c>
      <c r="L2150" s="696">
        <v>37</v>
      </c>
      <c r="M2150" s="170"/>
    </row>
    <row r="2151" spans="2:13" x14ac:dyDescent="0.2">
      <c r="B2151" s="173"/>
      <c r="C2151" s="694">
        <v>1</v>
      </c>
      <c r="D2151" s="695" t="s">
        <v>3903</v>
      </c>
      <c r="E2151" s="695">
        <v>3</v>
      </c>
      <c r="F2151" s="695" t="s">
        <v>4822</v>
      </c>
      <c r="G2151" s="695">
        <v>5</v>
      </c>
      <c r="H2151" s="695" t="s">
        <v>5320</v>
      </c>
      <c r="I2151" s="695">
        <v>363</v>
      </c>
      <c r="J2151" s="695" t="s">
        <v>5653</v>
      </c>
      <c r="K2151" s="695" t="s">
        <v>8544</v>
      </c>
      <c r="L2151" s="696">
        <v>3</v>
      </c>
      <c r="M2151" s="170"/>
    </row>
    <row r="2152" spans="2:13" x14ac:dyDescent="0.2">
      <c r="B2152" s="173"/>
      <c r="C2152" s="694">
        <v>1</v>
      </c>
      <c r="D2152" s="695" t="s">
        <v>3903</v>
      </c>
      <c r="E2152" s="695">
        <v>3</v>
      </c>
      <c r="F2152" s="695" t="s">
        <v>4822</v>
      </c>
      <c r="G2152" s="695">
        <v>5</v>
      </c>
      <c r="H2152" s="695" t="s">
        <v>5320</v>
      </c>
      <c r="I2152" s="695">
        <v>364</v>
      </c>
      <c r="J2152" s="695" t="s">
        <v>5654</v>
      </c>
      <c r="K2152" s="695" t="s">
        <v>5322</v>
      </c>
      <c r="L2152" s="696">
        <v>59</v>
      </c>
      <c r="M2152" s="170"/>
    </row>
    <row r="2153" spans="2:13" x14ac:dyDescent="0.2">
      <c r="B2153" s="173"/>
      <c r="C2153" s="694">
        <v>1</v>
      </c>
      <c r="D2153" s="695" t="s">
        <v>3903</v>
      </c>
      <c r="E2153" s="695">
        <v>3</v>
      </c>
      <c r="F2153" s="695" t="s">
        <v>4822</v>
      </c>
      <c r="G2153" s="695">
        <v>5</v>
      </c>
      <c r="H2153" s="695" t="s">
        <v>5320</v>
      </c>
      <c r="I2153" s="695">
        <v>365</v>
      </c>
      <c r="J2153" s="695" t="s">
        <v>5655</v>
      </c>
      <c r="K2153" s="695" t="s">
        <v>8544</v>
      </c>
      <c r="L2153" s="696">
        <v>211</v>
      </c>
      <c r="M2153" s="170"/>
    </row>
    <row r="2154" spans="2:13" x14ac:dyDescent="0.2">
      <c r="B2154" s="173"/>
      <c r="C2154" s="694">
        <v>1</v>
      </c>
      <c r="D2154" s="695" t="s">
        <v>3903</v>
      </c>
      <c r="E2154" s="695">
        <v>3</v>
      </c>
      <c r="F2154" s="695" t="s">
        <v>4822</v>
      </c>
      <c r="G2154" s="695">
        <v>5</v>
      </c>
      <c r="H2154" s="695" t="s">
        <v>5320</v>
      </c>
      <c r="I2154" s="695">
        <v>366</v>
      </c>
      <c r="J2154" s="695" t="s">
        <v>5656</v>
      </c>
      <c r="K2154" s="695" t="s">
        <v>8544</v>
      </c>
      <c r="L2154" s="696">
        <v>11</v>
      </c>
      <c r="M2154" s="170"/>
    </row>
    <row r="2155" spans="2:13" x14ac:dyDescent="0.2">
      <c r="B2155" s="173"/>
      <c r="C2155" s="694">
        <v>1</v>
      </c>
      <c r="D2155" s="695" t="s">
        <v>3903</v>
      </c>
      <c r="E2155" s="695">
        <v>3</v>
      </c>
      <c r="F2155" s="695" t="s">
        <v>4822</v>
      </c>
      <c r="G2155" s="695">
        <v>5</v>
      </c>
      <c r="H2155" s="695" t="s">
        <v>5320</v>
      </c>
      <c r="I2155" s="695">
        <v>367</v>
      </c>
      <c r="J2155" s="695" t="s">
        <v>5657</v>
      </c>
      <c r="K2155" s="695" t="s">
        <v>8544</v>
      </c>
      <c r="L2155" s="696">
        <v>15</v>
      </c>
      <c r="M2155" s="170"/>
    </row>
    <row r="2156" spans="2:13" x14ac:dyDescent="0.2">
      <c r="B2156" s="173"/>
      <c r="C2156" s="694">
        <v>1</v>
      </c>
      <c r="D2156" s="695" t="s">
        <v>3903</v>
      </c>
      <c r="E2156" s="695">
        <v>3</v>
      </c>
      <c r="F2156" s="695" t="s">
        <v>4822</v>
      </c>
      <c r="G2156" s="695">
        <v>5</v>
      </c>
      <c r="H2156" s="695" t="s">
        <v>5320</v>
      </c>
      <c r="I2156" s="695">
        <v>368</v>
      </c>
      <c r="J2156" s="695" t="s">
        <v>5658</v>
      </c>
      <c r="K2156" s="695" t="s">
        <v>8544</v>
      </c>
      <c r="L2156" s="696">
        <v>21</v>
      </c>
      <c r="M2156" s="170"/>
    </row>
    <row r="2157" spans="2:13" x14ac:dyDescent="0.2">
      <c r="B2157" s="173"/>
      <c r="C2157" s="694">
        <v>1</v>
      </c>
      <c r="D2157" s="695" t="s">
        <v>3903</v>
      </c>
      <c r="E2157" s="695">
        <v>3</v>
      </c>
      <c r="F2157" s="695" t="s">
        <v>4822</v>
      </c>
      <c r="G2157" s="695">
        <v>5</v>
      </c>
      <c r="H2157" s="695" t="s">
        <v>5320</v>
      </c>
      <c r="I2157" s="695">
        <v>369</v>
      </c>
      <c r="J2157" s="695" t="s">
        <v>5659</v>
      </c>
      <c r="K2157" s="695" t="s">
        <v>8544</v>
      </c>
      <c r="L2157" s="696">
        <v>19</v>
      </c>
      <c r="M2157" s="170"/>
    </row>
    <row r="2158" spans="2:13" x14ac:dyDescent="0.2">
      <c r="B2158" s="173"/>
      <c r="C2158" s="694">
        <v>1</v>
      </c>
      <c r="D2158" s="695" t="s">
        <v>3903</v>
      </c>
      <c r="E2158" s="695">
        <v>3</v>
      </c>
      <c r="F2158" s="695" t="s">
        <v>4822</v>
      </c>
      <c r="G2158" s="695">
        <v>5</v>
      </c>
      <c r="H2158" s="695" t="s">
        <v>5320</v>
      </c>
      <c r="I2158" s="695">
        <v>370</v>
      </c>
      <c r="J2158" s="695" t="s">
        <v>5660</v>
      </c>
      <c r="K2158" s="695" t="s">
        <v>8544</v>
      </c>
      <c r="L2158" s="696">
        <v>11</v>
      </c>
      <c r="M2158" s="170"/>
    </row>
    <row r="2159" spans="2:13" x14ac:dyDescent="0.2">
      <c r="B2159" s="173"/>
      <c r="C2159" s="694">
        <v>1</v>
      </c>
      <c r="D2159" s="695" t="s">
        <v>3903</v>
      </c>
      <c r="E2159" s="695">
        <v>3</v>
      </c>
      <c r="F2159" s="695" t="s">
        <v>4822</v>
      </c>
      <c r="G2159" s="695">
        <v>5</v>
      </c>
      <c r="H2159" s="695" t="s">
        <v>5320</v>
      </c>
      <c r="I2159" s="695">
        <v>371</v>
      </c>
      <c r="J2159" s="695" t="s">
        <v>5661</v>
      </c>
      <c r="K2159" s="695" t="s">
        <v>8544</v>
      </c>
      <c r="L2159" s="696">
        <v>23</v>
      </c>
      <c r="M2159" s="170"/>
    </row>
    <row r="2160" spans="2:13" x14ac:dyDescent="0.2">
      <c r="B2160" s="173"/>
      <c r="C2160" s="694">
        <v>1</v>
      </c>
      <c r="D2160" s="695" t="s">
        <v>3903</v>
      </c>
      <c r="E2160" s="695">
        <v>3</v>
      </c>
      <c r="F2160" s="695" t="s">
        <v>4822</v>
      </c>
      <c r="G2160" s="695">
        <v>5</v>
      </c>
      <c r="H2160" s="695" t="s">
        <v>5320</v>
      </c>
      <c r="I2160" s="695">
        <v>372</v>
      </c>
      <c r="J2160" s="695" t="s">
        <v>5662</v>
      </c>
      <c r="K2160" s="695" t="s">
        <v>8544</v>
      </c>
      <c r="L2160" s="696">
        <v>4</v>
      </c>
      <c r="M2160" s="170"/>
    </row>
    <row r="2161" spans="2:13" x14ac:dyDescent="0.2">
      <c r="B2161" s="173"/>
      <c r="C2161" s="694">
        <v>1</v>
      </c>
      <c r="D2161" s="695" t="s">
        <v>3903</v>
      </c>
      <c r="E2161" s="695">
        <v>3</v>
      </c>
      <c r="F2161" s="695" t="s">
        <v>4822</v>
      </c>
      <c r="G2161" s="695">
        <v>5</v>
      </c>
      <c r="H2161" s="695" t="s">
        <v>5320</v>
      </c>
      <c r="I2161" s="695">
        <v>373</v>
      </c>
      <c r="J2161" s="695" t="s">
        <v>5663</v>
      </c>
      <c r="K2161" s="695" t="s">
        <v>8544</v>
      </c>
      <c r="L2161" s="696">
        <v>17</v>
      </c>
      <c r="M2161" s="170"/>
    </row>
    <row r="2162" spans="2:13" x14ac:dyDescent="0.2">
      <c r="B2162" s="173"/>
      <c r="C2162" s="694">
        <v>1</v>
      </c>
      <c r="D2162" s="695" t="s">
        <v>3903</v>
      </c>
      <c r="E2162" s="695">
        <v>3</v>
      </c>
      <c r="F2162" s="695" t="s">
        <v>4822</v>
      </c>
      <c r="G2162" s="695">
        <v>5</v>
      </c>
      <c r="H2162" s="695" t="s">
        <v>5320</v>
      </c>
      <c r="I2162" s="695">
        <v>374</v>
      </c>
      <c r="J2162" s="695" t="s">
        <v>5664</v>
      </c>
      <c r="K2162" s="695" t="s">
        <v>8544</v>
      </c>
      <c r="L2162" s="696">
        <v>7</v>
      </c>
      <c r="M2162" s="170"/>
    </row>
    <row r="2163" spans="2:13" x14ac:dyDescent="0.2">
      <c r="B2163" s="173"/>
      <c r="C2163" s="694">
        <v>1</v>
      </c>
      <c r="D2163" s="695" t="s">
        <v>3903</v>
      </c>
      <c r="E2163" s="695">
        <v>3</v>
      </c>
      <c r="F2163" s="695" t="s">
        <v>4822</v>
      </c>
      <c r="G2163" s="695">
        <v>5</v>
      </c>
      <c r="H2163" s="695" t="s">
        <v>5320</v>
      </c>
      <c r="I2163" s="695">
        <v>375</v>
      </c>
      <c r="J2163" s="695" t="s">
        <v>5644</v>
      </c>
      <c r="K2163" s="695" t="s">
        <v>8544</v>
      </c>
      <c r="L2163" s="696">
        <v>2</v>
      </c>
      <c r="M2163" s="170"/>
    </row>
    <row r="2164" spans="2:13" x14ac:dyDescent="0.2">
      <c r="B2164" s="173"/>
      <c r="C2164" s="694">
        <v>1</v>
      </c>
      <c r="D2164" s="695" t="s">
        <v>3903</v>
      </c>
      <c r="E2164" s="695">
        <v>3</v>
      </c>
      <c r="F2164" s="695" t="s">
        <v>4822</v>
      </c>
      <c r="G2164" s="695">
        <v>5</v>
      </c>
      <c r="H2164" s="695" t="s">
        <v>5320</v>
      </c>
      <c r="I2164" s="695">
        <v>376</v>
      </c>
      <c r="J2164" s="695" t="s">
        <v>5665</v>
      </c>
      <c r="K2164" s="695" t="s">
        <v>8544</v>
      </c>
      <c r="L2164" s="696">
        <v>5</v>
      </c>
      <c r="M2164" s="170"/>
    </row>
    <row r="2165" spans="2:13" x14ac:dyDescent="0.2">
      <c r="B2165" s="173"/>
      <c r="C2165" s="694">
        <v>1</v>
      </c>
      <c r="D2165" s="695" t="s">
        <v>3903</v>
      </c>
      <c r="E2165" s="695">
        <v>3</v>
      </c>
      <c r="F2165" s="695" t="s">
        <v>4822</v>
      </c>
      <c r="G2165" s="695">
        <v>5</v>
      </c>
      <c r="H2165" s="695" t="s">
        <v>5320</v>
      </c>
      <c r="I2165" s="695">
        <v>377</v>
      </c>
      <c r="J2165" s="695" t="s">
        <v>5666</v>
      </c>
      <c r="K2165" s="695" t="s">
        <v>8544</v>
      </c>
      <c r="L2165" s="696">
        <v>4</v>
      </c>
      <c r="M2165" s="170"/>
    </row>
    <row r="2166" spans="2:13" x14ac:dyDescent="0.2">
      <c r="B2166" s="173"/>
      <c r="C2166" s="694">
        <v>1</v>
      </c>
      <c r="D2166" s="695" t="s">
        <v>3903</v>
      </c>
      <c r="E2166" s="695">
        <v>3</v>
      </c>
      <c r="F2166" s="695" t="s">
        <v>4822</v>
      </c>
      <c r="G2166" s="695">
        <v>5</v>
      </c>
      <c r="H2166" s="695" t="s">
        <v>5320</v>
      </c>
      <c r="I2166" s="695">
        <v>378</v>
      </c>
      <c r="J2166" s="695" t="s">
        <v>5667</v>
      </c>
      <c r="K2166" s="695" t="s">
        <v>8544</v>
      </c>
      <c r="L2166" s="696">
        <v>72</v>
      </c>
      <c r="M2166" s="170"/>
    </row>
    <row r="2167" spans="2:13" x14ac:dyDescent="0.2">
      <c r="B2167" s="173"/>
      <c r="C2167" s="694">
        <v>1</v>
      </c>
      <c r="D2167" s="695" t="s">
        <v>3903</v>
      </c>
      <c r="E2167" s="695">
        <v>3</v>
      </c>
      <c r="F2167" s="695" t="s">
        <v>4822</v>
      </c>
      <c r="G2167" s="695">
        <v>5</v>
      </c>
      <c r="H2167" s="695" t="s">
        <v>5320</v>
      </c>
      <c r="I2167" s="695">
        <v>379</v>
      </c>
      <c r="J2167" s="695" t="s">
        <v>5668</v>
      </c>
      <c r="K2167" s="695" t="s">
        <v>8544</v>
      </c>
      <c r="L2167" s="696">
        <v>44</v>
      </c>
      <c r="M2167" s="170"/>
    </row>
    <row r="2168" spans="2:13" x14ac:dyDescent="0.2">
      <c r="B2168" s="173"/>
      <c r="C2168" s="694">
        <v>1</v>
      </c>
      <c r="D2168" s="695" t="s">
        <v>3903</v>
      </c>
      <c r="E2168" s="695">
        <v>3</v>
      </c>
      <c r="F2168" s="695" t="s">
        <v>4822</v>
      </c>
      <c r="G2168" s="695">
        <v>5</v>
      </c>
      <c r="H2168" s="695" t="s">
        <v>5320</v>
      </c>
      <c r="I2168" s="695">
        <v>380</v>
      </c>
      <c r="J2168" s="695" t="s">
        <v>5669</v>
      </c>
      <c r="K2168" s="695" t="s">
        <v>8544</v>
      </c>
      <c r="L2168" s="696">
        <v>25</v>
      </c>
      <c r="M2168" s="170"/>
    </row>
    <row r="2169" spans="2:13" x14ac:dyDescent="0.2">
      <c r="B2169" s="173"/>
      <c r="C2169" s="694">
        <v>1</v>
      </c>
      <c r="D2169" s="695" t="s">
        <v>3903</v>
      </c>
      <c r="E2169" s="695">
        <v>3</v>
      </c>
      <c r="F2169" s="695" t="s">
        <v>4822</v>
      </c>
      <c r="G2169" s="695">
        <v>5</v>
      </c>
      <c r="H2169" s="695" t="s">
        <v>5320</v>
      </c>
      <c r="I2169" s="695">
        <v>381</v>
      </c>
      <c r="J2169" s="695" t="s">
        <v>5670</v>
      </c>
      <c r="K2169" s="695" t="s">
        <v>8544</v>
      </c>
      <c r="L2169" s="696">
        <v>61</v>
      </c>
      <c r="M2169" s="170"/>
    </row>
    <row r="2170" spans="2:13" x14ac:dyDescent="0.2">
      <c r="B2170" s="173"/>
      <c r="C2170" s="694">
        <v>1</v>
      </c>
      <c r="D2170" s="695" t="s">
        <v>3903</v>
      </c>
      <c r="E2170" s="695">
        <v>3</v>
      </c>
      <c r="F2170" s="695" t="s">
        <v>4822</v>
      </c>
      <c r="G2170" s="695">
        <v>5</v>
      </c>
      <c r="H2170" s="695" t="s">
        <v>5320</v>
      </c>
      <c r="I2170" s="695">
        <v>382</v>
      </c>
      <c r="J2170" s="695" t="s">
        <v>5671</v>
      </c>
      <c r="K2170" s="695" t="s">
        <v>8544</v>
      </c>
      <c r="L2170" s="696">
        <v>12</v>
      </c>
      <c r="M2170" s="170"/>
    </row>
    <row r="2171" spans="2:13" x14ac:dyDescent="0.2">
      <c r="B2171" s="173"/>
      <c r="C2171" s="694">
        <v>1</v>
      </c>
      <c r="D2171" s="695" t="s">
        <v>3903</v>
      </c>
      <c r="E2171" s="695">
        <v>3</v>
      </c>
      <c r="F2171" s="695" t="s">
        <v>4822</v>
      </c>
      <c r="G2171" s="695">
        <v>5</v>
      </c>
      <c r="H2171" s="695" t="s">
        <v>5320</v>
      </c>
      <c r="I2171" s="695">
        <v>383</v>
      </c>
      <c r="J2171" s="695" t="s">
        <v>5672</v>
      </c>
      <c r="K2171" s="695" t="s">
        <v>8544</v>
      </c>
      <c r="L2171" s="696">
        <v>28</v>
      </c>
      <c r="M2171" s="170"/>
    </row>
    <row r="2172" spans="2:13" x14ac:dyDescent="0.2">
      <c r="B2172" s="173"/>
      <c r="C2172" s="694">
        <v>1</v>
      </c>
      <c r="D2172" s="695" t="s">
        <v>3903</v>
      </c>
      <c r="E2172" s="695">
        <v>3</v>
      </c>
      <c r="F2172" s="695" t="s">
        <v>4822</v>
      </c>
      <c r="G2172" s="695">
        <v>5</v>
      </c>
      <c r="H2172" s="695" t="s">
        <v>5320</v>
      </c>
      <c r="I2172" s="695">
        <v>384</v>
      </c>
      <c r="J2172" s="695" t="s">
        <v>5673</v>
      </c>
      <c r="K2172" s="695" t="s">
        <v>8544</v>
      </c>
      <c r="L2172" s="696">
        <v>14</v>
      </c>
      <c r="M2172" s="170"/>
    </row>
    <row r="2173" spans="2:13" x14ac:dyDescent="0.2">
      <c r="B2173" s="173"/>
      <c r="C2173" s="694">
        <v>1</v>
      </c>
      <c r="D2173" s="695" t="s">
        <v>3903</v>
      </c>
      <c r="E2173" s="695">
        <v>3</v>
      </c>
      <c r="F2173" s="695" t="s">
        <v>4822</v>
      </c>
      <c r="G2173" s="695">
        <v>5</v>
      </c>
      <c r="H2173" s="695" t="s">
        <v>5320</v>
      </c>
      <c r="I2173" s="695">
        <v>385</v>
      </c>
      <c r="J2173" s="695" t="s">
        <v>5674</v>
      </c>
      <c r="K2173" s="695" t="s">
        <v>8544</v>
      </c>
      <c r="L2173" s="696">
        <v>76</v>
      </c>
      <c r="M2173" s="170"/>
    </row>
    <row r="2174" spans="2:13" x14ac:dyDescent="0.2">
      <c r="B2174" s="173"/>
      <c r="C2174" s="694">
        <v>1</v>
      </c>
      <c r="D2174" s="695" t="s">
        <v>3903</v>
      </c>
      <c r="E2174" s="695">
        <v>3</v>
      </c>
      <c r="F2174" s="695" t="s">
        <v>4822</v>
      </c>
      <c r="G2174" s="695">
        <v>5</v>
      </c>
      <c r="H2174" s="695" t="s">
        <v>5320</v>
      </c>
      <c r="I2174" s="695">
        <v>386</v>
      </c>
      <c r="J2174" s="695" t="s">
        <v>5675</v>
      </c>
      <c r="K2174" s="695" t="s">
        <v>8544</v>
      </c>
      <c r="L2174" s="696">
        <v>8</v>
      </c>
      <c r="M2174" s="170"/>
    </row>
    <row r="2175" spans="2:13" x14ac:dyDescent="0.2">
      <c r="B2175" s="173"/>
      <c r="C2175" s="694">
        <v>1</v>
      </c>
      <c r="D2175" s="695" t="s">
        <v>3903</v>
      </c>
      <c r="E2175" s="695">
        <v>3</v>
      </c>
      <c r="F2175" s="695" t="s">
        <v>4822</v>
      </c>
      <c r="G2175" s="695">
        <v>5</v>
      </c>
      <c r="H2175" s="695" t="s">
        <v>5320</v>
      </c>
      <c r="I2175" s="695">
        <v>387</v>
      </c>
      <c r="J2175" s="695" t="s">
        <v>5676</v>
      </c>
      <c r="K2175" s="695" t="s">
        <v>8544</v>
      </c>
      <c r="L2175" s="696">
        <v>74</v>
      </c>
      <c r="M2175" s="170"/>
    </row>
    <row r="2176" spans="2:13" x14ac:dyDescent="0.2">
      <c r="B2176" s="173"/>
      <c r="C2176" s="694">
        <v>1</v>
      </c>
      <c r="D2176" s="695" t="s">
        <v>3903</v>
      </c>
      <c r="E2176" s="695">
        <v>3</v>
      </c>
      <c r="F2176" s="695" t="s">
        <v>4822</v>
      </c>
      <c r="G2176" s="695">
        <v>5</v>
      </c>
      <c r="H2176" s="695" t="s">
        <v>5320</v>
      </c>
      <c r="I2176" s="695">
        <v>388</v>
      </c>
      <c r="J2176" s="695" t="s">
        <v>5677</v>
      </c>
      <c r="K2176" s="695" t="s">
        <v>8544</v>
      </c>
      <c r="L2176" s="696">
        <v>19</v>
      </c>
      <c r="M2176" s="170"/>
    </row>
    <row r="2177" spans="2:13" x14ac:dyDescent="0.2">
      <c r="B2177" s="173"/>
      <c r="C2177" s="694">
        <v>1</v>
      </c>
      <c r="D2177" s="695" t="s">
        <v>3903</v>
      </c>
      <c r="E2177" s="695">
        <v>3</v>
      </c>
      <c r="F2177" s="695" t="s">
        <v>4822</v>
      </c>
      <c r="G2177" s="695">
        <v>5</v>
      </c>
      <c r="H2177" s="695" t="s">
        <v>5320</v>
      </c>
      <c r="I2177" s="695">
        <v>389</v>
      </c>
      <c r="J2177" s="695" t="s">
        <v>5678</v>
      </c>
      <c r="K2177" s="695" t="s">
        <v>8544</v>
      </c>
      <c r="L2177" s="696">
        <v>0</v>
      </c>
      <c r="M2177" s="170"/>
    </row>
    <row r="2178" spans="2:13" x14ac:dyDescent="0.2">
      <c r="B2178" s="173"/>
      <c r="C2178" s="694">
        <v>1</v>
      </c>
      <c r="D2178" s="695" t="s">
        <v>3903</v>
      </c>
      <c r="E2178" s="695">
        <v>3</v>
      </c>
      <c r="F2178" s="695" t="s">
        <v>4822</v>
      </c>
      <c r="G2178" s="695">
        <v>5</v>
      </c>
      <c r="H2178" s="695" t="s">
        <v>5320</v>
      </c>
      <c r="I2178" s="695">
        <v>390</v>
      </c>
      <c r="J2178" s="695" t="s">
        <v>5679</v>
      </c>
      <c r="K2178" s="695" t="s">
        <v>8544</v>
      </c>
      <c r="L2178" s="696">
        <v>6</v>
      </c>
      <c r="M2178" s="170"/>
    </row>
    <row r="2179" spans="2:13" x14ac:dyDescent="0.2">
      <c r="B2179" s="173"/>
      <c r="C2179" s="694">
        <v>1</v>
      </c>
      <c r="D2179" s="695" t="s">
        <v>3903</v>
      </c>
      <c r="E2179" s="695">
        <v>3</v>
      </c>
      <c r="F2179" s="695" t="s">
        <v>4822</v>
      </c>
      <c r="G2179" s="695">
        <v>5</v>
      </c>
      <c r="H2179" s="695" t="s">
        <v>5320</v>
      </c>
      <c r="I2179" s="695">
        <v>391</v>
      </c>
      <c r="J2179" s="695" t="s">
        <v>5680</v>
      </c>
      <c r="K2179" s="695" t="s">
        <v>8544</v>
      </c>
      <c r="L2179" s="696">
        <v>32</v>
      </c>
      <c r="M2179" s="170"/>
    </row>
    <row r="2180" spans="2:13" x14ac:dyDescent="0.2">
      <c r="B2180" s="173"/>
      <c r="C2180" s="694">
        <v>1</v>
      </c>
      <c r="D2180" s="695" t="s">
        <v>3903</v>
      </c>
      <c r="E2180" s="695">
        <v>3</v>
      </c>
      <c r="F2180" s="695" t="s">
        <v>4822</v>
      </c>
      <c r="G2180" s="695">
        <v>5</v>
      </c>
      <c r="H2180" s="695" t="s">
        <v>5320</v>
      </c>
      <c r="I2180" s="695">
        <v>392</v>
      </c>
      <c r="J2180" s="695" t="s">
        <v>5681</v>
      </c>
      <c r="K2180" s="695" t="s">
        <v>8544</v>
      </c>
      <c r="L2180" s="696">
        <v>21</v>
      </c>
      <c r="M2180" s="170"/>
    </row>
    <row r="2181" spans="2:13" x14ac:dyDescent="0.2">
      <c r="B2181" s="173"/>
      <c r="C2181" s="694">
        <v>1</v>
      </c>
      <c r="D2181" s="695" t="s">
        <v>3903</v>
      </c>
      <c r="E2181" s="695">
        <v>3</v>
      </c>
      <c r="F2181" s="695" t="s">
        <v>4822</v>
      </c>
      <c r="G2181" s="695">
        <v>5</v>
      </c>
      <c r="H2181" s="695" t="s">
        <v>5320</v>
      </c>
      <c r="I2181" s="695">
        <v>393</v>
      </c>
      <c r="J2181" s="695" t="s">
        <v>5682</v>
      </c>
      <c r="K2181" s="695" t="s">
        <v>8544</v>
      </c>
      <c r="L2181" s="696">
        <v>4</v>
      </c>
      <c r="M2181" s="170"/>
    </row>
    <row r="2182" spans="2:13" x14ac:dyDescent="0.2">
      <c r="B2182" s="173"/>
      <c r="C2182" s="694">
        <v>1</v>
      </c>
      <c r="D2182" s="695" t="s">
        <v>3903</v>
      </c>
      <c r="E2182" s="695">
        <v>3</v>
      </c>
      <c r="F2182" s="695" t="s">
        <v>4822</v>
      </c>
      <c r="G2182" s="695">
        <v>5</v>
      </c>
      <c r="H2182" s="695" t="s">
        <v>5320</v>
      </c>
      <c r="I2182" s="695">
        <v>394</v>
      </c>
      <c r="J2182" s="695" t="s">
        <v>5683</v>
      </c>
      <c r="K2182" s="695" t="s">
        <v>8544</v>
      </c>
      <c r="L2182" s="696">
        <v>54</v>
      </c>
      <c r="M2182" s="170"/>
    </row>
    <row r="2183" spans="2:13" x14ac:dyDescent="0.2">
      <c r="B2183" s="173"/>
      <c r="C2183" s="694">
        <v>1</v>
      </c>
      <c r="D2183" s="695" t="s">
        <v>3903</v>
      </c>
      <c r="E2183" s="695">
        <v>3</v>
      </c>
      <c r="F2183" s="695" t="s">
        <v>4822</v>
      </c>
      <c r="G2183" s="695">
        <v>5</v>
      </c>
      <c r="H2183" s="695" t="s">
        <v>5320</v>
      </c>
      <c r="I2183" s="695">
        <v>395</v>
      </c>
      <c r="J2183" s="695" t="s">
        <v>5684</v>
      </c>
      <c r="K2183" s="695" t="s">
        <v>8544</v>
      </c>
      <c r="L2183" s="696">
        <v>13</v>
      </c>
      <c r="M2183" s="170"/>
    </row>
    <row r="2184" spans="2:13" x14ac:dyDescent="0.2">
      <c r="B2184" s="173"/>
      <c r="C2184" s="694">
        <v>1</v>
      </c>
      <c r="D2184" s="695" t="s">
        <v>3903</v>
      </c>
      <c r="E2184" s="695">
        <v>3</v>
      </c>
      <c r="F2184" s="695" t="s">
        <v>4822</v>
      </c>
      <c r="G2184" s="695">
        <v>5</v>
      </c>
      <c r="H2184" s="695" t="s">
        <v>5320</v>
      </c>
      <c r="I2184" s="695">
        <v>396</v>
      </c>
      <c r="J2184" s="695" t="s">
        <v>5685</v>
      </c>
      <c r="K2184" s="695" t="s">
        <v>8544</v>
      </c>
      <c r="L2184" s="696">
        <v>6</v>
      </c>
      <c r="M2184" s="170"/>
    </row>
    <row r="2185" spans="2:13" x14ac:dyDescent="0.2">
      <c r="B2185" s="173"/>
      <c r="C2185" s="694">
        <v>1</v>
      </c>
      <c r="D2185" s="695" t="s">
        <v>3903</v>
      </c>
      <c r="E2185" s="695">
        <v>3</v>
      </c>
      <c r="F2185" s="695" t="s">
        <v>4822</v>
      </c>
      <c r="G2185" s="695">
        <v>5</v>
      </c>
      <c r="H2185" s="695" t="s">
        <v>5320</v>
      </c>
      <c r="I2185" s="695">
        <v>397</v>
      </c>
      <c r="J2185" s="695" t="s">
        <v>5686</v>
      </c>
      <c r="K2185" s="695" t="s">
        <v>8544</v>
      </c>
      <c r="L2185" s="696">
        <v>5</v>
      </c>
      <c r="M2185" s="170"/>
    </row>
    <row r="2186" spans="2:13" x14ac:dyDescent="0.2">
      <c r="B2186" s="173"/>
      <c r="C2186" s="694">
        <v>1</v>
      </c>
      <c r="D2186" s="695" t="s">
        <v>3903</v>
      </c>
      <c r="E2186" s="695">
        <v>3</v>
      </c>
      <c r="F2186" s="695" t="s">
        <v>4822</v>
      </c>
      <c r="G2186" s="695">
        <v>5</v>
      </c>
      <c r="H2186" s="695" t="s">
        <v>5320</v>
      </c>
      <c r="I2186" s="695">
        <v>398</v>
      </c>
      <c r="J2186" s="695" t="s">
        <v>5687</v>
      </c>
      <c r="K2186" s="695" t="s">
        <v>8544</v>
      </c>
      <c r="L2186" s="696">
        <v>19</v>
      </c>
      <c r="M2186" s="170"/>
    </row>
    <row r="2187" spans="2:13" x14ac:dyDescent="0.2">
      <c r="B2187" s="173"/>
      <c r="C2187" s="694">
        <v>1</v>
      </c>
      <c r="D2187" s="695" t="s">
        <v>3903</v>
      </c>
      <c r="E2187" s="695">
        <v>3</v>
      </c>
      <c r="F2187" s="695" t="s">
        <v>4822</v>
      </c>
      <c r="G2187" s="695">
        <v>5</v>
      </c>
      <c r="H2187" s="695" t="s">
        <v>5320</v>
      </c>
      <c r="I2187" s="695">
        <v>399</v>
      </c>
      <c r="J2187" s="695" t="s">
        <v>5688</v>
      </c>
      <c r="K2187" s="695" t="s">
        <v>8544</v>
      </c>
      <c r="L2187" s="696">
        <v>121</v>
      </c>
      <c r="M2187" s="170"/>
    </row>
    <row r="2188" spans="2:13" x14ac:dyDescent="0.2">
      <c r="B2188" s="173"/>
      <c r="C2188" s="694">
        <v>1</v>
      </c>
      <c r="D2188" s="695" t="s">
        <v>3903</v>
      </c>
      <c r="E2188" s="695">
        <v>3</v>
      </c>
      <c r="F2188" s="695" t="s">
        <v>4822</v>
      </c>
      <c r="G2188" s="695">
        <v>5</v>
      </c>
      <c r="H2188" s="695" t="s">
        <v>5320</v>
      </c>
      <c r="I2188" s="695">
        <v>400</v>
      </c>
      <c r="J2188" s="695" t="s">
        <v>5689</v>
      </c>
      <c r="K2188" s="695" t="s">
        <v>8544</v>
      </c>
      <c r="L2188" s="696">
        <v>2</v>
      </c>
      <c r="M2188" s="170"/>
    </row>
    <row r="2189" spans="2:13" x14ac:dyDescent="0.2">
      <c r="B2189" s="173"/>
      <c r="C2189" s="694">
        <v>1</v>
      </c>
      <c r="D2189" s="695" t="s">
        <v>3903</v>
      </c>
      <c r="E2189" s="695">
        <v>3</v>
      </c>
      <c r="F2189" s="695" t="s">
        <v>4822</v>
      </c>
      <c r="G2189" s="695">
        <v>5</v>
      </c>
      <c r="H2189" s="695" t="s">
        <v>5320</v>
      </c>
      <c r="I2189" s="695">
        <v>401</v>
      </c>
      <c r="J2189" s="695" t="s">
        <v>5690</v>
      </c>
      <c r="K2189" s="695" t="s">
        <v>3907</v>
      </c>
      <c r="L2189" s="696">
        <v>4</v>
      </c>
      <c r="M2189" s="170"/>
    </row>
    <row r="2190" spans="2:13" x14ac:dyDescent="0.2">
      <c r="B2190" s="173"/>
      <c r="C2190" s="694">
        <v>1</v>
      </c>
      <c r="D2190" s="695" t="s">
        <v>3903</v>
      </c>
      <c r="E2190" s="695">
        <v>3</v>
      </c>
      <c r="F2190" s="695" t="s">
        <v>4822</v>
      </c>
      <c r="G2190" s="695">
        <v>5</v>
      </c>
      <c r="H2190" s="695" t="s">
        <v>5320</v>
      </c>
      <c r="I2190" s="695">
        <v>402</v>
      </c>
      <c r="J2190" s="695" t="s">
        <v>5691</v>
      </c>
      <c r="K2190" s="695" t="s">
        <v>3907</v>
      </c>
      <c r="L2190" s="696">
        <v>10</v>
      </c>
      <c r="M2190" s="170"/>
    </row>
    <row r="2191" spans="2:13" x14ac:dyDescent="0.2">
      <c r="B2191" s="173"/>
      <c r="C2191" s="694">
        <v>1</v>
      </c>
      <c r="D2191" s="695" t="s">
        <v>3903</v>
      </c>
      <c r="E2191" s="695">
        <v>3</v>
      </c>
      <c r="F2191" s="695" t="s">
        <v>4822</v>
      </c>
      <c r="G2191" s="695">
        <v>5</v>
      </c>
      <c r="H2191" s="695" t="s">
        <v>5320</v>
      </c>
      <c r="I2191" s="695">
        <v>403</v>
      </c>
      <c r="J2191" s="695" t="s">
        <v>5692</v>
      </c>
      <c r="K2191" s="695" t="s">
        <v>3907</v>
      </c>
      <c r="L2191" s="696">
        <v>2</v>
      </c>
      <c r="M2191" s="170"/>
    </row>
    <row r="2192" spans="2:13" x14ac:dyDescent="0.2">
      <c r="B2192" s="173"/>
      <c r="C2192" s="694">
        <v>1</v>
      </c>
      <c r="D2192" s="695" t="s">
        <v>3903</v>
      </c>
      <c r="E2192" s="695">
        <v>3</v>
      </c>
      <c r="F2192" s="695" t="s">
        <v>4822</v>
      </c>
      <c r="G2192" s="695">
        <v>5</v>
      </c>
      <c r="H2192" s="695" t="s">
        <v>5320</v>
      </c>
      <c r="I2192" s="695">
        <v>404</v>
      </c>
      <c r="J2192" s="695" t="s">
        <v>5693</v>
      </c>
      <c r="K2192" s="695" t="s">
        <v>3907</v>
      </c>
      <c r="L2192" s="696">
        <v>3</v>
      </c>
      <c r="M2192" s="170"/>
    </row>
    <row r="2193" spans="2:13" x14ac:dyDescent="0.2">
      <c r="B2193" s="173"/>
      <c r="C2193" s="694">
        <v>1</v>
      </c>
      <c r="D2193" s="695" t="s">
        <v>3903</v>
      </c>
      <c r="E2193" s="695">
        <v>3</v>
      </c>
      <c r="F2193" s="695" t="s">
        <v>4822</v>
      </c>
      <c r="G2193" s="695">
        <v>5</v>
      </c>
      <c r="H2193" s="695" t="s">
        <v>5320</v>
      </c>
      <c r="I2193" s="695">
        <v>405</v>
      </c>
      <c r="J2193" s="695" t="s">
        <v>5694</v>
      </c>
      <c r="K2193" s="695" t="s">
        <v>3907</v>
      </c>
      <c r="L2193" s="696">
        <v>2</v>
      </c>
      <c r="M2193" s="170"/>
    </row>
    <row r="2194" spans="2:13" x14ac:dyDescent="0.2">
      <c r="B2194" s="173"/>
      <c r="C2194" s="694">
        <v>1</v>
      </c>
      <c r="D2194" s="695" t="s">
        <v>3903</v>
      </c>
      <c r="E2194" s="695">
        <v>3</v>
      </c>
      <c r="F2194" s="695" t="s">
        <v>4822</v>
      </c>
      <c r="G2194" s="695">
        <v>5</v>
      </c>
      <c r="H2194" s="695" t="s">
        <v>5320</v>
      </c>
      <c r="I2194" s="695">
        <v>406</v>
      </c>
      <c r="J2194" s="695" t="s">
        <v>5695</v>
      </c>
      <c r="K2194" s="695" t="s">
        <v>3907</v>
      </c>
      <c r="L2194" s="696">
        <v>21</v>
      </c>
      <c r="M2194" s="170"/>
    </row>
    <row r="2195" spans="2:13" x14ac:dyDescent="0.2">
      <c r="B2195" s="173"/>
      <c r="C2195" s="694">
        <v>1</v>
      </c>
      <c r="D2195" s="695" t="s">
        <v>3903</v>
      </c>
      <c r="E2195" s="695">
        <v>3</v>
      </c>
      <c r="F2195" s="695" t="s">
        <v>4822</v>
      </c>
      <c r="G2195" s="695">
        <v>5</v>
      </c>
      <c r="H2195" s="695" t="s">
        <v>5320</v>
      </c>
      <c r="I2195" s="695">
        <v>407</v>
      </c>
      <c r="J2195" s="695" t="s">
        <v>5696</v>
      </c>
      <c r="K2195" s="695" t="s">
        <v>3907</v>
      </c>
      <c r="L2195" s="696">
        <v>7</v>
      </c>
      <c r="M2195" s="170"/>
    </row>
    <row r="2196" spans="2:13" x14ac:dyDescent="0.2">
      <c r="B2196" s="173"/>
      <c r="C2196" s="694">
        <v>1</v>
      </c>
      <c r="D2196" s="695" t="s">
        <v>3903</v>
      </c>
      <c r="E2196" s="695">
        <v>3</v>
      </c>
      <c r="F2196" s="695" t="s">
        <v>4822</v>
      </c>
      <c r="G2196" s="695">
        <v>5</v>
      </c>
      <c r="H2196" s="695" t="s">
        <v>5320</v>
      </c>
      <c r="I2196" s="695">
        <v>408</v>
      </c>
      <c r="J2196" s="695" t="s">
        <v>5697</v>
      </c>
      <c r="K2196" s="695" t="s">
        <v>3907</v>
      </c>
      <c r="L2196" s="696">
        <v>1</v>
      </c>
      <c r="M2196" s="170"/>
    </row>
    <row r="2197" spans="2:13" x14ac:dyDescent="0.2">
      <c r="B2197" s="173"/>
      <c r="C2197" s="694">
        <v>1</v>
      </c>
      <c r="D2197" s="695" t="s">
        <v>3903</v>
      </c>
      <c r="E2197" s="695">
        <v>3</v>
      </c>
      <c r="F2197" s="695" t="s">
        <v>4822</v>
      </c>
      <c r="G2197" s="695">
        <v>5</v>
      </c>
      <c r="H2197" s="695" t="s">
        <v>5320</v>
      </c>
      <c r="I2197" s="695">
        <v>409</v>
      </c>
      <c r="J2197" s="695" t="s">
        <v>5698</v>
      </c>
      <c r="K2197" s="695" t="s">
        <v>3907</v>
      </c>
      <c r="L2197" s="696">
        <v>198</v>
      </c>
      <c r="M2197" s="170"/>
    </row>
    <row r="2198" spans="2:13" x14ac:dyDescent="0.2">
      <c r="B2198" s="173"/>
      <c r="C2198" s="694">
        <v>1</v>
      </c>
      <c r="D2198" s="695" t="s">
        <v>3903</v>
      </c>
      <c r="E2198" s="695">
        <v>3</v>
      </c>
      <c r="F2198" s="695" t="s">
        <v>4822</v>
      </c>
      <c r="G2198" s="695">
        <v>5</v>
      </c>
      <c r="H2198" s="695" t="s">
        <v>5320</v>
      </c>
      <c r="I2198" s="695">
        <v>410</v>
      </c>
      <c r="J2198" s="695" t="s">
        <v>5699</v>
      </c>
      <c r="K2198" s="695" t="s">
        <v>3907</v>
      </c>
      <c r="L2198" s="696">
        <v>35</v>
      </c>
      <c r="M2198" s="170"/>
    </row>
    <row r="2199" spans="2:13" x14ac:dyDescent="0.2">
      <c r="B2199" s="173"/>
      <c r="C2199" s="694">
        <v>1</v>
      </c>
      <c r="D2199" s="695" t="s">
        <v>3903</v>
      </c>
      <c r="E2199" s="695">
        <v>3</v>
      </c>
      <c r="F2199" s="695" t="s">
        <v>4822</v>
      </c>
      <c r="G2199" s="695">
        <v>5</v>
      </c>
      <c r="H2199" s="695" t="s">
        <v>5320</v>
      </c>
      <c r="I2199" s="695">
        <v>411</v>
      </c>
      <c r="J2199" s="695" t="s">
        <v>5700</v>
      </c>
      <c r="K2199" s="695" t="s">
        <v>3907</v>
      </c>
      <c r="L2199" s="696">
        <v>5</v>
      </c>
      <c r="M2199" s="170"/>
    </row>
    <row r="2200" spans="2:13" x14ac:dyDescent="0.2">
      <c r="B2200" s="173"/>
      <c r="C2200" s="694">
        <v>1</v>
      </c>
      <c r="D2200" s="695" t="s">
        <v>3903</v>
      </c>
      <c r="E2200" s="695">
        <v>3</v>
      </c>
      <c r="F2200" s="695" t="s">
        <v>4822</v>
      </c>
      <c r="G2200" s="695">
        <v>5</v>
      </c>
      <c r="H2200" s="695" t="s">
        <v>5320</v>
      </c>
      <c r="I2200" s="695">
        <v>412</v>
      </c>
      <c r="J2200" s="695" t="s">
        <v>5701</v>
      </c>
      <c r="K2200" s="695" t="s">
        <v>3907</v>
      </c>
      <c r="L2200" s="696">
        <v>4</v>
      </c>
      <c r="M2200" s="170"/>
    </row>
    <row r="2201" spans="2:13" x14ac:dyDescent="0.2">
      <c r="B2201" s="173"/>
      <c r="C2201" s="694">
        <v>1</v>
      </c>
      <c r="D2201" s="695" t="s">
        <v>3903</v>
      </c>
      <c r="E2201" s="695">
        <v>3</v>
      </c>
      <c r="F2201" s="695" t="s">
        <v>4822</v>
      </c>
      <c r="G2201" s="695">
        <v>5</v>
      </c>
      <c r="H2201" s="695" t="s">
        <v>5320</v>
      </c>
      <c r="I2201" s="695">
        <v>413</v>
      </c>
      <c r="J2201" s="695" t="s">
        <v>5702</v>
      </c>
      <c r="K2201" s="695" t="s">
        <v>3907</v>
      </c>
      <c r="L2201" s="696">
        <v>5</v>
      </c>
      <c r="M2201" s="170"/>
    </row>
    <row r="2202" spans="2:13" x14ac:dyDescent="0.2">
      <c r="B2202" s="173"/>
      <c r="C2202" s="694">
        <v>1</v>
      </c>
      <c r="D2202" s="695" t="s">
        <v>3903</v>
      </c>
      <c r="E2202" s="695">
        <v>3</v>
      </c>
      <c r="F2202" s="695" t="s">
        <v>4822</v>
      </c>
      <c r="G2202" s="695">
        <v>5</v>
      </c>
      <c r="H2202" s="695" t="s">
        <v>5320</v>
      </c>
      <c r="I2202" s="695">
        <v>414</v>
      </c>
      <c r="J2202" s="695" t="s">
        <v>5703</v>
      </c>
      <c r="K2202" s="695" t="s">
        <v>3907</v>
      </c>
      <c r="L2202" s="696">
        <v>3</v>
      </c>
      <c r="M2202" s="170"/>
    </row>
    <row r="2203" spans="2:13" x14ac:dyDescent="0.2">
      <c r="B2203" s="173"/>
      <c r="C2203" s="694">
        <v>1</v>
      </c>
      <c r="D2203" s="695" t="s">
        <v>3903</v>
      </c>
      <c r="E2203" s="695">
        <v>3</v>
      </c>
      <c r="F2203" s="695" t="s">
        <v>4822</v>
      </c>
      <c r="G2203" s="695">
        <v>5</v>
      </c>
      <c r="H2203" s="695" t="s">
        <v>5320</v>
      </c>
      <c r="I2203" s="695">
        <v>415</v>
      </c>
      <c r="J2203" s="695" t="s">
        <v>5704</v>
      </c>
      <c r="K2203" s="695" t="s">
        <v>3907</v>
      </c>
      <c r="L2203" s="696">
        <v>16</v>
      </c>
      <c r="M2203" s="170"/>
    </row>
    <row r="2204" spans="2:13" x14ac:dyDescent="0.2">
      <c r="B2204" s="173"/>
      <c r="C2204" s="694">
        <v>1</v>
      </c>
      <c r="D2204" s="695" t="s">
        <v>3903</v>
      </c>
      <c r="E2204" s="695">
        <v>3</v>
      </c>
      <c r="F2204" s="695" t="s">
        <v>4822</v>
      </c>
      <c r="G2204" s="695">
        <v>5</v>
      </c>
      <c r="H2204" s="695" t="s">
        <v>5320</v>
      </c>
      <c r="I2204" s="695">
        <v>416</v>
      </c>
      <c r="J2204" s="695" t="s">
        <v>5705</v>
      </c>
      <c r="K2204" s="695" t="s">
        <v>3907</v>
      </c>
      <c r="L2204" s="696">
        <v>13</v>
      </c>
      <c r="M2204" s="170"/>
    </row>
    <row r="2205" spans="2:13" x14ac:dyDescent="0.2">
      <c r="B2205" s="173"/>
      <c r="C2205" s="694">
        <v>1</v>
      </c>
      <c r="D2205" s="695" t="s">
        <v>3903</v>
      </c>
      <c r="E2205" s="695">
        <v>3</v>
      </c>
      <c r="F2205" s="695" t="s">
        <v>4822</v>
      </c>
      <c r="G2205" s="695">
        <v>5</v>
      </c>
      <c r="H2205" s="695" t="s">
        <v>5320</v>
      </c>
      <c r="I2205" s="695">
        <v>417</v>
      </c>
      <c r="J2205" s="695" t="s">
        <v>5706</v>
      </c>
      <c r="K2205" s="695" t="s">
        <v>3907</v>
      </c>
      <c r="L2205" s="696">
        <v>10</v>
      </c>
      <c r="M2205" s="170"/>
    </row>
    <row r="2206" spans="2:13" x14ac:dyDescent="0.2">
      <c r="B2206" s="173"/>
      <c r="C2206" s="694">
        <v>1</v>
      </c>
      <c r="D2206" s="695" t="s">
        <v>3903</v>
      </c>
      <c r="E2206" s="695">
        <v>3</v>
      </c>
      <c r="F2206" s="695" t="s">
        <v>4822</v>
      </c>
      <c r="G2206" s="695">
        <v>5</v>
      </c>
      <c r="H2206" s="695" t="s">
        <v>5320</v>
      </c>
      <c r="I2206" s="695">
        <v>418</v>
      </c>
      <c r="J2206" s="695" t="s">
        <v>5707</v>
      </c>
      <c r="K2206" s="695" t="s">
        <v>3907</v>
      </c>
      <c r="L2206" s="696">
        <v>11</v>
      </c>
      <c r="M2206" s="170"/>
    </row>
    <row r="2207" spans="2:13" x14ac:dyDescent="0.2">
      <c r="B2207" s="173"/>
      <c r="C2207" s="694">
        <v>1</v>
      </c>
      <c r="D2207" s="695" t="s">
        <v>3903</v>
      </c>
      <c r="E2207" s="695">
        <v>3</v>
      </c>
      <c r="F2207" s="695" t="s">
        <v>4822</v>
      </c>
      <c r="G2207" s="695">
        <v>5</v>
      </c>
      <c r="H2207" s="695" t="s">
        <v>5320</v>
      </c>
      <c r="I2207" s="695">
        <v>419</v>
      </c>
      <c r="J2207" s="695" t="s">
        <v>5708</v>
      </c>
      <c r="K2207" s="695" t="s">
        <v>3907</v>
      </c>
      <c r="L2207" s="696">
        <v>5</v>
      </c>
      <c r="M2207" s="170"/>
    </row>
    <row r="2208" spans="2:13" x14ac:dyDescent="0.2">
      <c r="B2208" s="173"/>
      <c r="C2208" s="694">
        <v>1</v>
      </c>
      <c r="D2208" s="695" t="s">
        <v>3903</v>
      </c>
      <c r="E2208" s="695">
        <v>3</v>
      </c>
      <c r="F2208" s="695" t="s">
        <v>4822</v>
      </c>
      <c r="G2208" s="695">
        <v>5</v>
      </c>
      <c r="H2208" s="695" t="s">
        <v>5320</v>
      </c>
      <c r="I2208" s="695">
        <v>420</v>
      </c>
      <c r="J2208" s="695" t="s">
        <v>5709</v>
      </c>
      <c r="K2208" s="695" t="s">
        <v>3907</v>
      </c>
      <c r="L2208" s="696">
        <v>50</v>
      </c>
      <c r="M2208" s="170"/>
    </row>
    <row r="2209" spans="2:13" x14ac:dyDescent="0.2">
      <c r="B2209" s="173"/>
      <c r="C2209" s="694">
        <v>1</v>
      </c>
      <c r="D2209" s="695" t="s">
        <v>3903</v>
      </c>
      <c r="E2209" s="695">
        <v>3</v>
      </c>
      <c r="F2209" s="695" t="s">
        <v>4822</v>
      </c>
      <c r="G2209" s="695">
        <v>5</v>
      </c>
      <c r="H2209" s="695" t="s">
        <v>5320</v>
      </c>
      <c r="I2209" s="695">
        <v>421</v>
      </c>
      <c r="J2209" s="695" t="s">
        <v>5710</v>
      </c>
      <c r="K2209" s="695" t="s">
        <v>3907</v>
      </c>
      <c r="L2209" s="696">
        <v>4</v>
      </c>
      <c r="M2209" s="170"/>
    </row>
    <row r="2210" spans="2:13" x14ac:dyDescent="0.2">
      <c r="B2210" s="173"/>
      <c r="C2210" s="694">
        <v>1</v>
      </c>
      <c r="D2210" s="695" t="s">
        <v>3903</v>
      </c>
      <c r="E2210" s="695">
        <v>3</v>
      </c>
      <c r="F2210" s="695" t="s">
        <v>4822</v>
      </c>
      <c r="G2210" s="695">
        <v>5</v>
      </c>
      <c r="H2210" s="695" t="s">
        <v>5320</v>
      </c>
      <c r="I2210" s="695">
        <v>422</v>
      </c>
      <c r="J2210" s="695" t="s">
        <v>5711</v>
      </c>
      <c r="K2210" s="695" t="s">
        <v>3907</v>
      </c>
      <c r="L2210" s="696">
        <v>3</v>
      </c>
      <c r="M2210" s="170"/>
    </row>
    <row r="2211" spans="2:13" x14ac:dyDescent="0.2">
      <c r="B2211" s="173"/>
      <c r="C2211" s="694">
        <v>1</v>
      </c>
      <c r="D2211" s="695" t="s">
        <v>3903</v>
      </c>
      <c r="E2211" s="695">
        <v>3</v>
      </c>
      <c r="F2211" s="695" t="s">
        <v>4822</v>
      </c>
      <c r="G2211" s="695">
        <v>5</v>
      </c>
      <c r="H2211" s="695" t="s">
        <v>5320</v>
      </c>
      <c r="I2211" s="695">
        <v>423</v>
      </c>
      <c r="J2211" s="695" t="s">
        <v>5712</v>
      </c>
      <c r="K2211" s="695" t="s">
        <v>3907</v>
      </c>
      <c r="L2211" s="696">
        <v>7</v>
      </c>
      <c r="M2211" s="170"/>
    </row>
    <row r="2212" spans="2:13" x14ac:dyDescent="0.2">
      <c r="B2212" s="173"/>
      <c r="C2212" s="694">
        <v>1</v>
      </c>
      <c r="D2212" s="695" t="s">
        <v>3903</v>
      </c>
      <c r="E2212" s="695">
        <v>3</v>
      </c>
      <c r="F2212" s="695" t="s">
        <v>4822</v>
      </c>
      <c r="G2212" s="695">
        <v>5</v>
      </c>
      <c r="H2212" s="695" t="s">
        <v>5320</v>
      </c>
      <c r="I2212" s="695">
        <v>424</v>
      </c>
      <c r="J2212" s="695" t="s">
        <v>5713</v>
      </c>
      <c r="K2212" s="695" t="s">
        <v>3907</v>
      </c>
      <c r="L2212" s="696">
        <v>22</v>
      </c>
      <c r="M2212" s="170"/>
    </row>
    <row r="2213" spans="2:13" x14ac:dyDescent="0.2">
      <c r="B2213" s="173"/>
      <c r="C2213" s="694">
        <v>1</v>
      </c>
      <c r="D2213" s="695" t="s">
        <v>3903</v>
      </c>
      <c r="E2213" s="695">
        <v>3</v>
      </c>
      <c r="F2213" s="695" t="s">
        <v>4822</v>
      </c>
      <c r="G2213" s="695">
        <v>5</v>
      </c>
      <c r="H2213" s="695" t="s">
        <v>5320</v>
      </c>
      <c r="I2213" s="695">
        <v>425</v>
      </c>
      <c r="J2213" s="695" t="s">
        <v>5714</v>
      </c>
      <c r="K2213" s="695" t="s">
        <v>3907</v>
      </c>
      <c r="L2213" s="696">
        <v>8</v>
      </c>
      <c r="M2213" s="170"/>
    </row>
    <row r="2214" spans="2:13" x14ac:dyDescent="0.2">
      <c r="B2214" s="173"/>
      <c r="C2214" s="694">
        <v>1</v>
      </c>
      <c r="D2214" s="695" t="s">
        <v>3903</v>
      </c>
      <c r="E2214" s="695">
        <v>3</v>
      </c>
      <c r="F2214" s="695" t="s">
        <v>4822</v>
      </c>
      <c r="G2214" s="695">
        <v>5</v>
      </c>
      <c r="H2214" s="695" t="s">
        <v>5320</v>
      </c>
      <c r="I2214" s="695">
        <v>426</v>
      </c>
      <c r="J2214" s="695" t="s">
        <v>5715</v>
      </c>
      <c r="K2214" s="695" t="s">
        <v>3907</v>
      </c>
      <c r="L2214" s="696">
        <v>16</v>
      </c>
      <c r="M2214" s="170"/>
    </row>
    <row r="2215" spans="2:13" x14ac:dyDescent="0.2">
      <c r="B2215" s="173"/>
      <c r="C2215" s="694">
        <v>1</v>
      </c>
      <c r="D2215" s="695" t="s">
        <v>3903</v>
      </c>
      <c r="E2215" s="695">
        <v>3</v>
      </c>
      <c r="F2215" s="695" t="s">
        <v>4822</v>
      </c>
      <c r="G2215" s="695">
        <v>5</v>
      </c>
      <c r="H2215" s="695" t="s">
        <v>5320</v>
      </c>
      <c r="I2215" s="695">
        <v>427</v>
      </c>
      <c r="J2215" s="695" t="s">
        <v>5716</v>
      </c>
      <c r="K2215" s="695" t="s">
        <v>3907</v>
      </c>
      <c r="L2215" s="696">
        <v>2</v>
      </c>
      <c r="M2215" s="170"/>
    </row>
    <row r="2216" spans="2:13" x14ac:dyDescent="0.2">
      <c r="B2216" s="173"/>
      <c r="C2216" s="694">
        <v>1</v>
      </c>
      <c r="D2216" s="695" t="s">
        <v>3903</v>
      </c>
      <c r="E2216" s="695">
        <v>3</v>
      </c>
      <c r="F2216" s="695" t="s">
        <v>4822</v>
      </c>
      <c r="G2216" s="695">
        <v>5</v>
      </c>
      <c r="H2216" s="695" t="s">
        <v>5320</v>
      </c>
      <c r="I2216" s="695">
        <v>428</v>
      </c>
      <c r="J2216" s="695" t="s">
        <v>5717</v>
      </c>
      <c r="K2216" s="695" t="s">
        <v>3907</v>
      </c>
      <c r="L2216" s="696">
        <v>7</v>
      </c>
      <c r="M2216" s="170"/>
    </row>
    <row r="2217" spans="2:13" x14ac:dyDescent="0.2">
      <c r="B2217" s="173"/>
      <c r="C2217" s="694">
        <v>1</v>
      </c>
      <c r="D2217" s="695" t="s">
        <v>3903</v>
      </c>
      <c r="E2217" s="695">
        <v>3</v>
      </c>
      <c r="F2217" s="695" t="s">
        <v>4822</v>
      </c>
      <c r="G2217" s="695">
        <v>5</v>
      </c>
      <c r="H2217" s="695" t="s">
        <v>5320</v>
      </c>
      <c r="I2217" s="695">
        <v>429</v>
      </c>
      <c r="J2217" s="695" t="s">
        <v>5718</v>
      </c>
      <c r="K2217" s="695" t="s">
        <v>3907</v>
      </c>
      <c r="L2217" s="696">
        <v>6</v>
      </c>
      <c r="M2217" s="170"/>
    </row>
    <row r="2218" spans="2:13" x14ac:dyDescent="0.2">
      <c r="B2218" s="173"/>
      <c r="C2218" s="694">
        <v>1</v>
      </c>
      <c r="D2218" s="695" t="s">
        <v>3903</v>
      </c>
      <c r="E2218" s="695">
        <v>3</v>
      </c>
      <c r="F2218" s="695" t="s">
        <v>4822</v>
      </c>
      <c r="G2218" s="695">
        <v>5</v>
      </c>
      <c r="H2218" s="695" t="s">
        <v>5320</v>
      </c>
      <c r="I2218" s="695">
        <v>430</v>
      </c>
      <c r="J2218" s="695" t="s">
        <v>5719</v>
      </c>
      <c r="K2218" s="695" t="s">
        <v>3907</v>
      </c>
      <c r="L2218" s="696">
        <v>21</v>
      </c>
      <c r="M2218" s="170"/>
    </row>
    <row r="2219" spans="2:13" x14ac:dyDescent="0.2">
      <c r="B2219" s="173"/>
      <c r="C2219" s="694">
        <v>1</v>
      </c>
      <c r="D2219" s="695" t="s">
        <v>3903</v>
      </c>
      <c r="E2219" s="695">
        <v>3</v>
      </c>
      <c r="F2219" s="695" t="s">
        <v>4822</v>
      </c>
      <c r="G2219" s="695">
        <v>5</v>
      </c>
      <c r="H2219" s="695" t="s">
        <v>5320</v>
      </c>
      <c r="I2219" s="695">
        <v>431</v>
      </c>
      <c r="J2219" s="695" t="s">
        <v>5720</v>
      </c>
      <c r="K2219" s="695" t="s">
        <v>3907</v>
      </c>
      <c r="L2219" s="696">
        <v>12</v>
      </c>
      <c r="M2219" s="170"/>
    </row>
    <row r="2220" spans="2:13" x14ac:dyDescent="0.2">
      <c r="B2220" s="173"/>
      <c r="C2220" s="694">
        <v>1</v>
      </c>
      <c r="D2220" s="695" t="s">
        <v>3903</v>
      </c>
      <c r="E2220" s="695">
        <v>3</v>
      </c>
      <c r="F2220" s="695" t="s">
        <v>4822</v>
      </c>
      <c r="G2220" s="695">
        <v>5</v>
      </c>
      <c r="H2220" s="695" t="s">
        <v>5320</v>
      </c>
      <c r="I2220" s="695">
        <v>432</v>
      </c>
      <c r="J2220" s="695" t="s">
        <v>5721</v>
      </c>
      <c r="K2220" s="695" t="s">
        <v>3907</v>
      </c>
      <c r="L2220" s="696">
        <v>8</v>
      </c>
      <c r="M2220" s="170"/>
    </row>
    <row r="2221" spans="2:13" x14ac:dyDescent="0.2">
      <c r="B2221" s="173"/>
      <c r="C2221" s="694">
        <v>1</v>
      </c>
      <c r="D2221" s="695" t="s">
        <v>3903</v>
      </c>
      <c r="E2221" s="695">
        <v>3</v>
      </c>
      <c r="F2221" s="695" t="s">
        <v>4822</v>
      </c>
      <c r="G2221" s="695">
        <v>5</v>
      </c>
      <c r="H2221" s="695" t="s">
        <v>5320</v>
      </c>
      <c r="I2221" s="695">
        <v>433</v>
      </c>
      <c r="J2221" s="695" t="s">
        <v>5722</v>
      </c>
      <c r="K2221" s="695" t="s">
        <v>3907</v>
      </c>
      <c r="L2221" s="696">
        <v>11</v>
      </c>
      <c r="M2221" s="170"/>
    </row>
    <row r="2222" spans="2:13" x14ac:dyDescent="0.2">
      <c r="B2222" s="173"/>
      <c r="C2222" s="694">
        <v>1</v>
      </c>
      <c r="D2222" s="695" t="s">
        <v>3903</v>
      </c>
      <c r="E2222" s="695">
        <v>3</v>
      </c>
      <c r="F2222" s="695" t="s">
        <v>4822</v>
      </c>
      <c r="G2222" s="695">
        <v>5</v>
      </c>
      <c r="H2222" s="695" t="s">
        <v>5320</v>
      </c>
      <c r="I2222" s="695">
        <v>434</v>
      </c>
      <c r="J2222" s="695" t="s">
        <v>5723</v>
      </c>
      <c r="K2222" s="695" t="s">
        <v>3907</v>
      </c>
      <c r="L2222" s="696">
        <v>9</v>
      </c>
      <c r="M2222" s="170"/>
    </row>
    <row r="2223" spans="2:13" x14ac:dyDescent="0.2">
      <c r="B2223" s="173"/>
      <c r="C2223" s="694">
        <v>1</v>
      </c>
      <c r="D2223" s="695" t="s">
        <v>3903</v>
      </c>
      <c r="E2223" s="695">
        <v>3</v>
      </c>
      <c r="F2223" s="695" t="s">
        <v>4822</v>
      </c>
      <c r="G2223" s="695">
        <v>5</v>
      </c>
      <c r="H2223" s="695" t="s">
        <v>5320</v>
      </c>
      <c r="I2223" s="695">
        <v>435</v>
      </c>
      <c r="J2223" s="695" t="s">
        <v>5724</v>
      </c>
      <c r="K2223" s="695" t="s">
        <v>3907</v>
      </c>
      <c r="L2223" s="696">
        <v>24</v>
      </c>
      <c r="M2223" s="170"/>
    </row>
    <row r="2224" spans="2:13" x14ac:dyDescent="0.2">
      <c r="B2224" s="173"/>
      <c r="C2224" s="694">
        <v>1</v>
      </c>
      <c r="D2224" s="695" t="s">
        <v>3903</v>
      </c>
      <c r="E2224" s="695">
        <v>3</v>
      </c>
      <c r="F2224" s="695" t="s">
        <v>4822</v>
      </c>
      <c r="G2224" s="695">
        <v>5</v>
      </c>
      <c r="H2224" s="695" t="s">
        <v>5320</v>
      </c>
      <c r="I2224" s="695">
        <v>436</v>
      </c>
      <c r="J2224" s="695" t="s">
        <v>5725</v>
      </c>
      <c r="K2224" s="695" t="s">
        <v>3907</v>
      </c>
      <c r="L2224" s="696">
        <v>5</v>
      </c>
      <c r="M2224" s="170"/>
    </row>
    <row r="2225" spans="2:13" x14ac:dyDescent="0.2">
      <c r="B2225" s="173"/>
      <c r="C2225" s="694">
        <v>1</v>
      </c>
      <c r="D2225" s="695" t="s">
        <v>3903</v>
      </c>
      <c r="E2225" s="695">
        <v>3</v>
      </c>
      <c r="F2225" s="695" t="s">
        <v>4822</v>
      </c>
      <c r="G2225" s="695">
        <v>5</v>
      </c>
      <c r="H2225" s="695" t="s">
        <v>5320</v>
      </c>
      <c r="I2225" s="695">
        <v>437</v>
      </c>
      <c r="J2225" s="695" t="s">
        <v>5726</v>
      </c>
      <c r="K2225" s="695" t="s">
        <v>3907</v>
      </c>
      <c r="L2225" s="696">
        <v>28</v>
      </c>
      <c r="M2225" s="170"/>
    </row>
    <row r="2226" spans="2:13" x14ac:dyDescent="0.2">
      <c r="B2226" s="173"/>
      <c r="C2226" s="694">
        <v>1</v>
      </c>
      <c r="D2226" s="695" t="s">
        <v>3903</v>
      </c>
      <c r="E2226" s="695">
        <v>3</v>
      </c>
      <c r="F2226" s="695" t="s">
        <v>4822</v>
      </c>
      <c r="G2226" s="695">
        <v>5</v>
      </c>
      <c r="H2226" s="695" t="s">
        <v>5320</v>
      </c>
      <c r="I2226" s="695">
        <v>438</v>
      </c>
      <c r="J2226" s="695" t="s">
        <v>5727</v>
      </c>
      <c r="K2226" s="695" t="s">
        <v>3907</v>
      </c>
      <c r="L2226" s="696">
        <v>7</v>
      </c>
      <c r="M2226" s="170"/>
    </row>
    <row r="2227" spans="2:13" x14ac:dyDescent="0.2">
      <c r="B2227" s="173"/>
      <c r="C2227" s="694">
        <v>1</v>
      </c>
      <c r="D2227" s="695" t="s">
        <v>3903</v>
      </c>
      <c r="E2227" s="695">
        <v>3</v>
      </c>
      <c r="F2227" s="695" t="s">
        <v>4822</v>
      </c>
      <c r="G2227" s="695">
        <v>5</v>
      </c>
      <c r="H2227" s="695" t="s">
        <v>5320</v>
      </c>
      <c r="I2227" s="695">
        <v>439</v>
      </c>
      <c r="J2227" s="695" t="s">
        <v>5728</v>
      </c>
      <c r="K2227" s="695" t="s">
        <v>3907</v>
      </c>
      <c r="L2227" s="696">
        <v>11</v>
      </c>
      <c r="M2227" s="170"/>
    </row>
    <row r="2228" spans="2:13" x14ac:dyDescent="0.2">
      <c r="B2228" s="173"/>
      <c r="C2228" s="694">
        <v>1</v>
      </c>
      <c r="D2228" s="695" t="s">
        <v>3903</v>
      </c>
      <c r="E2228" s="695">
        <v>3</v>
      </c>
      <c r="F2228" s="695" t="s">
        <v>4822</v>
      </c>
      <c r="G2228" s="695">
        <v>5</v>
      </c>
      <c r="H2228" s="695" t="s">
        <v>5320</v>
      </c>
      <c r="I2228" s="695">
        <v>440</v>
      </c>
      <c r="J2228" s="695" t="s">
        <v>5729</v>
      </c>
      <c r="K2228" s="695" t="s">
        <v>3907</v>
      </c>
      <c r="L2228" s="696">
        <v>0</v>
      </c>
      <c r="M2228" s="170"/>
    </row>
    <row r="2229" spans="2:13" x14ac:dyDescent="0.2">
      <c r="B2229" s="173"/>
      <c r="C2229" s="694">
        <v>1</v>
      </c>
      <c r="D2229" s="695" t="s">
        <v>3903</v>
      </c>
      <c r="E2229" s="695">
        <v>3</v>
      </c>
      <c r="F2229" s="695" t="s">
        <v>4822</v>
      </c>
      <c r="G2229" s="695">
        <v>5</v>
      </c>
      <c r="H2229" s="695" t="s">
        <v>5320</v>
      </c>
      <c r="I2229" s="695">
        <v>441</v>
      </c>
      <c r="J2229" s="695" t="s">
        <v>5730</v>
      </c>
      <c r="K2229" s="695" t="s">
        <v>3907</v>
      </c>
      <c r="L2229" s="696">
        <v>12</v>
      </c>
      <c r="M2229" s="170"/>
    </row>
    <row r="2230" spans="2:13" x14ac:dyDescent="0.2">
      <c r="B2230" s="173"/>
      <c r="C2230" s="694">
        <v>1</v>
      </c>
      <c r="D2230" s="695" t="s">
        <v>3903</v>
      </c>
      <c r="E2230" s="695">
        <v>3</v>
      </c>
      <c r="F2230" s="695" t="s">
        <v>4822</v>
      </c>
      <c r="G2230" s="695">
        <v>5</v>
      </c>
      <c r="H2230" s="695" t="s">
        <v>5320</v>
      </c>
      <c r="I2230" s="695">
        <v>442</v>
      </c>
      <c r="J2230" s="695" t="s">
        <v>5731</v>
      </c>
      <c r="K2230" s="695" t="s">
        <v>3907</v>
      </c>
      <c r="L2230" s="696">
        <v>16</v>
      </c>
      <c r="M2230" s="170"/>
    </row>
    <row r="2231" spans="2:13" x14ac:dyDescent="0.2">
      <c r="B2231" s="173"/>
      <c r="C2231" s="694">
        <v>1</v>
      </c>
      <c r="D2231" s="695" t="s">
        <v>3903</v>
      </c>
      <c r="E2231" s="695">
        <v>3</v>
      </c>
      <c r="F2231" s="695" t="s">
        <v>4822</v>
      </c>
      <c r="G2231" s="695">
        <v>5</v>
      </c>
      <c r="H2231" s="695" t="s">
        <v>5320</v>
      </c>
      <c r="I2231" s="695">
        <v>443</v>
      </c>
      <c r="J2231" s="695" t="s">
        <v>5732</v>
      </c>
      <c r="K2231" s="695" t="s">
        <v>3907</v>
      </c>
      <c r="L2231" s="696">
        <v>11</v>
      </c>
      <c r="M2231" s="170"/>
    </row>
    <row r="2232" spans="2:13" x14ac:dyDescent="0.2">
      <c r="B2232" s="173"/>
      <c r="C2232" s="694">
        <v>1</v>
      </c>
      <c r="D2232" s="695" t="s">
        <v>3903</v>
      </c>
      <c r="E2232" s="695">
        <v>3</v>
      </c>
      <c r="F2232" s="695" t="s">
        <v>4822</v>
      </c>
      <c r="G2232" s="695">
        <v>5</v>
      </c>
      <c r="H2232" s="695" t="s">
        <v>5320</v>
      </c>
      <c r="I2232" s="695">
        <v>444</v>
      </c>
      <c r="J2232" s="695" t="s">
        <v>5733</v>
      </c>
      <c r="K2232" s="695" t="s">
        <v>3907</v>
      </c>
      <c r="L2232" s="696">
        <v>127</v>
      </c>
      <c r="M2232" s="170"/>
    </row>
    <row r="2233" spans="2:13" x14ac:dyDescent="0.2">
      <c r="B2233" s="173"/>
      <c r="C2233" s="694">
        <v>1</v>
      </c>
      <c r="D2233" s="695" t="s">
        <v>3903</v>
      </c>
      <c r="E2233" s="695">
        <v>3</v>
      </c>
      <c r="F2233" s="695" t="s">
        <v>4822</v>
      </c>
      <c r="G2233" s="695">
        <v>5</v>
      </c>
      <c r="H2233" s="695" t="s">
        <v>5320</v>
      </c>
      <c r="I2233" s="695">
        <v>445</v>
      </c>
      <c r="J2233" s="695" t="s">
        <v>5734</v>
      </c>
      <c r="K2233" s="695" t="s">
        <v>3907</v>
      </c>
      <c r="L2233" s="696">
        <v>60</v>
      </c>
      <c r="M2233" s="170"/>
    </row>
    <row r="2234" spans="2:13" x14ac:dyDescent="0.2">
      <c r="B2234" s="173"/>
      <c r="C2234" s="694">
        <v>1</v>
      </c>
      <c r="D2234" s="695" t="s">
        <v>3903</v>
      </c>
      <c r="E2234" s="695">
        <v>3</v>
      </c>
      <c r="F2234" s="695" t="s">
        <v>4822</v>
      </c>
      <c r="G2234" s="695">
        <v>5</v>
      </c>
      <c r="H2234" s="695" t="s">
        <v>5320</v>
      </c>
      <c r="I2234" s="695">
        <v>446</v>
      </c>
      <c r="J2234" s="695" t="s">
        <v>5735</v>
      </c>
      <c r="K2234" s="695" t="s">
        <v>3907</v>
      </c>
      <c r="L2234" s="696">
        <v>9</v>
      </c>
      <c r="M2234" s="170"/>
    </row>
    <row r="2235" spans="2:13" x14ac:dyDescent="0.2">
      <c r="B2235" s="173"/>
      <c r="C2235" s="694">
        <v>1</v>
      </c>
      <c r="D2235" s="695" t="s">
        <v>3903</v>
      </c>
      <c r="E2235" s="695">
        <v>3</v>
      </c>
      <c r="F2235" s="695" t="s">
        <v>4822</v>
      </c>
      <c r="G2235" s="695">
        <v>5</v>
      </c>
      <c r="H2235" s="695" t="s">
        <v>5320</v>
      </c>
      <c r="I2235" s="695">
        <v>447</v>
      </c>
      <c r="J2235" s="695" t="s">
        <v>5736</v>
      </c>
      <c r="K2235" s="695" t="s">
        <v>3907</v>
      </c>
      <c r="L2235" s="696">
        <v>4</v>
      </c>
      <c r="M2235" s="170"/>
    </row>
    <row r="2236" spans="2:13" x14ac:dyDescent="0.2">
      <c r="B2236" s="173"/>
      <c r="C2236" s="694">
        <v>1</v>
      </c>
      <c r="D2236" s="695" t="s">
        <v>3903</v>
      </c>
      <c r="E2236" s="695">
        <v>3</v>
      </c>
      <c r="F2236" s="695" t="s">
        <v>4822</v>
      </c>
      <c r="G2236" s="695">
        <v>5</v>
      </c>
      <c r="H2236" s="695" t="s">
        <v>5320</v>
      </c>
      <c r="I2236" s="695">
        <v>448</v>
      </c>
      <c r="J2236" s="695" t="s">
        <v>5737</v>
      </c>
      <c r="K2236" s="695" t="s">
        <v>3907</v>
      </c>
      <c r="L2236" s="696">
        <v>3</v>
      </c>
      <c r="M2236" s="170"/>
    </row>
    <row r="2237" spans="2:13" x14ac:dyDescent="0.2">
      <c r="B2237" s="173"/>
      <c r="C2237" s="694">
        <v>1</v>
      </c>
      <c r="D2237" s="695" t="s">
        <v>3903</v>
      </c>
      <c r="E2237" s="695">
        <v>3</v>
      </c>
      <c r="F2237" s="695" t="s">
        <v>4822</v>
      </c>
      <c r="G2237" s="695">
        <v>5</v>
      </c>
      <c r="H2237" s="695" t="s">
        <v>5320</v>
      </c>
      <c r="I2237" s="695">
        <v>449</v>
      </c>
      <c r="J2237" s="695" t="s">
        <v>5738</v>
      </c>
      <c r="K2237" s="695" t="s">
        <v>3907</v>
      </c>
      <c r="L2237" s="696">
        <v>15</v>
      </c>
      <c r="M2237" s="170"/>
    </row>
    <row r="2238" spans="2:13" x14ac:dyDescent="0.2">
      <c r="B2238" s="173"/>
      <c r="C2238" s="694">
        <v>1</v>
      </c>
      <c r="D2238" s="695" t="s">
        <v>3903</v>
      </c>
      <c r="E2238" s="695">
        <v>3</v>
      </c>
      <c r="F2238" s="695" t="s">
        <v>4822</v>
      </c>
      <c r="G2238" s="695">
        <v>5</v>
      </c>
      <c r="H2238" s="695" t="s">
        <v>5320</v>
      </c>
      <c r="I2238" s="695">
        <v>450</v>
      </c>
      <c r="J2238" s="695" t="s">
        <v>5739</v>
      </c>
      <c r="K2238" s="695" t="s">
        <v>3907</v>
      </c>
      <c r="L2238" s="696">
        <v>21</v>
      </c>
      <c r="M2238" s="170"/>
    </row>
    <row r="2239" spans="2:13" x14ac:dyDescent="0.2">
      <c r="B2239" s="173"/>
      <c r="C2239" s="694">
        <v>1</v>
      </c>
      <c r="D2239" s="695" t="s">
        <v>3903</v>
      </c>
      <c r="E2239" s="695">
        <v>3</v>
      </c>
      <c r="F2239" s="695" t="s">
        <v>4822</v>
      </c>
      <c r="G2239" s="695">
        <v>5</v>
      </c>
      <c r="H2239" s="695" t="s">
        <v>5320</v>
      </c>
      <c r="I2239" s="695">
        <v>451</v>
      </c>
      <c r="J2239" s="695" t="s">
        <v>5740</v>
      </c>
      <c r="K2239" s="695" t="s">
        <v>3907</v>
      </c>
      <c r="L2239" s="696">
        <v>11</v>
      </c>
      <c r="M2239" s="170"/>
    </row>
    <row r="2240" spans="2:13" x14ac:dyDescent="0.2">
      <c r="B2240" s="173"/>
      <c r="C2240" s="694">
        <v>1</v>
      </c>
      <c r="D2240" s="695" t="s">
        <v>3903</v>
      </c>
      <c r="E2240" s="695">
        <v>3</v>
      </c>
      <c r="F2240" s="695" t="s">
        <v>4822</v>
      </c>
      <c r="G2240" s="695">
        <v>5</v>
      </c>
      <c r="H2240" s="695" t="s">
        <v>5320</v>
      </c>
      <c r="I2240" s="695">
        <v>452</v>
      </c>
      <c r="J2240" s="695" t="s">
        <v>5741</v>
      </c>
      <c r="K2240" s="695" t="s">
        <v>3907</v>
      </c>
      <c r="L2240" s="696">
        <v>7</v>
      </c>
      <c r="M2240" s="170"/>
    </row>
    <row r="2241" spans="2:13" x14ac:dyDescent="0.2">
      <c r="B2241" s="173"/>
      <c r="C2241" s="694">
        <v>1</v>
      </c>
      <c r="D2241" s="695" t="s">
        <v>3903</v>
      </c>
      <c r="E2241" s="695">
        <v>3</v>
      </c>
      <c r="F2241" s="695" t="s">
        <v>4822</v>
      </c>
      <c r="G2241" s="695">
        <v>5</v>
      </c>
      <c r="H2241" s="695" t="s">
        <v>5320</v>
      </c>
      <c r="I2241" s="695">
        <v>453</v>
      </c>
      <c r="J2241" s="695" t="s">
        <v>5742</v>
      </c>
      <c r="K2241" s="695" t="s">
        <v>3907</v>
      </c>
      <c r="L2241" s="696">
        <v>1</v>
      </c>
      <c r="M2241" s="170"/>
    </row>
    <row r="2242" spans="2:13" x14ac:dyDescent="0.2">
      <c r="B2242" s="173"/>
      <c r="C2242" s="694">
        <v>1</v>
      </c>
      <c r="D2242" s="695" t="s">
        <v>3903</v>
      </c>
      <c r="E2242" s="695">
        <v>3</v>
      </c>
      <c r="F2242" s="695" t="s">
        <v>4822</v>
      </c>
      <c r="G2242" s="695">
        <v>5</v>
      </c>
      <c r="H2242" s="695" t="s">
        <v>5320</v>
      </c>
      <c r="I2242" s="695">
        <v>454</v>
      </c>
      <c r="J2242" s="695" t="s">
        <v>5743</v>
      </c>
      <c r="K2242" s="695" t="s">
        <v>3907</v>
      </c>
      <c r="L2242" s="696">
        <v>3</v>
      </c>
      <c r="M2242" s="170"/>
    </row>
    <row r="2243" spans="2:13" x14ac:dyDescent="0.2">
      <c r="B2243" s="173"/>
      <c r="C2243" s="694">
        <v>1</v>
      </c>
      <c r="D2243" s="695" t="s">
        <v>3903</v>
      </c>
      <c r="E2243" s="695">
        <v>3</v>
      </c>
      <c r="F2243" s="695" t="s">
        <v>4822</v>
      </c>
      <c r="G2243" s="695">
        <v>5</v>
      </c>
      <c r="H2243" s="695" t="s">
        <v>5320</v>
      </c>
      <c r="I2243" s="695">
        <v>455</v>
      </c>
      <c r="J2243" s="695" t="s">
        <v>5744</v>
      </c>
      <c r="K2243" s="695" t="s">
        <v>3907</v>
      </c>
      <c r="L2243" s="696">
        <v>19</v>
      </c>
      <c r="M2243" s="170"/>
    </row>
    <row r="2244" spans="2:13" x14ac:dyDescent="0.2">
      <c r="B2244" s="173"/>
      <c r="C2244" s="694">
        <v>1</v>
      </c>
      <c r="D2244" s="695" t="s">
        <v>3903</v>
      </c>
      <c r="E2244" s="695">
        <v>3</v>
      </c>
      <c r="F2244" s="695" t="s">
        <v>4822</v>
      </c>
      <c r="G2244" s="695">
        <v>5</v>
      </c>
      <c r="H2244" s="695" t="s">
        <v>5320</v>
      </c>
      <c r="I2244" s="695">
        <v>456</v>
      </c>
      <c r="J2244" s="695" t="s">
        <v>5745</v>
      </c>
      <c r="K2244" s="695" t="s">
        <v>3907</v>
      </c>
      <c r="L2244" s="696">
        <v>1</v>
      </c>
      <c r="M2244" s="170"/>
    </row>
    <row r="2245" spans="2:13" x14ac:dyDescent="0.2">
      <c r="B2245" s="173"/>
      <c r="C2245" s="694">
        <v>1</v>
      </c>
      <c r="D2245" s="695" t="s">
        <v>3903</v>
      </c>
      <c r="E2245" s="695">
        <v>3</v>
      </c>
      <c r="F2245" s="695" t="s">
        <v>4822</v>
      </c>
      <c r="G2245" s="695">
        <v>5</v>
      </c>
      <c r="H2245" s="695" t="s">
        <v>5320</v>
      </c>
      <c r="I2245" s="695">
        <v>457</v>
      </c>
      <c r="J2245" s="695" t="s">
        <v>5746</v>
      </c>
      <c r="K2245" s="695" t="s">
        <v>3907</v>
      </c>
      <c r="L2245" s="696">
        <v>2</v>
      </c>
      <c r="M2245" s="170"/>
    </row>
    <row r="2246" spans="2:13" x14ac:dyDescent="0.2">
      <c r="B2246" s="173"/>
      <c r="C2246" s="694">
        <v>1</v>
      </c>
      <c r="D2246" s="695" t="s">
        <v>3903</v>
      </c>
      <c r="E2246" s="695">
        <v>3</v>
      </c>
      <c r="F2246" s="695" t="s">
        <v>4822</v>
      </c>
      <c r="G2246" s="695">
        <v>5</v>
      </c>
      <c r="H2246" s="695" t="s">
        <v>5320</v>
      </c>
      <c r="I2246" s="695">
        <v>458</v>
      </c>
      <c r="J2246" s="695" t="s">
        <v>5747</v>
      </c>
      <c r="K2246" s="695" t="s">
        <v>3907</v>
      </c>
      <c r="L2246" s="696">
        <v>6</v>
      </c>
      <c r="M2246" s="170"/>
    </row>
    <row r="2247" spans="2:13" x14ac:dyDescent="0.2">
      <c r="B2247" s="173"/>
      <c r="C2247" s="694">
        <v>1</v>
      </c>
      <c r="D2247" s="695" t="s">
        <v>3903</v>
      </c>
      <c r="E2247" s="695">
        <v>3</v>
      </c>
      <c r="F2247" s="695" t="s">
        <v>4822</v>
      </c>
      <c r="G2247" s="695">
        <v>5</v>
      </c>
      <c r="H2247" s="695" t="s">
        <v>5320</v>
      </c>
      <c r="I2247" s="695">
        <v>459</v>
      </c>
      <c r="J2247" s="695" t="s">
        <v>5748</v>
      </c>
      <c r="K2247" s="695" t="s">
        <v>3907</v>
      </c>
      <c r="L2247" s="696">
        <v>7</v>
      </c>
      <c r="M2247" s="170"/>
    </row>
    <row r="2248" spans="2:13" x14ac:dyDescent="0.2">
      <c r="B2248" s="173"/>
      <c r="C2248" s="694">
        <v>1</v>
      </c>
      <c r="D2248" s="695" t="s">
        <v>3903</v>
      </c>
      <c r="E2248" s="695">
        <v>3</v>
      </c>
      <c r="F2248" s="695" t="s">
        <v>4822</v>
      </c>
      <c r="G2248" s="695">
        <v>5</v>
      </c>
      <c r="H2248" s="695" t="s">
        <v>5320</v>
      </c>
      <c r="I2248" s="695">
        <v>460</v>
      </c>
      <c r="J2248" s="695" t="s">
        <v>5749</v>
      </c>
      <c r="K2248" s="695" t="s">
        <v>3907</v>
      </c>
      <c r="L2248" s="696">
        <v>8</v>
      </c>
      <c r="M2248" s="170"/>
    </row>
    <row r="2249" spans="2:13" x14ac:dyDescent="0.2">
      <c r="B2249" s="173"/>
      <c r="C2249" s="694">
        <v>1</v>
      </c>
      <c r="D2249" s="695" t="s">
        <v>3903</v>
      </c>
      <c r="E2249" s="695">
        <v>3</v>
      </c>
      <c r="F2249" s="695" t="s">
        <v>4822</v>
      </c>
      <c r="G2249" s="695">
        <v>5</v>
      </c>
      <c r="H2249" s="695" t="s">
        <v>5320</v>
      </c>
      <c r="I2249" s="695">
        <v>461</v>
      </c>
      <c r="J2249" s="695" t="s">
        <v>5750</v>
      </c>
      <c r="K2249" s="695" t="s">
        <v>3907</v>
      </c>
      <c r="L2249" s="696">
        <v>3</v>
      </c>
      <c r="M2249" s="170"/>
    </row>
    <row r="2250" spans="2:13" x14ac:dyDescent="0.2">
      <c r="B2250" s="173"/>
      <c r="C2250" s="694">
        <v>1</v>
      </c>
      <c r="D2250" s="695" t="s">
        <v>3903</v>
      </c>
      <c r="E2250" s="695">
        <v>3</v>
      </c>
      <c r="F2250" s="695" t="s">
        <v>4822</v>
      </c>
      <c r="G2250" s="695">
        <v>5</v>
      </c>
      <c r="H2250" s="695" t="s">
        <v>5320</v>
      </c>
      <c r="I2250" s="695">
        <v>462</v>
      </c>
      <c r="J2250" s="695" t="s">
        <v>5751</v>
      </c>
      <c r="K2250" s="695" t="s">
        <v>3907</v>
      </c>
      <c r="L2250" s="696">
        <v>106</v>
      </c>
      <c r="M2250" s="170"/>
    </row>
    <row r="2251" spans="2:13" x14ac:dyDescent="0.2">
      <c r="B2251" s="173"/>
      <c r="C2251" s="694">
        <v>1</v>
      </c>
      <c r="D2251" s="695" t="s">
        <v>3903</v>
      </c>
      <c r="E2251" s="695">
        <v>3</v>
      </c>
      <c r="F2251" s="695" t="s">
        <v>4822</v>
      </c>
      <c r="G2251" s="695">
        <v>5</v>
      </c>
      <c r="H2251" s="695" t="s">
        <v>5320</v>
      </c>
      <c r="I2251" s="695">
        <v>463</v>
      </c>
      <c r="J2251" s="695" t="s">
        <v>5752</v>
      </c>
      <c r="K2251" s="695" t="s">
        <v>3907</v>
      </c>
      <c r="L2251" s="696">
        <v>20</v>
      </c>
      <c r="M2251" s="170"/>
    </row>
    <row r="2252" spans="2:13" x14ac:dyDescent="0.2">
      <c r="B2252" s="173"/>
      <c r="C2252" s="694">
        <v>1</v>
      </c>
      <c r="D2252" s="695" t="s">
        <v>3903</v>
      </c>
      <c r="E2252" s="695">
        <v>3</v>
      </c>
      <c r="F2252" s="695" t="s">
        <v>4822</v>
      </c>
      <c r="G2252" s="695">
        <v>5</v>
      </c>
      <c r="H2252" s="695" t="s">
        <v>5320</v>
      </c>
      <c r="I2252" s="695">
        <v>464</v>
      </c>
      <c r="J2252" s="695" t="s">
        <v>5753</v>
      </c>
      <c r="K2252" s="695" t="s">
        <v>3907</v>
      </c>
      <c r="L2252" s="696">
        <v>2</v>
      </c>
      <c r="M2252" s="170"/>
    </row>
    <row r="2253" spans="2:13" x14ac:dyDescent="0.2">
      <c r="B2253" s="173"/>
      <c r="C2253" s="694">
        <v>1</v>
      </c>
      <c r="D2253" s="695" t="s">
        <v>3903</v>
      </c>
      <c r="E2253" s="695">
        <v>3</v>
      </c>
      <c r="F2253" s="695" t="s">
        <v>4822</v>
      </c>
      <c r="G2253" s="695">
        <v>5</v>
      </c>
      <c r="H2253" s="695" t="s">
        <v>5320</v>
      </c>
      <c r="I2253" s="695">
        <v>465</v>
      </c>
      <c r="J2253" s="695" t="s">
        <v>5754</v>
      </c>
      <c r="K2253" s="695" t="s">
        <v>3907</v>
      </c>
      <c r="L2253" s="696">
        <v>11</v>
      </c>
      <c r="M2253" s="170"/>
    </row>
    <row r="2254" spans="2:13" x14ac:dyDescent="0.2">
      <c r="B2254" s="173"/>
      <c r="C2254" s="694">
        <v>1</v>
      </c>
      <c r="D2254" s="695" t="s">
        <v>3903</v>
      </c>
      <c r="E2254" s="695">
        <v>3</v>
      </c>
      <c r="F2254" s="695" t="s">
        <v>4822</v>
      </c>
      <c r="G2254" s="695">
        <v>5</v>
      </c>
      <c r="H2254" s="695" t="s">
        <v>5320</v>
      </c>
      <c r="I2254" s="695">
        <v>466</v>
      </c>
      <c r="J2254" s="695" t="s">
        <v>5755</v>
      </c>
      <c r="K2254" s="695" t="s">
        <v>3907</v>
      </c>
      <c r="L2254" s="696">
        <v>4</v>
      </c>
      <c r="M2254" s="170"/>
    </row>
    <row r="2255" spans="2:13" x14ac:dyDescent="0.2">
      <c r="B2255" s="173"/>
      <c r="C2255" s="694">
        <v>1</v>
      </c>
      <c r="D2255" s="695" t="s">
        <v>3903</v>
      </c>
      <c r="E2255" s="695">
        <v>3</v>
      </c>
      <c r="F2255" s="695" t="s">
        <v>4822</v>
      </c>
      <c r="G2255" s="695">
        <v>5</v>
      </c>
      <c r="H2255" s="695" t="s">
        <v>5320</v>
      </c>
      <c r="I2255" s="695">
        <v>467</v>
      </c>
      <c r="J2255" s="695" t="s">
        <v>5756</v>
      </c>
      <c r="K2255" s="695" t="s">
        <v>3907</v>
      </c>
      <c r="L2255" s="696">
        <v>16</v>
      </c>
      <c r="M2255" s="170"/>
    </row>
    <row r="2256" spans="2:13" x14ac:dyDescent="0.2">
      <c r="B2256" s="173"/>
      <c r="C2256" s="694">
        <v>1</v>
      </c>
      <c r="D2256" s="695" t="s">
        <v>3903</v>
      </c>
      <c r="E2256" s="695">
        <v>3</v>
      </c>
      <c r="F2256" s="695" t="s">
        <v>4822</v>
      </c>
      <c r="G2256" s="695">
        <v>5</v>
      </c>
      <c r="H2256" s="695" t="s">
        <v>5320</v>
      </c>
      <c r="I2256" s="695">
        <v>468</v>
      </c>
      <c r="J2256" s="695" t="s">
        <v>5757</v>
      </c>
      <c r="K2256" s="695" t="s">
        <v>3907</v>
      </c>
      <c r="L2256" s="696">
        <v>6</v>
      </c>
      <c r="M2256" s="170"/>
    </row>
    <row r="2257" spans="2:13" x14ac:dyDescent="0.2">
      <c r="B2257" s="173"/>
      <c r="C2257" s="694">
        <v>1</v>
      </c>
      <c r="D2257" s="695" t="s">
        <v>3903</v>
      </c>
      <c r="E2257" s="695">
        <v>3</v>
      </c>
      <c r="F2257" s="695" t="s">
        <v>4822</v>
      </c>
      <c r="G2257" s="695">
        <v>5</v>
      </c>
      <c r="H2257" s="695" t="s">
        <v>5320</v>
      </c>
      <c r="I2257" s="695">
        <v>469</v>
      </c>
      <c r="J2257" s="695" t="s">
        <v>5758</v>
      </c>
      <c r="K2257" s="695" t="s">
        <v>3907</v>
      </c>
      <c r="L2257" s="696">
        <v>29</v>
      </c>
      <c r="M2257" s="170"/>
    </row>
    <row r="2258" spans="2:13" x14ac:dyDescent="0.2">
      <c r="B2258" s="173"/>
      <c r="C2258" s="694">
        <v>1</v>
      </c>
      <c r="D2258" s="695" t="s">
        <v>3903</v>
      </c>
      <c r="E2258" s="695">
        <v>3</v>
      </c>
      <c r="F2258" s="695" t="s">
        <v>4822</v>
      </c>
      <c r="G2258" s="695">
        <v>5</v>
      </c>
      <c r="H2258" s="695" t="s">
        <v>5320</v>
      </c>
      <c r="I2258" s="695">
        <v>470</v>
      </c>
      <c r="J2258" s="695" t="s">
        <v>5759</v>
      </c>
      <c r="K2258" s="695" t="s">
        <v>3907</v>
      </c>
      <c r="L2258" s="696">
        <v>12</v>
      </c>
      <c r="M2258" s="170"/>
    </row>
    <row r="2259" spans="2:13" x14ac:dyDescent="0.2">
      <c r="B2259" s="173"/>
      <c r="C2259" s="694">
        <v>1</v>
      </c>
      <c r="D2259" s="695" t="s">
        <v>3903</v>
      </c>
      <c r="E2259" s="695">
        <v>3</v>
      </c>
      <c r="F2259" s="695" t="s">
        <v>4822</v>
      </c>
      <c r="G2259" s="695">
        <v>5</v>
      </c>
      <c r="H2259" s="695" t="s">
        <v>5320</v>
      </c>
      <c r="I2259" s="695">
        <v>471</v>
      </c>
      <c r="J2259" s="695" t="s">
        <v>5760</v>
      </c>
      <c r="K2259" s="695" t="s">
        <v>3907</v>
      </c>
      <c r="L2259" s="696">
        <v>1</v>
      </c>
      <c r="M2259" s="170"/>
    </row>
    <row r="2260" spans="2:13" x14ac:dyDescent="0.2">
      <c r="B2260" s="173"/>
      <c r="C2260" s="694">
        <v>1</v>
      </c>
      <c r="D2260" s="695" t="s">
        <v>3903</v>
      </c>
      <c r="E2260" s="695">
        <v>3</v>
      </c>
      <c r="F2260" s="695" t="s">
        <v>4822</v>
      </c>
      <c r="G2260" s="695">
        <v>5</v>
      </c>
      <c r="H2260" s="695" t="s">
        <v>5320</v>
      </c>
      <c r="I2260" s="695">
        <v>472</v>
      </c>
      <c r="J2260" s="695" t="s">
        <v>5761</v>
      </c>
      <c r="K2260" s="695" t="s">
        <v>3907</v>
      </c>
      <c r="L2260" s="696">
        <v>7</v>
      </c>
      <c r="M2260" s="170"/>
    </row>
    <row r="2261" spans="2:13" x14ac:dyDescent="0.2">
      <c r="B2261" s="173"/>
      <c r="C2261" s="694">
        <v>1</v>
      </c>
      <c r="D2261" s="695" t="s">
        <v>3903</v>
      </c>
      <c r="E2261" s="695">
        <v>3</v>
      </c>
      <c r="F2261" s="695" t="s">
        <v>4822</v>
      </c>
      <c r="G2261" s="695">
        <v>5</v>
      </c>
      <c r="H2261" s="695" t="s">
        <v>5320</v>
      </c>
      <c r="I2261" s="695">
        <v>473</v>
      </c>
      <c r="J2261" s="695" t="s">
        <v>5762</v>
      </c>
      <c r="K2261" s="695" t="s">
        <v>3907</v>
      </c>
      <c r="L2261" s="696">
        <v>44</v>
      </c>
      <c r="M2261" s="170"/>
    </row>
    <row r="2262" spans="2:13" x14ac:dyDescent="0.2">
      <c r="B2262" s="173"/>
      <c r="C2262" s="694">
        <v>1</v>
      </c>
      <c r="D2262" s="695" t="s">
        <v>3903</v>
      </c>
      <c r="E2262" s="695">
        <v>3</v>
      </c>
      <c r="F2262" s="695" t="s">
        <v>4822</v>
      </c>
      <c r="G2262" s="695">
        <v>5</v>
      </c>
      <c r="H2262" s="695" t="s">
        <v>5320</v>
      </c>
      <c r="I2262" s="695">
        <v>474</v>
      </c>
      <c r="J2262" s="695" t="s">
        <v>5763</v>
      </c>
      <c r="K2262" s="695" t="s">
        <v>3907</v>
      </c>
      <c r="L2262" s="696">
        <v>3</v>
      </c>
      <c r="M2262" s="170"/>
    </row>
    <row r="2263" spans="2:13" x14ac:dyDescent="0.2">
      <c r="B2263" s="173"/>
      <c r="C2263" s="694">
        <v>1</v>
      </c>
      <c r="D2263" s="695" t="s">
        <v>3903</v>
      </c>
      <c r="E2263" s="695">
        <v>3</v>
      </c>
      <c r="F2263" s="695" t="s">
        <v>4822</v>
      </c>
      <c r="G2263" s="695">
        <v>5</v>
      </c>
      <c r="H2263" s="695" t="s">
        <v>5320</v>
      </c>
      <c r="I2263" s="695">
        <v>475</v>
      </c>
      <c r="J2263" s="695" t="s">
        <v>5764</v>
      </c>
      <c r="K2263" s="695" t="s">
        <v>3907</v>
      </c>
      <c r="L2263" s="696">
        <v>3</v>
      </c>
      <c r="M2263" s="170"/>
    </row>
    <row r="2264" spans="2:13" x14ac:dyDescent="0.2">
      <c r="B2264" s="173"/>
      <c r="C2264" s="694">
        <v>1</v>
      </c>
      <c r="D2264" s="695" t="s">
        <v>3903</v>
      </c>
      <c r="E2264" s="695">
        <v>3</v>
      </c>
      <c r="F2264" s="695" t="s">
        <v>4822</v>
      </c>
      <c r="G2264" s="695">
        <v>5</v>
      </c>
      <c r="H2264" s="695" t="s">
        <v>5320</v>
      </c>
      <c r="I2264" s="695">
        <v>476</v>
      </c>
      <c r="J2264" s="695" t="s">
        <v>5765</v>
      </c>
      <c r="K2264" s="695" t="s">
        <v>3907</v>
      </c>
      <c r="L2264" s="696">
        <v>4</v>
      </c>
      <c r="M2264" s="170"/>
    </row>
    <row r="2265" spans="2:13" x14ac:dyDescent="0.2">
      <c r="B2265" s="173"/>
      <c r="C2265" s="694">
        <v>1</v>
      </c>
      <c r="D2265" s="695" t="s">
        <v>3903</v>
      </c>
      <c r="E2265" s="695">
        <v>3</v>
      </c>
      <c r="F2265" s="695" t="s">
        <v>4822</v>
      </c>
      <c r="G2265" s="695">
        <v>5</v>
      </c>
      <c r="H2265" s="695" t="s">
        <v>5320</v>
      </c>
      <c r="I2265" s="695">
        <v>477</v>
      </c>
      <c r="J2265" s="695" t="s">
        <v>5766</v>
      </c>
      <c r="K2265" s="695" t="s">
        <v>3907</v>
      </c>
      <c r="L2265" s="696">
        <v>2</v>
      </c>
      <c r="M2265" s="170"/>
    </row>
    <row r="2266" spans="2:13" x14ac:dyDescent="0.2">
      <c r="B2266" s="173"/>
      <c r="C2266" s="694">
        <v>1</v>
      </c>
      <c r="D2266" s="695" t="s">
        <v>3903</v>
      </c>
      <c r="E2266" s="695">
        <v>3</v>
      </c>
      <c r="F2266" s="695" t="s">
        <v>4822</v>
      </c>
      <c r="G2266" s="695">
        <v>5</v>
      </c>
      <c r="H2266" s="695" t="s">
        <v>5320</v>
      </c>
      <c r="I2266" s="695">
        <v>478</v>
      </c>
      <c r="J2266" s="695" t="s">
        <v>5767</v>
      </c>
      <c r="K2266" s="695" t="s">
        <v>3907</v>
      </c>
      <c r="L2266" s="696">
        <v>24</v>
      </c>
      <c r="M2266" s="170"/>
    </row>
    <row r="2267" spans="2:13" x14ac:dyDescent="0.2">
      <c r="B2267" s="173"/>
      <c r="C2267" s="694">
        <v>1</v>
      </c>
      <c r="D2267" s="695" t="s">
        <v>3903</v>
      </c>
      <c r="E2267" s="695">
        <v>3</v>
      </c>
      <c r="F2267" s="695" t="s">
        <v>4822</v>
      </c>
      <c r="G2267" s="695">
        <v>5</v>
      </c>
      <c r="H2267" s="695" t="s">
        <v>5320</v>
      </c>
      <c r="I2267" s="695">
        <v>479</v>
      </c>
      <c r="J2267" s="695" t="s">
        <v>5768</v>
      </c>
      <c r="K2267" s="695" t="s">
        <v>3907</v>
      </c>
      <c r="L2267" s="696">
        <v>3</v>
      </c>
      <c r="M2267" s="170"/>
    </row>
    <row r="2268" spans="2:13" x14ac:dyDescent="0.2">
      <c r="B2268" s="173"/>
      <c r="C2268" s="694">
        <v>1</v>
      </c>
      <c r="D2268" s="695" t="s">
        <v>3903</v>
      </c>
      <c r="E2268" s="695">
        <v>3</v>
      </c>
      <c r="F2268" s="695" t="s">
        <v>4822</v>
      </c>
      <c r="G2268" s="695">
        <v>5</v>
      </c>
      <c r="H2268" s="695" t="s">
        <v>5320</v>
      </c>
      <c r="I2268" s="695">
        <v>480</v>
      </c>
      <c r="J2268" s="695" t="s">
        <v>5769</v>
      </c>
      <c r="K2268" s="695" t="s">
        <v>3907</v>
      </c>
      <c r="L2268" s="696">
        <v>3</v>
      </c>
      <c r="M2268" s="170"/>
    </row>
    <row r="2269" spans="2:13" x14ac:dyDescent="0.2">
      <c r="B2269" s="173"/>
      <c r="C2269" s="694">
        <v>1</v>
      </c>
      <c r="D2269" s="695" t="s">
        <v>3903</v>
      </c>
      <c r="E2269" s="695">
        <v>3</v>
      </c>
      <c r="F2269" s="695" t="s">
        <v>4822</v>
      </c>
      <c r="G2269" s="695">
        <v>5</v>
      </c>
      <c r="H2269" s="695" t="s">
        <v>5320</v>
      </c>
      <c r="I2269" s="695">
        <v>481</v>
      </c>
      <c r="J2269" s="695" t="s">
        <v>5770</v>
      </c>
      <c r="K2269" s="695" t="s">
        <v>3907</v>
      </c>
      <c r="L2269" s="696">
        <v>235</v>
      </c>
      <c r="M2269" s="170"/>
    </row>
    <row r="2270" spans="2:13" x14ac:dyDescent="0.2">
      <c r="B2270" s="173"/>
      <c r="C2270" s="694">
        <v>1</v>
      </c>
      <c r="D2270" s="695" t="s">
        <v>3903</v>
      </c>
      <c r="E2270" s="695">
        <v>3</v>
      </c>
      <c r="F2270" s="695" t="s">
        <v>4822</v>
      </c>
      <c r="G2270" s="695">
        <v>5</v>
      </c>
      <c r="H2270" s="695" t="s">
        <v>5320</v>
      </c>
      <c r="I2270" s="695">
        <v>482</v>
      </c>
      <c r="J2270" s="695" t="s">
        <v>5771</v>
      </c>
      <c r="K2270" s="695" t="s">
        <v>3907</v>
      </c>
      <c r="L2270" s="696">
        <v>75</v>
      </c>
      <c r="M2270" s="170"/>
    </row>
    <row r="2271" spans="2:13" x14ac:dyDescent="0.2">
      <c r="B2271" s="173"/>
      <c r="C2271" s="694">
        <v>1</v>
      </c>
      <c r="D2271" s="695" t="s">
        <v>3903</v>
      </c>
      <c r="E2271" s="695">
        <v>3</v>
      </c>
      <c r="F2271" s="695" t="s">
        <v>4822</v>
      </c>
      <c r="G2271" s="695">
        <v>5</v>
      </c>
      <c r="H2271" s="695" t="s">
        <v>5320</v>
      </c>
      <c r="I2271" s="695">
        <v>483</v>
      </c>
      <c r="J2271" s="695" t="s">
        <v>5772</v>
      </c>
      <c r="K2271" s="695" t="s">
        <v>3907</v>
      </c>
      <c r="L2271" s="696">
        <v>24</v>
      </c>
      <c r="M2271" s="170"/>
    </row>
    <row r="2272" spans="2:13" x14ac:dyDescent="0.2">
      <c r="B2272" s="173"/>
      <c r="C2272" s="694">
        <v>1</v>
      </c>
      <c r="D2272" s="695" t="s">
        <v>3903</v>
      </c>
      <c r="E2272" s="695">
        <v>3</v>
      </c>
      <c r="F2272" s="695" t="s">
        <v>4822</v>
      </c>
      <c r="G2272" s="695">
        <v>5</v>
      </c>
      <c r="H2272" s="695" t="s">
        <v>5320</v>
      </c>
      <c r="I2272" s="695">
        <v>484</v>
      </c>
      <c r="J2272" s="695" t="s">
        <v>5773</v>
      </c>
      <c r="K2272" s="695" t="s">
        <v>3907</v>
      </c>
      <c r="L2272" s="696">
        <v>10</v>
      </c>
      <c r="M2272" s="170"/>
    </row>
    <row r="2273" spans="2:13" x14ac:dyDescent="0.2">
      <c r="B2273" s="173"/>
      <c r="C2273" s="694">
        <v>1</v>
      </c>
      <c r="D2273" s="695" t="s">
        <v>3903</v>
      </c>
      <c r="E2273" s="695">
        <v>3</v>
      </c>
      <c r="F2273" s="695" t="s">
        <v>4822</v>
      </c>
      <c r="G2273" s="695">
        <v>5</v>
      </c>
      <c r="H2273" s="695" t="s">
        <v>5320</v>
      </c>
      <c r="I2273" s="695">
        <v>485</v>
      </c>
      <c r="J2273" s="695" t="s">
        <v>5505</v>
      </c>
      <c r="K2273" s="695" t="s">
        <v>3907</v>
      </c>
      <c r="L2273" s="696">
        <v>29</v>
      </c>
      <c r="M2273" s="170"/>
    </row>
    <row r="2274" spans="2:13" x14ac:dyDescent="0.2">
      <c r="B2274" s="173"/>
      <c r="C2274" s="694">
        <v>1</v>
      </c>
      <c r="D2274" s="695" t="s">
        <v>3903</v>
      </c>
      <c r="E2274" s="695">
        <v>3</v>
      </c>
      <c r="F2274" s="695" t="s">
        <v>4822</v>
      </c>
      <c r="G2274" s="695">
        <v>5</v>
      </c>
      <c r="H2274" s="695" t="s">
        <v>5320</v>
      </c>
      <c r="I2274" s="695">
        <v>486</v>
      </c>
      <c r="J2274" s="695" t="s">
        <v>5774</v>
      </c>
      <c r="K2274" s="695" t="s">
        <v>3907</v>
      </c>
      <c r="L2274" s="696">
        <v>2</v>
      </c>
      <c r="M2274" s="170"/>
    </row>
    <row r="2275" spans="2:13" x14ac:dyDescent="0.2">
      <c r="B2275" s="173"/>
      <c r="C2275" s="694">
        <v>1</v>
      </c>
      <c r="D2275" s="695" t="s">
        <v>3903</v>
      </c>
      <c r="E2275" s="695">
        <v>3</v>
      </c>
      <c r="F2275" s="695" t="s">
        <v>4822</v>
      </c>
      <c r="G2275" s="695">
        <v>5</v>
      </c>
      <c r="H2275" s="695" t="s">
        <v>5320</v>
      </c>
      <c r="I2275" s="695">
        <v>487</v>
      </c>
      <c r="J2275" s="695" t="s">
        <v>5775</v>
      </c>
      <c r="K2275" s="695" t="s">
        <v>3907</v>
      </c>
      <c r="L2275" s="696">
        <v>39</v>
      </c>
      <c r="M2275" s="170"/>
    </row>
    <row r="2276" spans="2:13" x14ac:dyDescent="0.2">
      <c r="B2276" s="173"/>
      <c r="C2276" s="694">
        <v>1</v>
      </c>
      <c r="D2276" s="695" t="s">
        <v>3903</v>
      </c>
      <c r="E2276" s="695">
        <v>3</v>
      </c>
      <c r="F2276" s="695" t="s">
        <v>4822</v>
      </c>
      <c r="G2276" s="695">
        <v>5</v>
      </c>
      <c r="H2276" s="695" t="s">
        <v>5320</v>
      </c>
      <c r="I2276" s="695">
        <v>488</v>
      </c>
      <c r="J2276" s="695" t="s">
        <v>5776</v>
      </c>
      <c r="K2276" s="695" t="s">
        <v>3907</v>
      </c>
      <c r="L2276" s="696">
        <v>12</v>
      </c>
      <c r="M2276" s="170"/>
    </row>
    <row r="2277" spans="2:13" x14ac:dyDescent="0.2">
      <c r="B2277" s="173"/>
      <c r="C2277" s="694">
        <v>1</v>
      </c>
      <c r="D2277" s="695" t="s">
        <v>3903</v>
      </c>
      <c r="E2277" s="695">
        <v>3</v>
      </c>
      <c r="F2277" s="695" t="s">
        <v>4822</v>
      </c>
      <c r="G2277" s="695">
        <v>5</v>
      </c>
      <c r="H2277" s="695" t="s">
        <v>5320</v>
      </c>
      <c r="I2277" s="695">
        <v>489</v>
      </c>
      <c r="J2277" s="695" t="s">
        <v>5777</v>
      </c>
      <c r="K2277" s="695" t="s">
        <v>3907</v>
      </c>
      <c r="L2277" s="696">
        <v>5</v>
      </c>
      <c r="M2277" s="170"/>
    </row>
    <row r="2278" spans="2:13" x14ac:dyDescent="0.2">
      <c r="B2278" s="173"/>
      <c r="C2278" s="694">
        <v>1</v>
      </c>
      <c r="D2278" s="695" t="s">
        <v>3903</v>
      </c>
      <c r="E2278" s="695">
        <v>3</v>
      </c>
      <c r="F2278" s="695" t="s">
        <v>4822</v>
      </c>
      <c r="G2278" s="695">
        <v>5</v>
      </c>
      <c r="H2278" s="695" t="s">
        <v>5320</v>
      </c>
      <c r="I2278" s="695">
        <v>490</v>
      </c>
      <c r="J2278" s="695" t="s">
        <v>5778</v>
      </c>
      <c r="K2278" s="695" t="s">
        <v>3907</v>
      </c>
      <c r="L2278" s="696">
        <v>36</v>
      </c>
      <c r="M2278" s="170"/>
    </row>
    <row r="2279" spans="2:13" x14ac:dyDescent="0.2">
      <c r="B2279" s="173"/>
      <c r="C2279" s="694">
        <v>1</v>
      </c>
      <c r="D2279" s="695" t="s">
        <v>3903</v>
      </c>
      <c r="E2279" s="695">
        <v>3</v>
      </c>
      <c r="F2279" s="695" t="s">
        <v>4822</v>
      </c>
      <c r="G2279" s="695">
        <v>5</v>
      </c>
      <c r="H2279" s="695" t="s">
        <v>5320</v>
      </c>
      <c r="I2279" s="695">
        <v>491</v>
      </c>
      <c r="J2279" s="695" t="s">
        <v>5779</v>
      </c>
      <c r="K2279" s="695" t="s">
        <v>3907</v>
      </c>
      <c r="L2279" s="696">
        <v>13</v>
      </c>
      <c r="M2279" s="170"/>
    </row>
    <row r="2280" spans="2:13" x14ac:dyDescent="0.2">
      <c r="B2280" s="173"/>
      <c r="C2280" s="694">
        <v>1</v>
      </c>
      <c r="D2280" s="695" t="s">
        <v>3903</v>
      </c>
      <c r="E2280" s="695">
        <v>3</v>
      </c>
      <c r="F2280" s="695" t="s">
        <v>4822</v>
      </c>
      <c r="G2280" s="695">
        <v>5</v>
      </c>
      <c r="H2280" s="695" t="s">
        <v>5320</v>
      </c>
      <c r="I2280" s="695">
        <v>492</v>
      </c>
      <c r="J2280" s="695" t="s">
        <v>5780</v>
      </c>
      <c r="K2280" s="695" t="s">
        <v>3907</v>
      </c>
      <c r="L2280" s="696">
        <v>6</v>
      </c>
      <c r="M2280" s="170"/>
    </row>
    <row r="2281" spans="2:13" x14ac:dyDescent="0.2">
      <c r="B2281" s="173"/>
      <c r="C2281" s="694">
        <v>1</v>
      </c>
      <c r="D2281" s="695" t="s">
        <v>3903</v>
      </c>
      <c r="E2281" s="695">
        <v>3</v>
      </c>
      <c r="F2281" s="695" t="s">
        <v>4822</v>
      </c>
      <c r="G2281" s="695">
        <v>5</v>
      </c>
      <c r="H2281" s="695" t="s">
        <v>5320</v>
      </c>
      <c r="I2281" s="695">
        <v>493</v>
      </c>
      <c r="J2281" s="695" t="s">
        <v>5781</v>
      </c>
      <c r="K2281" s="695" t="s">
        <v>3907</v>
      </c>
      <c r="L2281" s="696">
        <v>5</v>
      </c>
      <c r="M2281" s="170"/>
    </row>
    <row r="2282" spans="2:13" x14ac:dyDescent="0.2">
      <c r="B2282" s="173"/>
      <c r="C2282" s="694">
        <v>1</v>
      </c>
      <c r="D2282" s="695" t="s">
        <v>3903</v>
      </c>
      <c r="E2282" s="695">
        <v>3</v>
      </c>
      <c r="F2282" s="695" t="s">
        <v>4822</v>
      </c>
      <c r="G2282" s="695">
        <v>5</v>
      </c>
      <c r="H2282" s="695" t="s">
        <v>5320</v>
      </c>
      <c r="I2282" s="695">
        <v>494</v>
      </c>
      <c r="J2282" s="695" t="s">
        <v>5782</v>
      </c>
      <c r="K2282" s="695" t="s">
        <v>3907</v>
      </c>
      <c r="L2282" s="696">
        <v>4</v>
      </c>
      <c r="M2282" s="170"/>
    </row>
    <row r="2283" spans="2:13" x14ac:dyDescent="0.2">
      <c r="B2283" s="173"/>
      <c r="C2283" s="694">
        <v>1</v>
      </c>
      <c r="D2283" s="695" t="s">
        <v>3903</v>
      </c>
      <c r="E2283" s="695">
        <v>3</v>
      </c>
      <c r="F2283" s="695" t="s">
        <v>4822</v>
      </c>
      <c r="G2283" s="695">
        <v>5</v>
      </c>
      <c r="H2283" s="695" t="s">
        <v>5320</v>
      </c>
      <c r="I2283" s="695">
        <v>495</v>
      </c>
      <c r="J2283" s="695" t="s">
        <v>5783</v>
      </c>
      <c r="K2283" s="695" t="s">
        <v>3907</v>
      </c>
      <c r="L2283" s="696">
        <v>25</v>
      </c>
      <c r="M2283" s="170"/>
    </row>
    <row r="2284" spans="2:13" x14ac:dyDescent="0.2">
      <c r="B2284" s="173"/>
      <c r="C2284" s="694">
        <v>1</v>
      </c>
      <c r="D2284" s="695" t="s">
        <v>3903</v>
      </c>
      <c r="E2284" s="695">
        <v>3</v>
      </c>
      <c r="F2284" s="695" t="s">
        <v>4822</v>
      </c>
      <c r="G2284" s="695">
        <v>5</v>
      </c>
      <c r="H2284" s="695" t="s">
        <v>5320</v>
      </c>
      <c r="I2284" s="695">
        <v>496</v>
      </c>
      <c r="J2284" s="695" t="s">
        <v>5784</v>
      </c>
      <c r="K2284" s="695" t="s">
        <v>3907</v>
      </c>
      <c r="L2284" s="696">
        <v>49</v>
      </c>
      <c r="M2284" s="170"/>
    </row>
    <row r="2285" spans="2:13" x14ac:dyDescent="0.2">
      <c r="B2285" s="173"/>
      <c r="C2285" s="694">
        <v>1</v>
      </c>
      <c r="D2285" s="695" t="s">
        <v>3903</v>
      </c>
      <c r="E2285" s="695">
        <v>3</v>
      </c>
      <c r="F2285" s="695" t="s">
        <v>4822</v>
      </c>
      <c r="G2285" s="695">
        <v>5</v>
      </c>
      <c r="H2285" s="695" t="s">
        <v>5320</v>
      </c>
      <c r="I2285" s="695">
        <v>497</v>
      </c>
      <c r="J2285" s="695" t="s">
        <v>5785</v>
      </c>
      <c r="K2285" s="695" t="s">
        <v>3907</v>
      </c>
      <c r="L2285" s="696">
        <v>222</v>
      </c>
      <c r="M2285" s="170"/>
    </row>
    <row r="2286" spans="2:13" x14ac:dyDescent="0.2">
      <c r="B2286" s="173"/>
      <c r="C2286" s="694">
        <v>1</v>
      </c>
      <c r="D2286" s="695" t="s">
        <v>3903</v>
      </c>
      <c r="E2286" s="695">
        <v>3</v>
      </c>
      <c r="F2286" s="695" t="s">
        <v>4822</v>
      </c>
      <c r="G2286" s="695">
        <v>5</v>
      </c>
      <c r="H2286" s="695" t="s">
        <v>5320</v>
      </c>
      <c r="I2286" s="695">
        <v>498</v>
      </c>
      <c r="J2286" s="695" t="s">
        <v>5786</v>
      </c>
      <c r="K2286" s="695" t="s">
        <v>3907</v>
      </c>
      <c r="L2286" s="696">
        <v>3</v>
      </c>
      <c r="M2286" s="170"/>
    </row>
    <row r="2287" spans="2:13" x14ac:dyDescent="0.2">
      <c r="B2287" s="173"/>
      <c r="C2287" s="694">
        <v>1</v>
      </c>
      <c r="D2287" s="695" t="s">
        <v>3903</v>
      </c>
      <c r="E2287" s="695">
        <v>3</v>
      </c>
      <c r="F2287" s="695" t="s">
        <v>4822</v>
      </c>
      <c r="G2287" s="695">
        <v>5</v>
      </c>
      <c r="H2287" s="695" t="s">
        <v>5320</v>
      </c>
      <c r="I2287" s="695">
        <v>499</v>
      </c>
      <c r="J2287" s="695" t="s">
        <v>5787</v>
      </c>
      <c r="K2287" s="695" t="s">
        <v>3907</v>
      </c>
      <c r="L2287" s="696">
        <v>90</v>
      </c>
      <c r="M2287" s="170"/>
    </row>
    <row r="2288" spans="2:13" x14ac:dyDescent="0.2">
      <c r="B2288" s="173"/>
      <c r="C2288" s="694">
        <v>1</v>
      </c>
      <c r="D2288" s="695" t="s">
        <v>3903</v>
      </c>
      <c r="E2288" s="695">
        <v>3</v>
      </c>
      <c r="F2288" s="695" t="s">
        <v>4822</v>
      </c>
      <c r="G2288" s="695">
        <v>5</v>
      </c>
      <c r="H2288" s="695" t="s">
        <v>5320</v>
      </c>
      <c r="I2288" s="695">
        <v>500</v>
      </c>
      <c r="J2288" s="695" t="s">
        <v>5788</v>
      </c>
      <c r="K2288" s="695" t="s">
        <v>3907</v>
      </c>
      <c r="L2288" s="696">
        <v>33</v>
      </c>
      <c r="M2288" s="170"/>
    </row>
    <row r="2289" spans="2:13" x14ac:dyDescent="0.2">
      <c r="B2289" s="173"/>
      <c r="C2289" s="694">
        <v>1</v>
      </c>
      <c r="D2289" s="695" t="s">
        <v>3903</v>
      </c>
      <c r="E2289" s="695">
        <v>3</v>
      </c>
      <c r="F2289" s="695" t="s">
        <v>4822</v>
      </c>
      <c r="G2289" s="695">
        <v>5</v>
      </c>
      <c r="H2289" s="695" t="s">
        <v>5320</v>
      </c>
      <c r="I2289" s="695">
        <v>501</v>
      </c>
      <c r="J2289" s="695" t="s">
        <v>5789</v>
      </c>
      <c r="K2289" s="695" t="s">
        <v>3907</v>
      </c>
      <c r="L2289" s="696">
        <v>7</v>
      </c>
      <c r="M2289" s="170"/>
    </row>
    <row r="2290" spans="2:13" x14ac:dyDescent="0.2">
      <c r="B2290" s="173"/>
      <c r="C2290" s="694">
        <v>1</v>
      </c>
      <c r="D2290" s="695" t="s">
        <v>3903</v>
      </c>
      <c r="E2290" s="695">
        <v>3</v>
      </c>
      <c r="F2290" s="695" t="s">
        <v>4822</v>
      </c>
      <c r="G2290" s="695">
        <v>5</v>
      </c>
      <c r="H2290" s="695" t="s">
        <v>5320</v>
      </c>
      <c r="I2290" s="695">
        <v>502</v>
      </c>
      <c r="J2290" s="695" t="s">
        <v>5790</v>
      </c>
      <c r="K2290" s="695" t="s">
        <v>3907</v>
      </c>
      <c r="L2290" s="696">
        <v>32</v>
      </c>
      <c r="M2290" s="170"/>
    </row>
    <row r="2291" spans="2:13" x14ac:dyDescent="0.2">
      <c r="B2291" s="173"/>
      <c r="C2291" s="694">
        <v>1</v>
      </c>
      <c r="D2291" s="695" t="s">
        <v>3903</v>
      </c>
      <c r="E2291" s="695">
        <v>3</v>
      </c>
      <c r="F2291" s="695" t="s">
        <v>4822</v>
      </c>
      <c r="G2291" s="695">
        <v>5</v>
      </c>
      <c r="H2291" s="695" t="s">
        <v>5320</v>
      </c>
      <c r="I2291" s="695">
        <v>503</v>
      </c>
      <c r="J2291" s="695" t="s">
        <v>5791</v>
      </c>
      <c r="K2291" s="695" t="s">
        <v>3907</v>
      </c>
      <c r="L2291" s="696">
        <v>46</v>
      </c>
      <c r="M2291" s="170"/>
    </row>
    <row r="2292" spans="2:13" x14ac:dyDescent="0.2">
      <c r="B2292" s="173"/>
      <c r="C2292" s="694">
        <v>1</v>
      </c>
      <c r="D2292" s="695" t="s">
        <v>3903</v>
      </c>
      <c r="E2292" s="695">
        <v>3</v>
      </c>
      <c r="F2292" s="695" t="s">
        <v>4822</v>
      </c>
      <c r="G2292" s="695">
        <v>5</v>
      </c>
      <c r="H2292" s="695" t="s">
        <v>5320</v>
      </c>
      <c r="I2292" s="695">
        <v>504</v>
      </c>
      <c r="J2292" s="695" t="s">
        <v>5792</v>
      </c>
      <c r="K2292" s="695" t="s">
        <v>3907</v>
      </c>
      <c r="L2292" s="696">
        <v>10</v>
      </c>
      <c r="M2292" s="170"/>
    </row>
    <row r="2293" spans="2:13" x14ac:dyDescent="0.2">
      <c r="B2293" s="173"/>
      <c r="C2293" s="694">
        <v>1</v>
      </c>
      <c r="D2293" s="695" t="s">
        <v>3903</v>
      </c>
      <c r="E2293" s="695">
        <v>3</v>
      </c>
      <c r="F2293" s="695" t="s">
        <v>4822</v>
      </c>
      <c r="G2293" s="695">
        <v>5</v>
      </c>
      <c r="H2293" s="695" t="s">
        <v>5320</v>
      </c>
      <c r="I2293" s="695">
        <v>505</v>
      </c>
      <c r="J2293" s="695" t="s">
        <v>5793</v>
      </c>
      <c r="K2293" s="695" t="s">
        <v>3907</v>
      </c>
      <c r="L2293" s="696">
        <v>2</v>
      </c>
      <c r="M2293" s="170"/>
    </row>
    <row r="2294" spans="2:13" x14ac:dyDescent="0.2">
      <c r="B2294" s="173"/>
      <c r="C2294" s="694">
        <v>1</v>
      </c>
      <c r="D2294" s="695" t="s">
        <v>3903</v>
      </c>
      <c r="E2294" s="695">
        <v>3</v>
      </c>
      <c r="F2294" s="695" t="s">
        <v>4822</v>
      </c>
      <c r="G2294" s="695">
        <v>5</v>
      </c>
      <c r="H2294" s="695" t="s">
        <v>5320</v>
      </c>
      <c r="I2294" s="695">
        <v>506</v>
      </c>
      <c r="J2294" s="695" t="s">
        <v>5794</v>
      </c>
      <c r="K2294" s="695" t="s">
        <v>3907</v>
      </c>
      <c r="L2294" s="696">
        <v>6</v>
      </c>
      <c r="M2294" s="170"/>
    </row>
    <row r="2295" spans="2:13" x14ac:dyDescent="0.2">
      <c r="B2295" s="173"/>
      <c r="C2295" s="694">
        <v>1</v>
      </c>
      <c r="D2295" s="695" t="s">
        <v>3903</v>
      </c>
      <c r="E2295" s="695">
        <v>3</v>
      </c>
      <c r="F2295" s="695" t="s">
        <v>4822</v>
      </c>
      <c r="G2295" s="695">
        <v>5</v>
      </c>
      <c r="H2295" s="695" t="s">
        <v>5320</v>
      </c>
      <c r="I2295" s="695">
        <v>507</v>
      </c>
      <c r="J2295" s="695" t="s">
        <v>5795</v>
      </c>
      <c r="K2295" s="695" t="s">
        <v>3907</v>
      </c>
      <c r="L2295" s="696">
        <v>5</v>
      </c>
      <c r="M2295" s="170"/>
    </row>
    <row r="2296" spans="2:13" x14ac:dyDescent="0.2">
      <c r="B2296" s="173"/>
      <c r="C2296" s="694">
        <v>1</v>
      </c>
      <c r="D2296" s="695" t="s">
        <v>3903</v>
      </c>
      <c r="E2296" s="695">
        <v>3</v>
      </c>
      <c r="F2296" s="695" t="s">
        <v>4822</v>
      </c>
      <c r="G2296" s="695">
        <v>5</v>
      </c>
      <c r="H2296" s="695" t="s">
        <v>5320</v>
      </c>
      <c r="I2296" s="695">
        <v>508</v>
      </c>
      <c r="J2296" s="695" t="s">
        <v>5796</v>
      </c>
      <c r="K2296" s="695" t="s">
        <v>3907</v>
      </c>
      <c r="L2296" s="696">
        <v>4</v>
      </c>
      <c r="M2296" s="170"/>
    </row>
    <row r="2297" spans="2:13" x14ac:dyDescent="0.2">
      <c r="B2297" s="173"/>
      <c r="C2297" s="694">
        <v>1</v>
      </c>
      <c r="D2297" s="695" t="s">
        <v>3903</v>
      </c>
      <c r="E2297" s="695">
        <v>3</v>
      </c>
      <c r="F2297" s="695" t="s">
        <v>4822</v>
      </c>
      <c r="G2297" s="695">
        <v>5</v>
      </c>
      <c r="H2297" s="695" t="s">
        <v>5320</v>
      </c>
      <c r="I2297" s="695">
        <v>509</v>
      </c>
      <c r="J2297" s="695" t="s">
        <v>5797</v>
      </c>
      <c r="K2297" s="695" t="s">
        <v>3907</v>
      </c>
      <c r="L2297" s="696">
        <v>238</v>
      </c>
      <c r="M2297" s="170"/>
    </row>
    <row r="2298" spans="2:13" x14ac:dyDescent="0.2">
      <c r="B2298" s="173"/>
      <c r="C2298" s="694">
        <v>1</v>
      </c>
      <c r="D2298" s="695" t="s">
        <v>3903</v>
      </c>
      <c r="E2298" s="695">
        <v>3</v>
      </c>
      <c r="F2298" s="695" t="s">
        <v>4822</v>
      </c>
      <c r="G2298" s="695">
        <v>5</v>
      </c>
      <c r="H2298" s="695" t="s">
        <v>5320</v>
      </c>
      <c r="I2298" s="695">
        <v>510</v>
      </c>
      <c r="J2298" s="695" t="s">
        <v>5798</v>
      </c>
      <c r="K2298" s="695" t="s">
        <v>3907</v>
      </c>
      <c r="L2298" s="696">
        <v>21</v>
      </c>
      <c r="M2298" s="170"/>
    </row>
    <row r="2299" spans="2:13" x14ac:dyDescent="0.2">
      <c r="B2299" s="173"/>
      <c r="C2299" s="694">
        <v>1</v>
      </c>
      <c r="D2299" s="695" t="s">
        <v>3903</v>
      </c>
      <c r="E2299" s="695">
        <v>3</v>
      </c>
      <c r="F2299" s="695" t="s">
        <v>4822</v>
      </c>
      <c r="G2299" s="695">
        <v>5</v>
      </c>
      <c r="H2299" s="695" t="s">
        <v>5320</v>
      </c>
      <c r="I2299" s="695">
        <v>511</v>
      </c>
      <c r="J2299" s="695" t="s">
        <v>5799</v>
      </c>
      <c r="K2299" s="695" t="s">
        <v>3907</v>
      </c>
      <c r="L2299" s="696">
        <v>10</v>
      </c>
      <c r="M2299" s="170"/>
    </row>
    <row r="2300" spans="2:13" x14ac:dyDescent="0.2">
      <c r="B2300" s="173"/>
      <c r="C2300" s="694">
        <v>1</v>
      </c>
      <c r="D2300" s="695" t="s">
        <v>3903</v>
      </c>
      <c r="E2300" s="695">
        <v>3</v>
      </c>
      <c r="F2300" s="695" t="s">
        <v>4822</v>
      </c>
      <c r="G2300" s="695">
        <v>5</v>
      </c>
      <c r="H2300" s="695" t="s">
        <v>5320</v>
      </c>
      <c r="I2300" s="695">
        <v>512</v>
      </c>
      <c r="J2300" s="695" t="s">
        <v>5800</v>
      </c>
      <c r="K2300" s="695" t="s">
        <v>3907</v>
      </c>
      <c r="L2300" s="696">
        <v>2</v>
      </c>
      <c r="M2300" s="170"/>
    </row>
    <row r="2301" spans="2:13" x14ac:dyDescent="0.2">
      <c r="B2301" s="173"/>
      <c r="C2301" s="694">
        <v>1</v>
      </c>
      <c r="D2301" s="695" t="s">
        <v>3903</v>
      </c>
      <c r="E2301" s="695">
        <v>3</v>
      </c>
      <c r="F2301" s="695" t="s">
        <v>4822</v>
      </c>
      <c r="G2301" s="695">
        <v>5</v>
      </c>
      <c r="H2301" s="695" t="s">
        <v>5320</v>
      </c>
      <c r="I2301" s="695">
        <v>513</v>
      </c>
      <c r="J2301" s="695" t="s">
        <v>5801</v>
      </c>
      <c r="K2301" s="695" t="s">
        <v>3907</v>
      </c>
      <c r="L2301" s="696">
        <v>2</v>
      </c>
      <c r="M2301" s="170"/>
    </row>
    <row r="2302" spans="2:13" x14ac:dyDescent="0.2">
      <c r="B2302" s="173"/>
      <c r="C2302" s="694">
        <v>1</v>
      </c>
      <c r="D2302" s="695" t="s">
        <v>3903</v>
      </c>
      <c r="E2302" s="695">
        <v>3</v>
      </c>
      <c r="F2302" s="695" t="s">
        <v>4822</v>
      </c>
      <c r="G2302" s="695">
        <v>5</v>
      </c>
      <c r="H2302" s="695" t="s">
        <v>5320</v>
      </c>
      <c r="I2302" s="695">
        <v>514</v>
      </c>
      <c r="J2302" s="695" t="s">
        <v>5802</v>
      </c>
      <c r="K2302" s="695" t="s">
        <v>3907</v>
      </c>
      <c r="L2302" s="696">
        <v>5</v>
      </c>
      <c r="M2302" s="170"/>
    </row>
    <row r="2303" spans="2:13" x14ac:dyDescent="0.2">
      <c r="B2303" s="173"/>
      <c r="C2303" s="694">
        <v>1</v>
      </c>
      <c r="D2303" s="695" t="s">
        <v>3903</v>
      </c>
      <c r="E2303" s="695">
        <v>3</v>
      </c>
      <c r="F2303" s="695" t="s">
        <v>4822</v>
      </c>
      <c r="G2303" s="695">
        <v>5</v>
      </c>
      <c r="H2303" s="695" t="s">
        <v>5320</v>
      </c>
      <c r="I2303" s="695">
        <v>515</v>
      </c>
      <c r="J2303" s="695" t="s">
        <v>5803</v>
      </c>
      <c r="K2303" s="695" t="s">
        <v>3907</v>
      </c>
      <c r="L2303" s="696">
        <v>33</v>
      </c>
      <c r="M2303" s="170"/>
    </row>
    <row r="2304" spans="2:13" x14ac:dyDescent="0.2">
      <c r="B2304" s="173"/>
      <c r="C2304" s="694">
        <v>1</v>
      </c>
      <c r="D2304" s="695" t="s">
        <v>3903</v>
      </c>
      <c r="E2304" s="695">
        <v>3</v>
      </c>
      <c r="F2304" s="695" t="s">
        <v>4822</v>
      </c>
      <c r="G2304" s="695">
        <v>5</v>
      </c>
      <c r="H2304" s="695" t="s">
        <v>5320</v>
      </c>
      <c r="I2304" s="695">
        <v>516</v>
      </c>
      <c r="J2304" s="695" t="s">
        <v>5804</v>
      </c>
      <c r="K2304" s="695" t="s">
        <v>3907</v>
      </c>
      <c r="L2304" s="696">
        <v>5</v>
      </c>
      <c r="M2304" s="170"/>
    </row>
    <row r="2305" spans="2:13" x14ac:dyDescent="0.2">
      <c r="B2305" s="173"/>
      <c r="C2305" s="694">
        <v>1</v>
      </c>
      <c r="D2305" s="695" t="s">
        <v>3903</v>
      </c>
      <c r="E2305" s="695">
        <v>3</v>
      </c>
      <c r="F2305" s="695" t="s">
        <v>4822</v>
      </c>
      <c r="G2305" s="695">
        <v>5</v>
      </c>
      <c r="H2305" s="695" t="s">
        <v>5320</v>
      </c>
      <c r="I2305" s="695">
        <v>517</v>
      </c>
      <c r="J2305" s="695" t="s">
        <v>5805</v>
      </c>
      <c r="K2305" s="695" t="s">
        <v>3907</v>
      </c>
      <c r="L2305" s="696">
        <v>1</v>
      </c>
      <c r="M2305" s="170"/>
    </row>
    <row r="2306" spans="2:13" x14ac:dyDescent="0.2">
      <c r="B2306" s="173"/>
      <c r="C2306" s="694">
        <v>1</v>
      </c>
      <c r="D2306" s="695" t="s">
        <v>3903</v>
      </c>
      <c r="E2306" s="695">
        <v>3</v>
      </c>
      <c r="F2306" s="695" t="s">
        <v>4822</v>
      </c>
      <c r="G2306" s="695">
        <v>5</v>
      </c>
      <c r="H2306" s="695" t="s">
        <v>5320</v>
      </c>
      <c r="I2306" s="695">
        <v>518</v>
      </c>
      <c r="J2306" s="695" t="s">
        <v>5806</v>
      </c>
      <c r="K2306" s="695" t="s">
        <v>3907</v>
      </c>
      <c r="L2306" s="696">
        <v>113</v>
      </c>
      <c r="M2306" s="170"/>
    </row>
    <row r="2307" spans="2:13" x14ac:dyDescent="0.2">
      <c r="B2307" s="173"/>
      <c r="C2307" s="694">
        <v>1</v>
      </c>
      <c r="D2307" s="695" t="s">
        <v>3903</v>
      </c>
      <c r="E2307" s="695">
        <v>3</v>
      </c>
      <c r="F2307" s="695" t="s">
        <v>4822</v>
      </c>
      <c r="G2307" s="695">
        <v>5</v>
      </c>
      <c r="H2307" s="695" t="s">
        <v>5320</v>
      </c>
      <c r="I2307" s="695">
        <v>519</v>
      </c>
      <c r="J2307" s="695" t="s">
        <v>5807</v>
      </c>
      <c r="K2307" s="695" t="s">
        <v>3907</v>
      </c>
      <c r="L2307" s="696">
        <v>7</v>
      </c>
      <c r="M2307" s="170"/>
    </row>
    <row r="2308" spans="2:13" x14ac:dyDescent="0.2">
      <c r="B2308" s="173"/>
      <c r="C2308" s="694">
        <v>1</v>
      </c>
      <c r="D2308" s="695" t="s">
        <v>3903</v>
      </c>
      <c r="E2308" s="695">
        <v>3</v>
      </c>
      <c r="F2308" s="695" t="s">
        <v>4822</v>
      </c>
      <c r="G2308" s="695">
        <v>5</v>
      </c>
      <c r="H2308" s="695" t="s">
        <v>5320</v>
      </c>
      <c r="I2308" s="695">
        <v>520</v>
      </c>
      <c r="J2308" s="695" t="s">
        <v>5808</v>
      </c>
      <c r="K2308" s="695" t="s">
        <v>3907</v>
      </c>
      <c r="L2308" s="696">
        <v>2</v>
      </c>
      <c r="M2308" s="170"/>
    </row>
    <row r="2309" spans="2:13" x14ac:dyDescent="0.2">
      <c r="B2309" s="173"/>
      <c r="C2309" s="694">
        <v>1</v>
      </c>
      <c r="D2309" s="695" t="s">
        <v>3903</v>
      </c>
      <c r="E2309" s="695">
        <v>3</v>
      </c>
      <c r="F2309" s="695" t="s">
        <v>4822</v>
      </c>
      <c r="G2309" s="695">
        <v>5</v>
      </c>
      <c r="H2309" s="695" t="s">
        <v>5320</v>
      </c>
      <c r="I2309" s="695">
        <v>521</v>
      </c>
      <c r="J2309" s="695" t="s">
        <v>5809</v>
      </c>
      <c r="K2309" s="695" t="s">
        <v>3907</v>
      </c>
      <c r="L2309" s="696">
        <v>5</v>
      </c>
      <c r="M2309" s="170"/>
    </row>
    <row r="2310" spans="2:13" x14ac:dyDescent="0.2">
      <c r="B2310" s="173"/>
      <c r="C2310" s="694">
        <v>1</v>
      </c>
      <c r="D2310" s="695" t="s">
        <v>3903</v>
      </c>
      <c r="E2310" s="695">
        <v>3</v>
      </c>
      <c r="F2310" s="695" t="s">
        <v>4822</v>
      </c>
      <c r="G2310" s="695">
        <v>5</v>
      </c>
      <c r="H2310" s="695" t="s">
        <v>5320</v>
      </c>
      <c r="I2310" s="695">
        <v>522</v>
      </c>
      <c r="J2310" s="695" t="s">
        <v>5810</v>
      </c>
      <c r="K2310" s="695" t="s">
        <v>3907</v>
      </c>
      <c r="L2310" s="696">
        <v>21</v>
      </c>
      <c r="M2310" s="170"/>
    </row>
    <row r="2311" spans="2:13" x14ac:dyDescent="0.2">
      <c r="B2311" s="173"/>
      <c r="C2311" s="694">
        <v>1</v>
      </c>
      <c r="D2311" s="695" t="s">
        <v>3903</v>
      </c>
      <c r="E2311" s="695">
        <v>3</v>
      </c>
      <c r="F2311" s="695" t="s">
        <v>4822</v>
      </c>
      <c r="G2311" s="695">
        <v>5</v>
      </c>
      <c r="H2311" s="695" t="s">
        <v>5320</v>
      </c>
      <c r="I2311" s="695">
        <v>523</v>
      </c>
      <c r="J2311" s="695" t="s">
        <v>5811</v>
      </c>
      <c r="K2311" s="695" t="s">
        <v>3907</v>
      </c>
      <c r="L2311" s="696">
        <v>2</v>
      </c>
      <c r="M2311" s="170"/>
    </row>
    <row r="2312" spans="2:13" x14ac:dyDescent="0.2">
      <c r="B2312" s="173"/>
      <c r="C2312" s="694">
        <v>1</v>
      </c>
      <c r="D2312" s="695" t="s">
        <v>3903</v>
      </c>
      <c r="E2312" s="695">
        <v>3</v>
      </c>
      <c r="F2312" s="695" t="s">
        <v>4822</v>
      </c>
      <c r="G2312" s="695">
        <v>5</v>
      </c>
      <c r="H2312" s="695" t="s">
        <v>5320</v>
      </c>
      <c r="I2312" s="695">
        <v>524</v>
      </c>
      <c r="J2312" s="695" t="s">
        <v>5812</v>
      </c>
      <c r="K2312" s="695" t="s">
        <v>3907</v>
      </c>
      <c r="L2312" s="696">
        <v>1</v>
      </c>
      <c r="M2312" s="170"/>
    </row>
    <row r="2313" spans="2:13" x14ac:dyDescent="0.2">
      <c r="B2313" s="173"/>
      <c r="C2313" s="694">
        <v>1</v>
      </c>
      <c r="D2313" s="695" t="s">
        <v>3903</v>
      </c>
      <c r="E2313" s="695">
        <v>3</v>
      </c>
      <c r="F2313" s="695" t="s">
        <v>4822</v>
      </c>
      <c r="G2313" s="695">
        <v>5</v>
      </c>
      <c r="H2313" s="695" t="s">
        <v>5320</v>
      </c>
      <c r="I2313" s="695">
        <v>525</v>
      </c>
      <c r="J2313" s="695" t="s">
        <v>5813</v>
      </c>
      <c r="K2313" s="695" t="s">
        <v>3907</v>
      </c>
      <c r="L2313" s="696">
        <v>5</v>
      </c>
      <c r="M2313" s="170"/>
    </row>
    <row r="2314" spans="2:13" x14ac:dyDescent="0.2">
      <c r="B2314" s="173"/>
      <c r="C2314" s="694">
        <v>1</v>
      </c>
      <c r="D2314" s="695" t="s">
        <v>3903</v>
      </c>
      <c r="E2314" s="695">
        <v>3</v>
      </c>
      <c r="F2314" s="695" t="s">
        <v>4822</v>
      </c>
      <c r="G2314" s="695">
        <v>5</v>
      </c>
      <c r="H2314" s="695" t="s">
        <v>5320</v>
      </c>
      <c r="I2314" s="695">
        <v>526</v>
      </c>
      <c r="J2314" s="695" t="s">
        <v>5814</v>
      </c>
      <c r="K2314" s="695" t="s">
        <v>3907</v>
      </c>
      <c r="L2314" s="696">
        <v>1</v>
      </c>
      <c r="M2314" s="170"/>
    </row>
    <row r="2315" spans="2:13" x14ac:dyDescent="0.2">
      <c r="B2315" s="173"/>
      <c r="C2315" s="694">
        <v>1</v>
      </c>
      <c r="D2315" s="695" t="s">
        <v>3903</v>
      </c>
      <c r="E2315" s="695">
        <v>3</v>
      </c>
      <c r="F2315" s="695" t="s">
        <v>4822</v>
      </c>
      <c r="G2315" s="695">
        <v>5</v>
      </c>
      <c r="H2315" s="695" t="s">
        <v>5320</v>
      </c>
      <c r="I2315" s="695">
        <v>527</v>
      </c>
      <c r="J2315" s="695" t="s">
        <v>5815</v>
      </c>
      <c r="K2315" s="695" t="s">
        <v>3907</v>
      </c>
      <c r="L2315" s="696">
        <v>18</v>
      </c>
      <c r="M2315" s="170"/>
    </row>
    <row r="2316" spans="2:13" x14ac:dyDescent="0.2">
      <c r="B2316" s="173"/>
      <c r="C2316" s="694">
        <v>1</v>
      </c>
      <c r="D2316" s="695" t="s">
        <v>3903</v>
      </c>
      <c r="E2316" s="695">
        <v>3</v>
      </c>
      <c r="F2316" s="695" t="s">
        <v>4822</v>
      </c>
      <c r="G2316" s="695">
        <v>5</v>
      </c>
      <c r="H2316" s="695" t="s">
        <v>5320</v>
      </c>
      <c r="I2316" s="695">
        <v>528</v>
      </c>
      <c r="J2316" s="695" t="s">
        <v>5816</v>
      </c>
      <c r="K2316" s="695" t="s">
        <v>3907</v>
      </c>
      <c r="L2316" s="696">
        <v>2</v>
      </c>
      <c r="M2316" s="170"/>
    </row>
    <row r="2317" spans="2:13" x14ac:dyDescent="0.2">
      <c r="B2317" s="173"/>
      <c r="C2317" s="694">
        <v>1</v>
      </c>
      <c r="D2317" s="695" t="s">
        <v>3903</v>
      </c>
      <c r="E2317" s="695">
        <v>3</v>
      </c>
      <c r="F2317" s="695" t="s">
        <v>4822</v>
      </c>
      <c r="G2317" s="695">
        <v>5</v>
      </c>
      <c r="H2317" s="695" t="s">
        <v>5320</v>
      </c>
      <c r="I2317" s="695">
        <v>529</v>
      </c>
      <c r="J2317" s="695" t="s">
        <v>5817</v>
      </c>
      <c r="K2317" s="695" t="s">
        <v>3907</v>
      </c>
      <c r="L2317" s="696">
        <v>1</v>
      </c>
      <c r="M2317" s="170"/>
    </row>
    <row r="2318" spans="2:13" x14ac:dyDescent="0.2">
      <c r="B2318" s="173"/>
      <c r="C2318" s="694">
        <v>1</v>
      </c>
      <c r="D2318" s="695" t="s">
        <v>3903</v>
      </c>
      <c r="E2318" s="695">
        <v>3</v>
      </c>
      <c r="F2318" s="695" t="s">
        <v>4822</v>
      </c>
      <c r="G2318" s="695">
        <v>5</v>
      </c>
      <c r="H2318" s="695" t="s">
        <v>5320</v>
      </c>
      <c r="I2318" s="695">
        <v>530</v>
      </c>
      <c r="J2318" s="695" t="s">
        <v>5818</v>
      </c>
      <c r="K2318" s="695" t="s">
        <v>3907</v>
      </c>
      <c r="L2318" s="696">
        <v>43</v>
      </c>
      <c r="M2318" s="170"/>
    </row>
    <row r="2319" spans="2:13" x14ac:dyDescent="0.2">
      <c r="B2319" s="173"/>
      <c r="C2319" s="694">
        <v>1</v>
      </c>
      <c r="D2319" s="695" t="s">
        <v>3903</v>
      </c>
      <c r="E2319" s="695">
        <v>3</v>
      </c>
      <c r="F2319" s="695" t="s">
        <v>4822</v>
      </c>
      <c r="G2319" s="695">
        <v>5</v>
      </c>
      <c r="H2319" s="695" t="s">
        <v>5320</v>
      </c>
      <c r="I2319" s="695">
        <v>531</v>
      </c>
      <c r="J2319" s="695" t="s">
        <v>5819</v>
      </c>
      <c r="K2319" s="695" t="s">
        <v>3907</v>
      </c>
      <c r="L2319" s="696">
        <v>2</v>
      </c>
      <c r="M2319" s="170"/>
    </row>
    <row r="2320" spans="2:13" x14ac:dyDescent="0.2">
      <c r="B2320" s="173"/>
      <c r="C2320" s="694">
        <v>1</v>
      </c>
      <c r="D2320" s="695" t="s">
        <v>3903</v>
      </c>
      <c r="E2320" s="695">
        <v>3</v>
      </c>
      <c r="F2320" s="695" t="s">
        <v>4822</v>
      </c>
      <c r="G2320" s="695">
        <v>5</v>
      </c>
      <c r="H2320" s="695" t="s">
        <v>5320</v>
      </c>
      <c r="I2320" s="695">
        <v>532</v>
      </c>
      <c r="J2320" s="695" t="s">
        <v>5820</v>
      </c>
      <c r="K2320" s="695" t="s">
        <v>3907</v>
      </c>
      <c r="L2320" s="696">
        <v>14</v>
      </c>
      <c r="M2320" s="170"/>
    </row>
    <row r="2321" spans="2:13" x14ac:dyDescent="0.2">
      <c r="B2321" s="173"/>
      <c r="C2321" s="694">
        <v>1</v>
      </c>
      <c r="D2321" s="695" t="s">
        <v>3903</v>
      </c>
      <c r="E2321" s="695">
        <v>3</v>
      </c>
      <c r="F2321" s="695" t="s">
        <v>4822</v>
      </c>
      <c r="G2321" s="695">
        <v>5</v>
      </c>
      <c r="H2321" s="695" t="s">
        <v>5320</v>
      </c>
      <c r="I2321" s="695">
        <v>533</v>
      </c>
      <c r="J2321" s="695" t="s">
        <v>5821</v>
      </c>
      <c r="K2321" s="695" t="s">
        <v>3907</v>
      </c>
      <c r="L2321" s="696">
        <v>13</v>
      </c>
      <c r="M2321" s="170"/>
    </row>
    <row r="2322" spans="2:13" x14ac:dyDescent="0.2">
      <c r="B2322" s="173"/>
      <c r="C2322" s="694">
        <v>1</v>
      </c>
      <c r="D2322" s="695" t="s">
        <v>3903</v>
      </c>
      <c r="E2322" s="695">
        <v>3</v>
      </c>
      <c r="F2322" s="695" t="s">
        <v>4822</v>
      </c>
      <c r="G2322" s="695">
        <v>5</v>
      </c>
      <c r="H2322" s="695" t="s">
        <v>5320</v>
      </c>
      <c r="I2322" s="695">
        <v>534</v>
      </c>
      <c r="J2322" s="695" t="s">
        <v>5822</v>
      </c>
      <c r="K2322" s="695" t="s">
        <v>3907</v>
      </c>
      <c r="L2322" s="696">
        <v>3</v>
      </c>
      <c r="M2322" s="170"/>
    </row>
    <row r="2323" spans="2:13" x14ac:dyDescent="0.2">
      <c r="B2323" s="173"/>
      <c r="C2323" s="694">
        <v>1</v>
      </c>
      <c r="D2323" s="695" t="s">
        <v>3903</v>
      </c>
      <c r="E2323" s="695">
        <v>3</v>
      </c>
      <c r="F2323" s="695" t="s">
        <v>4822</v>
      </c>
      <c r="G2323" s="695">
        <v>5</v>
      </c>
      <c r="H2323" s="695" t="s">
        <v>5320</v>
      </c>
      <c r="I2323" s="695">
        <v>535</v>
      </c>
      <c r="J2323" s="695" t="s">
        <v>5823</v>
      </c>
      <c r="K2323" s="695" t="s">
        <v>3907</v>
      </c>
      <c r="L2323" s="696">
        <v>0</v>
      </c>
      <c r="M2323" s="170"/>
    </row>
    <row r="2324" spans="2:13" x14ac:dyDescent="0.2">
      <c r="B2324" s="173"/>
      <c r="C2324" s="694">
        <v>1</v>
      </c>
      <c r="D2324" s="695" t="s">
        <v>3903</v>
      </c>
      <c r="E2324" s="695">
        <v>3</v>
      </c>
      <c r="F2324" s="695" t="s">
        <v>4822</v>
      </c>
      <c r="G2324" s="695">
        <v>5</v>
      </c>
      <c r="H2324" s="695" t="s">
        <v>5320</v>
      </c>
      <c r="I2324" s="695">
        <v>536</v>
      </c>
      <c r="J2324" s="695" t="s">
        <v>5824</v>
      </c>
      <c r="K2324" s="695" t="s">
        <v>3907</v>
      </c>
      <c r="L2324" s="696">
        <v>11</v>
      </c>
      <c r="M2324" s="170"/>
    </row>
    <row r="2325" spans="2:13" x14ac:dyDescent="0.2">
      <c r="B2325" s="173"/>
      <c r="C2325" s="694">
        <v>1</v>
      </c>
      <c r="D2325" s="695" t="s">
        <v>3903</v>
      </c>
      <c r="E2325" s="695">
        <v>3</v>
      </c>
      <c r="F2325" s="695" t="s">
        <v>4822</v>
      </c>
      <c r="G2325" s="695">
        <v>5</v>
      </c>
      <c r="H2325" s="695" t="s">
        <v>5320</v>
      </c>
      <c r="I2325" s="695">
        <v>537</v>
      </c>
      <c r="J2325" s="695" t="s">
        <v>5825</v>
      </c>
      <c r="K2325" s="695" t="s">
        <v>3907</v>
      </c>
      <c r="L2325" s="696">
        <v>0</v>
      </c>
      <c r="M2325" s="170"/>
    </row>
    <row r="2326" spans="2:13" x14ac:dyDescent="0.2">
      <c r="B2326" s="173"/>
      <c r="C2326" s="694">
        <v>1</v>
      </c>
      <c r="D2326" s="695" t="s">
        <v>3903</v>
      </c>
      <c r="E2326" s="695">
        <v>3</v>
      </c>
      <c r="F2326" s="695" t="s">
        <v>4822</v>
      </c>
      <c r="G2326" s="695">
        <v>5</v>
      </c>
      <c r="H2326" s="695" t="s">
        <v>5320</v>
      </c>
      <c r="I2326" s="695">
        <v>538</v>
      </c>
      <c r="J2326" s="695" t="s">
        <v>5826</v>
      </c>
      <c r="K2326" s="695" t="s">
        <v>3907</v>
      </c>
      <c r="L2326" s="696">
        <v>4</v>
      </c>
      <c r="M2326" s="170"/>
    </row>
    <row r="2327" spans="2:13" x14ac:dyDescent="0.2">
      <c r="B2327" s="173"/>
      <c r="C2327" s="694">
        <v>1</v>
      </c>
      <c r="D2327" s="695" t="s">
        <v>3903</v>
      </c>
      <c r="E2327" s="695">
        <v>3</v>
      </c>
      <c r="F2327" s="695" t="s">
        <v>4822</v>
      </c>
      <c r="G2327" s="695">
        <v>5</v>
      </c>
      <c r="H2327" s="695" t="s">
        <v>5320</v>
      </c>
      <c r="I2327" s="695">
        <v>539</v>
      </c>
      <c r="J2327" s="695" t="s">
        <v>5827</v>
      </c>
      <c r="K2327" s="695" t="s">
        <v>3907</v>
      </c>
      <c r="L2327" s="696">
        <v>43</v>
      </c>
      <c r="M2327" s="170"/>
    </row>
    <row r="2328" spans="2:13" x14ac:dyDescent="0.2">
      <c r="B2328" s="173"/>
      <c r="C2328" s="694">
        <v>1</v>
      </c>
      <c r="D2328" s="695" t="s">
        <v>3903</v>
      </c>
      <c r="E2328" s="695">
        <v>3</v>
      </c>
      <c r="F2328" s="695" t="s">
        <v>4822</v>
      </c>
      <c r="G2328" s="695">
        <v>5</v>
      </c>
      <c r="H2328" s="695" t="s">
        <v>5320</v>
      </c>
      <c r="I2328" s="695">
        <v>540</v>
      </c>
      <c r="J2328" s="695" t="s">
        <v>5828</v>
      </c>
      <c r="K2328" s="695" t="s">
        <v>3907</v>
      </c>
      <c r="L2328" s="696">
        <v>4</v>
      </c>
      <c r="M2328" s="170"/>
    </row>
    <row r="2329" spans="2:13" x14ac:dyDescent="0.2">
      <c r="B2329" s="173"/>
      <c r="C2329" s="694">
        <v>1</v>
      </c>
      <c r="D2329" s="695" t="s">
        <v>3903</v>
      </c>
      <c r="E2329" s="695">
        <v>3</v>
      </c>
      <c r="F2329" s="695" t="s">
        <v>4822</v>
      </c>
      <c r="G2329" s="695">
        <v>5</v>
      </c>
      <c r="H2329" s="695" t="s">
        <v>5320</v>
      </c>
      <c r="I2329" s="695">
        <v>541</v>
      </c>
      <c r="J2329" s="695" t="s">
        <v>5829</v>
      </c>
      <c r="K2329" s="695" t="s">
        <v>3907</v>
      </c>
      <c r="L2329" s="696">
        <v>11</v>
      </c>
      <c r="M2329" s="170"/>
    </row>
    <row r="2330" spans="2:13" x14ac:dyDescent="0.2">
      <c r="B2330" s="173"/>
      <c r="C2330" s="694">
        <v>1</v>
      </c>
      <c r="D2330" s="695" t="s">
        <v>3903</v>
      </c>
      <c r="E2330" s="695">
        <v>3</v>
      </c>
      <c r="F2330" s="695" t="s">
        <v>4822</v>
      </c>
      <c r="G2330" s="695">
        <v>5</v>
      </c>
      <c r="H2330" s="695" t="s">
        <v>5320</v>
      </c>
      <c r="I2330" s="695">
        <v>542</v>
      </c>
      <c r="J2330" s="695" t="s">
        <v>5830</v>
      </c>
      <c r="K2330" s="695" t="s">
        <v>3907</v>
      </c>
      <c r="L2330" s="696">
        <v>34</v>
      </c>
      <c r="M2330" s="170"/>
    </row>
    <row r="2331" spans="2:13" x14ac:dyDescent="0.2">
      <c r="B2331" s="173"/>
      <c r="C2331" s="694">
        <v>1</v>
      </c>
      <c r="D2331" s="695" t="s">
        <v>3903</v>
      </c>
      <c r="E2331" s="695">
        <v>3</v>
      </c>
      <c r="F2331" s="695" t="s">
        <v>4822</v>
      </c>
      <c r="G2331" s="695">
        <v>5</v>
      </c>
      <c r="H2331" s="695" t="s">
        <v>5320</v>
      </c>
      <c r="I2331" s="695">
        <v>543</v>
      </c>
      <c r="J2331" s="695" t="s">
        <v>5831</v>
      </c>
      <c r="K2331" s="695" t="s">
        <v>3907</v>
      </c>
      <c r="L2331" s="696">
        <v>5</v>
      </c>
      <c r="M2331" s="170"/>
    </row>
    <row r="2332" spans="2:13" x14ac:dyDescent="0.2">
      <c r="B2332" s="173"/>
      <c r="C2332" s="694">
        <v>1</v>
      </c>
      <c r="D2332" s="695" t="s">
        <v>3903</v>
      </c>
      <c r="E2332" s="695">
        <v>3</v>
      </c>
      <c r="F2332" s="695" t="s">
        <v>4822</v>
      </c>
      <c r="G2332" s="695">
        <v>5</v>
      </c>
      <c r="H2332" s="695" t="s">
        <v>5320</v>
      </c>
      <c r="I2332" s="695">
        <v>544</v>
      </c>
      <c r="J2332" s="695" t="s">
        <v>5832</v>
      </c>
      <c r="K2332" s="695" t="s">
        <v>3907</v>
      </c>
      <c r="L2332" s="696">
        <v>5</v>
      </c>
      <c r="M2332" s="170"/>
    </row>
    <row r="2333" spans="2:13" x14ac:dyDescent="0.2">
      <c r="B2333" s="173"/>
      <c r="C2333" s="694">
        <v>1</v>
      </c>
      <c r="D2333" s="695" t="s">
        <v>3903</v>
      </c>
      <c r="E2333" s="695">
        <v>3</v>
      </c>
      <c r="F2333" s="695" t="s">
        <v>4822</v>
      </c>
      <c r="G2333" s="695">
        <v>5</v>
      </c>
      <c r="H2333" s="695" t="s">
        <v>5320</v>
      </c>
      <c r="I2333" s="695">
        <v>545</v>
      </c>
      <c r="J2333" s="695" t="s">
        <v>5833</v>
      </c>
      <c r="K2333" s="695" t="s">
        <v>3907</v>
      </c>
      <c r="L2333" s="696">
        <v>20</v>
      </c>
      <c r="M2333" s="170"/>
    </row>
    <row r="2334" spans="2:13" x14ac:dyDescent="0.2">
      <c r="B2334" s="173"/>
      <c r="C2334" s="694">
        <v>1</v>
      </c>
      <c r="D2334" s="695" t="s">
        <v>3903</v>
      </c>
      <c r="E2334" s="695">
        <v>3</v>
      </c>
      <c r="F2334" s="695" t="s">
        <v>4822</v>
      </c>
      <c r="G2334" s="695">
        <v>5</v>
      </c>
      <c r="H2334" s="695" t="s">
        <v>5320</v>
      </c>
      <c r="I2334" s="695">
        <v>546</v>
      </c>
      <c r="J2334" s="695" t="s">
        <v>5834</v>
      </c>
      <c r="K2334" s="695" t="s">
        <v>3907</v>
      </c>
      <c r="L2334" s="696">
        <v>2</v>
      </c>
      <c r="M2334" s="170"/>
    </row>
    <row r="2335" spans="2:13" x14ac:dyDescent="0.2">
      <c r="B2335" s="173"/>
      <c r="C2335" s="694">
        <v>1</v>
      </c>
      <c r="D2335" s="695" t="s">
        <v>3903</v>
      </c>
      <c r="E2335" s="695">
        <v>3</v>
      </c>
      <c r="F2335" s="695" t="s">
        <v>4822</v>
      </c>
      <c r="G2335" s="695">
        <v>5</v>
      </c>
      <c r="H2335" s="695" t="s">
        <v>5320</v>
      </c>
      <c r="I2335" s="695">
        <v>547</v>
      </c>
      <c r="J2335" s="695" t="s">
        <v>5835</v>
      </c>
      <c r="K2335" s="695" t="s">
        <v>3907</v>
      </c>
      <c r="L2335" s="696">
        <v>1</v>
      </c>
      <c r="M2335" s="170"/>
    </row>
    <row r="2336" spans="2:13" x14ac:dyDescent="0.2">
      <c r="B2336" s="173"/>
      <c r="C2336" s="694">
        <v>1</v>
      </c>
      <c r="D2336" s="695" t="s">
        <v>3903</v>
      </c>
      <c r="E2336" s="695">
        <v>3</v>
      </c>
      <c r="F2336" s="695" t="s">
        <v>4822</v>
      </c>
      <c r="G2336" s="695">
        <v>5</v>
      </c>
      <c r="H2336" s="695" t="s">
        <v>5320</v>
      </c>
      <c r="I2336" s="695">
        <v>548</v>
      </c>
      <c r="J2336" s="695" t="s">
        <v>5836</v>
      </c>
      <c r="K2336" s="695" t="s">
        <v>3907</v>
      </c>
      <c r="L2336" s="696">
        <v>1</v>
      </c>
      <c r="M2336" s="170"/>
    </row>
    <row r="2337" spans="2:13" x14ac:dyDescent="0.2">
      <c r="B2337" s="173"/>
      <c r="C2337" s="694">
        <v>1</v>
      </c>
      <c r="D2337" s="695" t="s">
        <v>3903</v>
      </c>
      <c r="E2337" s="695">
        <v>3</v>
      </c>
      <c r="F2337" s="695" t="s">
        <v>4822</v>
      </c>
      <c r="G2337" s="695">
        <v>5</v>
      </c>
      <c r="H2337" s="695" t="s">
        <v>5320</v>
      </c>
      <c r="I2337" s="695">
        <v>549</v>
      </c>
      <c r="J2337" s="695" t="s">
        <v>5837</v>
      </c>
      <c r="K2337" s="695" t="s">
        <v>3907</v>
      </c>
      <c r="L2337" s="696">
        <v>0</v>
      </c>
      <c r="M2337" s="170"/>
    </row>
    <row r="2338" spans="2:13" x14ac:dyDescent="0.2">
      <c r="B2338" s="173"/>
      <c r="C2338" s="694">
        <v>1</v>
      </c>
      <c r="D2338" s="695" t="s">
        <v>3903</v>
      </c>
      <c r="E2338" s="695">
        <v>3</v>
      </c>
      <c r="F2338" s="695" t="s">
        <v>4822</v>
      </c>
      <c r="G2338" s="695">
        <v>5</v>
      </c>
      <c r="H2338" s="695" t="s">
        <v>5320</v>
      </c>
      <c r="I2338" s="695">
        <v>550</v>
      </c>
      <c r="J2338" s="695" t="s">
        <v>5838</v>
      </c>
      <c r="K2338" s="695" t="s">
        <v>3907</v>
      </c>
      <c r="L2338" s="696">
        <v>4</v>
      </c>
      <c r="M2338" s="170"/>
    </row>
    <row r="2339" spans="2:13" x14ac:dyDescent="0.2">
      <c r="B2339" s="173"/>
      <c r="C2339" s="694">
        <v>1</v>
      </c>
      <c r="D2339" s="695" t="s">
        <v>3903</v>
      </c>
      <c r="E2339" s="695">
        <v>3</v>
      </c>
      <c r="F2339" s="695" t="s">
        <v>4822</v>
      </c>
      <c r="G2339" s="695">
        <v>5</v>
      </c>
      <c r="H2339" s="695" t="s">
        <v>5320</v>
      </c>
      <c r="I2339" s="695">
        <v>551</v>
      </c>
      <c r="J2339" s="695" t="s">
        <v>5839</v>
      </c>
      <c r="K2339" s="695" t="s">
        <v>3907</v>
      </c>
      <c r="L2339" s="696">
        <v>1</v>
      </c>
      <c r="M2339" s="170"/>
    </row>
    <row r="2340" spans="2:13" x14ac:dyDescent="0.2">
      <c r="B2340" s="173"/>
      <c r="C2340" s="694">
        <v>1</v>
      </c>
      <c r="D2340" s="695" t="s">
        <v>3903</v>
      </c>
      <c r="E2340" s="695">
        <v>3</v>
      </c>
      <c r="F2340" s="695" t="s">
        <v>4822</v>
      </c>
      <c r="G2340" s="695">
        <v>5</v>
      </c>
      <c r="H2340" s="695" t="s">
        <v>5320</v>
      </c>
      <c r="I2340" s="695">
        <v>552</v>
      </c>
      <c r="J2340" s="695" t="s">
        <v>5840</v>
      </c>
      <c r="K2340" s="695" t="s">
        <v>3907</v>
      </c>
      <c r="L2340" s="696">
        <v>3</v>
      </c>
      <c r="M2340" s="170"/>
    </row>
    <row r="2341" spans="2:13" x14ac:dyDescent="0.2">
      <c r="B2341" s="173"/>
      <c r="C2341" s="694">
        <v>1</v>
      </c>
      <c r="D2341" s="695" t="s">
        <v>3903</v>
      </c>
      <c r="E2341" s="695">
        <v>3</v>
      </c>
      <c r="F2341" s="695" t="s">
        <v>4822</v>
      </c>
      <c r="G2341" s="695">
        <v>5</v>
      </c>
      <c r="H2341" s="695" t="s">
        <v>5320</v>
      </c>
      <c r="I2341" s="695">
        <v>553</v>
      </c>
      <c r="J2341" s="695" t="s">
        <v>5841</v>
      </c>
      <c r="K2341" s="695" t="s">
        <v>3907</v>
      </c>
      <c r="L2341" s="696">
        <v>14</v>
      </c>
      <c r="M2341" s="170"/>
    </row>
    <row r="2342" spans="2:13" x14ac:dyDescent="0.2">
      <c r="B2342" s="173"/>
      <c r="C2342" s="694">
        <v>1</v>
      </c>
      <c r="D2342" s="695" t="s">
        <v>3903</v>
      </c>
      <c r="E2342" s="695">
        <v>3</v>
      </c>
      <c r="F2342" s="695" t="s">
        <v>4822</v>
      </c>
      <c r="G2342" s="695">
        <v>5</v>
      </c>
      <c r="H2342" s="695" t="s">
        <v>5320</v>
      </c>
      <c r="I2342" s="695">
        <v>554</v>
      </c>
      <c r="J2342" s="695" t="s">
        <v>5842</v>
      </c>
      <c r="K2342" s="695" t="s">
        <v>3907</v>
      </c>
      <c r="L2342" s="696">
        <v>12</v>
      </c>
      <c r="M2342" s="170"/>
    </row>
    <row r="2343" spans="2:13" x14ac:dyDescent="0.2">
      <c r="B2343" s="173"/>
      <c r="C2343" s="694">
        <v>1</v>
      </c>
      <c r="D2343" s="695" t="s">
        <v>3903</v>
      </c>
      <c r="E2343" s="695">
        <v>3</v>
      </c>
      <c r="F2343" s="695" t="s">
        <v>4822</v>
      </c>
      <c r="G2343" s="695">
        <v>5</v>
      </c>
      <c r="H2343" s="695" t="s">
        <v>5320</v>
      </c>
      <c r="I2343" s="695">
        <v>555</v>
      </c>
      <c r="J2343" s="695" t="s">
        <v>5843</v>
      </c>
      <c r="K2343" s="695" t="s">
        <v>3907</v>
      </c>
      <c r="L2343" s="696">
        <v>3</v>
      </c>
      <c r="M2343" s="170"/>
    </row>
    <row r="2344" spans="2:13" x14ac:dyDescent="0.2">
      <c r="B2344" s="173"/>
      <c r="C2344" s="694">
        <v>1</v>
      </c>
      <c r="D2344" s="695" t="s">
        <v>3903</v>
      </c>
      <c r="E2344" s="695">
        <v>3</v>
      </c>
      <c r="F2344" s="695" t="s">
        <v>4822</v>
      </c>
      <c r="G2344" s="695">
        <v>5</v>
      </c>
      <c r="H2344" s="695" t="s">
        <v>5320</v>
      </c>
      <c r="I2344" s="695">
        <v>556</v>
      </c>
      <c r="J2344" s="695" t="s">
        <v>5844</v>
      </c>
      <c r="K2344" s="695" t="s">
        <v>3907</v>
      </c>
      <c r="L2344" s="696">
        <v>86</v>
      </c>
      <c r="M2344" s="170"/>
    </row>
    <row r="2345" spans="2:13" x14ac:dyDescent="0.2">
      <c r="B2345" s="173"/>
      <c r="C2345" s="694">
        <v>1</v>
      </c>
      <c r="D2345" s="695" t="s">
        <v>3903</v>
      </c>
      <c r="E2345" s="695">
        <v>3</v>
      </c>
      <c r="F2345" s="695" t="s">
        <v>4822</v>
      </c>
      <c r="G2345" s="695">
        <v>5</v>
      </c>
      <c r="H2345" s="695" t="s">
        <v>5320</v>
      </c>
      <c r="I2345" s="695">
        <v>557</v>
      </c>
      <c r="J2345" s="695" t="s">
        <v>5845</v>
      </c>
      <c r="K2345" s="695" t="s">
        <v>3907</v>
      </c>
      <c r="L2345" s="696">
        <v>3</v>
      </c>
      <c r="M2345" s="170"/>
    </row>
    <row r="2346" spans="2:13" x14ac:dyDescent="0.2">
      <c r="B2346" s="173"/>
      <c r="C2346" s="694">
        <v>1</v>
      </c>
      <c r="D2346" s="695" t="s">
        <v>3903</v>
      </c>
      <c r="E2346" s="695">
        <v>3</v>
      </c>
      <c r="F2346" s="695" t="s">
        <v>4822</v>
      </c>
      <c r="G2346" s="695">
        <v>5</v>
      </c>
      <c r="H2346" s="695" t="s">
        <v>5320</v>
      </c>
      <c r="I2346" s="695">
        <v>558</v>
      </c>
      <c r="J2346" s="695" t="s">
        <v>5846</v>
      </c>
      <c r="K2346" s="695" t="s">
        <v>3907</v>
      </c>
      <c r="L2346" s="696">
        <v>40</v>
      </c>
      <c r="M2346" s="170"/>
    </row>
    <row r="2347" spans="2:13" x14ac:dyDescent="0.2">
      <c r="B2347" s="173"/>
      <c r="C2347" s="694">
        <v>1</v>
      </c>
      <c r="D2347" s="695" t="s">
        <v>3903</v>
      </c>
      <c r="E2347" s="695">
        <v>3</v>
      </c>
      <c r="F2347" s="695" t="s">
        <v>4822</v>
      </c>
      <c r="G2347" s="695">
        <v>5</v>
      </c>
      <c r="H2347" s="695" t="s">
        <v>5320</v>
      </c>
      <c r="I2347" s="695">
        <v>559</v>
      </c>
      <c r="J2347" s="695" t="s">
        <v>5847</v>
      </c>
      <c r="K2347" s="695" t="s">
        <v>3907</v>
      </c>
      <c r="L2347" s="696">
        <v>5</v>
      </c>
      <c r="M2347" s="170"/>
    </row>
    <row r="2348" spans="2:13" x14ac:dyDescent="0.2">
      <c r="B2348" s="173"/>
      <c r="C2348" s="694">
        <v>1</v>
      </c>
      <c r="D2348" s="695" t="s">
        <v>3903</v>
      </c>
      <c r="E2348" s="695">
        <v>3</v>
      </c>
      <c r="F2348" s="695" t="s">
        <v>4822</v>
      </c>
      <c r="G2348" s="695">
        <v>5</v>
      </c>
      <c r="H2348" s="695" t="s">
        <v>5320</v>
      </c>
      <c r="I2348" s="695">
        <v>560</v>
      </c>
      <c r="J2348" s="695" t="s">
        <v>5848</v>
      </c>
      <c r="K2348" s="695" t="s">
        <v>3907</v>
      </c>
      <c r="L2348" s="696">
        <v>1</v>
      </c>
      <c r="M2348" s="170"/>
    </row>
    <row r="2349" spans="2:13" x14ac:dyDescent="0.2">
      <c r="B2349" s="173"/>
      <c r="C2349" s="694">
        <v>1</v>
      </c>
      <c r="D2349" s="695" t="s">
        <v>3903</v>
      </c>
      <c r="E2349" s="695">
        <v>3</v>
      </c>
      <c r="F2349" s="695" t="s">
        <v>4822</v>
      </c>
      <c r="G2349" s="695">
        <v>5</v>
      </c>
      <c r="H2349" s="695" t="s">
        <v>5320</v>
      </c>
      <c r="I2349" s="695">
        <v>561</v>
      </c>
      <c r="J2349" s="695" t="s">
        <v>5849</v>
      </c>
      <c r="K2349" s="695" t="s">
        <v>3907</v>
      </c>
      <c r="L2349" s="696">
        <v>27</v>
      </c>
      <c r="M2349" s="170"/>
    </row>
    <row r="2350" spans="2:13" x14ac:dyDescent="0.2">
      <c r="B2350" s="173"/>
      <c r="C2350" s="694">
        <v>1</v>
      </c>
      <c r="D2350" s="695" t="s">
        <v>3903</v>
      </c>
      <c r="E2350" s="695">
        <v>3</v>
      </c>
      <c r="F2350" s="695" t="s">
        <v>4822</v>
      </c>
      <c r="G2350" s="695">
        <v>5</v>
      </c>
      <c r="H2350" s="695" t="s">
        <v>5320</v>
      </c>
      <c r="I2350" s="695">
        <v>562</v>
      </c>
      <c r="J2350" s="695" t="s">
        <v>5850</v>
      </c>
      <c r="K2350" s="695" t="s">
        <v>3907</v>
      </c>
      <c r="L2350" s="696">
        <v>6</v>
      </c>
      <c r="M2350" s="170"/>
    </row>
    <row r="2351" spans="2:13" x14ac:dyDescent="0.2">
      <c r="B2351" s="173"/>
      <c r="C2351" s="694">
        <v>1</v>
      </c>
      <c r="D2351" s="695" t="s">
        <v>3903</v>
      </c>
      <c r="E2351" s="695">
        <v>3</v>
      </c>
      <c r="F2351" s="695" t="s">
        <v>4822</v>
      </c>
      <c r="G2351" s="695">
        <v>5</v>
      </c>
      <c r="H2351" s="695" t="s">
        <v>5320</v>
      </c>
      <c r="I2351" s="695">
        <v>563</v>
      </c>
      <c r="J2351" s="695" t="s">
        <v>5851</v>
      </c>
      <c r="K2351" s="695" t="s">
        <v>3907</v>
      </c>
      <c r="L2351" s="696">
        <v>3</v>
      </c>
      <c r="M2351" s="170"/>
    </row>
    <row r="2352" spans="2:13" x14ac:dyDescent="0.2">
      <c r="B2352" s="173"/>
      <c r="C2352" s="694">
        <v>1</v>
      </c>
      <c r="D2352" s="695" t="s">
        <v>3903</v>
      </c>
      <c r="E2352" s="695">
        <v>3</v>
      </c>
      <c r="F2352" s="695" t="s">
        <v>4822</v>
      </c>
      <c r="G2352" s="695">
        <v>5</v>
      </c>
      <c r="H2352" s="695" t="s">
        <v>5320</v>
      </c>
      <c r="I2352" s="695">
        <v>564</v>
      </c>
      <c r="J2352" s="695" t="s">
        <v>5852</v>
      </c>
      <c r="K2352" s="695" t="s">
        <v>3907</v>
      </c>
      <c r="L2352" s="696">
        <v>1</v>
      </c>
      <c r="M2352" s="170"/>
    </row>
    <row r="2353" spans="2:13" x14ac:dyDescent="0.2">
      <c r="B2353" s="173"/>
      <c r="C2353" s="694">
        <v>1</v>
      </c>
      <c r="D2353" s="695" t="s">
        <v>3903</v>
      </c>
      <c r="E2353" s="695">
        <v>3</v>
      </c>
      <c r="F2353" s="695" t="s">
        <v>4822</v>
      </c>
      <c r="G2353" s="695">
        <v>5</v>
      </c>
      <c r="H2353" s="695" t="s">
        <v>5320</v>
      </c>
      <c r="I2353" s="695">
        <v>565</v>
      </c>
      <c r="J2353" s="695" t="s">
        <v>5853</v>
      </c>
      <c r="K2353" s="695" t="s">
        <v>3907</v>
      </c>
      <c r="L2353" s="696">
        <v>200</v>
      </c>
      <c r="M2353" s="170"/>
    </row>
    <row r="2354" spans="2:13" x14ac:dyDescent="0.2">
      <c r="B2354" s="173"/>
      <c r="C2354" s="694">
        <v>1</v>
      </c>
      <c r="D2354" s="695" t="s">
        <v>3903</v>
      </c>
      <c r="E2354" s="695">
        <v>3</v>
      </c>
      <c r="F2354" s="695" t="s">
        <v>4822</v>
      </c>
      <c r="G2354" s="695">
        <v>5</v>
      </c>
      <c r="H2354" s="695" t="s">
        <v>5320</v>
      </c>
      <c r="I2354" s="695">
        <v>566</v>
      </c>
      <c r="J2354" s="695" t="s">
        <v>5854</v>
      </c>
      <c r="K2354" s="695" t="s">
        <v>3907</v>
      </c>
      <c r="L2354" s="696">
        <v>3</v>
      </c>
      <c r="M2354" s="170"/>
    </row>
    <row r="2355" spans="2:13" x14ac:dyDescent="0.2">
      <c r="B2355" s="173"/>
      <c r="C2355" s="694">
        <v>1</v>
      </c>
      <c r="D2355" s="695" t="s">
        <v>3903</v>
      </c>
      <c r="E2355" s="695">
        <v>3</v>
      </c>
      <c r="F2355" s="695" t="s">
        <v>4822</v>
      </c>
      <c r="G2355" s="695">
        <v>5</v>
      </c>
      <c r="H2355" s="695" t="s">
        <v>5320</v>
      </c>
      <c r="I2355" s="695">
        <v>567</v>
      </c>
      <c r="J2355" s="695" t="s">
        <v>5855</v>
      </c>
      <c r="K2355" s="695" t="s">
        <v>3907</v>
      </c>
      <c r="L2355" s="696">
        <v>4</v>
      </c>
      <c r="M2355" s="170"/>
    </row>
    <row r="2356" spans="2:13" x14ac:dyDescent="0.2">
      <c r="B2356" s="173"/>
      <c r="C2356" s="694">
        <v>1</v>
      </c>
      <c r="D2356" s="695" t="s">
        <v>3903</v>
      </c>
      <c r="E2356" s="695">
        <v>3</v>
      </c>
      <c r="F2356" s="695" t="s">
        <v>4822</v>
      </c>
      <c r="G2356" s="695">
        <v>5</v>
      </c>
      <c r="H2356" s="695" t="s">
        <v>5320</v>
      </c>
      <c r="I2356" s="695">
        <v>568</v>
      </c>
      <c r="J2356" s="695" t="s">
        <v>5856</v>
      </c>
      <c r="K2356" s="695" t="s">
        <v>3907</v>
      </c>
      <c r="L2356" s="696">
        <v>19</v>
      </c>
      <c r="M2356" s="170"/>
    </row>
    <row r="2357" spans="2:13" x14ac:dyDescent="0.2">
      <c r="B2357" s="173"/>
      <c r="C2357" s="694">
        <v>1</v>
      </c>
      <c r="D2357" s="695" t="s">
        <v>3903</v>
      </c>
      <c r="E2357" s="695">
        <v>3</v>
      </c>
      <c r="F2357" s="695" t="s">
        <v>4822</v>
      </c>
      <c r="G2357" s="695">
        <v>5</v>
      </c>
      <c r="H2357" s="695" t="s">
        <v>5320</v>
      </c>
      <c r="I2357" s="695">
        <v>569</v>
      </c>
      <c r="J2357" s="695" t="s">
        <v>5857</v>
      </c>
      <c r="K2357" s="695" t="s">
        <v>3907</v>
      </c>
      <c r="L2357" s="696">
        <v>10</v>
      </c>
      <c r="M2357" s="170"/>
    </row>
    <row r="2358" spans="2:13" x14ac:dyDescent="0.2">
      <c r="B2358" s="173"/>
      <c r="C2358" s="694">
        <v>1</v>
      </c>
      <c r="D2358" s="695" t="s">
        <v>3903</v>
      </c>
      <c r="E2358" s="695">
        <v>3</v>
      </c>
      <c r="F2358" s="695" t="s">
        <v>4822</v>
      </c>
      <c r="G2358" s="695">
        <v>5</v>
      </c>
      <c r="H2358" s="695" t="s">
        <v>5320</v>
      </c>
      <c r="I2358" s="695">
        <v>570</v>
      </c>
      <c r="J2358" s="695" t="s">
        <v>5807</v>
      </c>
      <c r="K2358" s="695" t="s">
        <v>3907</v>
      </c>
      <c r="L2358" s="696">
        <v>2</v>
      </c>
      <c r="M2358" s="170"/>
    </row>
    <row r="2359" spans="2:13" x14ac:dyDescent="0.2">
      <c r="B2359" s="173"/>
      <c r="C2359" s="694">
        <v>1</v>
      </c>
      <c r="D2359" s="695" t="s">
        <v>3903</v>
      </c>
      <c r="E2359" s="695">
        <v>3</v>
      </c>
      <c r="F2359" s="695" t="s">
        <v>4822</v>
      </c>
      <c r="G2359" s="695">
        <v>5</v>
      </c>
      <c r="H2359" s="695" t="s">
        <v>5320</v>
      </c>
      <c r="I2359" s="695">
        <v>571</v>
      </c>
      <c r="J2359" s="695" t="s">
        <v>5858</v>
      </c>
      <c r="K2359" s="695" t="s">
        <v>3907</v>
      </c>
      <c r="L2359" s="696">
        <v>0</v>
      </c>
      <c r="M2359" s="170"/>
    </row>
    <row r="2360" spans="2:13" x14ac:dyDescent="0.2">
      <c r="B2360" s="173"/>
      <c r="C2360" s="694">
        <v>1</v>
      </c>
      <c r="D2360" s="695" t="s">
        <v>3903</v>
      </c>
      <c r="E2360" s="695">
        <v>3</v>
      </c>
      <c r="F2360" s="695" t="s">
        <v>4822</v>
      </c>
      <c r="G2360" s="695">
        <v>5</v>
      </c>
      <c r="H2360" s="695" t="s">
        <v>5320</v>
      </c>
      <c r="I2360" s="695">
        <v>572</v>
      </c>
      <c r="J2360" s="695" t="s">
        <v>5859</v>
      </c>
      <c r="K2360" s="695" t="s">
        <v>3907</v>
      </c>
      <c r="L2360" s="696">
        <v>1</v>
      </c>
      <c r="M2360" s="170"/>
    </row>
    <row r="2361" spans="2:13" x14ac:dyDescent="0.2">
      <c r="B2361" s="173"/>
      <c r="C2361" s="694">
        <v>1</v>
      </c>
      <c r="D2361" s="695" t="s">
        <v>3903</v>
      </c>
      <c r="E2361" s="695">
        <v>3</v>
      </c>
      <c r="F2361" s="695" t="s">
        <v>4822</v>
      </c>
      <c r="G2361" s="695">
        <v>5</v>
      </c>
      <c r="H2361" s="695" t="s">
        <v>5320</v>
      </c>
      <c r="I2361" s="695">
        <v>573</v>
      </c>
      <c r="J2361" s="695" t="s">
        <v>5860</v>
      </c>
      <c r="K2361" s="695" t="s">
        <v>3907</v>
      </c>
      <c r="L2361" s="696">
        <v>3</v>
      </c>
      <c r="M2361" s="170"/>
    </row>
    <row r="2362" spans="2:13" x14ac:dyDescent="0.2">
      <c r="B2362" s="173"/>
      <c r="C2362" s="694">
        <v>1</v>
      </c>
      <c r="D2362" s="695" t="s">
        <v>3903</v>
      </c>
      <c r="E2362" s="695">
        <v>3</v>
      </c>
      <c r="F2362" s="695" t="s">
        <v>4822</v>
      </c>
      <c r="G2362" s="695">
        <v>5</v>
      </c>
      <c r="H2362" s="695" t="s">
        <v>5320</v>
      </c>
      <c r="I2362" s="695">
        <v>574</v>
      </c>
      <c r="J2362" s="695" t="s">
        <v>5861</v>
      </c>
      <c r="K2362" s="695" t="s">
        <v>3907</v>
      </c>
      <c r="L2362" s="696">
        <v>0</v>
      </c>
      <c r="M2362" s="170"/>
    </row>
    <row r="2363" spans="2:13" x14ac:dyDescent="0.2">
      <c r="B2363" s="173"/>
      <c r="C2363" s="694">
        <v>1</v>
      </c>
      <c r="D2363" s="695" t="s">
        <v>3903</v>
      </c>
      <c r="E2363" s="695">
        <v>3</v>
      </c>
      <c r="F2363" s="695" t="s">
        <v>4822</v>
      </c>
      <c r="G2363" s="695">
        <v>5</v>
      </c>
      <c r="H2363" s="695" t="s">
        <v>5320</v>
      </c>
      <c r="I2363" s="695">
        <v>575</v>
      </c>
      <c r="J2363" s="695" t="s">
        <v>5862</v>
      </c>
      <c r="K2363" s="695" t="s">
        <v>3907</v>
      </c>
      <c r="L2363" s="696">
        <v>75</v>
      </c>
      <c r="M2363" s="170"/>
    </row>
    <row r="2364" spans="2:13" x14ac:dyDescent="0.2">
      <c r="B2364" s="173"/>
      <c r="C2364" s="694">
        <v>1</v>
      </c>
      <c r="D2364" s="695" t="s">
        <v>3903</v>
      </c>
      <c r="E2364" s="695">
        <v>3</v>
      </c>
      <c r="F2364" s="695" t="s">
        <v>4822</v>
      </c>
      <c r="G2364" s="695">
        <v>5</v>
      </c>
      <c r="H2364" s="695" t="s">
        <v>5320</v>
      </c>
      <c r="I2364" s="695">
        <v>576</v>
      </c>
      <c r="J2364" s="695" t="s">
        <v>5863</v>
      </c>
      <c r="K2364" s="695" t="s">
        <v>3907</v>
      </c>
      <c r="L2364" s="696">
        <v>11</v>
      </c>
      <c r="M2364" s="170"/>
    </row>
    <row r="2365" spans="2:13" x14ac:dyDescent="0.2">
      <c r="B2365" s="173"/>
      <c r="C2365" s="694">
        <v>1</v>
      </c>
      <c r="D2365" s="695" t="s">
        <v>3903</v>
      </c>
      <c r="E2365" s="695">
        <v>3</v>
      </c>
      <c r="F2365" s="695" t="s">
        <v>4822</v>
      </c>
      <c r="G2365" s="695">
        <v>5</v>
      </c>
      <c r="H2365" s="695" t="s">
        <v>5320</v>
      </c>
      <c r="I2365" s="695">
        <v>577</v>
      </c>
      <c r="J2365" s="695" t="s">
        <v>5864</v>
      </c>
      <c r="K2365" s="695" t="s">
        <v>3907</v>
      </c>
      <c r="L2365" s="696">
        <v>1</v>
      </c>
      <c r="M2365" s="170"/>
    </row>
    <row r="2366" spans="2:13" x14ac:dyDescent="0.2">
      <c r="B2366" s="173"/>
      <c r="C2366" s="694">
        <v>1</v>
      </c>
      <c r="D2366" s="695" t="s">
        <v>3903</v>
      </c>
      <c r="E2366" s="695">
        <v>3</v>
      </c>
      <c r="F2366" s="695" t="s">
        <v>4822</v>
      </c>
      <c r="G2366" s="695">
        <v>5</v>
      </c>
      <c r="H2366" s="695" t="s">
        <v>5320</v>
      </c>
      <c r="I2366" s="695">
        <v>578</v>
      </c>
      <c r="J2366" s="695" t="s">
        <v>5865</v>
      </c>
      <c r="K2366" s="695" t="s">
        <v>3907</v>
      </c>
      <c r="L2366" s="696">
        <v>37</v>
      </c>
      <c r="M2366" s="170"/>
    </row>
    <row r="2367" spans="2:13" x14ac:dyDescent="0.2">
      <c r="B2367" s="173"/>
      <c r="C2367" s="694">
        <v>1</v>
      </c>
      <c r="D2367" s="695" t="s">
        <v>3903</v>
      </c>
      <c r="E2367" s="695">
        <v>3</v>
      </c>
      <c r="F2367" s="695" t="s">
        <v>4822</v>
      </c>
      <c r="G2367" s="695">
        <v>5</v>
      </c>
      <c r="H2367" s="695" t="s">
        <v>5320</v>
      </c>
      <c r="I2367" s="695">
        <v>579</v>
      </c>
      <c r="J2367" s="695" t="s">
        <v>5866</v>
      </c>
      <c r="K2367" s="695" t="s">
        <v>3907</v>
      </c>
      <c r="L2367" s="696">
        <v>3</v>
      </c>
      <c r="M2367" s="170"/>
    </row>
    <row r="2368" spans="2:13" x14ac:dyDescent="0.2">
      <c r="B2368" s="173"/>
      <c r="C2368" s="694">
        <v>1</v>
      </c>
      <c r="D2368" s="695" t="s">
        <v>3903</v>
      </c>
      <c r="E2368" s="695">
        <v>3</v>
      </c>
      <c r="F2368" s="695" t="s">
        <v>4822</v>
      </c>
      <c r="G2368" s="695">
        <v>5</v>
      </c>
      <c r="H2368" s="695" t="s">
        <v>5320</v>
      </c>
      <c r="I2368" s="695">
        <v>580</v>
      </c>
      <c r="J2368" s="695" t="s">
        <v>5867</v>
      </c>
      <c r="K2368" s="695" t="s">
        <v>3907</v>
      </c>
      <c r="L2368" s="696">
        <v>8</v>
      </c>
      <c r="M2368" s="170"/>
    </row>
    <row r="2369" spans="2:13" x14ac:dyDescent="0.2">
      <c r="B2369" s="173"/>
      <c r="C2369" s="694">
        <v>1</v>
      </c>
      <c r="D2369" s="695" t="s">
        <v>3903</v>
      </c>
      <c r="E2369" s="695">
        <v>3</v>
      </c>
      <c r="F2369" s="695" t="s">
        <v>4822</v>
      </c>
      <c r="G2369" s="695">
        <v>5</v>
      </c>
      <c r="H2369" s="695" t="s">
        <v>5320</v>
      </c>
      <c r="I2369" s="695">
        <v>581</v>
      </c>
      <c r="J2369" s="695" t="s">
        <v>5868</v>
      </c>
      <c r="K2369" s="695" t="s">
        <v>3907</v>
      </c>
      <c r="L2369" s="696">
        <v>9</v>
      </c>
      <c r="M2369" s="170"/>
    </row>
    <row r="2370" spans="2:13" x14ac:dyDescent="0.2">
      <c r="B2370" s="173"/>
      <c r="C2370" s="694">
        <v>1</v>
      </c>
      <c r="D2370" s="695" t="s">
        <v>3903</v>
      </c>
      <c r="E2370" s="695">
        <v>3</v>
      </c>
      <c r="F2370" s="695" t="s">
        <v>4822</v>
      </c>
      <c r="G2370" s="695">
        <v>5</v>
      </c>
      <c r="H2370" s="695" t="s">
        <v>5320</v>
      </c>
      <c r="I2370" s="695">
        <v>582</v>
      </c>
      <c r="J2370" s="695" t="s">
        <v>5779</v>
      </c>
      <c r="K2370" s="695" t="s">
        <v>3907</v>
      </c>
      <c r="L2370" s="696">
        <v>0</v>
      </c>
      <c r="M2370" s="170"/>
    </row>
    <row r="2371" spans="2:13" x14ac:dyDescent="0.2">
      <c r="B2371" s="173"/>
      <c r="C2371" s="694">
        <v>1</v>
      </c>
      <c r="D2371" s="695" t="s">
        <v>3903</v>
      </c>
      <c r="E2371" s="695">
        <v>3</v>
      </c>
      <c r="F2371" s="695" t="s">
        <v>4822</v>
      </c>
      <c r="G2371" s="695">
        <v>5</v>
      </c>
      <c r="H2371" s="695" t="s">
        <v>5320</v>
      </c>
      <c r="I2371" s="695">
        <v>583</v>
      </c>
      <c r="J2371" s="695" t="s">
        <v>5869</v>
      </c>
      <c r="K2371" s="695" t="s">
        <v>3907</v>
      </c>
      <c r="L2371" s="696">
        <v>5</v>
      </c>
      <c r="M2371" s="170"/>
    </row>
    <row r="2372" spans="2:13" x14ac:dyDescent="0.2">
      <c r="B2372" s="173"/>
      <c r="C2372" s="694">
        <v>1</v>
      </c>
      <c r="D2372" s="695" t="s">
        <v>3903</v>
      </c>
      <c r="E2372" s="695">
        <v>3</v>
      </c>
      <c r="F2372" s="695" t="s">
        <v>4822</v>
      </c>
      <c r="G2372" s="695">
        <v>5</v>
      </c>
      <c r="H2372" s="695" t="s">
        <v>5320</v>
      </c>
      <c r="I2372" s="695">
        <v>584</v>
      </c>
      <c r="J2372" s="695" t="s">
        <v>5870</v>
      </c>
      <c r="K2372" s="695" t="s">
        <v>3907</v>
      </c>
      <c r="L2372" s="696">
        <v>3</v>
      </c>
      <c r="M2372" s="170"/>
    </row>
    <row r="2373" spans="2:13" x14ac:dyDescent="0.2">
      <c r="B2373" s="173"/>
      <c r="C2373" s="694">
        <v>1</v>
      </c>
      <c r="D2373" s="695" t="s">
        <v>3903</v>
      </c>
      <c r="E2373" s="695">
        <v>3</v>
      </c>
      <c r="F2373" s="695" t="s">
        <v>4822</v>
      </c>
      <c r="G2373" s="695">
        <v>5</v>
      </c>
      <c r="H2373" s="695" t="s">
        <v>5320</v>
      </c>
      <c r="I2373" s="695">
        <v>585</v>
      </c>
      <c r="J2373" s="695" t="s">
        <v>5871</v>
      </c>
      <c r="K2373" s="695" t="s">
        <v>3907</v>
      </c>
      <c r="L2373" s="696">
        <v>13</v>
      </c>
      <c r="M2373" s="170"/>
    </row>
    <row r="2374" spans="2:13" x14ac:dyDescent="0.2">
      <c r="B2374" s="173"/>
      <c r="C2374" s="694">
        <v>1</v>
      </c>
      <c r="D2374" s="695" t="s">
        <v>3903</v>
      </c>
      <c r="E2374" s="695">
        <v>3</v>
      </c>
      <c r="F2374" s="695" t="s">
        <v>4822</v>
      </c>
      <c r="G2374" s="695">
        <v>5</v>
      </c>
      <c r="H2374" s="695" t="s">
        <v>5320</v>
      </c>
      <c r="I2374" s="695">
        <v>586</v>
      </c>
      <c r="J2374" s="695" t="s">
        <v>5872</v>
      </c>
      <c r="K2374" s="695" t="s">
        <v>3907</v>
      </c>
      <c r="L2374" s="696">
        <v>1</v>
      </c>
      <c r="M2374" s="170"/>
    </row>
    <row r="2375" spans="2:13" x14ac:dyDescent="0.2">
      <c r="B2375" s="173"/>
      <c r="C2375" s="694">
        <v>1</v>
      </c>
      <c r="D2375" s="695" t="s">
        <v>3903</v>
      </c>
      <c r="E2375" s="695">
        <v>3</v>
      </c>
      <c r="F2375" s="695" t="s">
        <v>4822</v>
      </c>
      <c r="G2375" s="695">
        <v>5</v>
      </c>
      <c r="H2375" s="695" t="s">
        <v>5320</v>
      </c>
      <c r="I2375" s="695">
        <v>587</v>
      </c>
      <c r="J2375" s="695" t="s">
        <v>5873</v>
      </c>
      <c r="K2375" s="695" t="s">
        <v>3907</v>
      </c>
      <c r="L2375" s="696">
        <v>1</v>
      </c>
      <c r="M2375" s="170"/>
    </row>
    <row r="2376" spans="2:13" x14ac:dyDescent="0.2">
      <c r="B2376" s="173"/>
      <c r="C2376" s="694">
        <v>1</v>
      </c>
      <c r="D2376" s="695" t="s">
        <v>3903</v>
      </c>
      <c r="E2376" s="695">
        <v>3</v>
      </c>
      <c r="F2376" s="695" t="s">
        <v>4822</v>
      </c>
      <c r="G2376" s="695">
        <v>5</v>
      </c>
      <c r="H2376" s="695" t="s">
        <v>5320</v>
      </c>
      <c r="I2376" s="695">
        <v>588</v>
      </c>
      <c r="J2376" s="695" t="s">
        <v>5874</v>
      </c>
      <c r="K2376" s="695" t="s">
        <v>3907</v>
      </c>
      <c r="L2376" s="696">
        <v>5</v>
      </c>
      <c r="M2376" s="170"/>
    </row>
    <row r="2377" spans="2:13" x14ac:dyDescent="0.2">
      <c r="B2377" s="173"/>
      <c r="C2377" s="694">
        <v>1</v>
      </c>
      <c r="D2377" s="695" t="s">
        <v>3903</v>
      </c>
      <c r="E2377" s="695">
        <v>3</v>
      </c>
      <c r="F2377" s="695" t="s">
        <v>4822</v>
      </c>
      <c r="G2377" s="695">
        <v>5</v>
      </c>
      <c r="H2377" s="695" t="s">
        <v>5320</v>
      </c>
      <c r="I2377" s="695">
        <v>589</v>
      </c>
      <c r="J2377" s="695" t="s">
        <v>5875</v>
      </c>
      <c r="K2377" s="695" t="s">
        <v>3907</v>
      </c>
      <c r="L2377" s="696">
        <v>3</v>
      </c>
      <c r="M2377" s="170"/>
    </row>
    <row r="2378" spans="2:13" x14ac:dyDescent="0.2">
      <c r="B2378" s="173"/>
      <c r="C2378" s="694">
        <v>1</v>
      </c>
      <c r="D2378" s="695" t="s">
        <v>3903</v>
      </c>
      <c r="E2378" s="695">
        <v>3</v>
      </c>
      <c r="F2378" s="695" t="s">
        <v>4822</v>
      </c>
      <c r="G2378" s="695">
        <v>5</v>
      </c>
      <c r="H2378" s="695" t="s">
        <v>5320</v>
      </c>
      <c r="I2378" s="695">
        <v>590</v>
      </c>
      <c r="J2378" s="695" t="s">
        <v>5876</v>
      </c>
      <c r="K2378" s="695" t="s">
        <v>3907</v>
      </c>
      <c r="L2378" s="696">
        <v>3</v>
      </c>
      <c r="M2378" s="170"/>
    </row>
    <row r="2379" spans="2:13" x14ac:dyDescent="0.2">
      <c r="B2379" s="173"/>
      <c r="C2379" s="694">
        <v>1</v>
      </c>
      <c r="D2379" s="695" t="s">
        <v>3903</v>
      </c>
      <c r="E2379" s="695">
        <v>3</v>
      </c>
      <c r="F2379" s="695" t="s">
        <v>4822</v>
      </c>
      <c r="G2379" s="695">
        <v>5</v>
      </c>
      <c r="H2379" s="695" t="s">
        <v>5320</v>
      </c>
      <c r="I2379" s="695">
        <v>591</v>
      </c>
      <c r="J2379" s="695" t="s">
        <v>5877</v>
      </c>
      <c r="K2379" s="695" t="s">
        <v>3907</v>
      </c>
      <c r="L2379" s="696">
        <v>0</v>
      </c>
      <c r="M2379" s="170"/>
    </row>
    <row r="2380" spans="2:13" x14ac:dyDescent="0.2">
      <c r="B2380" s="173"/>
      <c r="C2380" s="694">
        <v>1</v>
      </c>
      <c r="D2380" s="695" t="s">
        <v>3903</v>
      </c>
      <c r="E2380" s="695">
        <v>3</v>
      </c>
      <c r="F2380" s="695" t="s">
        <v>4822</v>
      </c>
      <c r="G2380" s="695">
        <v>5</v>
      </c>
      <c r="H2380" s="695" t="s">
        <v>5320</v>
      </c>
      <c r="I2380" s="695">
        <v>592</v>
      </c>
      <c r="J2380" s="695" t="s">
        <v>5878</v>
      </c>
      <c r="K2380" s="695" t="s">
        <v>3907</v>
      </c>
      <c r="L2380" s="696">
        <v>2</v>
      </c>
      <c r="M2380" s="170"/>
    </row>
    <row r="2381" spans="2:13" x14ac:dyDescent="0.2">
      <c r="B2381" s="173"/>
      <c r="C2381" s="694">
        <v>1</v>
      </c>
      <c r="D2381" s="695" t="s">
        <v>3903</v>
      </c>
      <c r="E2381" s="695">
        <v>3</v>
      </c>
      <c r="F2381" s="695" t="s">
        <v>4822</v>
      </c>
      <c r="G2381" s="695">
        <v>5</v>
      </c>
      <c r="H2381" s="695" t="s">
        <v>5320</v>
      </c>
      <c r="I2381" s="695">
        <v>593</v>
      </c>
      <c r="J2381" s="695" t="s">
        <v>5879</v>
      </c>
      <c r="K2381" s="695" t="s">
        <v>3907</v>
      </c>
      <c r="L2381" s="696">
        <v>0</v>
      </c>
      <c r="M2381" s="170"/>
    </row>
    <row r="2382" spans="2:13" x14ac:dyDescent="0.2">
      <c r="B2382" s="173"/>
      <c r="C2382" s="694">
        <v>1</v>
      </c>
      <c r="D2382" s="695" t="s">
        <v>3903</v>
      </c>
      <c r="E2382" s="695">
        <v>3</v>
      </c>
      <c r="F2382" s="695" t="s">
        <v>4822</v>
      </c>
      <c r="G2382" s="695">
        <v>5</v>
      </c>
      <c r="H2382" s="695" t="s">
        <v>5320</v>
      </c>
      <c r="I2382" s="695">
        <v>594</v>
      </c>
      <c r="J2382" s="695" t="s">
        <v>5880</v>
      </c>
      <c r="K2382" s="695" t="s">
        <v>3907</v>
      </c>
      <c r="L2382" s="696">
        <v>0</v>
      </c>
      <c r="M2382" s="170"/>
    </row>
    <row r="2383" spans="2:13" x14ac:dyDescent="0.2">
      <c r="B2383" s="173"/>
      <c r="C2383" s="694">
        <v>1</v>
      </c>
      <c r="D2383" s="695" t="s">
        <v>3903</v>
      </c>
      <c r="E2383" s="695">
        <v>3</v>
      </c>
      <c r="F2383" s="695" t="s">
        <v>4822</v>
      </c>
      <c r="G2383" s="695">
        <v>5</v>
      </c>
      <c r="H2383" s="695" t="s">
        <v>5320</v>
      </c>
      <c r="I2383" s="695">
        <v>595</v>
      </c>
      <c r="J2383" s="695" t="s">
        <v>5881</v>
      </c>
      <c r="K2383" s="695" t="s">
        <v>3907</v>
      </c>
      <c r="L2383" s="696">
        <v>3</v>
      </c>
      <c r="M2383" s="170"/>
    </row>
    <row r="2384" spans="2:13" x14ac:dyDescent="0.2">
      <c r="B2384" s="173"/>
      <c r="C2384" s="694">
        <v>1</v>
      </c>
      <c r="D2384" s="695" t="s">
        <v>3903</v>
      </c>
      <c r="E2384" s="695">
        <v>3</v>
      </c>
      <c r="F2384" s="695" t="s">
        <v>4822</v>
      </c>
      <c r="G2384" s="695">
        <v>5</v>
      </c>
      <c r="H2384" s="695" t="s">
        <v>5320</v>
      </c>
      <c r="I2384" s="695">
        <v>596</v>
      </c>
      <c r="J2384" s="695" t="s">
        <v>5882</v>
      </c>
      <c r="K2384" s="695" t="s">
        <v>3907</v>
      </c>
      <c r="L2384" s="696">
        <v>3</v>
      </c>
      <c r="M2384" s="170"/>
    </row>
    <row r="2385" spans="2:13" x14ac:dyDescent="0.2">
      <c r="B2385" s="173"/>
      <c r="C2385" s="694">
        <v>1</v>
      </c>
      <c r="D2385" s="695" t="s">
        <v>3903</v>
      </c>
      <c r="E2385" s="695">
        <v>3</v>
      </c>
      <c r="F2385" s="695" t="s">
        <v>4822</v>
      </c>
      <c r="G2385" s="695">
        <v>5</v>
      </c>
      <c r="H2385" s="695" t="s">
        <v>5320</v>
      </c>
      <c r="I2385" s="695">
        <v>597</v>
      </c>
      <c r="J2385" s="695" t="s">
        <v>5883</v>
      </c>
      <c r="K2385" s="695" t="s">
        <v>3907</v>
      </c>
      <c r="L2385" s="696">
        <v>18</v>
      </c>
      <c r="M2385" s="170"/>
    </row>
    <row r="2386" spans="2:13" x14ac:dyDescent="0.2">
      <c r="B2386" s="173"/>
      <c r="C2386" s="694">
        <v>1</v>
      </c>
      <c r="D2386" s="695" t="s">
        <v>3903</v>
      </c>
      <c r="E2386" s="695">
        <v>3</v>
      </c>
      <c r="F2386" s="695" t="s">
        <v>4822</v>
      </c>
      <c r="G2386" s="695">
        <v>5</v>
      </c>
      <c r="H2386" s="695" t="s">
        <v>5320</v>
      </c>
      <c r="I2386" s="695">
        <v>598</v>
      </c>
      <c r="J2386" s="695" t="s">
        <v>5884</v>
      </c>
      <c r="K2386" s="695" t="s">
        <v>3907</v>
      </c>
      <c r="L2386" s="696">
        <v>1</v>
      </c>
      <c r="M2386" s="170"/>
    </row>
    <row r="2387" spans="2:13" x14ac:dyDescent="0.2">
      <c r="B2387" s="173"/>
      <c r="C2387" s="694">
        <v>1</v>
      </c>
      <c r="D2387" s="695" t="s">
        <v>3903</v>
      </c>
      <c r="E2387" s="695">
        <v>3</v>
      </c>
      <c r="F2387" s="695" t="s">
        <v>4822</v>
      </c>
      <c r="G2387" s="695">
        <v>5</v>
      </c>
      <c r="H2387" s="695" t="s">
        <v>5320</v>
      </c>
      <c r="I2387" s="695">
        <v>599</v>
      </c>
      <c r="J2387" s="695" t="s">
        <v>5885</v>
      </c>
      <c r="K2387" s="695" t="s">
        <v>3907</v>
      </c>
      <c r="L2387" s="696">
        <v>1</v>
      </c>
      <c r="M2387" s="170"/>
    </row>
    <row r="2388" spans="2:13" x14ac:dyDescent="0.2">
      <c r="B2388" s="173"/>
      <c r="C2388" s="694">
        <v>1</v>
      </c>
      <c r="D2388" s="695" t="s">
        <v>3903</v>
      </c>
      <c r="E2388" s="695">
        <v>3</v>
      </c>
      <c r="F2388" s="695" t="s">
        <v>4822</v>
      </c>
      <c r="G2388" s="695">
        <v>5</v>
      </c>
      <c r="H2388" s="695" t="s">
        <v>5320</v>
      </c>
      <c r="I2388" s="695">
        <v>600</v>
      </c>
      <c r="J2388" s="695" t="s">
        <v>5886</v>
      </c>
      <c r="K2388" s="695" t="s">
        <v>3907</v>
      </c>
      <c r="L2388" s="696">
        <v>3</v>
      </c>
      <c r="M2388" s="170"/>
    </row>
    <row r="2389" spans="2:13" x14ac:dyDescent="0.2">
      <c r="B2389" s="173"/>
      <c r="C2389" s="694">
        <v>1</v>
      </c>
      <c r="D2389" s="695" t="s">
        <v>3903</v>
      </c>
      <c r="E2389" s="695">
        <v>3</v>
      </c>
      <c r="F2389" s="695" t="s">
        <v>4822</v>
      </c>
      <c r="G2389" s="695">
        <v>5</v>
      </c>
      <c r="H2389" s="695" t="s">
        <v>5320</v>
      </c>
      <c r="I2389" s="695">
        <v>601</v>
      </c>
      <c r="J2389" s="695" t="s">
        <v>5887</v>
      </c>
      <c r="K2389" s="695" t="s">
        <v>3907</v>
      </c>
      <c r="L2389" s="696">
        <v>0</v>
      </c>
      <c r="M2389" s="170"/>
    </row>
    <row r="2390" spans="2:13" x14ac:dyDescent="0.2">
      <c r="B2390" s="173"/>
      <c r="C2390" s="694">
        <v>1</v>
      </c>
      <c r="D2390" s="695" t="s">
        <v>3903</v>
      </c>
      <c r="E2390" s="695">
        <v>3</v>
      </c>
      <c r="F2390" s="695" t="s">
        <v>4822</v>
      </c>
      <c r="G2390" s="695">
        <v>5</v>
      </c>
      <c r="H2390" s="695" t="s">
        <v>5320</v>
      </c>
      <c r="I2390" s="695">
        <v>602</v>
      </c>
      <c r="J2390" s="695" t="s">
        <v>5888</v>
      </c>
      <c r="K2390" s="695" t="s">
        <v>3907</v>
      </c>
      <c r="L2390" s="696">
        <v>34</v>
      </c>
      <c r="M2390" s="170"/>
    </row>
    <row r="2391" spans="2:13" x14ac:dyDescent="0.2">
      <c r="B2391" s="173"/>
      <c r="C2391" s="694">
        <v>1</v>
      </c>
      <c r="D2391" s="695" t="s">
        <v>3903</v>
      </c>
      <c r="E2391" s="695">
        <v>3</v>
      </c>
      <c r="F2391" s="695" t="s">
        <v>4822</v>
      </c>
      <c r="G2391" s="695">
        <v>5</v>
      </c>
      <c r="H2391" s="695" t="s">
        <v>5320</v>
      </c>
      <c r="I2391" s="695">
        <v>603</v>
      </c>
      <c r="J2391" s="695" t="s">
        <v>5889</v>
      </c>
      <c r="K2391" s="695" t="s">
        <v>3907</v>
      </c>
      <c r="L2391" s="696">
        <v>80</v>
      </c>
      <c r="M2391" s="170"/>
    </row>
    <row r="2392" spans="2:13" x14ac:dyDescent="0.2">
      <c r="B2392" s="173"/>
      <c r="C2392" s="694">
        <v>1</v>
      </c>
      <c r="D2392" s="695" t="s">
        <v>3903</v>
      </c>
      <c r="E2392" s="695">
        <v>3</v>
      </c>
      <c r="F2392" s="695" t="s">
        <v>4822</v>
      </c>
      <c r="G2392" s="695">
        <v>5</v>
      </c>
      <c r="H2392" s="695" t="s">
        <v>5320</v>
      </c>
      <c r="I2392" s="695">
        <v>605</v>
      </c>
      <c r="J2392" s="695" t="s">
        <v>5890</v>
      </c>
      <c r="K2392" s="695" t="s">
        <v>3907</v>
      </c>
      <c r="L2392" s="696">
        <v>1</v>
      </c>
      <c r="M2392" s="170"/>
    </row>
    <row r="2393" spans="2:13" x14ac:dyDescent="0.2">
      <c r="B2393" s="173"/>
      <c r="C2393" s="694">
        <v>1</v>
      </c>
      <c r="D2393" s="695" t="s">
        <v>3903</v>
      </c>
      <c r="E2393" s="695">
        <v>3</v>
      </c>
      <c r="F2393" s="695" t="s">
        <v>4822</v>
      </c>
      <c r="G2393" s="695">
        <v>5</v>
      </c>
      <c r="H2393" s="695" t="s">
        <v>5320</v>
      </c>
      <c r="I2393" s="695">
        <v>606</v>
      </c>
      <c r="J2393" s="695" t="s">
        <v>5891</v>
      </c>
      <c r="K2393" s="695" t="s">
        <v>3907</v>
      </c>
      <c r="L2393" s="696">
        <v>23</v>
      </c>
      <c r="M2393" s="170"/>
    </row>
    <row r="2394" spans="2:13" x14ac:dyDescent="0.2">
      <c r="B2394" s="173"/>
      <c r="C2394" s="694">
        <v>1</v>
      </c>
      <c r="D2394" s="695" t="s">
        <v>3903</v>
      </c>
      <c r="E2394" s="695">
        <v>3</v>
      </c>
      <c r="F2394" s="695" t="s">
        <v>4822</v>
      </c>
      <c r="G2394" s="695">
        <v>5</v>
      </c>
      <c r="H2394" s="695" t="s">
        <v>5320</v>
      </c>
      <c r="I2394" s="695">
        <v>607</v>
      </c>
      <c r="J2394" s="695" t="s">
        <v>8879</v>
      </c>
      <c r="K2394" s="695" t="s">
        <v>3907</v>
      </c>
      <c r="L2394" s="696">
        <v>74</v>
      </c>
      <c r="M2394" s="170"/>
    </row>
    <row r="2395" spans="2:13" x14ac:dyDescent="0.2">
      <c r="B2395" s="173"/>
      <c r="C2395" s="694">
        <v>1</v>
      </c>
      <c r="D2395" s="695" t="s">
        <v>3903</v>
      </c>
      <c r="E2395" s="695">
        <v>3</v>
      </c>
      <c r="F2395" s="695" t="s">
        <v>4822</v>
      </c>
      <c r="G2395" s="695">
        <v>5</v>
      </c>
      <c r="H2395" s="695" t="s">
        <v>5320</v>
      </c>
      <c r="I2395" s="695">
        <v>608</v>
      </c>
      <c r="J2395" s="695" t="s">
        <v>8880</v>
      </c>
      <c r="K2395" s="695" t="s">
        <v>3907</v>
      </c>
      <c r="L2395" s="696">
        <v>8</v>
      </c>
      <c r="M2395" s="170"/>
    </row>
    <row r="2396" spans="2:13" x14ac:dyDescent="0.2">
      <c r="B2396" s="173"/>
      <c r="C2396" s="694">
        <v>1</v>
      </c>
      <c r="D2396" s="695" t="s">
        <v>3903</v>
      </c>
      <c r="E2396" s="695">
        <v>3</v>
      </c>
      <c r="F2396" s="695" t="s">
        <v>4822</v>
      </c>
      <c r="G2396" s="695">
        <v>5</v>
      </c>
      <c r="H2396" s="695" t="s">
        <v>5320</v>
      </c>
      <c r="I2396" s="695">
        <v>609</v>
      </c>
      <c r="J2396" s="695" t="s">
        <v>8881</v>
      </c>
      <c r="K2396" s="695" t="s">
        <v>3907</v>
      </c>
      <c r="L2396" s="696">
        <v>2</v>
      </c>
      <c r="M2396" s="170"/>
    </row>
    <row r="2397" spans="2:13" x14ac:dyDescent="0.2">
      <c r="B2397" s="173"/>
      <c r="C2397" s="694">
        <v>1</v>
      </c>
      <c r="D2397" s="695" t="s">
        <v>3903</v>
      </c>
      <c r="E2397" s="695">
        <v>3</v>
      </c>
      <c r="F2397" s="695" t="s">
        <v>4822</v>
      </c>
      <c r="G2397" s="695">
        <v>5</v>
      </c>
      <c r="H2397" s="695" t="s">
        <v>5320</v>
      </c>
      <c r="I2397" s="695">
        <v>610</v>
      </c>
      <c r="J2397" s="695" t="s">
        <v>8882</v>
      </c>
      <c r="K2397" s="695" t="s">
        <v>3907</v>
      </c>
      <c r="L2397" s="696">
        <v>1</v>
      </c>
      <c r="M2397" s="170"/>
    </row>
    <row r="2398" spans="2:13" x14ac:dyDescent="0.2">
      <c r="B2398" s="173"/>
      <c r="C2398" s="694">
        <v>1</v>
      </c>
      <c r="D2398" s="695" t="s">
        <v>3903</v>
      </c>
      <c r="E2398" s="695">
        <v>3</v>
      </c>
      <c r="F2398" s="695" t="s">
        <v>4822</v>
      </c>
      <c r="G2398" s="695">
        <v>5</v>
      </c>
      <c r="H2398" s="695" t="s">
        <v>5320</v>
      </c>
      <c r="I2398" s="695">
        <v>611</v>
      </c>
      <c r="J2398" s="695" t="s">
        <v>8883</v>
      </c>
      <c r="K2398" s="695" t="s">
        <v>3907</v>
      </c>
      <c r="L2398" s="696">
        <v>1</v>
      </c>
      <c r="M2398" s="170"/>
    </row>
    <row r="2399" spans="2:13" x14ac:dyDescent="0.2">
      <c r="B2399" s="173"/>
      <c r="C2399" s="694">
        <v>1</v>
      </c>
      <c r="D2399" s="695" t="s">
        <v>3903</v>
      </c>
      <c r="E2399" s="695">
        <v>3</v>
      </c>
      <c r="F2399" s="695" t="s">
        <v>4822</v>
      </c>
      <c r="G2399" s="695">
        <v>5</v>
      </c>
      <c r="H2399" s="695" t="s">
        <v>5320</v>
      </c>
      <c r="I2399" s="695">
        <v>612</v>
      </c>
      <c r="J2399" s="695" t="s">
        <v>8884</v>
      </c>
      <c r="K2399" s="695" t="s">
        <v>3907</v>
      </c>
      <c r="L2399" s="696">
        <v>2</v>
      </c>
      <c r="M2399" s="170"/>
    </row>
    <row r="2400" spans="2:13" x14ac:dyDescent="0.2">
      <c r="B2400" s="173"/>
      <c r="C2400" s="694">
        <v>1</v>
      </c>
      <c r="D2400" s="695" t="s">
        <v>3903</v>
      </c>
      <c r="E2400" s="695">
        <v>3</v>
      </c>
      <c r="F2400" s="695" t="s">
        <v>4822</v>
      </c>
      <c r="G2400" s="695">
        <v>5</v>
      </c>
      <c r="H2400" s="695" t="s">
        <v>5320</v>
      </c>
      <c r="I2400" s="695">
        <v>613</v>
      </c>
      <c r="J2400" s="695" t="s">
        <v>8885</v>
      </c>
      <c r="K2400" s="695" t="s">
        <v>3907</v>
      </c>
      <c r="L2400" s="696">
        <v>10</v>
      </c>
      <c r="M2400" s="170"/>
    </row>
    <row r="2401" spans="2:13" x14ac:dyDescent="0.2">
      <c r="B2401" s="173"/>
      <c r="C2401" s="694">
        <v>1</v>
      </c>
      <c r="D2401" s="695" t="s">
        <v>3903</v>
      </c>
      <c r="E2401" s="695">
        <v>3</v>
      </c>
      <c r="F2401" s="695" t="s">
        <v>4822</v>
      </c>
      <c r="G2401" s="695">
        <v>5</v>
      </c>
      <c r="H2401" s="695" t="s">
        <v>5320</v>
      </c>
      <c r="I2401" s="695">
        <v>614</v>
      </c>
      <c r="J2401" s="695" t="s">
        <v>8886</v>
      </c>
      <c r="K2401" s="695" t="s">
        <v>3907</v>
      </c>
      <c r="L2401" s="696">
        <v>23</v>
      </c>
      <c r="M2401" s="170"/>
    </row>
    <row r="2402" spans="2:13" x14ac:dyDescent="0.2">
      <c r="B2402" s="173"/>
      <c r="C2402" s="694">
        <v>1</v>
      </c>
      <c r="D2402" s="695" t="s">
        <v>3903</v>
      </c>
      <c r="E2402" s="695">
        <v>3</v>
      </c>
      <c r="F2402" s="695" t="s">
        <v>4822</v>
      </c>
      <c r="G2402" s="695">
        <v>5</v>
      </c>
      <c r="H2402" s="695" t="s">
        <v>5320</v>
      </c>
      <c r="I2402" s="695">
        <v>615</v>
      </c>
      <c r="J2402" s="695" t="s">
        <v>8887</v>
      </c>
      <c r="K2402" s="695" t="s">
        <v>3907</v>
      </c>
      <c r="L2402" s="696">
        <v>10</v>
      </c>
      <c r="M2402" s="170"/>
    </row>
    <row r="2403" spans="2:13" x14ac:dyDescent="0.2">
      <c r="B2403" s="173"/>
      <c r="C2403" s="694">
        <v>1</v>
      </c>
      <c r="D2403" s="695" t="s">
        <v>3903</v>
      </c>
      <c r="E2403" s="695">
        <v>3</v>
      </c>
      <c r="F2403" s="695" t="s">
        <v>4822</v>
      </c>
      <c r="G2403" s="695">
        <v>5</v>
      </c>
      <c r="H2403" s="695" t="s">
        <v>5320</v>
      </c>
      <c r="I2403" s="695">
        <v>616</v>
      </c>
      <c r="J2403" s="695" t="s">
        <v>8888</v>
      </c>
      <c r="K2403" s="695" t="s">
        <v>3907</v>
      </c>
      <c r="L2403" s="696">
        <v>258</v>
      </c>
      <c r="M2403" s="170"/>
    </row>
    <row r="2404" spans="2:13" x14ac:dyDescent="0.2">
      <c r="B2404" s="173"/>
      <c r="C2404" s="694">
        <v>1</v>
      </c>
      <c r="D2404" s="695" t="s">
        <v>3903</v>
      </c>
      <c r="E2404" s="695">
        <v>3</v>
      </c>
      <c r="F2404" s="695" t="s">
        <v>4822</v>
      </c>
      <c r="G2404" s="695">
        <v>5</v>
      </c>
      <c r="H2404" s="695" t="s">
        <v>5320</v>
      </c>
      <c r="I2404" s="695">
        <v>617</v>
      </c>
      <c r="J2404" s="695" t="s">
        <v>8889</v>
      </c>
      <c r="K2404" s="695" t="s">
        <v>3907</v>
      </c>
      <c r="L2404" s="696">
        <v>6</v>
      </c>
      <c r="M2404" s="170"/>
    </row>
    <row r="2405" spans="2:13" x14ac:dyDescent="0.2">
      <c r="B2405" s="173"/>
      <c r="C2405" s="694">
        <v>1</v>
      </c>
      <c r="D2405" s="695" t="s">
        <v>3903</v>
      </c>
      <c r="E2405" s="695">
        <v>3</v>
      </c>
      <c r="F2405" s="695" t="s">
        <v>4822</v>
      </c>
      <c r="G2405" s="695">
        <v>5</v>
      </c>
      <c r="H2405" s="695" t="s">
        <v>5320</v>
      </c>
      <c r="I2405" s="695">
        <v>618</v>
      </c>
      <c r="J2405" s="695" t="s">
        <v>8890</v>
      </c>
      <c r="K2405" s="695" t="s">
        <v>3907</v>
      </c>
      <c r="L2405" s="696">
        <v>13</v>
      </c>
      <c r="M2405" s="170"/>
    </row>
    <row r="2406" spans="2:13" x14ac:dyDescent="0.2">
      <c r="B2406" s="173"/>
      <c r="C2406" s="694">
        <v>1</v>
      </c>
      <c r="D2406" s="695" t="s">
        <v>3903</v>
      </c>
      <c r="E2406" s="695">
        <v>3</v>
      </c>
      <c r="F2406" s="695" t="s">
        <v>4822</v>
      </c>
      <c r="G2406" s="695">
        <v>5</v>
      </c>
      <c r="H2406" s="695" t="s">
        <v>5320</v>
      </c>
      <c r="I2406" s="695">
        <v>619</v>
      </c>
      <c r="J2406" s="695" t="s">
        <v>8891</v>
      </c>
      <c r="K2406" s="695" t="s">
        <v>3907</v>
      </c>
      <c r="L2406" s="696">
        <v>6</v>
      </c>
      <c r="M2406" s="170"/>
    </row>
    <row r="2407" spans="2:13" x14ac:dyDescent="0.2">
      <c r="B2407" s="173"/>
      <c r="C2407" s="694">
        <v>1</v>
      </c>
      <c r="D2407" s="695" t="s">
        <v>3903</v>
      </c>
      <c r="E2407" s="695">
        <v>3</v>
      </c>
      <c r="F2407" s="695" t="s">
        <v>4822</v>
      </c>
      <c r="G2407" s="695">
        <v>5</v>
      </c>
      <c r="H2407" s="695" t="s">
        <v>5320</v>
      </c>
      <c r="I2407" s="695">
        <v>620</v>
      </c>
      <c r="J2407" s="695" t="s">
        <v>8892</v>
      </c>
      <c r="K2407" s="695" t="s">
        <v>3907</v>
      </c>
      <c r="L2407" s="696">
        <v>66</v>
      </c>
      <c r="M2407" s="170"/>
    </row>
    <row r="2408" spans="2:13" x14ac:dyDescent="0.2">
      <c r="B2408" s="173"/>
      <c r="C2408" s="694">
        <v>1</v>
      </c>
      <c r="D2408" s="695" t="s">
        <v>3903</v>
      </c>
      <c r="E2408" s="695">
        <v>3</v>
      </c>
      <c r="F2408" s="695" t="s">
        <v>4822</v>
      </c>
      <c r="G2408" s="695">
        <v>5</v>
      </c>
      <c r="H2408" s="695" t="s">
        <v>5320</v>
      </c>
      <c r="I2408" s="695">
        <v>621</v>
      </c>
      <c r="J2408" s="695" t="s">
        <v>8893</v>
      </c>
      <c r="K2408" s="695" t="s">
        <v>3907</v>
      </c>
      <c r="L2408" s="696">
        <v>9</v>
      </c>
      <c r="M2408" s="170"/>
    </row>
    <row r="2409" spans="2:13" x14ac:dyDescent="0.2">
      <c r="B2409" s="173"/>
      <c r="C2409" s="694">
        <v>1</v>
      </c>
      <c r="D2409" s="695" t="s">
        <v>3903</v>
      </c>
      <c r="E2409" s="695">
        <v>3</v>
      </c>
      <c r="F2409" s="695" t="s">
        <v>4822</v>
      </c>
      <c r="G2409" s="695">
        <v>5</v>
      </c>
      <c r="H2409" s="695" t="s">
        <v>5320</v>
      </c>
      <c r="I2409" s="695">
        <v>622</v>
      </c>
      <c r="J2409" s="695" t="s">
        <v>8894</v>
      </c>
      <c r="K2409" s="695" t="s">
        <v>3907</v>
      </c>
      <c r="L2409" s="696">
        <v>2</v>
      </c>
      <c r="M2409" s="170"/>
    </row>
    <row r="2410" spans="2:13" x14ac:dyDescent="0.2">
      <c r="B2410" s="173"/>
      <c r="C2410" s="694">
        <v>1</v>
      </c>
      <c r="D2410" s="695" t="s">
        <v>3903</v>
      </c>
      <c r="E2410" s="695">
        <v>3</v>
      </c>
      <c r="F2410" s="695" t="s">
        <v>4822</v>
      </c>
      <c r="G2410" s="695">
        <v>5</v>
      </c>
      <c r="H2410" s="695" t="s">
        <v>5320</v>
      </c>
      <c r="I2410" s="695">
        <v>623</v>
      </c>
      <c r="J2410" s="695" t="s">
        <v>8895</v>
      </c>
      <c r="K2410" s="695" t="s">
        <v>3907</v>
      </c>
      <c r="L2410" s="696">
        <v>1</v>
      </c>
      <c r="M2410" s="170"/>
    </row>
    <row r="2411" spans="2:13" x14ac:dyDescent="0.2">
      <c r="B2411" s="173"/>
      <c r="C2411" s="694">
        <v>1</v>
      </c>
      <c r="D2411" s="695" t="s">
        <v>3903</v>
      </c>
      <c r="E2411" s="695">
        <v>3</v>
      </c>
      <c r="F2411" s="695" t="s">
        <v>4822</v>
      </c>
      <c r="G2411" s="695">
        <v>5</v>
      </c>
      <c r="H2411" s="695" t="s">
        <v>5320</v>
      </c>
      <c r="I2411" s="695">
        <v>624</v>
      </c>
      <c r="J2411" s="695" t="s">
        <v>8896</v>
      </c>
      <c r="K2411" s="695" t="s">
        <v>3907</v>
      </c>
      <c r="L2411" s="696">
        <v>1</v>
      </c>
      <c r="M2411" s="170"/>
    </row>
    <row r="2412" spans="2:13" x14ac:dyDescent="0.2">
      <c r="B2412" s="173"/>
      <c r="C2412" s="694">
        <v>1</v>
      </c>
      <c r="D2412" s="695" t="s">
        <v>3903</v>
      </c>
      <c r="E2412" s="695">
        <v>3</v>
      </c>
      <c r="F2412" s="695" t="s">
        <v>4822</v>
      </c>
      <c r="G2412" s="695">
        <v>5</v>
      </c>
      <c r="H2412" s="695" t="s">
        <v>5320</v>
      </c>
      <c r="I2412" s="695">
        <v>625</v>
      </c>
      <c r="J2412" s="695" t="s">
        <v>8897</v>
      </c>
      <c r="K2412" s="695" t="s">
        <v>3907</v>
      </c>
      <c r="L2412" s="696">
        <v>1</v>
      </c>
      <c r="M2412" s="170"/>
    </row>
    <row r="2413" spans="2:13" x14ac:dyDescent="0.2">
      <c r="B2413" s="173"/>
      <c r="C2413" s="694">
        <v>1</v>
      </c>
      <c r="D2413" s="695" t="s">
        <v>3903</v>
      </c>
      <c r="E2413" s="695">
        <v>3</v>
      </c>
      <c r="F2413" s="695" t="s">
        <v>4822</v>
      </c>
      <c r="G2413" s="695">
        <v>5</v>
      </c>
      <c r="H2413" s="695" t="s">
        <v>5320</v>
      </c>
      <c r="I2413" s="695">
        <v>626</v>
      </c>
      <c r="J2413" s="695" t="s">
        <v>8898</v>
      </c>
      <c r="K2413" s="695" t="s">
        <v>3907</v>
      </c>
      <c r="L2413" s="696">
        <v>14</v>
      </c>
      <c r="M2413" s="170"/>
    </row>
    <row r="2414" spans="2:13" x14ac:dyDescent="0.2">
      <c r="B2414" s="173"/>
      <c r="C2414" s="694">
        <v>1</v>
      </c>
      <c r="D2414" s="695" t="s">
        <v>3903</v>
      </c>
      <c r="E2414" s="695">
        <v>3</v>
      </c>
      <c r="F2414" s="695" t="s">
        <v>4822</v>
      </c>
      <c r="G2414" s="695">
        <v>5</v>
      </c>
      <c r="H2414" s="695" t="s">
        <v>5320</v>
      </c>
      <c r="I2414" s="695">
        <v>627</v>
      </c>
      <c r="J2414" s="695" t="s">
        <v>8899</v>
      </c>
      <c r="K2414" s="695" t="s">
        <v>3907</v>
      </c>
      <c r="L2414" s="696">
        <v>7</v>
      </c>
      <c r="M2414" s="170"/>
    </row>
    <row r="2415" spans="2:13" x14ac:dyDescent="0.2">
      <c r="B2415" s="173"/>
      <c r="C2415" s="694">
        <v>1</v>
      </c>
      <c r="D2415" s="695" t="s">
        <v>3903</v>
      </c>
      <c r="E2415" s="695">
        <v>3</v>
      </c>
      <c r="F2415" s="695" t="s">
        <v>4822</v>
      </c>
      <c r="G2415" s="695">
        <v>5</v>
      </c>
      <c r="H2415" s="695" t="s">
        <v>5320</v>
      </c>
      <c r="I2415" s="695">
        <v>628</v>
      </c>
      <c r="J2415" s="695" t="s">
        <v>8894</v>
      </c>
      <c r="K2415" s="695" t="s">
        <v>3907</v>
      </c>
      <c r="L2415" s="696">
        <v>0</v>
      </c>
      <c r="M2415" s="170"/>
    </row>
    <row r="2416" spans="2:13" x14ac:dyDescent="0.2">
      <c r="B2416" s="173"/>
      <c r="C2416" s="694">
        <v>1</v>
      </c>
      <c r="D2416" s="695" t="s">
        <v>3903</v>
      </c>
      <c r="E2416" s="695">
        <v>3</v>
      </c>
      <c r="F2416" s="695" t="s">
        <v>4822</v>
      </c>
      <c r="G2416" s="695">
        <v>5</v>
      </c>
      <c r="H2416" s="695" t="s">
        <v>5320</v>
      </c>
      <c r="I2416" s="695">
        <v>629</v>
      </c>
      <c r="J2416" s="695" t="s">
        <v>8895</v>
      </c>
      <c r="K2416" s="695" t="s">
        <v>3907</v>
      </c>
      <c r="L2416" s="696">
        <v>0</v>
      </c>
      <c r="M2416" s="170"/>
    </row>
    <row r="2417" spans="2:13" x14ac:dyDescent="0.2">
      <c r="B2417" s="173"/>
      <c r="C2417" s="694">
        <v>1</v>
      </c>
      <c r="D2417" s="695" t="s">
        <v>3903</v>
      </c>
      <c r="E2417" s="695">
        <v>3</v>
      </c>
      <c r="F2417" s="695" t="s">
        <v>4822</v>
      </c>
      <c r="G2417" s="695">
        <v>5</v>
      </c>
      <c r="H2417" s="695" t="s">
        <v>5320</v>
      </c>
      <c r="I2417" s="695">
        <v>630</v>
      </c>
      <c r="J2417" s="695" t="s">
        <v>8900</v>
      </c>
      <c r="K2417" s="695" t="s">
        <v>3907</v>
      </c>
      <c r="L2417" s="696">
        <v>18</v>
      </c>
      <c r="M2417" s="170"/>
    </row>
    <row r="2418" spans="2:13" x14ac:dyDescent="0.2">
      <c r="B2418" s="173"/>
      <c r="C2418" s="694">
        <v>1</v>
      </c>
      <c r="D2418" s="695" t="s">
        <v>3903</v>
      </c>
      <c r="E2418" s="695">
        <v>3</v>
      </c>
      <c r="F2418" s="695" t="s">
        <v>4822</v>
      </c>
      <c r="G2418" s="695">
        <v>5</v>
      </c>
      <c r="H2418" s="695" t="s">
        <v>5320</v>
      </c>
      <c r="I2418" s="695">
        <v>631</v>
      </c>
      <c r="J2418" s="695" t="s">
        <v>8901</v>
      </c>
      <c r="K2418" s="695" t="s">
        <v>3907</v>
      </c>
      <c r="L2418" s="696">
        <v>4</v>
      </c>
      <c r="M2418" s="170"/>
    </row>
    <row r="2419" spans="2:13" x14ac:dyDescent="0.2">
      <c r="B2419" s="173"/>
      <c r="C2419" s="694">
        <v>1</v>
      </c>
      <c r="D2419" s="695" t="s">
        <v>3903</v>
      </c>
      <c r="E2419" s="695">
        <v>3</v>
      </c>
      <c r="F2419" s="695" t="s">
        <v>4822</v>
      </c>
      <c r="G2419" s="695">
        <v>5</v>
      </c>
      <c r="H2419" s="695" t="s">
        <v>5320</v>
      </c>
      <c r="I2419" s="695">
        <v>632</v>
      </c>
      <c r="J2419" s="695" t="s">
        <v>8902</v>
      </c>
      <c r="K2419" s="695" t="s">
        <v>3907</v>
      </c>
      <c r="L2419" s="696">
        <v>2</v>
      </c>
      <c r="M2419" s="170"/>
    </row>
    <row r="2420" spans="2:13" x14ac:dyDescent="0.2">
      <c r="B2420" s="173"/>
      <c r="C2420" s="694">
        <v>1</v>
      </c>
      <c r="D2420" s="695" t="s">
        <v>3903</v>
      </c>
      <c r="E2420" s="695">
        <v>3</v>
      </c>
      <c r="F2420" s="695" t="s">
        <v>4822</v>
      </c>
      <c r="G2420" s="695">
        <v>5</v>
      </c>
      <c r="H2420" s="695" t="s">
        <v>5320</v>
      </c>
      <c r="I2420" s="695">
        <v>633</v>
      </c>
      <c r="J2420" s="695" t="s">
        <v>8903</v>
      </c>
      <c r="K2420" s="695" t="s">
        <v>3907</v>
      </c>
      <c r="L2420" s="696">
        <v>5</v>
      </c>
      <c r="M2420" s="170"/>
    </row>
    <row r="2421" spans="2:13" x14ac:dyDescent="0.2">
      <c r="B2421" s="173"/>
      <c r="C2421" s="694">
        <v>1</v>
      </c>
      <c r="D2421" s="695" t="s">
        <v>3903</v>
      </c>
      <c r="E2421" s="695">
        <v>3</v>
      </c>
      <c r="F2421" s="695" t="s">
        <v>4822</v>
      </c>
      <c r="G2421" s="695">
        <v>5</v>
      </c>
      <c r="H2421" s="695" t="s">
        <v>5320</v>
      </c>
      <c r="I2421" s="695">
        <v>634</v>
      </c>
      <c r="J2421" s="695" t="s">
        <v>8904</v>
      </c>
      <c r="K2421" s="695" t="s">
        <v>3907</v>
      </c>
      <c r="L2421" s="696">
        <v>56</v>
      </c>
      <c r="M2421" s="170"/>
    </row>
    <row r="2422" spans="2:13" x14ac:dyDescent="0.2">
      <c r="B2422" s="173"/>
      <c r="C2422" s="694">
        <v>1</v>
      </c>
      <c r="D2422" s="695" t="s">
        <v>3903</v>
      </c>
      <c r="E2422" s="695">
        <v>3</v>
      </c>
      <c r="F2422" s="695" t="s">
        <v>4822</v>
      </c>
      <c r="G2422" s="695">
        <v>5</v>
      </c>
      <c r="H2422" s="695" t="s">
        <v>5320</v>
      </c>
      <c r="I2422" s="695">
        <v>635</v>
      </c>
      <c r="J2422" s="695" t="s">
        <v>8905</v>
      </c>
      <c r="K2422" s="695" t="s">
        <v>3907</v>
      </c>
      <c r="L2422" s="696">
        <v>3</v>
      </c>
      <c r="M2422" s="170"/>
    </row>
    <row r="2423" spans="2:13" x14ac:dyDescent="0.2">
      <c r="B2423" s="173"/>
      <c r="C2423" s="694">
        <v>1</v>
      </c>
      <c r="D2423" s="695" t="s">
        <v>3903</v>
      </c>
      <c r="E2423" s="695">
        <v>3</v>
      </c>
      <c r="F2423" s="695" t="s">
        <v>4822</v>
      </c>
      <c r="G2423" s="695">
        <v>5</v>
      </c>
      <c r="H2423" s="695" t="s">
        <v>5320</v>
      </c>
      <c r="I2423" s="695">
        <v>636</v>
      </c>
      <c r="J2423" s="695" t="s">
        <v>8906</v>
      </c>
      <c r="K2423" s="695" t="s">
        <v>3907</v>
      </c>
      <c r="L2423" s="696">
        <v>4</v>
      </c>
      <c r="M2423" s="170"/>
    </row>
    <row r="2424" spans="2:13" x14ac:dyDescent="0.2">
      <c r="B2424" s="173"/>
      <c r="C2424" s="694">
        <v>1</v>
      </c>
      <c r="D2424" s="695" t="s">
        <v>3903</v>
      </c>
      <c r="E2424" s="695">
        <v>3</v>
      </c>
      <c r="F2424" s="695" t="s">
        <v>4822</v>
      </c>
      <c r="G2424" s="695">
        <v>5</v>
      </c>
      <c r="H2424" s="695" t="s">
        <v>5320</v>
      </c>
      <c r="I2424" s="695">
        <v>637</v>
      </c>
      <c r="J2424" s="695" t="s">
        <v>8907</v>
      </c>
      <c r="K2424" s="695" t="s">
        <v>3907</v>
      </c>
      <c r="L2424" s="696">
        <v>6</v>
      </c>
      <c r="M2424" s="170"/>
    </row>
    <row r="2425" spans="2:13" x14ac:dyDescent="0.2">
      <c r="B2425" s="173"/>
      <c r="C2425" s="694">
        <v>1</v>
      </c>
      <c r="D2425" s="695" t="s">
        <v>3903</v>
      </c>
      <c r="E2425" s="695">
        <v>3</v>
      </c>
      <c r="F2425" s="695" t="s">
        <v>4822</v>
      </c>
      <c r="G2425" s="695">
        <v>5</v>
      </c>
      <c r="H2425" s="695" t="s">
        <v>5320</v>
      </c>
      <c r="I2425" s="695">
        <v>638</v>
      </c>
      <c r="J2425" s="695" t="s">
        <v>8908</v>
      </c>
      <c r="K2425" s="695" t="s">
        <v>3907</v>
      </c>
      <c r="L2425" s="696">
        <v>7</v>
      </c>
      <c r="M2425" s="170"/>
    </row>
    <row r="2426" spans="2:13" x14ac:dyDescent="0.2">
      <c r="B2426" s="173"/>
      <c r="C2426" s="694">
        <v>1</v>
      </c>
      <c r="D2426" s="695" t="s">
        <v>3903</v>
      </c>
      <c r="E2426" s="695">
        <v>3</v>
      </c>
      <c r="F2426" s="695" t="s">
        <v>4822</v>
      </c>
      <c r="G2426" s="695">
        <v>5</v>
      </c>
      <c r="H2426" s="695" t="s">
        <v>5320</v>
      </c>
      <c r="I2426" s="695">
        <v>639</v>
      </c>
      <c r="J2426" s="695" t="s">
        <v>8909</v>
      </c>
      <c r="K2426" s="695" t="s">
        <v>3907</v>
      </c>
      <c r="L2426" s="696">
        <v>58</v>
      </c>
      <c r="M2426" s="170"/>
    </row>
    <row r="2427" spans="2:13" x14ac:dyDescent="0.2">
      <c r="B2427" s="173"/>
      <c r="C2427" s="694">
        <v>1</v>
      </c>
      <c r="D2427" s="695" t="s">
        <v>3903</v>
      </c>
      <c r="E2427" s="695">
        <v>3</v>
      </c>
      <c r="F2427" s="695" t="s">
        <v>4822</v>
      </c>
      <c r="G2427" s="695">
        <v>5</v>
      </c>
      <c r="H2427" s="695" t="s">
        <v>5320</v>
      </c>
      <c r="I2427" s="695">
        <v>640</v>
      </c>
      <c r="J2427" s="695" t="s">
        <v>8910</v>
      </c>
      <c r="K2427" s="695" t="s">
        <v>3907</v>
      </c>
      <c r="L2427" s="696">
        <v>3</v>
      </c>
      <c r="M2427" s="170"/>
    </row>
    <row r="2428" spans="2:13" x14ac:dyDescent="0.2">
      <c r="B2428" s="173"/>
      <c r="C2428" s="694">
        <v>1</v>
      </c>
      <c r="D2428" s="695" t="s">
        <v>3903</v>
      </c>
      <c r="E2428" s="695">
        <v>3</v>
      </c>
      <c r="F2428" s="695" t="s">
        <v>4822</v>
      </c>
      <c r="G2428" s="695">
        <v>5</v>
      </c>
      <c r="H2428" s="695" t="s">
        <v>5320</v>
      </c>
      <c r="I2428" s="695">
        <v>641</v>
      </c>
      <c r="J2428" s="695" t="s">
        <v>8910</v>
      </c>
      <c r="K2428" s="695" t="s">
        <v>3907</v>
      </c>
      <c r="L2428" s="696">
        <v>1</v>
      </c>
      <c r="M2428" s="170"/>
    </row>
    <row r="2429" spans="2:13" x14ac:dyDescent="0.2">
      <c r="B2429" s="173"/>
      <c r="C2429" s="694">
        <v>1</v>
      </c>
      <c r="D2429" s="695" t="s">
        <v>3903</v>
      </c>
      <c r="E2429" s="695">
        <v>3</v>
      </c>
      <c r="F2429" s="695" t="s">
        <v>4822</v>
      </c>
      <c r="G2429" s="695">
        <v>5</v>
      </c>
      <c r="H2429" s="695" t="s">
        <v>5320</v>
      </c>
      <c r="I2429" s="695">
        <v>642</v>
      </c>
      <c r="J2429" s="695" t="s">
        <v>8911</v>
      </c>
      <c r="K2429" s="695" t="s">
        <v>3907</v>
      </c>
      <c r="L2429" s="696">
        <v>0</v>
      </c>
      <c r="M2429" s="170"/>
    </row>
    <row r="2430" spans="2:13" x14ac:dyDescent="0.2">
      <c r="B2430" s="173"/>
      <c r="C2430" s="694">
        <v>1</v>
      </c>
      <c r="D2430" s="695" t="s">
        <v>3903</v>
      </c>
      <c r="E2430" s="695">
        <v>3</v>
      </c>
      <c r="F2430" s="695" t="s">
        <v>4822</v>
      </c>
      <c r="G2430" s="695">
        <v>5</v>
      </c>
      <c r="H2430" s="695" t="s">
        <v>5320</v>
      </c>
      <c r="I2430" s="695">
        <v>643</v>
      </c>
      <c r="J2430" s="695" t="s">
        <v>8912</v>
      </c>
      <c r="K2430" s="695" t="s">
        <v>3907</v>
      </c>
      <c r="L2430" s="696">
        <v>19</v>
      </c>
      <c r="M2430" s="170"/>
    </row>
    <row r="2431" spans="2:13" x14ac:dyDescent="0.2">
      <c r="B2431" s="173"/>
      <c r="C2431" s="694">
        <v>1</v>
      </c>
      <c r="D2431" s="695" t="s">
        <v>3903</v>
      </c>
      <c r="E2431" s="695">
        <v>3</v>
      </c>
      <c r="F2431" s="695" t="s">
        <v>4822</v>
      </c>
      <c r="G2431" s="695">
        <v>5</v>
      </c>
      <c r="H2431" s="695" t="s">
        <v>5320</v>
      </c>
      <c r="I2431" s="695">
        <v>644</v>
      </c>
      <c r="J2431" s="695" t="s">
        <v>8913</v>
      </c>
      <c r="K2431" s="695" t="s">
        <v>3907</v>
      </c>
      <c r="L2431" s="696">
        <v>7</v>
      </c>
      <c r="M2431" s="170"/>
    </row>
    <row r="2432" spans="2:13" x14ac:dyDescent="0.2">
      <c r="B2432" s="173"/>
      <c r="C2432" s="694">
        <v>1</v>
      </c>
      <c r="D2432" s="695" t="s">
        <v>3903</v>
      </c>
      <c r="E2432" s="695">
        <v>3</v>
      </c>
      <c r="F2432" s="695" t="s">
        <v>4822</v>
      </c>
      <c r="G2432" s="695">
        <v>5</v>
      </c>
      <c r="H2432" s="695" t="s">
        <v>5320</v>
      </c>
      <c r="I2432" s="695">
        <v>645</v>
      </c>
      <c r="J2432" s="695" t="s">
        <v>8914</v>
      </c>
      <c r="K2432" s="695" t="s">
        <v>3907</v>
      </c>
      <c r="L2432" s="696">
        <v>9</v>
      </c>
      <c r="M2432" s="170"/>
    </row>
    <row r="2433" spans="2:13" x14ac:dyDescent="0.2">
      <c r="B2433" s="173"/>
      <c r="C2433" s="694">
        <v>1</v>
      </c>
      <c r="D2433" s="695" t="s">
        <v>3903</v>
      </c>
      <c r="E2433" s="695">
        <v>3</v>
      </c>
      <c r="F2433" s="695" t="s">
        <v>4822</v>
      </c>
      <c r="G2433" s="695">
        <v>5</v>
      </c>
      <c r="H2433" s="695" t="s">
        <v>5320</v>
      </c>
      <c r="I2433" s="695">
        <v>646</v>
      </c>
      <c r="J2433" s="695" t="s">
        <v>8915</v>
      </c>
      <c r="K2433" s="695" t="s">
        <v>3907</v>
      </c>
      <c r="L2433" s="696">
        <v>25</v>
      </c>
      <c r="M2433" s="170"/>
    </row>
    <row r="2434" spans="2:13" x14ac:dyDescent="0.2">
      <c r="B2434" s="173"/>
      <c r="C2434" s="694">
        <v>1</v>
      </c>
      <c r="D2434" s="695" t="s">
        <v>3903</v>
      </c>
      <c r="E2434" s="695">
        <v>3</v>
      </c>
      <c r="F2434" s="695" t="s">
        <v>4822</v>
      </c>
      <c r="G2434" s="695">
        <v>5</v>
      </c>
      <c r="H2434" s="695" t="s">
        <v>5320</v>
      </c>
      <c r="I2434" s="695">
        <v>647</v>
      </c>
      <c r="J2434" s="695" t="s">
        <v>8916</v>
      </c>
      <c r="K2434" s="695" t="s">
        <v>3907</v>
      </c>
      <c r="L2434" s="696">
        <v>10</v>
      </c>
      <c r="M2434" s="170"/>
    </row>
    <row r="2435" spans="2:13" x14ac:dyDescent="0.2">
      <c r="B2435" s="173"/>
      <c r="C2435" s="694">
        <v>1</v>
      </c>
      <c r="D2435" s="695" t="s">
        <v>3903</v>
      </c>
      <c r="E2435" s="695">
        <v>3</v>
      </c>
      <c r="F2435" s="695" t="s">
        <v>4822</v>
      </c>
      <c r="G2435" s="695">
        <v>5</v>
      </c>
      <c r="H2435" s="695" t="s">
        <v>5320</v>
      </c>
      <c r="I2435" s="695">
        <v>648</v>
      </c>
      <c r="J2435" s="695" t="s">
        <v>8917</v>
      </c>
      <c r="K2435" s="695" t="s">
        <v>3907</v>
      </c>
      <c r="L2435" s="696">
        <v>4</v>
      </c>
      <c r="M2435" s="170"/>
    </row>
    <row r="2436" spans="2:13" x14ac:dyDescent="0.2">
      <c r="B2436" s="173"/>
      <c r="C2436" s="694">
        <v>1</v>
      </c>
      <c r="D2436" s="695" t="s">
        <v>3903</v>
      </c>
      <c r="E2436" s="695">
        <v>3</v>
      </c>
      <c r="F2436" s="695" t="s">
        <v>4822</v>
      </c>
      <c r="G2436" s="695">
        <v>5</v>
      </c>
      <c r="H2436" s="695" t="s">
        <v>5320</v>
      </c>
      <c r="I2436" s="695">
        <v>649</v>
      </c>
      <c r="J2436" s="695" t="s">
        <v>8918</v>
      </c>
      <c r="K2436" s="695" t="s">
        <v>3907</v>
      </c>
      <c r="L2436" s="696">
        <v>3</v>
      </c>
      <c r="M2436" s="170"/>
    </row>
    <row r="2437" spans="2:13" x14ac:dyDescent="0.2">
      <c r="B2437" s="173"/>
      <c r="C2437" s="694">
        <v>1</v>
      </c>
      <c r="D2437" s="695" t="s">
        <v>3903</v>
      </c>
      <c r="E2437" s="695">
        <v>3</v>
      </c>
      <c r="F2437" s="695" t="s">
        <v>4822</v>
      </c>
      <c r="G2437" s="695">
        <v>5</v>
      </c>
      <c r="H2437" s="695" t="s">
        <v>5320</v>
      </c>
      <c r="I2437" s="695">
        <v>650</v>
      </c>
      <c r="J2437" s="695" t="s">
        <v>8919</v>
      </c>
      <c r="K2437" s="695" t="s">
        <v>3907</v>
      </c>
      <c r="L2437" s="696">
        <v>3</v>
      </c>
      <c r="M2437" s="170"/>
    </row>
    <row r="2438" spans="2:13" x14ac:dyDescent="0.2">
      <c r="B2438" s="173"/>
      <c r="C2438" s="694">
        <v>1</v>
      </c>
      <c r="D2438" s="695" t="s">
        <v>3903</v>
      </c>
      <c r="E2438" s="695">
        <v>3</v>
      </c>
      <c r="F2438" s="695" t="s">
        <v>4822</v>
      </c>
      <c r="G2438" s="695">
        <v>5</v>
      </c>
      <c r="H2438" s="695" t="s">
        <v>5320</v>
      </c>
      <c r="I2438" s="695">
        <v>651</v>
      </c>
      <c r="J2438" s="695" t="s">
        <v>8920</v>
      </c>
      <c r="K2438" s="695" t="s">
        <v>8544</v>
      </c>
      <c r="L2438" s="696">
        <v>2</v>
      </c>
      <c r="M2438" s="170"/>
    </row>
    <row r="2439" spans="2:13" x14ac:dyDescent="0.2">
      <c r="B2439" s="173"/>
      <c r="C2439" s="694">
        <v>1</v>
      </c>
      <c r="D2439" s="695" t="s">
        <v>3903</v>
      </c>
      <c r="E2439" s="695">
        <v>3</v>
      </c>
      <c r="F2439" s="695" t="s">
        <v>4822</v>
      </c>
      <c r="G2439" s="695">
        <v>5</v>
      </c>
      <c r="H2439" s="695" t="s">
        <v>5320</v>
      </c>
      <c r="I2439" s="695">
        <v>652</v>
      </c>
      <c r="J2439" s="695" t="s">
        <v>8921</v>
      </c>
      <c r="K2439" s="695" t="s">
        <v>8544</v>
      </c>
      <c r="L2439" s="696">
        <v>1</v>
      </c>
      <c r="M2439" s="170"/>
    </row>
    <row r="2440" spans="2:13" x14ac:dyDescent="0.2">
      <c r="B2440" s="173"/>
      <c r="C2440" s="694">
        <v>1</v>
      </c>
      <c r="D2440" s="695" t="s">
        <v>3903</v>
      </c>
      <c r="E2440" s="695">
        <v>3</v>
      </c>
      <c r="F2440" s="695" t="s">
        <v>4822</v>
      </c>
      <c r="G2440" s="695">
        <v>5</v>
      </c>
      <c r="H2440" s="695" t="s">
        <v>5320</v>
      </c>
      <c r="I2440" s="695">
        <v>653</v>
      </c>
      <c r="J2440" s="695" t="s">
        <v>8922</v>
      </c>
      <c r="K2440" s="695" t="s">
        <v>8544</v>
      </c>
      <c r="L2440" s="696">
        <v>2</v>
      </c>
      <c r="M2440" s="170"/>
    </row>
    <row r="2441" spans="2:13" x14ac:dyDescent="0.2">
      <c r="B2441" s="173"/>
      <c r="C2441" s="694">
        <v>1</v>
      </c>
      <c r="D2441" s="695" t="s">
        <v>3903</v>
      </c>
      <c r="E2441" s="695">
        <v>3</v>
      </c>
      <c r="F2441" s="695" t="s">
        <v>4822</v>
      </c>
      <c r="G2441" s="695">
        <v>5</v>
      </c>
      <c r="H2441" s="695" t="s">
        <v>5320</v>
      </c>
      <c r="I2441" s="695">
        <v>654</v>
      </c>
      <c r="J2441" s="695" t="s">
        <v>8923</v>
      </c>
      <c r="K2441" s="695" t="s">
        <v>8544</v>
      </c>
      <c r="L2441" s="696">
        <v>0</v>
      </c>
      <c r="M2441" s="170"/>
    </row>
    <row r="2442" spans="2:13" x14ac:dyDescent="0.2">
      <c r="B2442" s="173"/>
      <c r="C2442" s="694">
        <v>1</v>
      </c>
      <c r="D2442" s="695" t="s">
        <v>3903</v>
      </c>
      <c r="E2442" s="695">
        <v>3</v>
      </c>
      <c r="F2442" s="695" t="s">
        <v>4822</v>
      </c>
      <c r="G2442" s="695">
        <v>5</v>
      </c>
      <c r="H2442" s="695" t="s">
        <v>5320</v>
      </c>
      <c r="I2442" s="695">
        <v>655</v>
      </c>
      <c r="J2442" s="695" t="s">
        <v>8924</v>
      </c>
      <c r="K2442" s="695" t="s">
        <v>8544</v>
      </c>
      <c r="L2442" s="696">
        <v>0</v>
      </c>
      <c r="M2442" s="170"/>
    </row>
    <row r="2443" spans="2:13" x14ac:dyDescent="0.2">
      <c r="B2443" s="173"/>
      <c r="C2443" s="694">
        <v>1</v>
      </c>
      <c r="D2443" s="695" t="s">
        <v>3903</v>
      </c>
      <c r="E2443" s="695">
        <v>3</v>
      </c>
      <c r="F2443" s="695" t="s">
        <v>4822</v>
      </c>
      <c r="G2443" s="695">
        <v>5</v>
      </c>
      <c r="H2443" s="695" t="s">
        <v>5320</v>
      </c>
      <c r="I2443" s="695">
        <v>656</v>
      </c>
      <c r="J2443" s="695" t="s">
        <v>8925</v>
      </c>
      <c r="K2443" s="695" t="s">
        <v>8544</v>
      </c>
      <c r="L2443" s="696">
        <v>2</v>
      </c>
      <c r="M2443" s="170"/>
    </row>
    <row r="2444" spans="2:13" x14ac:dyDescent="0.2">
      <c r="B2444" s="173"/>
      <c r="C2444" s="694">
        <v>1</v>
      </c>
      <c r="D2444" s="695" t="s">
        <v>3903</v>
      </c>
      <c r="E2444" s="695">
        <v>3</v>
      </c>
      <c r="F2444" s="695" t="s">
        <v>4822</v>
      </c>
      <c r="G2444" s="695">
        <v>5</v>
      </c>
      <c r="H2444" s="695" t="s">
        <v>5320</v>
      </c>
      <c r="I2444" s="695">
        <v>657</v>
      </c>
      <c r="J2444" s="695" t="s">
        <v>8926</v>
      </c>
      <c r="K2444" s="695" t="s">
        <v>8544</v>
      </c>
      <c r="L2444" s="696">
        <v>3</v>
      </c>
      <c r="M2444" s="170"/>
    </row>
    <row r="2445" spans="2:13" x14ac:dyDescent="0.2">
      <c r="B2445" s="173"/>
      <c r="C2445" s="694">
        <v>1</v>
      </c>
      <c r="D2445" s="695" t="s">
        <v>3903</v>
      </c>
      <c r="E2445" s="695">
        <v>3</v>
      </c>
      <c r="F2445" s="695" t="s">
        <v>4822</v>
      </c>
      <c r="G2445" s="695">
        <v>5</v>
      </c>
      <c r="H2445" s="695" t="s">
        <v>5320</v>
      </c>
      <c r="I2445" s="695">
        <v>658</v>
      </c>
      <c r="J2445" s="695" t="s">
        <v>8927</v>
      </c>
      <c r="K2445" s="695" t="s">
        <v>8544</v>
      </c>
      <c r="L2445" s="696">
        <v>3</v>
      </c>
      <c r="M2445" s="170"/>
    </row>
    <row r="2446" spans="2:13" x14ac:dyDescent="0.2">
      <c r="B2446" s="173"/>
      <c r="C2446" s="694">
        <v>1</v>
      </c>
      <c r="D2446" s="695" t="s">
        <v>3903</v>
      </c>
      <c r="E2446" s="695">
        <v>3</v>
      </c>
      <c r="F2446" s="695" t="s">
        <v>4822</v>
      </c>
      <c r="G2446" s="695">
        <v>5</v>
      </c>
      <c r="H2446" s="695" t="s">
        <v>5320</v>
      </c>
      <c r="I2446" s="695">
        <v>659</v>
      </c>
      <c r="J2446" s="695" t="s">
        <v>8928</v>
      </c>
      <c r="K2446" s="695" t="s">
        <v>8544</v>
      </c>
      <c r="L2446" s="696">
        <v>1</v>
      </c>
      <c r="M2446" s="170"/>
    </row>
    <row r="2447" spans="2:13" x14ac:dyDescent="0.2">
      <c r="B2447" s="173"/>
      <c r="C2447" s="694">
        <v>1</v>
      </c>
      <c r="D2447" s="695" t="s">
        <v>3903</v>
      </c>
      <c r="E2447" s="695">
        <v>3</v>
      </c>
      <c r="F2447" s="695" t="s">
        <v>4822</v>
      </c>
      <c r="G2447" s="695">
        <v>5</v>
      </c>
      <c r="H2447" s="695" t="s">
        <v>5320</v>
      </c>
      <c r="I2447" s="695">
        <v>660</v>
      </c>
      <c r="J2447" s="695" t="s">
        <v>8929</v>
      </c>
      <c r="K2447" s="695" t="s">
        <v>8544</v>
      </c>
      <c r="L2447" s="696">
        <v>14</v>
      </c>
      <c r="M2447" s="170"/>
    </row>
    <row r="2448" spans="2:13" x14ac:dyDescent="0.2">
      <c r="B2448" s="173"/>
      <c r="C2448" s="694">
        <v>1</v>
      </c>
      <c r="D2448" s="695" t="s">
        <v>3903</v>
      </c>
      <c r="E2448" s="695">
        <v>3</v>
      </c>
      <c r="F2448" s="695" t="s">
        <v>4822</v>
      </c>
      <c r="G2448" s="695">
        <v>5</v>
      </c>
      <c r="H2448" s="695" t="s">
        <v>5320</v>
      </c>
      <c r="I2448" s="695">
        <v>661</v>
      </c>
      <c r="J2448" s="695" t="s">
        <v>8930</v>
      </c>
      <c r="K2448" s="695" t="s">
        <v>8544</v>
      </c>
      <c r="L2448" s="696">
        <v>27</v>
      </c>
      <c r="M2448" s="170"/>
    </row>
    <row r="2449" spans="2:13" x14ac:dyDescent="0.2">
      <c r="B2449" s="173"/>
      <c r="C2449" s="694">
        <v>1</v>
      </c>
      <c r="D2449" s="695" t="s">
        <v>3903</v>
      </c>
      <c r="E2449" s="695">
        <v>3</v>
      </c>
      <c r="F2449" s="695" t="s">
        <v>4822</v>
      </c>
      <c r="G2449" s="695">
        <v>5</v>
      </c>
      <c r="H2449" s="695" t="s">
        <v>5320</v>
      </c>
      <c r="I2449" s="695">
        <v>662</v>
      </c>
      <c r="J2449" s="695" t="s">
        <v>8931</v>
      </c>
      <c r="K2449" s="695" t="s">
        <v>8544</v>
      </c>
      <c r="L2449" s="696">
        <v>23</v>
      </c>
      <c r="M2449" s="170"/>
    </row>
    <row r="2450" spans="2:13" x14ac:dyDescent="0.2">
      <c r="B2450" s="173"/>
      <c r="C2450" s="694">
        <v>1</v>
      </c>
      <c r="D2450" s="695" t="s">
        <v>3903</v>
      </c>
      <c r="E2450" s="695">
        <v>3</v>
      </c>
      <c r="F2450" s="695" t="s">
        <v>4822</v>
      </c>
      <c r="G2450" s="695">
        <v>5</v>
      </c>
      <c r="H2450" s="695" t="s">
        <v>5320</v>
      </c>
      <c r="I2450" s="695">
        <v>663</v>
      </c>
      <c r="J2450" s="695" t="s">
        <v>8932</v>
      </c>
      <c r="K2450" s="695" t="s">
        <v>8544</v>
      </c>
      <c r="L2450" s="696">
        <v>1</v>
      </c>
      <c r="M2450" s="170"/>
    </row>
    <row r="2451" spans="2:13" x14ac:dyDescent="0.2">
      <c r="B2451" s="173"/>
      <c r="C2451" s="694">
        <v>1</v>
      </c>
      <c r="D2451" s="695" t="s">
        <v>3903</v>
      </c>
      <c r="E2451" s="695">
        <v>3</v>
      </c>
      <c r="F2451" s="695" t="s">
        <v>4822</v>
      </c>
      <c r="G2451" s="695">
        <v>5</v>
      </c>
      <c r="H2451" s="695" t="s">
        <v>5320</v>
      </c>
      <c r="I2451" s="695">
        <v>664</v>
      </c>
      <c r="J2451" s="695" t="s">
        <v>8933</v>
      </c>
      <c r="K2451" s="695" t="s">
        <v>8544</v>
      </c>
      <c r="L2451" s="696">
        <v>1</v>
      </c>
      <c r="M2451" s="170"/>
    </row>
    <row r="2452" spans="2:13" x14ac:dyDescent="0.2">
      <c r="B2452" s="173"/>
      <c r="C2452" s="694">
        <v>1</v>
      </c>
      <c r="D2452" s="695" t="s">
        <v>3903</v>
      </c>
      <c r="E2452" s="695">
        <v>3</v>
      </c>
      <c r="F2452" s="695" t="s">
        <v>4822</v>
      </c>
      <c r="G2452" s="695">
        <v>5</v>
      </c>
      <c r="H2452" s="695" t="s">
        <v>5320</v>
      </c>
      <c r="I2452" s="695">
        <v>665</v>
      </c>
      <c r="J2452" s="695" t="s">
        <v>8934</v>
      </c>
      <c r="K2452" s="695" t="s">
        <v>8544</v>
      </c>
      <c r="L2452" s="696">
        <v>2</v>
      </c>
      <c r="M2452" s="170"/>
    </row>
    <row r="2453" spans="2:13" x14ac:dyDescent="0.2">
      <c r="B2453" s="173"/>
      <c r="C2453" s="694">
        <v>1</v>
      </c>
      <c r="D2453" s="695" t="s">
        <v>3903</v>
      </c>
      <c r="E2453" s="695">
        <v>3</v>
      </c>
      <c r="F2453" s="695" t="s">
        <v>4822</v>
      </c>
      <c r="G2453" s="695">
        <v>5</v>
      </c>
      <c r="H2453" s="695" t="s">
        <v>5320</v>
      </c>
      <c r="I2453" s="695">
        <v>666</v>
      </c>
      <c r="J2453" s="695" t="s">
        <v>8935</v>
      </c>
      <c r="K2453" s="695" t="s">
        <v>8544</v>
      </c>
      <c r="L2453" s="696">
        <v>1</v>
      </c>
      <c r="M2453" s="170"/>
    </row>
    <row r="2454" spans="2:13" x14ac:dyDescent="0.2">
      <c r="B2454" s="173"/>
      <c r="C2454" s="694">
        <v>1</v>
      </c>
      <c r="D2454" s="695" t="s">
        <v>3903</v>
      </c>
      <c r="E2454" s="695">
        <v>3</v>
      </c>
      <c r="F2454" s="695" t="s">
        <v>4822</v>
      </c>
      <c r="G2454" s="695">
        <v>5</v>
      </c>
      <c r="H2454" s="695" t="s">
        <v>5320</v>
      </c>
      <c r="I2454" s="695">
        <v>667</v>
      </c>
      <c r="J2454" s="695" t="s">
        <v>8936</v>
      </c>
      <c r="K2454" s="695" t="s">
        <v>8544</v>
      </c>
      <c r="L2454" s="696">
        <v>6</v>
      </c>
      <c r="M2454" s="170"/>
    </row>
    <row r="2455" spans="2:13" x14ac:dyDescent="0.2">
      <c r="B2455" s="173"/>
      <c r="C2455" s="694">
        <v>1</v>
      </c>
      <c r="D2455" s="695" t="s">
        <v>3903</v>
      </c>
      <c r="E2455" s="695">
        <v>3</v>
      </c>
      <c r="F2455" s="695" t="s">
        <v>4822</v>
      </c>
      <c r="G2455" s="695">
        <v>5</v>
      </c>
      <c r="H2455" s="695" t="s">
        <v>5320</v>
      </c>
      <c r="I2455" s="695">
        <v>668</v>
      </c>
      <c r="J2455" s="695" t="s">
        <v>8937</v>
      </c>
      <c r="K2455" s="695" t="s">
        <v>8544</v>
      </c>
      <c r="L2455" s="696">
        <v>4</v>
      </c>
      <c r="M2455" s="170"/>
    </row>
    <row r="2456" spans="2:13" x14ac:dyDescent="0.2">
      <c r="B2456" s="173"/>
      <c r="C2456" s="694">
        <v>1</v>
      </c>
      <c r="D2456" s="695" t="s">
        <v>3903</v>
      </c>
      <c r="E2456" s="695">
        <v>3</v>
      </c>
      <c r="F2456" s="695" t="s">
        <v>4822</v>
      </c>
      <c r="G2456" s="695">
        <v>5</v>
      </c>
      <c r="H2456" s="695" t="s">
        <v>5320</v>
      </c>
      <c r="I2456" s="695">
        <v>669</v>
      </c>
      <c r="J2456" s="695" t="s">
        <v>8938</v>
      </c>
      <c r="K2456" s="695" t="s">
        <v>3907</v>
      </c>
      <c r="L2456" s="696">
        <v>1</v>
      </c>
      <c r="M2456" s="170"/>
    </row>
    <row r="2457" spans="2:13" x14ac:dyDescent="0.2">
      <c r="B2457" s="173"/>
      <c r="C2457" s="694">
        <v>1</v>
      </c>
      <c r="D2457" s="695" t="s">
        <v>3903</v>
      </c>
      <c r="E2457" s="695">
        <v>3</v>
      </c>
      <c r="F2457" s="695" t="s">
        <v>4822</v>
      </c>
      <c r="G2457" s="695">
        <v>5</v>
      </c>
      <c r="H2457" s="695" t="s">
        <v>5320</v>
      </c>
      <c r="I2457" s="695">
        <v>670</v>
      </c>
      <c r="J2457" s="695" t="s">
        <v>8939</v>
      </c>
      <c r="K2457" s="695" t="s">
        <v>8544</v>
      </c>
      <c r="L2457" s="696">
        <v>3</v>
      </c>
      <c r="M2457" s="170"/>
    </row>
    <row r="2458" spans="2:13" x14ac:dyDescent="0.2">
      <c r="B2458" s="173"/>
      <c r="C2458" s="694">
        <v>1</v>
      </c>
      <c r="D2458" s="695" t="s">
        <v>3903</v>
      </c>
      <c r="E2458" s="695">
        <v>3</v>
      </c>
      <c r="F2458" s="695" t="s">
        <v>4822</v>
      </c>
      <c r="G2458" s="695">
        <v>5</v>
      </c>
      <c r="H2458" s="695" t="s">
        <v>5320</v>
      </c>
      <c r="I2458" s="695">
        <v>671</v>
      </c>
      <c r="J2458" s="695" t="s">
        <v>8940</v>
      </c>
      <c r="K2458" s="695" t="s">
        <v>8544</v>
      </c>
      <c r="L2458" s="696">
        <v>3</v>
      </c>
      <c r="M2458" s="170"/>
    </row>
    <row r="2459" spans="2:13" x14ac:dyDescent="0.2">
      <c r="B2459" s="173"/>
      <c r="C2459" s="694">
        <v>1</v>
      </c>
      <c r="D2459" s="695" t="s">
        <v>3903</v>
      </c>
      <c r="E2459" s="695">
        <v>3</v>
      </c>
      <c r="F2459" s="695" t="s">
        <v>4822</v>
      </c>
      <c r="G2459" s="695">
        <v>5</v>
      </c>
      <c r="H2459" s="695" t="s">
        <v>5320</v>
      </c>
      <c r="I2459" s="695">
        <v>672</v>
      </c>
      <c r="J2459" s="695" t="s">
        <v>8941</v>
      </c>
      <c r="K2459" s="695" t="s">
        <v>8544</v>
      </c>
      <c r="L2459" s="696">
        <v>1</v>
      </c>
      <c r="M2459" s="170"/>
    </row>
    <row r="2460" spans="2:13" x14ac:dyDescent="0.2">
      <c r="B2460" s="173"/>
      <c r="C2460" s="694">
        <v>1</v>
      </c>
      <c r="D2460" s="695" t="s">
        <v>3903</v>
      </c>
      <c r="E2460" s="695">
        <v>3</v>
      </c>
      <c r="F2460" s="695" t="s">
        <v>4822</v>
      </c>
      <c r="G2460" s="695">
        <v>5</v>
      </c>
      <c r="H2460" s="695" t="s">
        <v>5320</v>
      </c>
      <c r="I2460" s="695">
        <v>673</v>
      </c>
      <c r="J2460" s="695" t="s">
        <v>8942</v>
      </c>
      <c r="K2460" s="695" t="s">
        <v>8544</v>
      </c>
      <c r="L2460" s="696">
        <v>2</v>
      </c>
      <c r="M2460" s="170"/>
    </row>
    <row r="2461" spans="2:13" x14ac:dyDescent="0.2">
      <c r="B2461" s="173"/>
      <c r="C2461" s="694">
        <v>1</v>
      </c>
      <c r="D2461" s="695" t="s">
        <v>3903</v>
      </c>
      <c r="E2461" s="695">
        <v>3</v>
      </c>
      <c r="F2461" s="695" t="s">
        <v>4822</v>
      </c>
      <c r="G2461" s="695">
        <v>5</v>
      </c>
      <c r="H2461" s="695" t="s">
        <v>5320</v>
      </c>
      <c r="I2461" s="695">
        <v>674</v>
      </c>
      <c r="J2461" s="695" t="s">
        <v>8943</v>
      </c>
      <c r="K2461" s="695" t="s">
        <v>8544</v>
      </c>
      <c r="L2461" s="696">
        <v>3</v>
      </c>
      <c r="M2461" s="170"/>
    </row>
    <row r="2462" spans="2:13" x14ac:dyDescent="0.2">
      <c r="B2462" s="173"/>
      <c r="C2462" s="694">
        <v>1</v>
      </c>
      <c r="D2462" s="695" t="s">
        <v>3903</v>
      </c>
      <c r="E2462" s="695">
        <v>3</v>
      </c>
      <c r="F2462" s="695" t="s">
        <v>4822</v>
      </c>
      <c r="G2462" s="695">
        <v>5</v>
      </c>
      <c r="H2462" s="695" t="s">
        <v>5320</v>
      </c>
      <c r="I2462" s="695">
        <v>675</v>
      </c>
      <c r="J2462" s="695" t="s">
        <v>8944</v>
      </c>
      <c r="K2462" s="695" t="s">
        <v>8544</v>
      </c>
      <c r="L2462" s="696">
        <v>3</v>
      </c>
      <c r="M2462" s="170"/>
    </row>
    <row r="2463" spans="2:13" x14ac:dyDescent="0.2">
      <c r="B2463" s="173"/>
      <c r="C2463" s="694">
        <v>1</v>
      </c>
      <c r="D2463" s="695" t="s">
        <v>3903</v>
      </c>
      <c r="E2463" s="695">
        <v>3</v>
      </c>
      <c r="F2463" s="695" t="s">
        <v>4822</v>
      </c>
      <c r="G2463" s="695">
        <v>5</v>
      </c>
      <c r="H2463" s="695" t="s">
        <v>5320</v>
      </c>
      <c r="I2463" s="695">
        <v>676</v>
      </c>
      <c r="J2463" s="695" t="s">
        <v>8945</v>
      </c>
      <c r="K2463" s="695" t="s">
        <v>8544</v>
      </c>
      <c r="L2463" s="696">
        <v>0</v>
      </c>
      <c r="M2463" s="170"/>
    </row>
    <row r="2464" spans="2:13" x14ac:dyDescent="0.2">
      <c r="B2464" s="173"/>
      <c r="C2464" s="694">
        <v>1</v>
      </c>
      <c r="D2464" s="695" t="s">
        <v>3903</v>
      </c>
      <c r="E2464" s="695">
        <v>3</v>
      </c>
      <c r="F2464" s="695" t="s">
        <v>4822</v>
      </c>
      <c r="G2464" s="695">
        <v>5</v>
      </c>
      <c r="H2464" s="695" t="s">
        <v>5320</v>
      </c>
      <c r="I2464" s="695">
        <v>677</v>
      </c>
      <c r="J2464" s="695" t="s">
        <v>8946</v>
      </c>
      <c r="K2464" s="695" t="s">
        <v>8544</v>
      </c>
      <c r="L2464" s="696">
        <v>0</v>
      </c>
      <c r="M2464" s="170"/>
    </row>
    <row r="2465" spans="2:13" x14ac:dyDescent="0.2">
      <c r="B2465" s="173"/>
      <c r="C2465" s="694">
        <v>1</v>
      </c>
      <c r="D2465" s="695" t="s">
        <v>3903</v>
      </c>
      <c r="E2465" s="695">
        <v>3</v>
      </c>
      <c r="F2465" s="695" t="s">
        <v>4822</v>
      </c>
      <c r="G2465" s="695">
        <v>5</v>
      </c>
      <c r="H2465" s="695" t="s">
        <v>5320</v>
      </c>
      <c r="I2465" s="695">
        <v>678</v>
      </c>
      <c r="J2465" s="695" t="s">
        <v>8947</v>
      </c>
      <c r="K2465" s="695" t="s">
        <v>8544</v>
      </c>
      <c r="L2465" s="696">
        <v>9</v>
      </c>
      <c r="M2465" s="170"/>
    </row>
    <row r="2466" spans="2:13" x14ac:dyDescent="0.2">
      <c r="B2466" s="173"/>
      <c r="C2466" s="694">
        <v>1</v>
      </c>
      <c r="D2466" s="695" t="s">
        <v>3903</v>
      </c>
      <c r="E2466" s="695">
        <v>3</v>
      </c>
      <c r="F2466" s="695" t="s">
        <v>4822</v>
      </c>
      <c r="G2466" s="695">
        <v>5</v>
      </c>
      <c r="H2466" s="695" t="s">
        <v>5320</v>
      </c>
      <c r="I2466" s="695">
        <v>679</v>
      </c>
      <c r="J2466" s="695" t="s">
        <v>8948</v>
      </c>
      <c r="K2466" s="695" t="s">
        <v>8544</v>
      </c>
      <c r="L2466" s="696">
        <v>5</v>
      </c>
      <c r="M2466" s="170"/>
    </row>
    <row r="2467" spans="2:13" x14ac:dyDescent="0.2">
      <c r="B2467" s="173"/>
      <c r="C2467" s="694">
        <v>1</v>
      </c>
      <c r="D2467" s="695" t="s">
        <v>3903</v>
      </c>
      <c r="E2467" s="695">
        <v>3</v>
      </c>
      <c r="F2467" s="695" t="s">
        <v>4822</v>
      </c>
      <c r="G2467" s="695">
        <v>5</v>
      </c>
      <c r="H2467" s="695" t="s">
        <v>5320</v>
      </c>
      <c r="I2467" s="695">
        <v>680</v>
      </c>
      <c r="J2467" s="695" t="s">
        <v>8949</v>
      </c>
      <c r="K2467" s="695" t="s">
        <v>8544</v>
      </c>
      <c r="L2467" s="696">
        <v>19</v>
      </c>
      <c r="M2467" s="170"/>
    </row>
    <row r="2468" spans="2:13" x14ac:dyDescent="0.2">
      <c r="B2468" s="173"/>
      <c r="C2468" s="694">
        <v>1</v>
      </c>
      <c r="D2468" s="695" t="s">
        <v>3903</v>
      </c>
      <c r="E2468" s="695">
        <v>3</v>
      </c>
      <c r="F2468" s="695" t="s">
        <v>4822</v>
      </c>
      <c r="G2468" s="695">
        <v>5</v>
      </c>
      <c r="H2468" s="695" t="s">
        <v>5320</v>
      </c>
      <c r="I2468" s="695">
        <v>681</v>
      </c>
      <c r="J2468" s="695" t="s">
        <v>8950</v>
      </c>
      <c r="K2468" s="695" t="s">
        <v>8544</v>
      </c>
      <c r="L2468" s="696">
        <v>1</v>
      </c>
      <c r="M2468" s="170"/>
    </row>
    <row r="2469" spans="2:13" x14ac:dyDescent="0.2">
      <c r="B2469" s="173"/>
      <c r="C2469" s="694">
        <v>1</v>
      </c>
      <c r="D2469" s="695" t="s">
        <v>3903</v>
      </c>
      <c r="E2469" s="695">
        <v>3</v>
      </c>
      <c r="F2469" s="695" t="s">
        <v>4822</v>
      </c>
      <c r="G2469" s="695">
        <v>5</v>
      </c>
      <c r="H2469" s="695" t="s">
        <v>5320</v>
      </c>
      <c r="I2469" s="695">
        <v>682</v>
      </c>
      <c r="J2469" s="695" t="s">
        <v>8951</v>
      </c>
      <c r="K2469" s="695" t="s">
        <v>8544</v>
      </c>
      <c r="L2469" s="696">
        <v>0</v>
      </c>
      <c r="M2469" s="170"/>
    </row>
    <row r="2470" spans="2:13" x14ac:dyDescent="0.2">
      <c r="B2470" s="173"/>
      <c r="C2470" s="694">
        <v>1</v>
      </c>
      <c r="D2470" s="695" t="s">
        <v>3903</v>
      </c>
      <c r="E2470" s="695">
        <v>3</v>
      </c>
      <c r="F2470" s="695" t="s">
        <v>4822</v>
      </c>
      <c r="G2470" s="695">
        <v>5</v>
      </c>
      <c r="H2470" s="695" t="s">
        <v>5320</v>
      </c>
      <c r="I2470" s="695">
        <v>683</v>
      </c>
      <c r="J2470" s="695" t="s">
        <v>8952</v>
      </c>
      <c r="K2470" s="695" t="s">
        <v>3907</v>
      </c>
      <c r="L2470" s="696">
        <v>12</v>
      </c>
      <c r="M2470" s="170"/>
    </row>
    <row r="2471" spans="2:13" x14ac:dyDescent="0.2">
      <c r="B2471" s="173"/>
      <c r="C2471" s="694">
        <v>1</v>
      </c>
      <c r="D2471" s="695" t="s">
        <v>3903</v>
      </c>
      <c r="E2471" s="695">
        <v>3</v>
      </c>
      <c r="F2471" s="695" t="s">
        <v>4822</v>
      </c>
      <c r="G2471" s="695">
        <v>5</v>
      </c>
      <c r="H2471" s="695" t="s">
        <v>5320</v>
      </c>
      <c r="I2471" s="695">
        <v>684</v>
      </c>
      <c r="J2471" s="695" t="s">
        <v>8953</v>
      </c>
      <c r="K2471" s="695" t="s">
        <v>8544</v>
      </c>
      <c r="L2471" s="696">
        <v>0</v>
      </c>
      <c r="M2471" s="170"/>
    </row>
    <row r="2472" spans="2:13" x14ac:dyDescent="0.2">
      <c r="B2472" s="173"/>
      <c r="C2472" s="694">
        <v>1</v>
      </c>
      <c r="D2472" s="695" t="s">
        <v>3903</v>
      </c>
      <c r="E2472" s="695">
        <v>3</v>
      </c>
      <c r="F2472" s="695" t="s">
        <v>4822</v>
      </c>
      <c r="G2472" s="695">
        <v>5</v>
      </c>
      <c r="H2472" s="695" t="s">
        <v>5320</v>
      </c>
      <c r="I2472" s="695">
        <v>685</v>
      </c>
      <c r="J2472" s="695" t="s">
        <v>8954</v>
      </c>
      <c r="K2472" s="695" t="s">
        <v>8544</v>
      </c>
      <c r="L2472" s="696">
        <v>0</v>
      </c>
      <c r="M2472" s="170"/>
    </row>
    <row r="2473" spans="2:13" x14ac:dyDescent="0.2">
      <c r="B2473" s="173"/>
      <c r="C2473" s="694">
        <v>1</v>
      </c>
      <c r="D2473" s="695" t="s">
        <v>3903</v>
      </c>
      <c r="E2473" s="695">
        <v>3</v>
      </c>
      <c r="F2473" s="695" t="s">
        <v>4822</v>
      </c>
      <c r="G2473" s="695">
        <v>5</v>
      </c>
      <c r="H2473" s="695" t="s">
        <v>5320</v>
      </c>
      <c r="I2473" s="695">
        <v>686</v>
      </c>
      <c r="J2473" s="695" t="s">
        <v>8955</v>
      </c>
      <c r="K2473" s="695" t="s">
        <v>8544</v>
      </c>
      <c r="L2473" s="696">
        <v>5</v>
      </c>
      <c r="M2473" s="170"/>
    </row>
    <row r="2474" spans="2:13" x14ac:dyDescent="0.2">
      <c r="B2474" s="173"/>
      <c r="C2474" s="694">
        <v>1</v>
      </c>
      <c r="D2474" s="695" t="s">
        <v>3903</v>
      </c>
      <c r="E2474" s="695">
        <v>3</v>
      </c>
      <c r="F2474" s="695" t="s">
        <v>4822</v>
      </c>
      <c r="G2474" s="695">
        <v>5</v>
      </c>
      <c r="H2474" s="695" t="s">
        <v>5320</v>
      </c>
      <c r="I2474" s="695">
        <v>687</v>
      </c>
      <c r="J2474" s="695" t="s">
        <v>8956</v>
      </c>
      <c r="K2474" s="695" t="s">
        <v>8544</v>
      </c>
      <c r="L2474" s="696">
        <v>1</v>
      </c>
      <c r="M2474" s="170"/>
    </row>
    <row r="2475" spans="2:13" x14ac:dyDescent="0.2">
      <c r="B2475" s="173"/>
      <c r="C2475" s="694">
        <v>1</v>
      </c>
      <c r="D2475" s="695" t="s">
        <v>3903</v>
      </c>
      <c r="E2475" s="695">
        <v>3</v>
      </c>
      <c r="F2475" s="695" t="s">
        <v>4822</v>
      </c>
      <c r="G2475" s="695">
        <v>5</v>
      </c>
      <c r="H2475" s="695" t="s">
        <v>5320</v>
      </c>
      <c r="I2475" s="695">
        <v>688</v>
      </c>
      <c r="J2475" s="695" t="s">
        <v>8957</v>
      </c>
      <c r="K2475" s="695" t="s">
        <v>8544</v>
      </c>
      <c r="L2475" s="696">
        <v>4</v>
      </c>
      <c r="M2475" s="170"/>
    </row>
    <row r="2476" spans="2:13" x14ac:dyDescent="0.2">
      <c r="B2476" s="173"/>
      <c r="C2476" s="694">
        <v>1</v>
      </c>
      <c r="D2476" s="695" t="s">
        <v>3903</v>
      </c>
      <c r="E2476" s="695">
        <v>3</v>
      </c>
      <c r="F2476" s="695" t="s">
        <v>4822</v>
      </c>
      <c r="G2476" s="695">
        <v>5</v>
      </c>
      <c r="H2476" s="695" t="s">
        <v>5320</v>
      </c>
      <c r="I2476" s="695">
        <v>689</v>
      </c>
      <c r="J2476" s="695" t="s">
        <v>8958</v>
      </c>
      <c r="K2476" s="695" t="s">
        <v>8544</v>
      </c>
      <c r="L2476" s="696">
        <v>1</v>
      </c>
      <c r="M2476" s="170"/>
    </row>
    <row r="2477" spans="2:13" x14ac:dyDescent="0.2">
      <c r="B2477" s="173"/>
      <c r="C2477" s="694">
        <v>1</v>
      </c>
      <c r="D2477" s="695" t="s">
        <v>3903</v>
      </c>
      <c r="E2477" s="695">
        <v>3</v>
      </c>
      <c r="F2477" s="695" t="s">
        <v>4822</v>
      </c>
      <c r="G2477" s="695">
        <v>5</v>
      </c>
      <c r="H2477" s="695" t="s">
        <v>5320</v>
      </c>
      <c r="I2477" s="695">
        <v>690</v>
      </c>
      <c r="J2477" s="695" t="s">
        <v>8959</v>
      </c>
      <c r="K2477" s="695" t="s">
        <v>8544</v>
      </c>
      <c r="L2477" s="696">
        <v>1</v>
      </c>
      <c r="M2477" s="170"/>
    </row>
    <row r="2478" spans="2:13" x14ac:dyDescent="0.2">
      <c r="B2478" s="173"/>
      <c r="C2478" s="694">
        <v>1</v>
      </c>
      <c r="D2478" s="695" t="s">
        <v>3903</v>
      </c>
      <c r="E2478" s="695">
        <v>3</v>
      </c>
      <c r="F2478" s="695" t="s">
        <v>4822</v>
      </c>
      <c r="G2478" s="695">
        <v>5</v>
      </c>
      <c r="H2478" s="695" t="s">
        <v>5320</v>
      </c>
      <c r="I2478" s="695">
        <v>691</v>
      </c>
      <c r="J2478" s="695" t="s">
        <v>8960</v>
      </c>
      <c r="K2478" s="695" t="s">
        <v>8544</v>
      </c>
      <c r="L2478" s="696">
        <v>1</v>
      </c>
      <c r="M2478" s="170"/>
    </row>
    <row r="2479" spans="2:13" x14ac:dyDescent="0.2">
      <c r="B2479" s="173"/>
      <c r="C2479" s="694">
        <v>1</v>
      </c>
      <c r="D2479" s="695" t="s">
        <v>3903</v>
      </c>
      <c r="E2479" s="695">
        <v>3</v>
      </c>
      <c r="F2479" s="695" t="s">
        <v>4822</v>
      </c>
      <c r="G2479" s="695">
        <v>5</v>
      </c>
      <c r="H2479" s="695" t="s">
        <v>5320</v>
      </c>
      <c r="I2479" s="695">
        <v>692</v>
      </c>
      <c r="J2479" s="695" t="s">
        <v>8961</v>
      </c>
      <c r="K2479" s="695" t="s">
        <v>4117</v>
      </c>
      <c r="L2479" s="696">
        <v>2</v>
      </c>
      <c r="M2479" s="170"/>
    </row>
    <row r="2480" spans="2:13" x14ac:dyDescent="0.2">
      <c r="B2480" s="173"/>
      <c r="C2480" s="694">
        <v>1</v>
      </c>
      <c r="D2480" s="695" t="s">
        <v>3903</v>
      </c>
      <c r="E2480" s="695">
        <v>3</v>
      </c>
      <c r="F2480" s="695" t="s">
        <v>4822</v>
      </c>
      <c r="G2480" s="695">
        <v>5</v>
      </c>
      <c r="H2480" s="695" t="s">
        <v>5320</v>
      </c>
      <c r="I2480" s="695">
        <v>693</v>
      </c>
      <c r="J2480" s="695" t="s">
        <v>8962</v>
      </c>
      <c r="K2480" s="695" t="s">
        <v>8544</v>
      </c>
      <c r="L2480" s="696">
        <v>2</v>
      </c>
      <c r="M2480" s="170"/>
    </row>
    <row r="2481" spans="2:13" x14ac:dyDescent="0.2">
      <c r="B2481" s="173"/>
      <c r="C2481" s="694">
        <v>1</v>
      </c>
      <c r="D2481" s="695" t="s">
        <v>3903</v>
      </c>
      <c r="E2481" s="695">
        <v>3</v>
      </c>
      <c r="F2481" s="695" t="s">
        <v>4822</v>
      </c>
      <c r="G2481" s="695">
        <v>5</v>
      </c>
      <c r="H2481" s="695" t="s">
        <v>5320</v>
      </c>
      <c r="I2481" s="695">
        <v>694</v>
      </c>
      <c r="J2481" s="695" t="s">
        <v>8963</v>
      </c>
      <c r="K2481" s="695" t="s">
        <v>8544</v>
      </c>
      <c r="L2481" s="696">
        <v>1</v>
      </c>
      <c r="M2481" s="170"/>
    </row>
    <row r="2482" spans="2:13" x14ac:dyDescent="0.2">
      <c r="B2482" s="173"/>
      <c r="C2482" s="694">
        <v>1</v>
      </c>
      <c r="D2482" s="695" t="s">
        <v>3903</v>
      </c>
      <c r="E2482" s="695">
        <v>3</v>
      </c>
      <c r="F2482" s="695" t="s">
        <v>4822</v>
      </c>
      <c r="G2482" s="695">
        <v>5</v>
      </c>
      <c r="H2482" s="695" t="s">
        <v>5320</v>
      </c>
      <c r="I2482" s="695">
        <v>695</v>
      </c>
      <c r="J2482" s="695" t="s">
        <v>8964</v>
      </c>
      <c r="K2482" s="695" t="s">
        <v>8544</v>
      </c>
      <c r="L2482" s="696">
        <v>1</v>
      </c>
      <c r="M2482" s="170"/>
    </row>
    <row r="2483" spans="2:13" x14ac:dyDescent="0.2">
      <c r="B2483" s="173"/>
      <c r="C2483" s="694">
        <v>1</v>
      </c>
      <c r="D2483" s="695" t="s">
        <v>3903</v>
      </c>
      <c r="E2483" s="695">
        <v>3</v>
      </c>
      <c r="F2483" s="695" t="s">
        <v>4822</v>
      </c>
      <c r="G2483" s="695">
        <v>5</v>
      </c>
      <c r="H2483" s="695" t="s">
        <v>5320</v>
      </c>
      <c r="I2483" s="695">
        <v>696</v>
      </c>
      <c r="J2483" s="695" t="s">
        <v>8965</v>
      </c>
      <c r="K2483" s="695" t="s">
        <v>8544</v>
      </c>
      <c r="L2483" s="696">
        <v>1</v>
      </c>
      <c r="M2483" s="170"/>
    </row>
    <row r="2484" spans="2:13" x14ac:dyDescent="0.2">
      <c r="B2484" s="173"/>
      <c r="C2484" s="694">
        <v>1</v>
      </c>
      <c r="D2484" s="695" t="s">
        <v>3903</v>
      </c>
      <c r="E2484" s="695">
        <v>3</v>
      </c>
      <c r="F2484" s="695" t="s">
        <v>4822</v>
      </c>
      <c r="G2484" s="695">
        <v>5</v>
      </c>
      <c r="H2484" s="695" t="s">
        <v>5320</v>
      </c>
      <c r="I2484" s="695">
        <v>697</v>
      </c>
      <c r="J2484" s="695" t="s">
        <v>8966</v>
      </c>
      <c r="K2484" s="695" t="s">
        <v>4045</v>
      </c>
      <c r="L2484" s="696">
        <v>0</v>
      </c>
      <c r="M2484" s="170"/>
    </row>
    <row r="2485" spans="2:13" x14ac:dyDescent="0.2">
      <c r="B2485" s="173"/>
      <c r="C2485" s="694">
        <v>1</v>
      </c>
      <c r="D2485" s="695" t="s">
        <v>3903</v>
      </c>
      <c r="E2485" s="695">
        <v>3</v>
      </c>
      <c r="F2485" s="695" t="s">
        <v>4822</v>
      </c>
      <c r="G2485" s="695">
        <v>5</v>
      </c>
      <c r="H2485" s="695" t="s">
        <v>5320</v>
      </c>
      <c r="I2485" s="695">
        <v>698</v>
      </c>
      <c r="J2485" s="695" t="s">
        <v>8967</v>
      </c>
      <c r="K2485" s="695" t="s">
        <v>3907</v>
      </c>
      <c r="L2485" s="696">
        <v>0</v>
      </c>
      <c r="M2485" s="170"/>
    </row>
    <row r="2486" spans="2:13" x14ac:dyDescent="0.2">
      <c r="B2486" s="173"/>
      <c r="C2486" s="694">
        <v>1</v>
      </c>
      <c r="D2486" s="695" t="s">
        <v>3903</v>
      </c>
      <c r="E2486" s="695">
        <v>3</v>
      </c>
      <c r="F2486" s="695" t="s">
        <v>4822</v>
      </c>
      <c r="G2486" s="695">
        <v>5</v>
      </c>
      <c r="H2486" s="695" t="s">
        <v>5320</v>
      </c>
      <c r="I2486" s="695">
        <v>699</v>
      </c>
      <c r="J2486" s="695" t="s">
        <v>8968</v>
      </c>
      <c r="K2486" s="695" t="s">
        <v>3907</v>
      </c>
      <c r="L2486" s="696">
        <v>3</v>
      </c>
      <c r="M2486" s="170"/>
    </row>
    <row r="2487" spans="2:13" x14ac:dyDescent="0.2">
      <c r="B2487" s="173"/>
      <c r="C2487" s="694">
        <v>1</v>
      </c>
      <c r="D2487" s="695" t="s">
        <v>3903</v>
      </c>
      <c r="E2487" s="695">
        <v>3</v>
      </c>
      <c r="F2487" s="695" t="s">
        <v>4822</v>
      </c>
      <c r="G2487" s="695">
        <v>5</v>
      </c>
      <c r="H2487" s="695" t="s">
        <v>5320</v>
      </c>
      <c r="I2487" s="695">
        <v>700</v>
      </c>
      <c r="J2487" s="695" t="s">
        <v>8969</v>
      </c>
      <c r="K2487" s="695" t="s">
        <v>8544</v>
      </c>
      <c r="L2487" s="696">
        <v>0</v>
      </c>
      <c r="M2487" s="170"/>
    </row>
    <row r="2488" spans="2:13" x14ac:dyDescent="0.2">
      <c r="B2488" s="173"/>
      <c r="C2488" s="694">
        <v>1</v>
      </c>
      <c r="D2488" s="695" t="s">
        <v>3903</v>
      </c>
      <c r="E2488" s="695">
        <v>3</v>
      </c>
      <c r="F2488" s="695" t="s">
        <v>4822</v>
      </c>
      <c r="G2488" s="695">
        <v>5</v>
      </c>
      <c r="H2488" s="695" t="s">
        <v>5320</v>
      </c>
      <c r="I2488" s="695">
        <v>701</v>
      </c>
      <c r="J2488" s="695" t="s">
        <v>8970</v>
      </c>
      <c r="K2488" s="695" t="s">
        <v>8544</v>
      </c>
      <c r="L2488" s="696">
        <v>2</v>
      </c>
      <c r="M2488" s="170"/>
    </row>
    <row r="2489" spans="2:13" x14ac:dyDescent="0.2">
      <c r="B2489" s="173"/>
      <c r="C2489" s="694">
        <v>1</v>
      </c>
      <c r="D2489" s="695" t="s">
        <v>3903</v>
      </c>
      <c r="E2489" s="695">
        <v>3</v>
      </c>
      <c r="F2489" s="695" t="s">
        <v>4822</v>
      </c>
      <c r="G2489" s="695">
        <v>5</v>
      </c>
      <c r="H2489" s="695" t="s">
        <v>5320</v>
      </c>
      <c r="I2489" s="695">
        <v>702</v>
      </c>
      <c r="J2489" s="695" t="s">
        <v>8971</v>
      </c>
      <c r="K2489" s="695" t="s">
        <v>8544</v>
      </c>
      <c r="L2489" s="696">
        <v>2</v>
      </c>
      <c r="M2489" s="170"/>
    </row>
    <row r="2490" spans="2:13" x14ac:dyDescent="0.2">
      <c r="B2490" s="173"/>
      <c r="C2490" s="694">
        <v>1</v>
      </c>
      <c r="D2490" s="695" t="s">
        <v>3903</v>
      </c>
      <c r="E2490" s="695">
        <v>3</v>
      </c>
      <c r="F2490" s="695" t="s">
        <v>4822</v>
      </c>
      <c r="G2490" s="695">
        <v>5</v>
      </c>
      <c r="H2490" s="695" t="s">
        <v>5320</v>
      </c>
      <c r="I2490" s="695">
        <v>703</v>
      </c>
      <c r="J2490" s="695" t="s">
        <v>8957</v>
      </c>
      <c r="K2490" s="695" t="s">
        <v>8544</v>
      </c>
      <c r="L2490" s="696">
        <v>0</v>
      </c>
      <c r="M2490" s="170"/>
    </row>
    <row r="2491" spans="2:13" x14ac:dyDescent="0.2">
      <c r="B2491" s="173"/>
      <c r="C2491" s="694">
        <v>1</v>
      </c>
      <c r="D2491" s="695" t="s">
        <v>3903</v>
      </c>
      <c r="E2491" s="695">
        <v>3</v>
      </c>
      <c r="F2491" s="695" t="s">
        <v>4822</v>
      </c>
      <c r="G2491" s="695">
        <v>5</v>
      </c>
      <c r="H2491" s="695" t="s">
        <v>5320</v>
      </c>
      <c r="I2491" s="695">
        <v>704</v>
      </c>
      <c r="J2491" s="695" t="s">
        <v>8972</v>
      </c>
      <c r="K2491" s="695" t="s">
        <v>8544</v>
      </c>
      <c r="L2491" s="696">
        <v>2</v>
      </c>
      <c r="M2491" s="170"/>
    </row>
    <row r="2492" spans="2:13" x14ac:dyDescent="0.2">
      <c r="B2492" s="173"/>
      <c r="C2492" s="694">
        <v>1</v>
      </c>
      <c r="D2492" s="695" t="s">
        <v>3903</v>
      </c>
      <c r="E2492" s="695">
        <v>3</v>
      </c>
      <c r="F2492" s="695" t="s">
        <v>4822</v>
      </c>
      <c r="G2492" s="695">
        <v>5</v>
      </c>
      <c r="H2492" s="695" t="s">
        <v>5320</v>
      </c>
      <c r="I2492" s="695">
        <v>705</v>
      </c>
      <c r="J2492" s="695" t="s">
        <v>8973</v>
      </c>
      <c r="K2492" s="695" t="s">
        <v>8544</v>
      </c>
      <c r="L2492" s="696">
        <v>0</v>
      </c>
      <c r="M2492" s="170"/>
    </row>
    <row r="2493" spans="2:13" x14ac:dyDescent="0.2">
      <c r="B2493" s="173"/>
      <c r="C2493" s="694">
        <v>1</v>
      </c>
      <c r="D2493" s="695" t="s">
        <v>3903</v>
      </c>
      <c r="E2493" s="695">
        <v>3</v>
      </c>
      <c r="F2493" s="695" t="s">
        <v>4822</v>
      </c>
      <c r="G2493" s="695">
        <v>5</v>
      </c>
      <c r="H2493" s="695" t="s">
        <v>5320</v>
      </c>
      <c r="I2493" s="695">
        <v>706</v>
      </c>
      <c r="J2493" s="695" t="s">
        <v>8974</v>
      </c>
      <c r="K2493" s="695" t="s">
        <v>8544</v>
      </c>
      <c r="L2493" s="696">
        <v>0</v>
      </c>
      <c r="M2493" s="170"/>
    </row>
    <row r="2494" spans="2:13" x14ac:dyDescent="0.2">
      <c r="B2494" s="173"/>
      <c r="C2494" s="694">
        <v>1</v>
      </c>
      <c r="D2494" s="695" t="s">
        <v>3903</v>
      </c>
      <c r="E2494" s="695">
        <v>3</v>
      </c>
      <c r="F2494" s="695" t="s">
        <v>4822</v>
      </c>
      <c r="G2494" s="695">
        <v>5</v>
      </c>
      <c r="H2494" s="695" t="s">
        <v>5320</v>
      </c>
      <c r="I2494" s="695">
        <v>707</v>
      </c>
      <c r="J2494" s="695" t="s">
        <v>5914</v>
      </c>
      <c r="K2494" s="695" t="s">
        <v>8544</v>
      </c>
      <c r="L2494" s="696">
        <v>9</v>
      </c>
      <c r="M2494" s="170"/>
    </row>
    <row r="2495" spans="2:13" x14ac:dyDescent="0.2">
      <c r="B2495" s="173"/>
      <c r="C2495" s="694">
        <v>1</v>
      </c>
      <c r="D2495" s="695" t="s">
        <v>3903</v>
      </c>
      <c r="E2495" s="695">
        <v>3</v>
      </c>
      <c r="F2495" s="695" t="s">
        <v>4822</v>
      </c>
      <c r="G2495" s="695">
        <v>5</v>
      </c>
      <c r="H2495" s="695" t="s">
        <v>5320</v>
      </c>
      <c r="I2495" s="695">
        <v>708</v>
      </c>
      <c r="J2495" s="695" t="s">
        <v>8975</v>
      </c>
      <c r="K2495" s="695" t="s">
        <v>8544</v>
      </c>
      <c r="L2495" s="696">
        <v>1</v>
      </c>
      <c r="M2495" s="170"/>
    </row>
    <row r="2496" spans="2:13" x14ac:dyDescent="0.2">
      <c r="B2496" s="173"/>
      <c r="C2496" s="694">
        <v>1</v>
      </c>
      <c r="D2496" s="695" t="s">
        <v>3903</v>
      </c>
      <c r="E2496" s="695">
        <v>3</v>
      </c>
      <c r="F2496" s="695" t="s">
        <v>4822</v>
      </c>
      <c r="G2496" s="695">
        <v>5</v>
      </c>
      <c r="H2496" s="695" t="s">
        <v>5320</v>
      </c>
      <c r="I2496" s="695">
        <v>711</v>
      </c>
      <c r="J2496" s="695" t="s">
        <v>8976</v>
      </c>
      <c r="K2496" s="695" t="s">
        <v>8544</v>
      </c>
      <c r="L2496" s="696">
        <v>3</v>
      </c>
      <c r="M2496" s="170"/>
    </row>
    <row r="2497" spans="2:13" x14ac:dyDescent="0.2">
      <c r="B2497" s="173"/>
      <c r="C2497" s="694">
        <v>1</v>
      </c>
      <c r="D2497" s="695" t="s">
        <v>3903</v>
      </c>
      <c r="E2497" s="695">
        <v>3</v>
      </c>
      <c r="F2497" s="695" t="s">
        <v>4822</v>
      </c>
      <c r="G2497" s="695">
        <v>5</v>
      </c>
      <c r="H2497" s="695" t="s">
        <v>5320</v>
      </c>
      <c r="I2497" s="695">
        <v>712</v>
      </c>
      <c r="J2497" s="695" t="s">
        <v>8977</v>
      </c>
      <c r="K2497" s="695" t="s">
        <v>8544</v>
      </c>
      <c r="L2497" s="696">
        <v>3</v>
      </c>
      <c r="M2497" s="170"/>
    </row>
    <row r="2498" spans="2:13" x14ac:dyDescent="0.2">
      <c r="B2498" s="173"/>
      <c r="C2498" s="694">
        <v>1</v>
      </c>
      <c r="D2498" s="695" t="s">
        <v>3903</v>
      </c>
      <c r="E2498" s="695">
        <v>3</v>
      </c>
      <c r="F2498" s="695" t="s">
        <v>4822</v>
      </c>
      <c r="G2498" s="695">
        <v>5</v>
      </c>
      <c r="H2498" s="695" t="s">
        <v>5320</v>
      </c>
      <c r="I2498" s="695">
        <v>713</v>
      </c>
      <c r="J2498" s="695" t="s">
        <v>8978</v>
      </c>
      <c r="K2498" s="695" t="s">
        <v>3907</v>
      </c>
      <c r="L2498" s="696">
        <v>2</v>
      </c>
      <c r="M2498" s="170"/>
    </row>
    <row r="2499" spans="2:13" x14ac:dyDescent="0.2">
      <c r="B2499" s="173"/>
      <c r="C2499" s="694">
        <v>1</v>
      </c>
      <c r="D2499" s="695" t="s">
        <v>3903</v>
      </c>
      <c r="E2499" s="695">
        <v>3</v>
      </c>
      <c r="F2499" s="695" t="s">
        <v>4822</v>
      </c>
      <c r="G2499" s="695">
        <v>5</v>
      </c>
      <c r="H2499" s="695" t="s">
        <v>5320</v>
      </c>
      <c r="I2499" s="695">
        <v>714</v>
      </c>
      <c r="J2499" s="695" t="s">
        <v>8979</v>
      </c>
      <c r="K2499" s="695" t="s">
        <v>3907</v>
      </c>
      <c r="L2499" s="696">
        <v>0</v>
      </c>
      <c r="M2499" s="170"/>
    </row>
    <row r="2500" spans="2:13" x14ac:dyDescent="0.2">
      <c r="B2500" s="173"/>
      <c r="C2500" s="694">
        <v>1</v>
      </c>
      <c r="D2500" s="695" t="s">
        <v>3903</v>
      </c>
      <c r="E2500" s="695">
        <v>3</v>
      </c>
      <c r="F2500" s="695" t="s">
        <v>4822</v>
      </c>
      <c r="G2500" s="695">
        <v>5</v>
      </c>
      <c r="H2500" s="695" t="s">
        <v>5320</v>
      </c>
      <c r="I2500" s="695">
        <v>715</v>
      </c>
      <c r="J2500" s="695" t="s">
        <v>8980</v>
      </c>
      <c r="K2500" s="695" t="s">
        <v>3907</v>
      </c>
      <c r="L2500" s="696">
        <v>6</v>
      </c>
      <c r="M2500" s="170"/>
    </row>
    <row r="2501" spans="2:13" x14ac:dyDescent="0.2">
      <c r="B2501" s="173"/>
      <c r="C2501" s="694">
        <v>1</v>
      </c>
      <c r="D2501" s="695" t="s">
        <v>3903</v>
      </c>
      <c r="E2501" s="695">
        <v>3</v>
      </c>
      <c r="F2501" s="695" t="s">
        <v>4822</v>
      </c>
      <c r="G2501" s="695">
        <v>5</v>
      </c>
      <c r="H2501" s="695" t="s">
        <v>5320</v>
      </c>
      <c r="I2501" s="695">
        <v>716</v>
      </c>
      <c r="J2501" s="695" t="s">
        <v>8981</v>
      </c>
      <c r="K2501" s="695" t="s">
        <v>8544</v>
      </c>
      <c r="L2501" s="696">
        <v>2</v>
      </c>
      <c r="M2501" s="170"/>
    </row>
    <row r="2502" spans="2:13" x14ac:dyDescent="0.2">
      <c r="B2502" s="173"/>
      <c r="C2502" s="694">
        <v>1</v>
      </c>
      <c r="D2502" s="695" t="s">
        <v>3903</v>
      </c>
      <c r="E2502" s="695">
        <v>3</v>
      </c>
      <c r="F2502" s="695" t="s">
        <v>4822</v>
      </c>
      <c r="G2502" s="695">
        <v>5</v>
      </c>
      <c r="H2502" s="695" t="s">
        <v>5320</v>
      </c>
      <c r="I2502" s="695">
        <v>717</v>
      </c>
      <c r="J2502" s="695" t="s">
        <v>8982</v>
      </c>
      <c r="K2502" s="695" t="s">
        <v>8544</v>
      </c>
      <c r="L2502" s="696">
        <v>5</v>
      </c>
      <c r="M2502" s="170"/>
    </row>
    <row r="2503" spans="2:13" x14ac:dyDescent="0.2">
      <c r="B2503" s="173"/>
      <c r="C2503" s="694">
        <v>1</v>
      </c>
      <c r="D2503" s="695" t="s">
        <v>3903</v>
      </c>
      <c r="E2503" s="695">
        <v>3</v>
      </c>
      <c r="F2503" s="695" t="s">
        <v>4822</v>
      </c>
      <c r="G2503" s="695">
        <v>5</v>
      </c>
      <c r="H2503" s="695" t="s">
        <v>5320</v>
      </c>
      <c r="I2503" s="695">
        <v>718</v>
      </c>
      <c r="J2503" s="695" t="s">
        <v>8983</v>
      </c>
      <c r="K2503" s="695" t="s">
        <v>8544</v>
      </c>
      <c r="L2503" s="696">
        <v>1</v>
      </c>
      <c r="M2503" s="170"/>
    </row>
    <row r="2504" spans="2:13" x14ac:dyDescent="0.2">
      <c r="B2504" s="173"/>
      <c r="C2504" s="694">
        <v>1</v>
      </c>
      <c r="D2504" s="695" t="s">
        <v>3903</v>
      </c>
      <c r="E2504" s="695">
        <v>3</v>
      </c>
      <c r="F2504" s="695" t="s">
        <v>4822</v>
      </c>
      <c r="G2504" s="695">
        <v>5</v>
      </c>
      <c r="H2504" s="695" t="s">
        <v>5320</v>
      </c>
      <c r="I2504" s="695">
        <v>719</v>
      </c>
      <c r="J2504" s="695" t="s">
        <v>8984</v>
      </c>
      <c r="K2504" s="695" t="s">
        <v>8544</v>
      </c>
      <c r="L2504" s="696">
        <v>2</v>
      </c>
      <c r="M2504" s="170"/>
    </row>
    <row r="2505" spans="2:13" x14ac:dyDescent="0.2">
      <c r="B2505" s="173"/>
      <c r="C2505" s="694">
        <v>1</v>
      </c>
      <c r="D2505" s="695" t="s">
        <v>3903</v>
      </c>
      <c r="E2505" s="695">
        <v>3</v>
      </c>
      <c r="F2505" s="695" t="s">
        <v>4822</v>
      </c>
      <c r="G2505" s="695">
        <v>5</v>
      </c>
      <c r="H2505" s="695" t="s">
        <v>5320</v>
      </c>
      <c r="I2505" s="695">
        <v>720</v>
      </c>
      <c r="J2505" s="695" t="s">
        <v>8985</v>
      </c>
      <c r="K2505" s="695" t="s">
        <v>8544</v>
      </c>
      <c r="L2505" s="696">
        <v>3</v>
      </c>
      <c r="M2505" s="170"/>
    </row>
    <row r="2506" spans="2:13" x14ac:dyDescent="0.2">
      <c r="B2506" s="173"/>
      <c r="C2506" s="694">
        <v>1</v>
      </c>
      <c r="D2506" s="695" t="s">
        <v>3903</v>
      </c>
      <c r="E2506" s="695">
        <v>3</v>
      </c>
      <c r="F2506" s="695" t="s">
        <v>4822</v>
      </c>
      <c r="G2506" s="695">
        <v>5</v>
      </c>
      <c r="H2506" s="695" t="s">
        <v>5320</v>
      </c>
      <c r="I2506" s="695">
        <v>721</v>
      </c>
      <c r="J2506" s="695" t="s">
        <v>8986</v>
      </c>
      <c r="K2506" s="695" t="s">
        <v>8544</v>
      </c>
      <c r="L2506" s="696">
        <v>0</v>
      </c>
      <c r="M2506" s="170"/>
    </row>
    <row r="2507" spans="2:13" x14ac:dyDescent="0.2">
      <c r="B2507" s="173"/>
      <c r="C2507" s="694">
        <v>1</v>
      </c>
      <c r="D2507" s="695" t="s">
        <v>3903</v>
      </c>
      <c r="E2507" s="695">
        <v>3</v>
      </c>
      <c r="F2507" s="695" t="s">
        <v>4822</v>
      </c>
      <c r="G2507" s="695">
        <v>5</v>
      </c>
      <c r="H2507" s="695" t="s">
        <v>5320</v>
      </c>
      <c r="I2507" s="695">
        <v>722</v>
      </c>
      <c r="J2507" s="695" t="s">
        <v>8987</v>
      </c>
      <c r="K2507" s="695" t="s">
        <v>8544</v>
      </c>
      <c r="L2507" s="696">
        <v>1</v>
      </c>
      <c r="M2507" s="170"/>
    </row>
    <row r="2508" spans="2:13" x14ac:dyDescent="0.2">
      <c r="B2508" s="173"/>
      <c r="C2508" s="694">
        <v>1</v>
      </c>
      <c r="D2508" s="695" t="s">
        <v>3903</v>
      </c>
      <c r="E2508" s="695">
        <v>3</v>
      </c>
      <c r="F2508" s="695" t="s">
        <v>4822</v>
      </c>
      <c r="G2508" s="695">
        <v>5</v>
      </c>
      <c r="H2508" s="695" t="s">
        <v>5320</v>
      </c>
      <c r="I2508" s="695">
        <v>723</v>
      </c>
      <c r="J2508" s="695" t="s">
        <v>8988</v>
      </c>
      <c r="K2508" s="695" t="s">
        <v>8544</v>
      </c>
      <c r="L2508" s="696">
        <v>1</v>
      </c>
      <c r="M2508" s="170"/>
    </row>
    <row r="2509" spans="2:13" x14ac:dyDescent="0.2">
      <c r="B2509" s="173"/>
      <c r="C2509" s="694">
        <v>1</v>
      </c>
      <c r="D2509" s="695" t="s">
        <v>3903</v>
      </c>
      <c r="E2509" s="695">
        <v>3</v>
      </c>
      <c r="F2509" s="695" t="s">
        <v>4822</v>
      </c>
      <c r="G2509" s="695">
        <v>5</v>
      </c>
      <c r="H2509" s="695" t="s">
        <v>5320</v>
      </c>
      <c r="I2509" s="695">
        <v>724</v>
      </c>
      <c r="J2509" s="695" t="s">
        <v>8989</v>
      </c>
      <c r="K2509" s="695" t="s">
        <v>8544</v>
      </c>
      <c r="L2509" s="696">
        <v>1</v>
      </c>
      <c r="M2509" s="170"/>
    </row>
    <row r="2510" spans="2:13" x14ac:dyDescent="0.2">
      <c r="B2510" s="173"/>
      <c r="C2510" s="694">
        <v>1</v>
      </c>
      <c r="D2510" s="695" t="s">
        <v>3903</v>
      </c>
      <c r="E2510" s="695">
        <v>3</v>
      </c>
      <c r="F2510" s="695" t="s">
        <v>4822</v>
      </c>
      <c r="G2510" s="695">
        <v>5</v>
      </c>
      <c r="H2510" s="695" t="s">
        <v>5320</v>
      </c>
      <c r="I2510" s="695">
        <v>725</v>
      </c>
      <c r="J2510" s="695" t="s">
        <v>8990</v>
      </c>
      <c r="K2510" s="695" t="s">
        <v>8544</v>
      </c>
      <c r="L2510" s="696">
        <v>1</v>
      </c>
      <c r="M2510" s="170"/>
    </row>
    <row r="2511" spans="2:13" x14ac:dyDescent="0.2">
      <c r="B2511" s="173"/>
      <c r="C2511" s="694">
        <v>1</v>
      </c>
      <c r="D2511" s="695" t="s">
        <v>3903</v>
      </c>
      <c r="E2511" s="695">
        <v>3</v>
      </c>
      <c r="F2511" s="695" t="s">
        <v>4822</v>
      </c>
      <c r="G2511" s="695">
        <v>5</v>
      </c>
      <c r="H2511" s="695" t="s">
        <v>5320</v>
      </c>
      <c r="I2511" s="695">
        <v>726</v>
      </c>
      <c r="J2511" s="695" t="s">
        <v>8991</v>
      </c>
      <c r="K2511" s="695" t="s">
        <v>8544</v>
      </c>
      <c r="L2511" s="696">
        <v>0</v>
      </c>
      <c r="M2511" s="170"/>
    </row>
    <row r="2512" spans="2:13" x14ac:dyDescent="0.2">
      <c r="B2512" s="173"/>
      <c r="C2512" s="694">
        <v>1</v>
      </c>
      <c r="D2512" s="695" t="s">
        <v>3903</v>
      </c>
      <c r="E2512" s="695">
        <v>3</v>
      </c>
      <c r="F2512" s="695" t="s">
        <v>4822</v>
      </c>
      <c r="G2512" s="695">
        <v>5</v>
      </c>
      <c r="H2512" s="695" t="s">
        <v>5320</v>
      </c>
      <c r="I2512" s="695">
        <v>727</v>
      </c>
      <c r="J2512" s="695" t="s">
        <v>8992</v>
      </c>
      <c r="K2512" s="695" t="s">
        <v>8544</v>
      </c>
      <c r="L2512" s="696">
        <v>1</v>
      </c>
      <c r="M2512" s="170"/>
    </row>
    <row r="2513" spans="2:13" x14ac:dyDescent="0.2">
      <c r="B2513" s="173"/>
      <c r="C2513" s="694">
        <v>1</v>
      </c>
      <c r="D2513" s="695" t="s">
        <v>3903</v>
      </c>
      <c r="E2513" s="695">
        <v>3</v>
      </c>
      <c r="F2513" s="695" t="s">
        <v>4822</v>
      </c>
      <c r="G2513" s="695">
        <v>5</v>
      </c>
      <c r="H2513" s="695" t="s">
        <v>5320</v>
      </c>
      <c r="I2513" s="695">
        <v>728</v>
      </c>
      <c r="J2513" s="695" t="s">
        <v>8993</v>
      </c>
      <c r="K2513" s="695" t="s">
        <v>8544</v>
      </c>
      <c r="L2513" s="696">
        <v>2</v>
      </c>
      <c r="M2513" s="170"/>
    </row>
    <row r="2514" spans="2:13" x14ac:dyDescent="0.2">
      <c r="B2514" s="173"/>
      <c r="C2514" s="694">
        <v>1</v>
      </c>
      <c r="D2514" s="695" t="s">
        <v>3903</v>
      </c>
      <c r="E2514" s="695">
        <v>3</v>
      </c>
      <c r="F2514" s="695" t="s">
        <v>4822</v>
      </c>
      <c r="G2514" s="695">
        <v>5</v>
      </c>
      <c r="H2514" s="695" t="s">
        <v>5320</v>
      </c>
      <c r="I2514" s="695">
        <v>729</v>
      </c>
      <c r="J2514" s="695" t="s">
        <v>8994</v>
      </c>
      <c r="K2514" s="695" t="s">
        <v>3907</v>
      </c>
      <c r="L2514" s="696">
        <v>1</v>
      </c>
      <c r="M2514" s="170"/>
    </row>
    <row r="2515" spans="2:13" x14ac:dyDescent="0.2">
      <c r="B2515" s="173"/>
      <c r="C2515" s="694">
        <v>1</v>
      </c>
      <c r="D2515" s="695" t="s">
        <v>3903</v>
      </c>
      <c r="E2515" s="695">
        <v>3</v>
      </c>
      <c r="F2515" s="695" t="s">
        <v>4822</v>
      </c>
      <c r="G2515" s="695">
        <v>5</v>
      </c>
      <c r="H2515" s="695" t="s">
        <v>5320</v>
      </c>
      <c r="I2515" s="695">
        <v>730</v>
      </c>
      <c r="J2515" s="695" t="s">
        <v>8995</v>
      </c>
      <c r="K2515" s="695" t="s">
        <v>8544</v>
      </c>
      <c r="L2515" s="696">
        <v>0</v>
      </c>
      <c r="M2515" s="170"/>
    </row>
    <row r="2516" spans="2:13" x14ac:dyDescent="0.2">
      <c r="B2516" s="173"/>
      <c r="C2516" s="694">
        <v>1</v>
      </c>
      <c r="D2516" s="695" t="s">
        <v>3903</v>
      </c>
      <c r="E2516" s="695">
        <v>3</v>
      </c>
      <c r="F2516" s="695" t="s">
        <v>4822</v>
      </c>
      <c r="G2516" s="695">
        <v>5</v>
      </c>
      <c r="H2516" s="695" t="s">
        <v>5320</v>
      </c>
      <c r="I2516" s="695">
        <v>731</v>
      </c>
      <c r="J2516" s="695" t="s">
        <v>8996</v>
      </c>
      <c r="K2516" s="695" t="s">
        <v>8544</v>
      </c>
      <c r="L2516" s="696">
        <v>0</v>
      </c>
      <c r="M2516" s="170"/>
    </row>
    <row r="2517" spans="2:13" x14ac:dyDescent="0.2">
      <c r="B2517" s="173"/>
      <c r="C2517" s="694">
        <v>1</v>
      </c>
      <c r="D2517" s="695" t="s">
        <v>3903</v>
      </c>
      <c r="E2517" s="695">
        <v>3</v>
      </c>
      <c r="F2517" s="695" t="s">
        <v>4822</v>
      </c>
      <c r="G2517" s="695">
        <v>5</v>
      </c>
      <c r="H2517" s="695" t="s">
        <v>5320</v>
      </c>
      <c r="I2517" s="695">
        <v>732</v>
      </c>
      <c r="J2517" s="695" t="s">
        <v>8997</v>
      </c>
      <c r="K2517" s="695" t="s">
        <v>8544</v>
      </c>
      <c r="L2517" s="696">
        <v>0</v>
      </c>
      <c r="M2517" s="170"/>
    </row>
    <row r="2518" spans="2:13" x14ac:dyDescent="0.2">
      <c r="B2518" s="173"/>
      <c r="C2518" s="694">
        <v>1</v>
      </c>
      <c r="D2518" s="695" t="s">
        <v>3903</v>
      </c>
      <c r="E2518" s="695">
        <v>3</v>
      </c>
      <c r="F2518" s="695" t="s">
        <v>4822</v>
      </c>
      <c r="G2518" s="695">
        <v>5</v>
      </c>
      <c r="H2518" s="695" t="s">
        <v>5320</v>
      </c>
      <c r="I2518" s="695">
        <v>733</v>
      </c>
      <c r="J2518" s="695" t="s">
        <v>8998</v>
      </c>
      <c r="K2518" s="695" t="s">
        <v>8544</v>
      </c>
      <c r="L2518" s="696">
        <v>0</v>
      </c>
      <c r="M2518" s="170"/>
    </row>
    <row r="2519" spans="2:13" x14ac:dyDescent="0.2">
      <c r="B2519" s="173"/>
      <c r="C2519" s="694">
        <v>1</v>
      </c>
      <c r="D2519" s="695" t="s">
        <v>3903</v>
      </c>
      <c r="E2519" s="695">
        <v>3</v>
      </c>
      <c r="F2519" s="695" t="s">
        <v>4822</v>
      </c>
      <c r="G2519" s="695">
        <v>5</v>
      </c>
      <c r="H2519" s="695" t="s">
        <v>5320</v>
      </c>
      <c r="I2519" s="695">
        <v>734</v>
      </c>
      <c r="J2519" s="695" t="s">
        <v>8999</v>
      </c>
      <c r="K2519" s="695" t="s">
        <v>4045</v>
      </c>
      <c r="L2519" s="696">
        <v>0</v>
      </c>
      <c r="M2519" s="170"/>
    </row>
    <row r="2520" spans="2:13" x14ac:dyDescent="0.2">
      <c r="B2520" s="173"/>
      <c r="C2520" s="694">
        <v>1</v>
      </c>
      <c r="D2520" s="695" t="s">
        <v>3903</v>
      </c>
      <c r="E2520" s="695">
        <v>3</v>
      </c>
      <c r="F2520" s="695" t="s">
        <v>4822</v>
      </c>
      <c r="G2520" s="695">
        <v>5</v>
      </c>
      <c r="H2520" s="695" t="s">
        <v>5320</v>
      </c>
      <c r="I2520" s="695">
        <v>735</v>
      </c>
      <c r="J2520" s="695" t="s">
        <v>9000</v>
      </c>
      <c r="K2520" s="695" t="s">
        <v>8544</v>
      </c>
      <c r="L2520" s="696">
        <v>0</v>
      </c>
      <c r="M2520" s="170"/>
    </row>
    <row r="2521" spans="2:13" x14ac:dyDescent="0.2">
      <c r="B2521" s="173"/>
      <c r="C2521" s="694">
        <v>1</v>
      </c>
      <c r="D2521" s="695" t="s">
        <v>3903</v>
      </c>
      <c r="E2521" s="695">
        <v>3</v>
      </c>
      <c r="F2521" s="695" t="s">
        <v>4822</v>
      </c>
      <c r="G2521" s="695">
        <v>5</v>
      </c>
      <c r="H2521" s="695" t="s">
        <v>5320</v>
      </c>
      <c r="I2521" s="695">
        <v>736</v>
      </c>
      <c r="J2521" s="695" t="s">
        <v>9001</v>
      </c>
      <c r="K2521" s="695" t="s">
        <v>8544</v>
      </c>
      <c r="L2521" s="696">
        <v>0</v>
      </c>
      <c r="M2521" s="170"/>
    </row>
    <row r="2522" spans="2:13" x14ac:dyDescent="0.2">
      <c r="B2522" s="173"/>
      <c r="C2522" s="694">
        <v>1</v>
      </c>
      <c r="D2522" s="695" t="s">
        <v>3903</v>
      </c>
      <c r="E2522" s="695">
        <v>3</v>
      </c>
      <c r="F2522" s="695" t="s">
        <v>4822</v>
      </c>
      <c r="G2522" s="695">
        <v>5</v>
      </c>
      <c r="H2522" s="695" t="s">
        <v>5320</v>
      </c>
      <c r="I2522" s="695">
        <v>737</v>
      </c>
      <c r="J2522" s="695" t="s">
        <v>9002</v>
      </c>
      <c r="K2522" s="695" t="s">
        <v>8544</v>
      </c>
      <c r="L2522" s="696">
        <v>0</v>
      </c>
      <c r="M2522" s="170"/>
    </row>
    <row r="2523" spans="2:13" x14ac:dyDescent="0.2">
      <c r="B2523" s="173"/>
      <c r="C2523" s="694">
        <v>1</v>
      </c>
      <c r="D2523" s="695" t="s">
        <v>3903</v>
      </c>
      <c r="E2523" s="695">
        <v>3</v>
      </c>
      <c r="F2523" s="695" t="s">
        <v>4822</v>
      </c>
      <c r="G2523" s="695">
        <v>5</v>
      </c>
      <c r="H2523" s="695" t="s">
        <v>5320</v>
      </c>
      <c r="I2523" s="695">
        <v>738</v>
      </c>
      <c r="J2523" s="695" t="s">
        <v>9003</v>
      </c>
      <c r="K2523" s="695" t="s">
        <v>8544</v>
      </c>
      <c r="L2523" s="696">
        <v>0</v>
      </c>
      <c r="M2523" s="170"/>
    </row>
    <row r="2524" spans="2:13" x14ac:dyDescent="0.2">
      <c r="B2524" s="173"/>
      <c r="C2524" s="694">
        <v>1</v>
      </c>
      <c r="D2524" s="695" t="s">
        <v>3903</v>
      </c>
      <c r="E2524" s="695">
        <v>3</v>
      </c>
      <c r="F2524" s="695" t="s">
        <v>4822</v>
      </c>
      <c r="G2524" s="695">
        <v>5</v>
      </c>
      <c r="H2524" s="695" t="s">
        <v>5320</v>
      </c>
      <c r="I2524" s="695">
        <v>739</v>
      </c>
      <c r="J2524" s="695" t="s">
        <v>9004</v>
      </c>
      <c r="K2524" s="695" t="s">
        <v>8544</v>
      </c>
      <c r="L2524" s="696">
        <v>0</v>
      </c>
      <c r="M2524" s="170"/>
    </row>
    <row r="2525" spans="2:13" x14ac:dyDescent="0.2">
      <c r="B2525" s="173"/>
      <c r="C2525" s="694">
        <v>1</v>
      </c>
      <c r="D2525" s="695" t="s">
        <v>3903</v>
      </c>
      <c r="E2525" s="695">
        <v>3</v>
      </c>
      <c r="F2525" s="695" t="s">
        <v>4822</v>
      </c>
      <c r="G2525" s="695">
        <v>5</v>
      </c>
      <c r="H2525" s="695" t="s">
        <v>5320</v>
      </c>
      <c r="I2525" s="695">
        <v>740</v>
      </c>
      <c r="J2525" s="695" t="s">
        <v>9005</v>
      </c>
      <c r="K2525" s="695" t="s">
        <v>8544</v>
      </c>
      <c r="L2525" s="696">
        <v>0</v>
      </c>
      <c r="M2525" s="170"/>
    </row>
    <row r="2526" spans="2:13" x14ac:dyDescent="0.2">
      <c r="B2526" s="173"/>
      <c r="C2526" s="694">
        <v>1</v>
      </c>
      <c r="D2526" s="695" t="s">
        <v>3903</v>
      </c>
      <c r="E2526" s="695">
        <v>3</v>
      </c>
      <c r="F2526" s="695" t="s">
        <v>4822</v>
      </c>
      <c r="G2526" s="695">
        <v>5</v>
      </c>
      <c r="H2526" s="695" t="s">
        <v>5320</v>
      </c>
      <c r="I2526" s="695">
        <v>741</v>
      </c>
      <c r="J2526" s="695" t="s">
        <v>9006</v>
      </c>
      <c r="K2526" s="695" t="s">
        <v>8544</v>
      </c>
      <c r="L2526" s="696">
        <v>0</v>
      </c>
      <c r="M2526" s="170"/>
    </row>
    <row r="2527" spans="2:13" x14ac:dyDescent="0.2">
      <c r="B2527" s="173"/>
      <c r="C2527" s="694">
        <v>1</v>
      </c>
      <c r="D2527" s="695" t="s">
        <v>3903</v>
      </c>
      <c r="E2527" s="695">
        <v>3</v>
      </c>
      <c r="F2527" s="695" t="s">
        <v>4822</v>
      </c>
      <c r="G2527" s="695">
        <v>5</v>
      </c>
      <c r="H2527" s="695" t="s">
        <v>5320</v>
      </c>
      <c r="I2527" s="695">
        <v>742</v>
      </c>
      <c r="J2527" s="695" t="s">
        <v>9007</v>
      </c>
      <c r="K2527" s="695" t="s">
        <v>3985</v>
      </c>
      <c r="L2527" s="696">
        <v>0</v>
      </c>
      <c r="M2527" s="170"/>
    </row>
    <row r="2528" spans="2:13" x14ac:dyDescent="0.2">
      <c r="B2528" s="173"/>
      <c r="C2528" s="694">
        <v>1</v>
      </c>
      <c r="D2528" s="695" t="s">
        <v>3903</v>
      </c>
      <c r="E2528" s="695">
        <v>3</v>
      </c>
      <c r="F2528" s="695" t="s">
        <v>4822</v>
      </c>
      <c r="G2528" s="695">
        <v>5</v>
      </c>
      <c r="H2528" s="695" t="s">
        <v>5320</v>
      </c>
      <c r="I2528" s="695">
        <v>743</v>
      </c>
      <c r="J2528" s="695" t="s">
        <v>9008</v>
      </c>
      <c r="K2528" s="695" t="s">
        <v>8544</v>
      </c>
      <c r="L2528" s="696">
        <v>0</v>
      </c>
      <c r="M2528" s="170"/>
    </row>
    <row r="2529" spans="2:13" x14ac:dyDescent="0.2">
      <c r="B2529" s="173"/>
      <c r="C2529" s="694">
        <v>1</v>
      </c>
      <c r="D2529" s="695" t="s">
        <v>3903</v>
      </c>
      <c r="E2529" s="695">
        <v>3</v>
      </c>
      <c r="F2529" s="695" t="s">
        <v>4822</v>
      </c>
      <c r="G2529" s="695">
        <v>5</v>
      </c>
      <c r="H2529" s="695" t="s">
        <v>5320</v>
      </c>
      <c r="I2529" s="695">
        <v>744</v>
      </c>
      <c r="J2529" s="695" t="s">
        <v>9009</v>
      </c>
      <c r="K2529" s="695" t="s">
        <v>8544</v>
      </c>
      <c r="L2529" s="696">
        <v>0</v>
      </c>
      <c r="M2529" s="170"/>
    </row>
    <row r="2530" spans="2:13" x14ac:dyDescent="0.2">
      <c r="B2530" s="173"/>
      <c r="C2530" s="694">
        <v>1</v>
      </c>
      <c r="D2530" s="695" t="s">
        <v>3903</v>
      </c>
      <c r="E2530" s="695">
        <v>3</v>
      </c>
      <c r="F2530" s="695" t="s">
        <v>4822</v>
      </c>
      <c r="G2530" s="695">
        <v>5</v>
      </c>
      <c r="H2530" s="695" t="s">
        <v>5320</v>
      </c>
      <c r="I2530" s="695">
        <v>745</v>
      </c>
      <c r="J2530" s="695" t="s">
        <v>9010</v>
      </c>
      <c r="K2530" s="695" t="s">
        <v>8544</v>
      </c>
      <c r="L2530" s="696">
        <v>0</v>
      </c>
      <c r="M2530" s="170"/>
    </row>
    <row r="2531" spans="2:13" x14ac:dyDescent="0.2">
      <c r="B2531" s="173"/>
      <c r="C2531" s="694">
        <v>1</v>
      </c>
      <c r="D2531" s="695" t="s">
        <v>3903</v>
      </c>
      <c r="E2531" s="695">
        <v>3</v>
      </c>
      <c r="F2531" s="695" t="s">
        <v>4822</v>
      </c>
      <c r="G2531" s="695">
        <v>5</v>
      </c>
      <c r="H2531" s="695" t="s">
        <v>5320</v>
      </c>
      <c r="I2531" s="695">
        <v>746</v>
      </c>
      <c r="J2531" s="695" t="s">
        <v>9011</v>
      </c>
      <c r="K2531" s="695" t="s">
        <v>8544</v>
      </c>
      <c r="L2531" s="696">
        <v>0</v>
      </c>
      <c r="M2531" s="170"/>
    </row>
    <row r="2532" spans="2:13" x14ac:dyDescent="0.2">
      <c r="B2532" s="173"/>
      <c r="C2532" s="694">
        <v>1</v>
      </c>
      <c r="D2532" s="695" t="s">
        <v>3903</v>
      </c>
      <c r="E2532" s="695">
        <v>3</v>
      </c>
      <c r="F2532" s="695" t="s">
        <v>4822</v>
      </c>
      <c r="G2532" s="695">
        <v>5</v>
      </c>
      <c r="H2532" s="695" t="s">
        <v>5320</v>
      </c>
      <c r="I2532" s="695">
        <v>747</v>
      </c>
      <c r="J2532" s="695" t="s">
        <v>9012</v>
      </c>
      <c r="K2532" s="695" t="s">
        <v>8544</v>
      </c>
      <c r="L2532" s="696">
        <v>0</v>
      </c>
      <c r="M2532" s="170"/>
    </row>
    <row r="2533" spans="2:13" x14ac:dyDescent="0.2">
      <c r="B2533" s="173"/>
      <c r="C2533" s="694">
        <v>1</v>
      </c>
      <c r="D2533" s="695" t="s">
        <v>3903</v>
      </c>
      <c r="E2533" s="695">
        <v>3</v>
      </c>
      <c r="F2533" s="695" t="s">
        <v>4822</v>
      </c>
      <c r="G2533" s="695">
        <v>5</v>
      </c>
      <c r="H2533" s="695" t="s">
        <v>5320</v>
      </c>
      <c r="I2533" s="695">
        <v>748</v>
      </c>
      <c r="J2533" s="695" t="s">
        <v>9013</v>
      </c>
      <c r="K2533" s="695" t="s">
        <v>8544</v>
      </c>
      <c r="L2533" s="696">
        <v>0</v>
      </c>
      <c r="M2533" s="170"/>
    </row>
    <row r="2534" spans="2:13" x14ac:dyDescent="0.2">
      <c r="B2534" s="173"/>
      <c r="C2534" s="694">
        <v>1</v>
      </c>
      <c r="D2534" s="695" t="s">
        <v>3903</v>
      </c>
      <c r="E2534" s="695">
        <v>3</v>
      </c>
      <c r="F2534" s="695" t="s">
        <v>4822</v>
      </c>
      <c r="G2534" s="695">
        <v>5</v>
      </c>
      <c r="H2534" s="695" t="s">
        <v>5320</v>
      </c>
      <c r="I2534" s="695">
        <v>749</v>
      </c>
      <c r="J2534" s="695" t="s">
        <v>9014</v>
      </c>
      <c r="K2534" s="695" t="s">
        <v>8544</v>
      </c>
      <c r="L2534" s="696">
        <v>0</v>
      </c>
      <c r="M2534" s="170"/>
    </row>
    <row r="2535" spans="2:13" x14ac:dyDescent="0.2">
      <c r="B2535" s="173"/>
      <c r="C2535" s="694">
        <v>1</v>
      </c>
      <c r="D2535" s="695" t="s">
        <v>3903</v>
      </c>
      <c r="E2535" s="695">
        <v>3</v>
      </c>
      <c r="F2535" s="695" t="s">
        <v>4822</v>
      </c>
      <c r="G2535" s="695">
        <v>5</v>
      </c>
      <c r="H2535" s="695" t="s">
        <v>5320</v>
      </c>
      <c r="I2535" s="695">
        <v>750</v>
      </c>
      <c r="J2535" s="695" t="s">
        <v>9015</v>
      </c>
      <c r="K2535" s="695" t="s">
        <v>8544</v>
      </c>
      <c r="L2535" s="696">
        <v>0</v>
      </c>
      <c r="M2535" s="170"/>
    </row>
    <row r="2536" spans="2:13" x14ac:dyDescent="0.2">
      <c r="B2536" s="173"/>
      <c r="C2536" s="694">
        <v>1</v>
      </c>
      <c r="D2536" s="695" t="s">
        <v>3903</v>
      </c>
      <c r="E2536" s="695">
        <v>3</v>
      </c>
      <c r="F2536" s="695" t="s">
        <v>4822</v>
      </c>
      <c r="G2536" s="695">
        <v>5</v>
      </c>
      <c r="H2536" s="695" t="s">
        <v>5320</v>
      </c>
      <c r="I2536" s="695">
        <v>751</v>
      </c>
      <c r="J2536" s="695" t="s">
        <v>9016</v>
      </c>
      <c r="K2536" s="695" t="s">
        <v>8544</v>
      </c>
      <c r="L2536" s="696">
        <v>0</v>
      </c>
      <c r="M2536" s="170"/>
    </row>
    <row r="2537" spans="2:13" x14ac:dyDescent="0.2">
      <c r="B2537" s="173"/>
      <c r="C2537" s="694">
        <v>1</v>
      </c>
      <c r="D2537" s="695" t="s">
        <v>3903</v>
      </c>
      <c r="E2537" s="695">
        <v>3</v>
      </c>
      <c r="F2537" s="695" t="s">
        <v>4822</v>
      </c>
      <c r="G2537" s="695">
        <v>5</v>
      </c>
      <c r="H2537" s="695" t="s">
        <v>5320</v>
      </c>
      <c r="I2537" s="695">
        <v>752</v>
      </c>
      <c r="J2537" s="695" t="s">
        <v>9017</v>
      </c>
      <c r="K2537" s="695" t="s">
        <v>8544</v>
      </c>
      <c r="L2537" s="696">
        <v>0</v>
      </c>
      <c r="M2537" s="170"/>
    </row>
    <row r="2538" spans="2:13" x14ac:dyDescent="0.2">
      <c r="B2538" s="173"/>
      <c r="C2538" s="694">
        <v>1</v>
      </c>
      <c r="D2538" s="695" t="s">
        <v>3903</v>
      </c>
      <c r="E2538" s="695">
        <v>3</v>
      </c>
      <c r="F2538" s="695" t="s">
        <v>4822</v>
      </c>
      <c r="G2538" s="695">
        <v>5</v>
      </c>
      <c r="H2538" s="695" t="s">
        <v>5320</v>
      </c>
      <c r="I2538" s="695">
        <v>753</v>
      </c>
      <c r="J2538" s="695" t="s">
        <v>9018</v>
      </c>
      <c r="K2538" s="695" t="s">
        <v>8544</v>
      </c>
      <c r="L2538" s="696">
        <v>0</v>
      </c>
      <c r="M2538" s="170"/>
    </row>
    <row r="2539" spans="2:13" x14ac:dyDescent="0.2">
      <c r="B2539" s="173"/>
      <c r="C2539" s="694">
        <v>1</v>
      </c>
      <c r="D2539" s="695" t="s">
        <v>3903</v>
      </c>
      <c r="E2539" s="695">
        <v>3</v>
      </c>
      <c r="F2539" s="695" t="s">
        <v>4822</v>
      </c>
      <c r="G2539" s="695">
        <v>5</v>
      </c>
      <c r="H2539" s="695" t="s">
        <v>5320</v>
      </c>
      <c r="I2539" s="695">
        <v>754</v>
      </c>
      <c r="J2539" s="695" t="s">
        <v>9019</v>
      </c>
      <c r="K2539" s="695" t="s">
        <v>3985</v>
      </c>
      <c r="L2539" s="696">
        <v>0</v>
      </c>
      <c r="M2539" s="170"/>
    </row>
    <row r="2540" spans="2:13" x14ac:dyDescent="0.2">
      <c r="B2540" s="173"/>
      <c r="C2540" s="694">
        <v>1</v>
      </c>
      <c r="D2540" s="695" t="s">
        <v>3903</v>
      </c>
      <c r="E2540" s="695">
        <v>3</v>
      </c>
      <c r="F2540" s="695" t="s">
        <v>4822</v>
      </c>
      <c r="G2540" s="695">
        <v>5</v>
      </c>
      <c r="H2540" s="695" t="s">
        <v>5320</v>
      </c>
      <c r="I2540" s="695">
        <v>755</v>
      </c>
      <c r="J2540" s="695" t="s">
        <v>9020</v>
      </c>
      <c r="K2540" s="695" t="s">
        <v>3907</v>
      </c>
      <c r="L2540" s="696">
        <v>0</v>
      </c>
      <c r="M2540" s="170"/>
    </row>
    <row r="2541" spans="2:13" x14ac:dyDescent="0.2">
      <c r="B2541" s="173"/>
      <c r="C2541" s="694">
        <v>1</v>
      </c>
      <c r="D2541" s="695" t="s">
        <v>3903</v>
      </c>
      <c r="E2541" s="695">
        <v>3</v>
      </c>
      <c r="F2541" s="695" t="s">
        <v>4822</v>
      </c>
      <c r="G2541" s="695">
        <v>5</v>
      </c>
      <c r="H2541" s="695" t="s">
        <v>5320</v>
      </c>
      <c r="I2541" s="695">
        <v>756</v>
      </c>
      <c r="J2541" s="695" t="s">
        <v>8990</v>
      </c>
      <c r="K2541" s="695" t="s">
        <v>3907</v>
      </c>
      <c r="L2541" s="696">
        <v>0</v>
      </c>
      <c r="M2541" s="170"/>
    </row>
    <row r="2542" spans="2:13" x14ac:dyDescent="0.2">
      <c r="B2542" s="173"/>
      <c r="C2542" s="694">
        <v>1</v>
      </c>
      <c r="D2542" s="695" t="s">
        <v>3903</v>
      </c>
      <c r="E2542" s="695">
        <v>3</v>
      </c>
      <c r="F2542" s="695" t="s">
        <v>4822</v>
      </c>
      <c r="G2542" s="695">
        <v>5</v>
      </c>
      <c r="H2542" s="695" t="s">
        <v>5320</v>
      </c>
      <c r="I2542" s="695">
        <v>757</v>
      </c>
      <c r="J2542" s="695" t="s">
        <v>9021</v>
      </c>
      <c r="K2542" s="695" t="s">
        <v>3907</v>
      </c>
      <c r="L2542" s="696">
        <v>0</v>
      </c>
      <c r="M2542" s="170"/>
    </row>
    <row r="2543" spans="2:13" x14ac:dyDescent="0.2">
      <c r="B2543" s="173"/>
      <c r="C2543" s="694">
        <v>1</v>
      </c>
      <c r="D2543" s="695" t="s">
        <v>3903</v>
      </c>
      <c r="E2543" s="695">
        <v>3</v>
      </c>
      <c r="F2543" s="695" t="s">
        <v>4822</v>
      </c>
      <c r="G2543" s="695">
        <v>6</v>
      </c>
      <c r="H2543" s="695" t="s">
        <v>5892</v>
      </c>
      <c r="I2543" s="695">
        <v>1</v>
      </c>
      <c r="J2543" s="695" t="s">
        <v>5893</v>
      </c>
      <c r="K2543" s="695" t="s">
        <v>3907</v>
      </c>
      <c r="L2543" s="696">
        <v>2552</v>
      </c>
      <c r="M2543" s="170"/>
    </row>
    <row r="2544" spans="2:13" x14ac:dyDescent="0.2">
      <c r="B2544" s="173"/>
      <c r="C2544" s="694">
        <v>1</v>
      </c>
      <c r="D2544" s="695" t="s">
        <v>3903</v>
      </c>
      <c r="E2544" s="695">
        <v>3</v>
      </c>
      <c r="F2544" s="695" t="s">
        <v>4822</v>
      </c>
      <c r="G2544" s="695">
        <v>6</v>
      </c>
      <c r="H2544" s="695" t="s">
        <v>5892</v>
      </c>
      <c r="I2544" s="695">
        <v>2</v>
      </c>
      <c r="J2544" s="695" t="s">
        <v>5894</v>
      </c>
      <c r="K2544" s="695" t="s">
        <v>3907</v>
      </c>
      <c r="L2544" s="696">
        <v>22</v>
      </c>
      <c r="M2544" s="170"/>
    </row>
    <row r="2545" spans="2:13" x14ac:dyDescent="0.2">
      <c r="B2545" s="173"/>
      <c r="C2545" s="694">
        <v>1</v>
      </c>
      <c r="D2545" s="695" t="s">
        <v>3903</v>
      </c>
      <c r="E2545" s="695">
        <v>3</v>
      </c>
      <c r="F2545" s="695" t="s">
        <v>4822</v>
      </c>
      <c r="G2545" s="695">
        <v>6</v>
      </c>
      <c r="H2545" s="695" t="s">
        <v>5892</v>
      </c>
      <c r="I2545" s="695">
        <v>3</v>
      </c>
      <c r="J2545" s="695" t="s">
        <v>5895</v>
      </c>
      <c r="K2545" s="695" t="s">
        <v>3907</v>
      </c>
      <c r="L2545" s="696">
        <v>9</v>
      </c>
      <c r="M2545" s="170"/>
    </row>
    <row r="2546" spans="2:13" x14ac:dyDescent="0.2">
      <c r="B2546" s="173"/>
      <c r="C2546" s="694">
        <v>1</v>
      </c>
      <c r="D2546" s="695" t="s">
        <v>3903</v>
      </c>
      <c r="E2546" s="695">
        <v>3</v>
      </c>
      <c r="F2546" s="695" t="s">
        <v>4822</v>
      </c>
      <c r="G2546" s="695">
        <v>6</v>
      </c>
      <c r="H2546" s="695" t="s">
        <v>5892</v>
      </c>
      <c r="I2546" s="695">
        <v>4</v>
      </c>
      <c r="J2546" s="695" t="s">
        <v>5896</v>
      </c>
      <c r="K2546" s="695" t="s">
        <v>3907</v>
      </c>
      <c r="L2546" s="696">
        <v>64</v>
      </c>
      <c r="M2546" s="170"/>
    </row>
    <row r="2547" spans="2:13" x14ac:dyDescent="0.2">
      <c r="B2547" s="173"/>
      <c r="C2547" s="694">
        <v>1</v>
      </c>
      <c r="D2547" s="695" t="s">
        <v>3903</v>
      </c>
      <c r="E2547" s="695">
        <v>3</v>
      </c>
      <c r="F2547" s="695" t="s">
        <v>4822</v>
      </c>
      <c r="G2547" s="695">
        <v>6</v>
      </c>
      <c r="H2547" s="695" t="s">
        <v>5892</v>
      </c>
      <c r="I2547" s="695">
        <v>5</v>
      </c>
      <c r="J2547" s="695" t="s">
        <v>5897</v>
      </c>
      <c r="K2547" s="695" t="s">
        <v>3907</v>
      </c>
      <c r="L2547" s="696">
        <v>16</v>
      </c>
      <c r="M2547" s="170"/>
    </row>
    <row r="2548" spans="2:13" x14ac:dyDescent="0.2">
      <c r="B2548" s="173"/>
      <c r="C2548" s="694">
        <v>1</v>
      </c>
      <c r="D2548" s="695" t="s">
        <v>3903</v>
      </c>
      <c r="E2548" s="695">
        <v>3</v>
      </c>
      <c r="F2548" s="695" t="s">
        <v>4822</v>
      </c>
      <c r="G2548" s="695">
        <v>6</v>
      </c>
      <c r="H2548" s="695" t="s">
        <v>5892</v>
      </c>
      <c r="I2548" s="695">
        <v>6</v>
      </c>
      <c r="J2548" s="695" t="s">
        <v>5898</v>
      </c>
      <c r="K2548" s="695" t="s">
        <v>3907</v>
      </c>
      <c r="L2548" s="696">
        <v>26</v>
      </c>
      <c r="M2548" s="170"/>
    </row>
    <row r="2549" spans="2:13" x14ac:dyDescent="0.2">
      <c r="B2549" s="173"/>
      <c r="C2549" s="694">
        <v>1</v>
      </c>
      <c r="D2549" s="695" t="s">
        <v>3903</v>
      </c>
      <c r="E2549" s="695">
        <v>3</v>
      </c>
      <c r="F2549" s="695" t="s">
        <v>4822</v>
      </c>
      <c r="G2549" s="695">
        <v>6</v>
      </c>
      <c r="H2549" s="695" t="s">
        <v>5892</v>
      </c>
      <c r="I2549" s="695">
        <v>7</v>
      </c>
      <c r="J2549" s="695" t="s">
        <v>5899</v>
      </c>
      <c r="K2549" s="695" t="s">
        <v>3907</v>
      </c>
      <c r="L2549" s="696">
        <v>8</v>
      </c>
      <c r="M2549" s="170"/>
    </row>
    <row r="2550" spans="2:13" x14ac:dyDescent="0.2">
      <c r="B2550" s="173"/>
      <c r="C2550" s="694">
        <v>1</v>
      </c>
      <c r="D2550" s="695" t="s">
        <v>3903</v>
      </c>
      <c r="E2550" s="695">
        <v>3</v>
      </c>
      <c r="F2550" s="695" t="s">
        <v>4822</v>
      </c>
      <c r="G2550" s="695">
        <v>6</v>
      </c>
      <c r="H2550" s="695" t="s">
        <v>5892</v>
      </c>
      <c r="I2550" s="695">
        <v>8</v>
      </c>
      <c r="J2550" s="695" t="s">
        <v>5900</v>
      </c>
      <c r="K2550" s="695" t="s">
        <v>3907</v>
      </c>
      <c r="L2550" s="696">
        <v>23</v>
      </c>
      <c r="M2550" s="170"/>
    </row>
    <row r="2551" spans="2:13" x14ac:dyDescent="0.2">
      <c r="B2551" s="173"/>
      <c r="C2551" s="694">
        <v>1</v>
      </c>
      <c r="D2551" s="695" t="s">
        <v>3903</v>
      </c>
      <c r="E2551" s="695">
        <v>3</v>
      </c>
      <c r="F2551" s="695" t="s">
        <v>4822</v>
      </c>
      <c r="G2551" s="695">
        <v>6</v>
      </c>
      <c r="H2551" s="695" t="s">
        <v>5892</v>
      </c>
      <c r="I2551" s="695">
        <v>9</v>
      </c>
      <c r="J2551" s="695" t="s">
        <v>5901</v>
      </c>
      <c r="K2551" s="695" t="s">
        <v>3907</v>
      </c>
      <c r="L2551" s="696">
        <v>1</v>
      </c>
      <c r="M2551" s="170"/>
    </row>
    <row r="2552" spans="2:13" x14ac:dyDescent="0.2">
      <c r="B2552" s="173"/>
      <c r="C2552" s="694">
        <v>1</v>
      </c>
      <c r="D2552" s="695" t="s">
        <v>3903</v>
      </c>
      <c r="E2552" s="695">
        <v>3</v>
      </c>
      <c r="F2552" s="695" t="s">
        <v>4822</v>
      </c>
      <c r="G2552" s="695">
        <v>6</v>
      </c>
      <c r="H2552" s="695" t="s">
        <v>5892</v>
      </c>
      <c r="I2552" s="695">
        <v>10</v>
      </c>
      <c r="J2552" s="695" t="s">
        <v>5902</v>
      </c>
      <c r="K2552" s="695" t="s">
        <v>3907</v>
      </c>
      <c r="L2552" s="696">
        <v>11</v>
      </c>
      <c r="M2552" s="170"/>
    </row>
    <row r="2553" spans="2:13" x14ac:dyDescent="0.2">
      <c r="B2553" s="173"/>
      <c r="C2553" s="694">
        <v>1</v>
      </c>
      <c r="D2553" s="695" t="s">
        <v>3903</v>
      </c>
      <c r="E2553" s="695">
        <v>3</v>
      </c>
      <c r="F2553" s="695" t="s">
        <v>4822</v>
      </c>
      <c r="G2553" s="695">
        <v>6</v>
      </c>
      <c r="H2553" s="695" t="s">
        <v>5892</v>
      </c>
      <c r="I2553" s="695">
        <v>11</v>
      </c>
      <c r="J2553" s="695" t="s">
        <v>5903</v>
      </c>
      <c r="K2553" s="695" t="s">
        <v>3907</v>
      </c>
      <c r="L2553" s="696">
        <v>14</v>
      </c>
      <c r="M2553" s="170"/>
    </row>
    <row r="2554" spans="2:13" x14ac:dyDescent="0.2">
      <c r="B2554" s="173"/>
      <c r="C2554" s="694">
        <v>1</v>
      </c>
      <c r="D2554" s="695" t="s">
        <v>3903</v>
      </c>
      <c r="E2554" s="695">
        <v>3</v>
      </c>
      <c r="F2554" s="695" t="s">
        <v>4822</v>
      </c>
      <c r="G2554" s="695">
        <v>6</v>
      </c>
      <c r="H2554" s="695" t="s">
        <v>5892</v>
      </c>
      <c r="I2554" s="695">
        <v>12</v>
      </c>
      <c r="J2554" s="695" t="s">
        <v>5904</v>
      </c>
      <c r="K2554" s="695" t="s">
        <v>3907</v>
      </c>
      <c r="L2554" s="696">
        <v>4165</v>
      </c>
      <c r="M2554" s="170"/>
    </row>
    <row r="2555" spans="2:13" x14ac:dyDescent="0.2">
      <c r="B2555" s="173"/>
      <c r="C2555" s="694">
        <v>1</v>
      </c>
      <c r="D2555" s="695" t="s">
        <v>3903</v>
      </c>
      <c r="E2555" s="695">
        <v>3</v>
      </c>
      <c r="F2555" s="695" t="s">
        <v>4822</v>
      </c>
      <c r="G2555" s="695">
        <v>6</v>
      </c>
      <c r="H2555" s="695" t="s">
        <v>5892</v>
      </c>
      <c r="I2555" s="695">
        <v>13</v>
      </c>
      <c r="J2555" s="695" t="s">
        <v>5905</v>
      </c>
      <c r="K2555" s="695" t="s">
        <v>8544</v>
      </c>
      <c r="L2555" s="696">
        <v>15</v>
      </c>
      <c r="M2555" s="170"/>
    </row>
    <row r="2556" spans="2:13" x14ac:dyDescent="0.2">
      <c r="B2556" s="173"/>
      <c r="C2556" s="694">
        <v>1</v>
      </c>
      <c r="D2556" s="695" t="s">
        <v>3903</v>
      </c>
      <c r="E2556" s="695">
        <v>3</v>
      </c>
      <c r="F2556" s="695" t="s">
        <v>4822</v>
      </c>
      <c r="G2556" s="695">
        <v>6</v>
      </c>
      <c r="H2556" s="695" t="s">
        <v>5892</v>
      </c>
      <c r="I2556" s="695">
        <v>14</v>
      </c>
      <c r="J2556" s="695" t="s">
        <v>5906</v>
      </c>
      <c r="K2556" s="695" t="s">
        <v>8544</v>
      </c>
      <c r="L2556" s="696">
        <v>7</v>
      </c>
      <c r="M2556" s="170"/>
    </row>
    <row r="2557" spans="2:13" x14ac:dyDescent="0.2">
      <c r="B2557" s="173"/>
      <c r="C2557" s="694">
        <v>1</v>
      </c>
      <c r="D2557" s="695" t="s">
        <v>3903</v>
      </c>
      <c r="E2557" s="695">
        <v>3</v>
      </c>
      <c r="F2557" s="695" t="s">
        <v>4822</v>
      </c>
      <c r="G2557" s="695">
        <v>6</v>
      </c>
      <c r="H2557" s="695" t="s">
        <v>5892</v>
      </c>
      <c r="I2557" s="695">
        <v>15</v>
      </c>
      <c r="J2557" s="695" t="s">
        <v>5907</v>
      </c>
      <c r="K2557" s="695" t="s">
        <v>8544</v>
      </c>
      <c r="L2557" s="696">
        <v>2</v>
      </c>
      <c r="M2557" s="170"/>
    </row>
    <row r="2558" spans="2:13" x14ac:dyDescent="0.2">
      <c r="B2558" s="173"/>
      <c r="C2558" s="694">
        <v>1</v>
      </c>
      <c r="D2558" s="695" t="s">
        <v>3903</v>
      </c>
      <c r="E2558" s="695">
        <v>3</v>
      </c>
      <c r="F2558" s="695" t="s">
        <v>4822</v>
      </c>
      <c r="G2558" s="695">
        <v>6</v>
      </c>
      <c r="H2558" s="695" t="s">
        <v>5892</v>
      </c>
      <c r="I2558" s="695">
        <v>16</v>
      </c>
      <c r="J2558" s="695" t="s">
        <v>5908</v>
      </c>
      <c r="K2558" s="695" t="s">
        <v>8544</v>
      </c>
      <c r="L2558" s="696">
        <v>4</v>
      </c>
      <c r="M2558" s="170"/>
    </row>
    <row r="2559" spans="2:13" x14ac:dyDescent="0.2">
      <c r="B2559" s="173"/>
      <c r="C2559" s="694">
        <v>1</v>
      </c>
      <c r="D2559" s="695" t="s">
        <v>3903</v>
      </c>
      <c r="E2559" s="695">
        <v>3</v>
      </c>
      <c r="F2559" s="695" t="s">
        <v>4822</v>
      </c>
      <c r="G2559" s="695">
        <v>6</v>
      </c>
      <c r="H2559" s="695" t="s">
        <v>5892</v>
      </c>
      <c r="I2559" s="695">
        <v>17</v>
      </c>
      <c r="J2559" s="695" t="s">
        <v>5909</v>
      </c>
      <c r="K2559" s="695" t="s">
        <v>8544</v>
      </c>
      <c r="L2559" s="696">
        <v>216</v>
      </c>
      <c r="M2559" s="170"/>
    </row>
    <row r="2560" spans="2:13" x14ac:dyDescent="0.2">
      <c r="B2560" s="173"/>
      <c r="C2560" s="694">
        <v>1</v>
      </c>
      <c r="D2560" s="695" t="s">
        <v>3903</v>
      </c>
      <c r="E2560" s="695">
        <v>3</v>
      </c>
      <c r="F2560" s="695" t="s">
        <v>4822</v>
      </c>
      <c r="G2560" s="695">
        <v>6</v>
      </c>
      <c r="H2560" s="695" t="s">
        <v>5892</v>
      </c>
      <c r="I2560" s="695">
        <v>18</v>
      </c>
      <c r="J2560" s="695" t="s">
        <v>5910</v>
      </c>
      <c r="K2560" s="695" t="s">
        <v>8544</v>
      </c>
      <c r="L2560" s="696">
        <v>16</v>
      </c>
      <c r="M2560" s="170"/>
    </row>
    <row r="2561" spans="2:13" x14ac:dyDescent="0.2">
      <c r="B2561" s="173"/>
      <c r="C2561" s="694">
        <v>1</v>
      </c>
      <c r="D2561" s="695" t="s">
        <v>3903</v>
      </c>
      <c r="E2561" s="695">
        <v>3</v>
      </c>
      <c r="F2561" s="695" t="s">
        <v>4822</v>
      </c>
      <c r="G2561" s="695">
        <v>6</v>
      </c>
      <c r="H2561" s="695" t="s">
        <v>5892</v>
      </c>
      <c r="I2561" s="695">
        <v>19</v>
      </c>
      <c r="J2561" s="695" t="s">
        <v>5911</v>
      </c>
      <c r="K2561" s="695" t="s">
        <v>8544</v>
      </c>
      <c r="L2561" s="696">
        <v>93</v>
      </c>
      <c r="M2561" s="170"/>
    </row>
    <row r="2562" spans="2:13" x14ac:dyDescent="0.2">
      <c r="B2562" s="173"/>
      <c r="C2562" s="694">
        <v>1</v>
      </c>
      <c r="D2562" s="695" t="s">
        <v>3903</v>
      </c>
      <c r="E2562" s="695">
        <v>3</v>
      </c>
      <c r="F2562" s="695" t="s">
        <v>4822</v>
      </c>
      <c r="G2562" s="695">
        <v>6</v>
      </c>
      <c r="H2562" s="695" t="s">
        <v>5892</v>
      </c>
      <c r="I2562" s="695">
        <v>20</v>
      </c>
      <c r="J2562" s="695" t="s">
        <v>5900</v>
      </c>
      <c r="K2562" s="695" t="s">
        <v>8544</v>
      </c>
      <c r="L2562" s="696">
        <v>6</v>
      </c>
      <c r="M2562" s="170"/>
    </row>
    <row r="2563" spans="2:13" x14ac:dyDescent="0.2">
      <c r="B2563" s="173"/>
      <c r="C2563" s="694">
        <v>1</v>
      </c>
      <c r="D2563" s="695" t="s">
        <v>3903</v>
      </c>
      <c r="E2563" s="695">
        <v>3</v>
      </c>
      <c r="F2563" s="695" t="s">
        <v>4822</v>
      </c>
      <c r="G2563" s="695">
        <v>6</v>
      </c>
      <c r="H2563" s="695" t="s">
        <v>5892</v>
      </c>
      <c r="I2563" s="695">
        <v>21</v>
      </c>
      <c r="J2563" s="695" t="s">
        <v>5912</v>
      </c>
      <c r="K2563" s="695" t="s">
        <v>8544</v>
      </c>
      <c r="L2563" s="696">
        <v>43</v>
      </c>
      <c r="M2563" s="170"/>
    </row>
    <row r="2564" spans="2:13" x14ac:dyDescent="0.2">
      <c r="B2564" s="173"/>
      <c r="C2564" s="694">
        <v>1</v>
      </c>
      <c r="D2564" s="695" t="s">
        <v>3903</v>
      </c>
      <c r="E2564" s="695">
        <v>3</v>
      </c>
      <c r="F2564" s="695" t="s">
        <v>4822</v>
      </c>
      <c r="G2564" s="695">
        <v>6</v>
      </c>
      <c r="H2564" s="695" t="s">
        <v>5892</v>
      </c>
      <c r="I2564" s="695">
        <v>22</v>
      </c>
      <c r="J2564" s="695" t="s">
        <v>5904</v>
      </c>
      <c r="K2564" s="695" t="s">
        <v>8544</v>
      </c>
      <c r="L2564" s="696">
        <v>942</v>
      </c>
      <c r="M2564" s="170"/>
    </row>
    <row r="2565" spans="2:13" x14ac:dyDescent="0.2">
      <c r="B2565" s="173"/>
      <c r="C2565" s="694">
        <v>1</v>
      </c>
      <c r="D2565" s="695" t="s">
        <v>3903</v>
      </c>
      <c r="E2565" s="695">
        <v>3</v>
      </c>
      <c r="F2565" s="695" t="s">
        <v>4822</v>
      </c>
      <c r="G2565" s="695">
        <v>6</v>
      </c>
      <c r="H2565" s="695" t="s">
        <v>5892</v>
      </c>
      <c r="I2565" s="695">
        <v>23</v>
      </c>
      <c r="J2565" s="695" t="s">
        <v>5913</v>
      </c>
      <c r="K2565" s="695" t="s">
        <v>8544</v>
      </c>
      <c r="L2565" s="696">
        <v>145</v>
      </c>
      <c r="M2565" s="170"/>
    </row>
    <row r="2566" spans="2:13" x14ac:dyDescent="0.2">
      <c r="B2566" s="173"/>
      <c r="C2566" s="694">
        <v>1</v>
      </c>
      <c r="D2566" s="695" t="s">
        <v>3903</v>
      </c>
      <c r="E2566" s="695">
        <v>3</v>
      </c>
      <c r="F2566" s="695" t="s">
        <v>4822</v>
      </c>
      <c r="G2566" s="695">
        <v>6</v>
      </c>
      <c r="H2566" s="695" t="s">
        <v>5892</v>
      </c>
      <c r="I2566" s="695">
        <v>24</v>
      </c>
      <c r="J2566" s="695" t="s">
        <v>5914</v>
      </c>
      <c r="K2566" s="695" t="s">
        <v>8544</v>
      </c>
      <c r="L2566" s="696">
        <v>363</v>
      </c>
      <c r="M2566" s="170"/>
    </row>
    <row r="2567" spans="2:13" x14ac:dyDescent="0.2">
      <c r="B2567" s="173"/>
      <c r="C2567" s="694">
        <v>1</v>
      </c>
      <c r="D2567" s="695" t="s">
        <v>3903</v>
      </c>
      <c r="E2567" s="695">
        <v>3</v>
      </c>
      <c r="F2567" s="695" t="s">
        <v>4822</v>
      </c>
      <c r="G2567" s="695">
        <v>6</v>
      </c>
      <c r="H2567" s="695" t="s">
        <v>5892</v>
      </c>
      <c r="I2567" s="695">
        <v>25</v>
      </c>
      <c r="J2567" s="695" t="s">
        <v>5915</v>
      </c>
      <c r="K2567" s="695" t="s">
        <v>8544</v>
      </c>
      <c r="L2567" s="696">
        <v>233</v>
      </c>
      <c r="M2567" s="170"/>
    </row>
    <row r="2568" spans="2:13" x14ac:dyDescent="0.2">
      <c r="B2568" s="173"/>
      <c r="C2568" s="694">
        <v>1</v>
      </c>
      <c r="D2568" s="695" t="s">
        <v>3903</v>
      </c>
      <c r="E2568" s="695">
        <v>3</v>
      </c>
      <c r="F2568" s="695" t="s">
        <v>4822</v>
      </c>
      <c r="G2568" s="695">
        <v>6</v>
      </c>
      <c r="H2568" s="695" t="s">
        <v>5892</v>
      </c>
      <c r="I2568" s="695">
        <v>26</v>
      </c>
      <c r="J2568" s="695" t="s">
        <v>5916</v>
      </c>
      <c r="K2568" s="695" t="s">
        <v>8544</v>
      </c>
      <c r="L2568" s="696">
        <v>30</v>
      </c>
      <c r="M2568" s="170"/>
    </row>
    <row r="2569" spans="2:13" x14ac:dyDescent="0.2">
      <c r="B2569" s="173"/>
      <c r="C2569" s="694">
        <v>1</v>
      </c>
      <c r="D2569" s="695" t="s">
        <v>3903</v>
      </c>
      <c r="E2569" s="695">
        <v>3</v>
      </c>
      <c r="F2569" s="695" t="s">
        <v>4822</v>
      </c>
      <c r="G2569" s="695">
        <v>6</v>
      </c>
      <c r="H2569" s="695" t="s">
        <v>5892</v>
      </c>
      <c r="I2569" s="695">
        <v>27</v>
      </c>
      <c r="J2569" s="695" t="s">
        <v>5917</v>
      </c>
      <c r="K2569" s="695" t="s">
        <v>8544</v>
      </c>
      <c r="L2569" s="696">
        <v>3392</v>
      </c>
      <c r="M2569" s="170"/>
    </row>
    <row r="2570" spans="2:13" x14ac:dyDescent="0.2">
      <c r="B2570" s="173"/>
      <c r="C2570" s="694">
        <v>1</v>
      </c>
      <c r="D2570" s="695" t="s">
        <v>3903</v>
      </c>
      <c r="E2570" s="695">
        <v>3</v>
      </c>
      <c r="F2570" s="695" t="s">
        <v>4822</v>
      </c>
      <c r="G2570" s="695">
        <v>6</v>
      </c>
      <c r="H2570" s="695" t="s">
        <v>5892</v>
      </c>
      <c r="I2570" s="695">
        <v>28</v>
      </c>
      <c r="J2570" s="695" t="s">
        <v>5918</v>
      </c>
      <c r="K2570" s="695" t="s">
        <v>8544</v>
      </c>
      <c r="L2570" s="696">
        <v>203</v>
      </c>
      <c r="M2570" s="170"/>
    </row>
    <row r="2571" spans="2:13" x14ac:dyDescent="0.2">
      <c r="B2571" s="173"/>
      <c r="C2571" s="694">
        <v>1</v>
      </c>
      <c r="D2571" s="695" t="s">
        <v>3903</v>
      </c>
      <c r="E2571" s="695">
        <v>3</v>
      </c>
      <c r="F2571" s="695" t="s">
        <v>4822</v>
      </c>
      <c r="G2571" s="695">
        <v>6</v>
      </c>
      <c r="H2571" s="695" t="s">
        <v>5892</v>
      </c>
      <c r="I2571" s="695">
        <v>29</v>
      </c>
      <c r="J2571" s="695" t="s">
        <v>5919</v>
      </c>
      <c r="K2571" s="695" t="s">
        <v>8544</v>
      </c>
      <c r="L2571" s="696">
        <v>156</v>
      </c>
      <c r="M2571" s="170"/>
    </row>
    <row r="2572" spans="2:13" x14ac:dyDescent="0.2">
      <c r="B2572" s="173"/>
      <c r="C2572" s="694">
        <v>1</v>
      </c>
      <c r="D2572" s="695" t="s">
        <v>3903</v>
      </c>
      <c r="E2572" s="695">
        <v>3</v>
      </c>
      <c r="F2572" s="695" t="s">
        <v>4822</v>
      </c>
      <c r="G2572" s="695">
        <v>6</v>
      </c>
      <c r="H2572" s="695" t="s">
        <v>5892</v>
      </c>
      <c r="I2572" s="695">
        <v>30</v>
      </c>
      <c r="J2572" s="695" t="s">
        <v>5920</v>
      </c>
      <c r="K2572" s="695" t="s">
        <v>8544</v>
      </c>
      <c r="L2572" s="696">
        <v>2</v>
      </c>
      <c r="M2572" s="170"/>
    </row>
    <row r="2573" spans="2:13" x14ac:dyDescent="0.2">
      <c r="B2573" s="173"/>
      <c r="C2573" s="694">
        <v>1</v>
      </c>
      <c r="D2573" s="695" t="s">
        <v>3903</v>
      </c>
      <c r="E2573" s="695">
        <v>3</v>
      </c>
      <c r="F2573" s="695" t="s">
        <v>4822</v>
      </c>
      <c r="G2573" s="695">
        <v>6</v>
      </c>
      <c r="H2573" s="695" t="s">
        <v>5892</v>
      </c>
      <c r="I2573" s="695">
        <v>31</v>
      </c>
      <c r="J2573" s="695" t="s">
        <v>5921</v>
      </c>
      <c r="K2573" s="695" t="s">
        <v>8544</v>
      </c>
      <c r="L2573" s="696">
        <v>7</v>
      </c>
      <c r="M2573" s="170"/>
    </row>
    <row r="2574" spans="2:13" x14ac:dyDescent="0.2">
      <c r="B2574" s="173"/>
      <c r="C2574" s="694">
        <v>1</v>
      </c>
      <c r="D2574" s="695" t="s">
        <v>3903</v>
      </c>
      <c r="E2574" s="695">
        <v>3</v>
      </c>
      <c r="F2574" s="695" t="s">
        <v>4822</v>
      </c>
      <c r="G2574" s="695">
        <v>6</v>
      </c>
      <c r="H2574" s="695" t="s">
        <v>5892</v>
      </c>
      <c r="I2574" s="695">
        <v>32</v>
      </c>
      <c r="J2574" s="695" t="s">
        <v>5922</v>
      </c>
      <c r="K2574" s="695" t="s">
        <v>8544</v>
      </c>
      <c r="L2574" s="696">
        <v>41</v>
      </c>
      <c r="M2574" s="170"/>
    </row>
    <row r="2575" spans="2:13" x14ac:dyDescent="0.2">
      <c r="B2575" s="173"/>
      <c r="C2575" s="694">
        <v>1</v>
      </c>
      <c r="D2575" s="695" t="s">
        <v>3903</v>
      </c>
      <c r="E2575" s="695">
        <v>3</v>
      </c>
      <c r="F2575" s="695" t="s">
        <v>4822</v>
      </c>
      <c r="G2575" s="695">
        <v>6</v>
      </c>
      <c r="H2575" s="695" t="s">
        <v>5892</v>
      </c>
      <c r="I2575" s="695">
        <v>33</v>
      </c>
      <c r="J2575" s="695" t="s">
        <v>5923</v>
      </c>
      <c r="K2575" s="695" t="s">
        <v>8544</v>
      </c>
      <c r="L2575" s="696">
        <v>2</v>
      </c>
      <c r="M2575" s="170"/>
    </row>
    <row r="2576" spans="2:13" x14ac:dyDescent="0.2">
      <c r="B2576" s="173"/>
      <c r="C2576" s="694">
        <v>1</v>
      </c>
      <c r="D2576" s="695" t="s">
        <v>3903</v>
      </c>
      <c r="E2576" s="695">
        <v>3</v>
      </c>
      <c r="F2576" s="695" t="s">
        <v>4822</v>
      </c>
      <c r="G2576" s="695">
        <v>6</v>
      </c>
      <c r="H2576" s="695" t="s">
        <v>5892</v>
      </c>
      <c r="I2576" s="695">
        <v>34</v>
      </c>
      <c r="J2576" s="695" t="s">
        <v>5924</v>
      </c>
      <c r="K2576" s="695" t="s">
        <v>8544</v>
      </c>
      <c r="L2576" s="696">
        <v>41</v>
      </c>
      <c r="M2576" s="170"/>
    </row>
    <row r="2577" spans="2:13" x14ac:dyDescent="0.2">
      <c r="B2577" s="173"/>
      <c r="C2577" s="694">
        <v>1</v>
      </c>
      <c r="D2577" s="695" t="s">
        <v>3903</v>
      </c>
      <c r="E2577" s="695">
        <v>3</v>
      </c>
      <c r="F2577" s="695" t="s">
        <v>4822</v>
      </c>
      <c r="G2577" s="695">
        <v>6</v>
      </c>
      <c r="H2577" s="695" t="s">
        <v>5892</v>
      </c>
      <c r="I2577" s="695">
        <v>35</v>
      </c>
      <c r="J2577" s="695" t="s">
        <v>5925</v>
      </c>
      <c r="K2577" s="695" t="s">
        <v>8544</v>
      </c>
      <c r="L2577" s="696">
        <v>2</v>
      </c>
      <c r="M2577" s="170"/>
    </row>
    <row r="2578" spans="2:13" x14ac:dyDescent="0.2">
      <c r="B2578" s="173"/>
      <c r="C2578" s="694">
        <v>1</v>
      </c>
      <c r="D2578" s="695" t="s">
        <v>3903</v>
      </c>
      <c r="E2578" s="695">
        <v>3</v>
      </c>
      <c r="F2578" s="695" t="s">
        <v>4822</v>
      </c>
      <c r="G2578" s="695">
        <v>6</v>
      </c>
      <c r="H2578" s="695" t="s">
        <v>5892</v>
      </c>
      <c r="I2578" s="695">
        <v>36</v>
      </c>
      <c r="J2578" s="695" t="s">
        <v>5926</v>
      </c>
      <c r="K2578" s="695" t="s">
        <v>8544</v>
      </c>
      <c r="L2578" s="696">
        <v>60</v>
      </c>
      <c r="M2578" s="170"/>
    </row>
    <row r="2579" spans="2:13" x14ac:dyDescent="0.2">
      <c r="B2579" s="173"/>
      <c r="C2579" s="694">
        <v>1</v>
      </c>
      <c r="D2579" s="695" t="s">
        <v>3903</v>
      </c>
      <c r="E2579" s="695">
        <v>3</v>
      </c>
      <c r="F2579" s="695" t="s">
        <v>4822</v>
      </c>
      <c r="G2579" s="695">
        <v>6</v>
      </c>
      <c r="H2579" s="695" t="s">
        <v>5892</v>
      </c>
      <c r="I2579" s="695">
        <v>37</v>
      </c>
      <c r="J2579" s="695" t="s">
        <v>5927</v>
      </c>
      <c r="K2579" s="695" t="s">
        <v>8544</v>
      </c>
      <c r="L2579" s="696">
        <v>7</v>
      </c>
      <c r="M2579" s="170"/>
    </row>
    <row r="2580" spans="2:13" x14ac:dyDescent="0.2">
      <c r="B2580" s="173"/>
      <c r="C2580" s="694">
        <v>1</v>
      </c>
      <c r="D2580" s="695" t="s">
        <v>3903</v>
      </c>
      <c r="E2580" s="695">
        <v>3</v>
      </c>
      <c r="F2580" s="695" t="s">
        <v>4822</v>
      </c>
      <c r="G2580" s="695">
        <v>6</v>
      </c>
      <c r="H2580" s="695" t="s">
        <v>5892</v>
      </c>
      <c r="I2580" s="695">
        <v>38</v>
      </c>
      <c r="J2580" s="695" t="s">
        <v>5928</v>
      </c>
      <c r="K2580" s="695" t="s">
        <v>8544</v>
      </c>
      <c r="L2580" s="696">
        <v>31</v>
      </c>
      <c r="M2580" s="170"/>
    </row>
    <row r="2581" spans="2:13" x14ac:dyDescent="0.2">
      <c r="B2581" s="173"/>
      <c r="C2581" s="694">
        <v>1</v>
      </c>
      <c r="D2581" s="695" t="s">
        <v>3903</v>
      </c>
      <c r="E2581" s="695">
        <v>3</v>
      </c>
      <c r="F2581" s="695" t="s">
        <v>4822</v>
      </c>
      <c r="G2581" s="695">
        <v>6</v>
      </c>
      <c r="H2581" s="695" t="s">
        <v>5892</v>
      </c>
      <c r="I2581" s="695">
        <v>39</v>
      </c>
      <c r="J2581" s="695" t="s">
        <v>5929</v>
      </c>
      <c r="K2581" s="695" t="s">
        <v>8544</v>
      </c>
      <c r="L2581" s="696">
        <v>1</v>
      </c>
      <c r="M2581" s="170"/>
    </row>
    <row r="2582" spans="2:13" x14ac:dyDescent="0.2">
      <c r="B2582" s="173"/>
      <c r="C2582" s="694">
        <v>1</v>
      </c>
      <c r="D2582" s="695" t="s">
        <v>3903</v>
      </c>
      <c r="E2582" s="695">
        <v>3</v>
      </c>
      <c r="F2582" s="695" t="s">
        <v>4822</v>
      </c>
      <c r="G2582" s="695">
        <v>6</v>
      </c>
      <c r="H2582" s="695" t="s">
        <v>5892</v>
      </c>
      <c r="I2582" s="695">
        <v>40</v>
      </c>
      <c r="J2582" s="695" t="s">
        <v>5930</v>
      </c>
      <c r="K2582" s="695" t="s">
        <v>8544</v>
      </c>
      <c r="L2582" s="696">
        <v>107</v>
      </c>
      <c r="M2582" s="170"/>
    </row>
    <row r="2583" spans="2:13" x14ac:dyDescent="0.2">
      <c r="B2583" s="173"/>
      <c r="C2583" s="694">
        <v>1</v>
      </c>
      <c r="D2583" s="695" t="s">
        <v>3903</v>
      </c>
      <c r="E2583" s="695">
        <v>3</v>
      </c>
      <c r="F2583" s="695" t="s">
        <v>4822</v>
      </c>
      <c r="G2583" s="695">
        <v>6</v>
      </c>
      <c r="H2583" s="695" t="s">
        <v>5892</v>
      </c>
      <c r="I2583" s="695">
        <v>41</v>
      </c>
      <c r="J2583" s="695" t="s">
        <v>5931</v>
      </c>
      <c r="K2583" s="695" t="s">
        <v>3907</v>
      </c>
      <c r="L2583" s="696">
        <v>7</v>
      </c>
      <c r="M2583" s="170"/>
    </row>
    <row r="2584" spans="2:13" x14ac:dyDescent="0.2">
      <c r="B2584" s="173"/>
      <c r="C2584" s="694">
        <v>1</v>
      </c>
      <c r="D2584" s="695" t="s">
        <v>3903</v>
      </c>
      <c r="E2584" s="695">
        <v>3</v>
      </c>
      <c r="F2584" s="695" t="s">
        <v>4822</v>
      </c>
      <c r="G2584" s="695">
        <v>6</v>
      </c>
      <c r="H2584" s="695" t="s">
        <v>5892</v>
      </c>
      <c r="I2584" s="695">
        <v>42</v>
      </c>
      <c r="J2584" s="695" t="s">
        <v>5932</v>
      </c>
      <c r="K2584" s="695" t="s">
        <v>8544</v>
      </c>
      <c r="L2584" s="696">
        <v>12</v>
      </c>
      <c r="M2584" s="170"/>
    </row>
    <row r="2585" spans="2:13" x14ac:dyDescent="0.2">
      <c r="B2585" s="173"/>
      <c r="C2585" s="694">
        <v>1</v>
      </c>
      <c r="D2585" s="695" t="s">
        <v>3903</v>
      </c>
      <c r="E2585" s="695">
        <v>3</v>
      </c>
      <c r="F2585" s="695" t="s">
        <v>4822</v>
      </c>
      <c r="G2585" s="695">
        <v>6</v>
      </c>
      <c r="H2585" s="695" t="s">
        <v>5892</v>
      </c>
      <c r="I2585" s="695">
        <v>43</v>
      </c>
      <c r="J2585" s="695" t="s">
        <v>5933</v>
      </c>
      <c r="K2585" s="695" t="s">
        <v>8544</v>
      </c>
      <c r="L2585" s="696">
        <v>1</v>
      </c>
      <c r="M2585" s="170"/>
    </row>
    <row r="2586" spans="2:13" x14ac:dyDescent="0.2">
      <c r="B2586" s="173"/>
      <c r="C2586" s="694">
        <v>1</v>
      </c>
      <c r="D2586" s="695" t="s">
        <v>3903</v>
      </c>
      <c r="E2586" s="695">
        <v>3</v>
      </c>
      <c r="F2586" s="695" t="s">
        <v>4822</v>
      </c>
      <c r="G2586" s="695">
        <v>6</v>
      </c>
      <c r="H2586" s="695" t="s">
        <v>5892</v>
      </c>
      <c r="I2586" s="695">
        <v>44</v>
      </c>
      <c r="J2586" s="695" t="s">
        <v>5934</v>
      </c>
      <c r="K2586" s="695" t="s">
        <v>8544</v>
      </c>
      <c r="L2586" s="696">
        <v>7</v>
      </c>
      <c r="M2586" s="170"/>
    </row>
    <row r="2587" spans="2:13" x14ac:dyDescent="0.2">
      <c r="B2587" s="173"/>
      <c r="C2587" s="694">
        <v>1</v>
      </c>
      <c r="D2587" s="695" t="s">
        <v>3903</v>
      </c>
      <c r="E2587" s="695">
        <v>3</v>
      </c>
      <c r="F2587" s="695" t="s">
        <v>4822</v>
      </c>
      <c r="G2587" s="695">
        <v>6</v>
      </c>
      <c r="H2587" s="695" t="s">
        <v>5892</v>
      </c>
      <c r="I2587" s="695">
        <v>45</v>
      </c>
      <c r="J2587" s="695" t="s">
        <v>5935</v>
      </c>
      <c r="K2587" s="695" t="s">
        <v>8544</v>
      </c>
      <c r="L2587" s="696">
        <v>4</v>
      </c>
      <c r="M2587" s="170"/>
    </row>
    <row r="2588" spans="2:13" x14ac:dyDescent="0.2">
      <c r="B2588" s="173"/>
      <c r="C2588" s="694">
        <v>1</v>
      </c>
      <c r="D2588" s="695" t="s">
        <v>3903</v>
      </c>
      <c r="E2588" s="695">
        <v>3</v>
      </c>
      <c r="F2588" s="695" t="s">
        <v>4822</v>
      </c>
      <c r="G2588" s="695">
        <v>6</v>
      </c>
      <c r="H2588" s="695" t="s">
        <v>5892</v>
      </c>
      <c r="I2588" s="695">
        <v>46</v>
      </c>
      <c r="J2588" s="695" t="s">
        <v>5936</v>
      </c>
      <c r="K2588" s="695" t="s">
        <v>8544</v>
      </c>
      <c r="L2588" s="696">
        <v>21</v>
      </c>
      <c r="M2588" s="170"/>
    </row>
    <row r="2589" spans="2:13" x14ac:dyDescent="0.2">
      <c r="B2589" s="173"/>
      <c r="C2589" s="694">
        <v>1</v>
      </c>
      <c r="D2589" s="695" t="s">
        <v>3903</v>
      </c>
      <c r="E2589" s="695">
        <v>3</v>
      </c>
      <c r="F2589" s="695" t="s">
        <v>4822</v>
      </c>
      <c r="G2589" s="695">
        <v>6</v>
      </c>
      <c r="H2589" s="695" t="s">
        <v>5892</v>
      </c>
      <c r="I2589" s="695">
        <v>47</v>
      </c>
      <c r="J2589" s="695" t="s">
        <v>5937</v>
      </c>
      <c r="K2589" s="695" t="s">
        <v>8544</v>
      </c>
      <c r="L2589" s="696">
        <v>1</v>
      </c>
      <c r="M2589" s="170"/>
    </row>
    <row r="2590" spans="2:13" x14ac:dyDescent="0.2">
      <c r="B2590" s="173"/>
      <c r="C2590" s="694">
        <v>1</v>
      </c>
      <c r="D2590" s="695" t="s">
        <v>3903</v>
      </c>
      <c r="E2590" s="695">
        <v>3</v>
      </c>
      <c r="F2590" s="695" t="s">
        <v>4822</v>
      </c>
      <c r="G2590" s="695">
        <v>6</v>
      </c>
      <c r="H2590" s="695" t="s">
        <v>5892</v>
      </c>
      <c r="I2590" s="695">
        <v>48</v>
      </c>
      <c r="J2590" s="695" t="s">
        <v>5938</v>
      </c>
      <c r="K2590" s="695" t="s">
        <v>8544</v>
      </c>
      <c r="L2590" s="696">
        <v>0</v>
      </c>
      <c r="M2590" s="170"/>
    </row>
    <row r="2591" spans="2:13" x14ac:dyDescent="0.2">
      <c r="B2591" s="173"/>
      <c r="C2591" s="694">
        <v>1</v>
      </c>
      <c r="D2591" s="695" t="s">
        <v>3903</v>
      </c>
      <c r="E2591" s="695">
        <v>3</v>
      </c>
      <c r="F2591" s="695" t="s">
        <v>4822</v>
      </c>
      <c r="G2591" s="695">
        <v>6</v>
      </c>
      <c r="H2591" s="695" t="s">
        <v>5892</v>
      </c>
      <c r="I2591" s="695">
        <v>49</v>
      </c>
      <c r="J2591" s="695" t="s">
        <v>5939</v>
      </c>
      <c r="K2591" s="695" t="s">
        <v>8544</v>
      </c>
      <c r="L2591" s="696">
        <v>6</v>
      </c>
      <c r="M2591" s="170"/>
    </row>
    <row r="2592" spans="2:13" x14ac:dyDescent="0.2">
      <c r="B2592" s="173"/>
      <c r="C2592" s="694">
        <v>1</v>
      </c>
      <c r="D2592" s="695" t="s">
        <v>3903</v>
      </c>
      <c r="E2592" s="695">
        <v>3</v>
      </c>
      <c r="F2592" s="695" t="s">
        <v>4822</v>
      </c>
      <c r="G2592" s="695">
        <v>6</v>
      </c>
      <c r="H2592" s="695" t="s">
        <v>5892</v>
      </c>
      <c r="I2592" s="695">
        <v>50</v>
      </c>
      <c r="J2592" s="695" t="s">
        <v>5940</v>
      </c>
      <c r="K2592" s="695" t="s">
        <v>3907</v>
      </c>
      <c r="L2592" s="696">
        <v>6</v>
      </c>
      <c r="M2592" s="170"/>
    </row>
    <row r="2593" spans="2:13" x14ac:dyDescent="0.2">
      <c r="B2593" s="173"/>
      <c r="C2593" s="694">
        <v>1</v>
      </c>
      <c r="D2593" s="695" t="s">
        <v>3903</v>
      </c>
      <c r="E2593" s="695">
        <v>3</v>
      </c>
      <c r="F2593" s="695" t="s">
        <v>4822</v>
      </c>
      <c r="G2593" s="695">
        <v>6</v>
      </c>
      <c r="H2593" s="695" t="s">
        <v>5892</v>
      </c>
      <c r="I2593" s="695">
        <v>51</v>
      </c>
      <c r="J2593" s="695" t="s">
        <v>5941</v>
      </c>
      <c r="K2593" s="695" t="s">
        <v>3907</v>
      </c>
      <c r="L2593" s="696">
        <v>4</v>
      </c>
      <c r="M2593" s="170"/>
    </row>
    <row r="2594" spans="2:13" x14ac:dyDescent="0.2">
      <c r="B2594" s="173"/>
      <c r="C2594" s="694">
        <v>1</v>
      </c>
      <c r="D2594" s="695" t="s">
        <v>3903</v>
      </c>
      <c r="E2594" s="695">
        <v>3</v>
      </c>
      <c r="F2594" s="695" t="s">
        <v>4822</v>
      </c>
      <c r="G2594" s="695">
        <v>6</v>
      </c>
      <c r="H2594" s="695" t="s">
        <v>5892</v>
      </c>
      <c r="I2594" s="695">
        <v>52</v>
      </c>
      <c r="J2594" s="695" t="s">
        <v>5942</v>
      </c>
      <c r="K2594" s="695" t="s">
        <v>3907</v>
      </c>
      <c r="L2594" s="696">
        <v>5</v>
      </c>
      <c r="M2594" s="170"/>
    </row>
    <row r="2595" spans="2:13" x14ac:dyDescent="0.2">
      <c r="B2595" s="173"/>
      <c r="C2595" s="694">
        <v>1</v>
      </c>
      <c r="D2595" s="695" t="s">
        <v>3903</v>
      </c>
      <c r="E2595" s="695">
        <v>3</v>
      </c>
      <c r="F2595" s="695" t="s">
        <v>4822</v>
      </c>
      <c r="G2595" s="695">
        <v>6</v>
      </c>
      <c r="H2595" s="695" t="s">
        <v>5892</v>
      </c>
      <c r="I2595" s="695">
        <v>53</v>
      </c>
      <c r="J2595" s="695" t="s">
        <v>5943</v>
      </c>
      <c r="K2595" s="695" t="s">
        <v>3907</v>
      </c>
      <c r="L2595" s="696">
        <v>1</v>
      </c>
      <c r="M2595" s="170"/>
    </row>
    <row r="2596" spans="2:13" x14ac:dyDescent="0.2">
      <c r="B2596" s="173"/>
      <c r="C2596" s="694">
        <v>1</v>
      </c>
      <c r="D2596" s="695" t="s">
        <v>3903</v>
      </c>
      <c r="E2596" s="695">
        <v>3</v>
      </c>
      <c r="F2596" s="695" t="s">
        <v>4822</v>
      </c>
      <c r="G2596" s="695">
        <v>6</v>
      </c>
      <c r="H2596" s="695" t="s">
        <v>5892</v>
      </c>
      <c r="I2596" s="695">
        <v>54</v>
      </c>
      <c r="J2596" s="695" t="s">
        <v>5944</v>
      </c>
      <c r="K2596" s="695" t="s">
        <v>3907</v>
      </c>
      <c r="L2596" s="696">
        <v>3</v>
      </c>
      <c r="M2596" s="170"/>
    </row>
    <row r="2597" spans="2:13" x14ac:dyDescent="0.2">
      <c r="B2597" s="173"/>
      <c r="C2597" s="694">
        <v>1</v>
      </c>
      <c r="D2597" s="695" t="s">
        <v>3903</v>
      </c>
      <c r="E2597" s="695">
        <v>3</v>
      </c>
      <c r="F2597" s="695" t="s">
        <v>4822</v>
      </c>
      <c r="G2597" s="695">
        <v>6</v>
      </c>
      <c r="H2597" s="695" t="s">
        <v>5892</v>
      </c>
      <c r="I2597" s="695">
        <v>55</v>
      </c>
      <c r="J2597" s="695" t="s">
        <v>5945</v>
      </c>
      <c r="K2597" s="695" t="s">
        <v>3907</v>
      </c>
      <c r="L2597" s="696">
        <v>1</v>
      </c>
      <c r="M2597" s="170"/>
    </row>
    <row r="2598" spans="2:13" x14ac:dyDescent="0.2">
      <c r="B2598" s="173"/>
      <c r="C2598" s="694">
        <v>1</v>
      </c>
      <c r="D2598" s="695" t="s">
        <v>3903</v>
      </c>
      <c r="E2598" s="695">
        <v>3</v>
      </c>
      <c r="F2598" s="695" t="s">
        <v>4822</v>
      </c>
      <c r="G2598" s="695">
        <v>6</v>
      </c>
      <c r="H2598" s="695" t="s">
        <v>5892</v>
      </c>
      <c r="I2598" s="695">
        <v>56</v>
      </c>
      <c r="J2598" s="695" t="s">
        <v>5946</v>
      </c>
      <c r="K2598" s="695" t="s">
        <v>3907</v>
      </c>
      <c r="L2598" s="696">
        <v>26</v>
      </c>
      <c r="M2598" s="170"/>
    </row>
    <row r="2599" spans="2:13" x14ac:dyDescent="0.2">
      <c r="B2599" s="173"/>
      <c r="C2599" s="694">
        <v>1</v>
      </c>
      <c r="D2599" s="695" t="s">
        <v>3903</v>
      </c>
      <c r="E2599" s="695">
        <v>3</v>
      </c>
      <c r="F2599" s="695" t="s">
        <v>4822</v>
      </c>
      <c r="G2599" s="695">
        <v>6</v>
      </c>
      <c r="H2599" s="695" t="s">
        <v>5892</v>
      </c>
      <c r="I2599" s="695">
        <v>57</v>
      </c>
      <c r="J2599" s="695" t="s">
        <v>5947</v>
      </c>
      <c r="K2599" s="695" t="s">
        <v>3907</v>
      </c>
      <c r="L2599" s="696">
        <v>7</v>
      </c>
      <c r="M2599" s="170"/>
    </row>
    <row r="2600" spans="2:13" x14ac:dyDescent="0.2">
      <c r="B2600" s="173"/>
      <c r="C2600" s="694">
        <v>1</v>
      </c>
      <c r="D2600" s="695" t="s">
        <v>3903</v>
      </c>
      <c r="E2600" s="695">
        <v>3</v>
      </c>
      <c r="F2600" s="695" t="s">
        <v>4822</v>
      </c>
      <c r="G2600" s="695">
        <v>6</v>
      </c>
      <c r="H2600" s="695" t="s">
        <v>5892</v>
      </c>
      <c r="I2600" s="695">
        <v>58</v>
      </c>
      <c r="J2600" s="695" t="s">
        <v>5948</v>
      </c>
      <c r="K2600" s="695" t="s">
        <v>3907</v>
      </c>
      <c r="L2600" s="696">
        <v>10</v>
      </c>
      <c r="M2600" s="170"/>
    </row>
    <row r="2601" spans="2:13" x14ac:dyDescent="0.2">
      <c r="B2601" s="173"/>
      <c r="C2601" s="694">
        <v>1</v>
      </c>
      <c r="D2601" s="695" t="s">
        <v>3903</v>
      </c>
      <c r="E2601" s="695">
        <v>3</v>
      </c>
      <c r="F2601" s="695" t="s">
        <v>4822</v>
      </c>
      <c r="G2601" s="695">
        <v>6</v>
      </c>
      <c r="H2601" s="695" t="s">
        <v>5892</v>
      </c>
      <c r="I2601" s="695">
        <v>59</v>
      </c>
      <c r="J2601" s="695" t="s">
        <v>5949</v>
      </c>
      <c r="K2601" s="695" t="s">
        <v>3907</v>
      </c>
      <c r="L2601" s="696">
        <v>4</v>
      </c>
      <c r="M2601" s="170"/>
    </row>
    <row r="2602" spans="2:13" x14ac:dyDescent="0.2">
      <c r="B2602" s="173"/>
      <c r="C2602" s="694">
        <v>1</v>
      </c>
      <c r="D2602" s="695" t="s">
        <v>3903</v>
      </c>
      <c r="E2602" s="695">
        <v>3</v>
      </c>
      <c r="F2602" s="695" t="s">
        <v>4822</v>
      </c>
      <c r="G2602" s="695">
        <v>6</v>
      </c>
      <c r="H2602" s="695" t="s">
        <v>5892</v>
      </c>
      <c r="I2602" s="695">
        <v>60</v>
      </c>
      <c r="J2602" s="695" t="s">
        <v>5950</v>
      </c>
      <c r="K2602" s="695" t="s">
        <v>3907</v>
      </c>
      <c r="L2602" s="696">
        <v>1</v>
      </c>
      <c r="M2602" s="170"/>
    </row>
    <row r="2603" spans="2:13" x14ac:dyDescent="0.2">
      <c r="B2603" s="173"/>
      <c r="C2603" s="694">
        <v>1</v>
      </c>
      <c r="D2603" s="695" t="s">
        <v>3903</v>
      </c>
      <c r="E2603" s="695">
        <v>3</v>
      </c>
      <c r="F2603" s="695" t="s">
        <v>4822</v>
      </c>
      <c r="G2603" s="695">
        <v>6</v>
      </c>
      <c r="H2603" s="695" t="s">
        <v>5892</v>
      </c>
      <c r="I2603" s="695">
        <v>61</v>
      </c>
      <c r="J2603" s="695" t="s">
        <v>5951</v>
      </c>
      <c r="K2603" s="695" t="s">
        <v>3907</v>
      </c>
      <c r="L2603" s="696">
        <v>1</v>
      </c>
      <c r="M2603" s="170"/>
    </row>
    <row r="2604" spans="2:13" x14ac:dyDescent="0.2">
      <c r="B2604" s="173"/>
      <c r="C2604" s="694">
        <v>1</v>
      </c>
      <c r="D2604" s="695" t="s">
        <v>3903</v>
      </c>
      <c r="E2604" s="695">
        <v>3</v>
      </c>
      <c r="F2604" s="695" t="s">
        <v>4822</v>
      </c>
      <c r="G2604" s="695">
        <v>6</v>
      </c>
      <c r="H2604" s="695" t="s">
        <v>5892</v>
      </c>
      <c r="I2604" s="695">
        <v>62</v>
      </c>
      <c r="J2604" s="695" t="s">
        <v>5952</v>
      </c>
      <c r="K2604" s="695" t="s">
        <v>3907</v>
      </c>
      <c r="L2604" s="696">
        <v>3</v>
      </c>
      <c r="M2604" s="170"/>
    </row>
    <row r="2605" spans="2:13" x14ac:dyDescent="0.2">
      <c r="B2605" s="173"/>
      <c r="C2605" s="694">
        <v>1</v>
      </c>
      <c r="D2605" s="695" t="s">
        <v>3903</v>
      </c>
      <c r="E2605" s="695">
        <v>3</v>
      </c>
      <c r="F2605" s="695" t="s">
        <v>4822</v>
      </c>
      <c r="G2605" s="695">
        <v>6</v>
      </c>
      <c r="H2605" s="695" t="s">
        <v>5892</v>
      </c>
      <c r="I2605" s="695">
        <v>63</v>
      </c>
      <c r="J2605" s="695" t="s">
        <v>5953</v>
      </c>
      <c r="K2605" s="695" t="s">
        <v>3907</v>
      </c>
      <c r="L2605" s="696">
        <v>4</v>
      </c>
      <c r="M2605" s="170"/>
    </row>
    <row r="2606" spans="2:13" x14ac:dyDescent="0.2">
      <c r="B2606" s="173"/>
      <c r="C2606" s="694">
        <v>1</v>
      </c>
      <c r="D2606" s="695" t="s">
        <v>3903</v>
      </c>
      <c r="E2606" s="695">
        <v>3</v>
      </c>
      <c r="F2606" s="695" t="s">
        <v>4822</v>
      </c>
      <c r="G2606" s="695">
        <v>6</v>
      </c>
      <c r="H2606" s="695" t="s">
        <v>5892</v>
      </c>
      <c r="I2606" s="695">
        <v>64</v>
      </c>
      <c r="J2606" s="695" t="s">
        <v>5954</v>
      </c>
      <c r="K2606" s="695" t="s">
        <v>3907</v>
      </c>
      <c r="L2606" s="696">
        <v>1</v>
      </c>
      <c r="M2606" s="170"/>
    </row>
    <row r="2607" spans="2:13" x14ac:dyDescent="0.2">
      <c r="B2607" s="173"/>
      <c r="C2607" s="694">
        <v>1</v>
      </c>
      <c r="D2607" s="695" t="s">
        <v>3903</v>
      </c>
      <c r="E2607" s="695">
        <v>3</v>
      </c>
      <c r="F2607" s="695" t="s">
        <v>4822</v>
      </c>
      <c r="G2607" s="695">
        <v>6</v>
      </c>
      <c r="H2607" s="695" t="s">
        <v>5892</v>
      </c>
      <c r="I2607" s="695">
        <v>65</v>
      </c>
      <c r="J2607" s="695" t="s">
        <v>5955</v>
      </c>
      <c r="K2607" s="695" t="s">
        <v>3907</v>
      </c>
      <c r="L2607" s="696">
        <v>2</v>
      </c>
      <c r="M2607" s="170"/>
    </row>
    <row r="2608" spans="2:13" x14ac:dyDescent="0.2">
      <c r="B2608" s="173"/>
      <c r="C2608" s="694">
        <v>1</v>
      </c>
      <c r="D2608" s="695" t="s">
        <v>3903</v>
      </c>
      <c r="E2608" s="695">
        <v>3</v>
      </c>
      <c r="F2608" s="695" t="s">
        <v>4822</v>
      </c>
      <c r="G2608" s="695">
        <v>6</v>
      </c>
      <c r="H2608" s="695" t="s">
        <v>5892</v>
      </c>
      <c r="I2608" s="695">
        <v>66</v>
      </c>
      <c r="J2608" s="695" t="s">
        <v>5956</v>
      </c>
      <c r="K2608" s="695" t="s">
        <v>3907</v>
      </c>
      <c r="L2608" s="696">
        <v>1</v>
      </c>
      <c r="M2608" s="170"/>
    </row>
    <row r="2609" spans="2:13" x14ac:dyDescent="0.2">
      <c r="B2609" s="173"/>
      <c r="C2609" s="694">
        <v>1</v>
      </c>
      <c r="D2609" s="695" t="s">
        <v>3903</v>
      </c>
      <c r="E2609" s="695">
        <v>3</v>
      </c>
      <c r="F2609" s="695" t="s">
        <v>4822</v>
      </c>
      <c r="G2609" s="695">
        <v>6</v>
      </c>
      <c r="H2609" s="695" t="s">
        <v>5892</v>
      </c>
      <c r="I2609" s="695">
        <v>67</v>
      </c>
      <c r="J2609" s="695" t="s">
        <v>5957</v>
      </c>
      <c r="K2609" s="695" t="s">
        <v>3907</v>
      </c>
      <c r="L2609" s="696">
        <v>2</v>
      </c>
      <c r="M2609" s="170"/>
    </row>
    <row r="2610" spans="2:13" x14ac:dyDescent="0.2">
      <c r="B2610" s="173"/>
      <c r="C2610" s="694">
        <v>1</v>
      </c>
      <c r="D2610" s="695" t="s">
        <v>3903</v>
      </c>
      <c r="E2610" s="695">
        <v>3</v>
      </c>
      <c r="F2610" s="695" t="s">
        <v>4822</v>
      </c>
      <c r="G2610" s="695">
        <v>6</v>
      </c>
      <c r="H2610" s="695" t="s">
        <v>5892</v>
      </c>
      <c r="I2610" s="695">
        <v>68</v>
      </c>
      <c r="J2610" s="695" t="s">
        <v>5958</v>
      </c>
      <c r="K2610" s="695" t="s">
        <v>3907</v>
      </c>
      <c r="L2610" s="696">
        <v>8</v>
      </c>
      <c r="M2610" s="170"/>
    </row>
    <row r="2611" spans="2:13" x14ac:dyDescent="0.2">
      <c r="B2611" s="173"/>
      <c r="C2611" s="694">
        <v>1</v>
      </c>
      <c r="D2611" s="695" t="s">
        <v>3903</v>
      </c>
      <c r="E2611" s="695">
        <v>3</v>
      </c>
      <c r="F2611" s="695" t="s">
        <v>4822</v>
      </c>
      <c r="G2611" s="695">
        <v>6</v>
      </c>
      <c r="H2611" s="695" t="s">
        <v>5892</v>
      </c>
      <c r="I2611" s="695">
        <v>69</v>
      </c>
      <c r="J2611" s="695" t="s">
        <v>5959</v>
      </c>
      <c r="K2611" s="695" t="s">
        <v>3907</v>
      </c>
      <c r="L2611" s="696">
        <v>3</v>
      </c>
      <c r="M2611" s="170"/>
    </row>
    <row r="2612" spans="2:13" x14ac:dyDescent="0.2">
      <c r="B2612" s="173"/>
      <c r="C2612" s="694">
        <v>1</v>
      </c>
      <c r="D2612" s="695" t="s">
        <v>3903</v>
      </c>
      <c r="E2612" s="695">
        <v>3</v>
      </c>
      <c r="F2612" s="695" t="s">
        <v>4822</v>
      </c>
      <c r="G2612" s="695">
        <v>6</v>
      </c>
      <c r="H2612" s="695" t="s">
        <v>5892</v>
      </c>
      <c r="I2612" s="695">
        <v>70</v>
      </c>
      <c r="J2612" s="695" t="s">
        <v>5960</v>
      </c>
      <c r="K2612" s="695" t="s">
        <v>3907</v>
      </c>
      <c r="L2612" s="696">
        <v>1</v>
      </c>
      <c r="M2612" s="170"/>
    </row>
    <row r="2613" spans="2:13" x14ac:dyDescent="0.2">
      <c r="B2613" s="173"/>
      <c r="C2613" s="694">
        <v>1</v>
      </c>
      <c r="D2613" s="695" t="s">
        <v>3903</v>
      </c>
      <c r="E2613" s="695">
        <v>3</v>
      </c>
      <c r="F2613" s="695" t="s">
        <v>4822</v>
      </c>
      <c r="G2613" s="695">
        <v>6</v>
      </c>
      <c r="H2613" s="695" t="s">
        <v>5892</v>
      </c>
      <c r="I2613" s="695">
        <v>71</v>
      </c>
      <c r="J2613" s="695" t="s">
        <v>5961</v>
      </c>
      <c r="K2613" s="695" t="s">
        <v>3907</v>
      </c>
      <c r="L2613" s="696">
        <v>5</v>
      </c>
      <c r="M2613" s="170"/>
    </row>
    <row r="2614" spans="2:13" x14ac:dyDescent="0.2">
      <c r="B2614" s="173"/>
      <c r="C2614" s="694">
        <v>1</v>
      </c>
      <c r="D2614" s="695" t="s">
        <v>3903</v>
      </c>
      <c r="E2614" s="695">
        <v>3</v>
      </c>
      <c r="F2614" s="695" t="s">
        <v>4822</v>
      </c>
      <c r="G2614" s="695">
        <v>6</v>
      </c>
      <c r="H2614" s="695" t="s">
        <v>5892</v>
      </c>
      <c r="I2614" s="695">
        <v>72</v>
      </c>
      <c r="J2614" s="695" t="s">
        <v>5962</v>
      </c>
      <c r="K2614" s="695" t="s">
        <v>3907</v>
      </c>
      <c r="L2614" s="696">
        <v>2</v>
      </c>
      <c r="M2614" s="170"/>
    </row>
    <row r="2615" spans="2:13" x14ac:dyDescent="0.2">
      <c r="B2615" s="173"/>
      <c r="C2615" s="694">
        <v>1</v>
      </c>
      <c r="D2615" s="695" t="s">
        <v>3903</v>
      </c>
      <c r="E2615" s="695">
        <v>3</v>
      </c>
      <c r="F2615" s="695" t="s">
        <v>4822</v>
      </c>
      <c r="G2615" s="695">
        <v>6</v>
      </c>
      <c r="H2615" s="695" t="s">
        <v>5892</v>
      </c>
      <c r="I2615" s="695">
        <v>73</v>
      </c>
      <c r="J2615" s="695" t="s">
        <v>5963</v>
      </c>
      <c r="K2615" s="695" t="s">
        <v>3907</v>
      </c>
      <c r="L2615" s="696">
        <v>12</v>
      </c>
      <c r="M2615" s="170"/>
    </row>
    <row r="2616" spans="2:13" x14ac:dyDescent="0.2">
      <c r="B2616" s="173"/>
      <c r="C2616" s="694">
        <v>1</v>
      </c>
      <c r="D2616" s="695" t="s">
        <v>3903</v>
      </c>
      <c r="E2616" s="695">
        <v>3</v>
      </c>
      <c r="F2616" s="695" t="s">
        <v>4822</v>
      </c>
      <c r="G2616" s="695">
        <v>6</v>
      </c>
      <c r="H2616" s="695" t="s">
        <v>5892</v>
      </c>
      <c r="I2616" s="695">
        <v>74</v>
      </c>
      <c r="J2616" s="695" t="s">
        <v>5964</v>
      </c>
      <c r="K2616" s="695" t="s">
        <v>3907</v>
      </c>
      <c r="L2616" s="696">
        <v>0</v>
      </c>
      <c r="M2616" s="170"/>
    </row>
    <row r="2617" spans="2:13" x14ac:dyDescent="0.2">
      <c r="B2617" s="173"/>
      <c r="C2617" s="694">
        <v>1</v>
      </c>
      <c r="D2617" s="695" t="s">
        <v>3903</v>
      </c>
      <c r="E2617" s="695">
        <v>3</v>
      </c>
      <c r="F2617" s="695" t="s">
        <v>4822</v>
      </c>
      <c r="G2617" s="695">
        <v>6</v>
      </c>
      <c r="H2617" s="695" t="s">
        <v>5892</v>
      </c>
      <c r="I2617" s="695">
        <v>75</v>
      </c>
      <c r="J2617" s="695" t="s">
        <v>5965</v>
      </c>
      <c r="K2617" s="695" t="s">
        <v>3907</v>
      </c>
      <c r="L2617" s="696">
        <v>1</v>
      </c>
      <c r="M2617" s="170"/>
    </row>
    <row r="2618" spans="2:13" x14ac:dyDescent="0.2">
      <c r="B2618" s="173"/>
      <c r="C2618" s="694">
        <v>1</v>
      </c>
      <c r="D2618" s="695" t="s">
        <v>3903</v>
      </c>
      <c r="E2618" s="695">
        <v>3</v>
      </c>
      <c r="F2618" s="695" t="s">
        <v>4822</v>
      </c>
      <c r="G2618" s="695">
        <v>6</v>
      </c>
      <c r="H2618" s="695" t="s">
        <v>5892</v>
      </c>
      <c r="I2618" s="695">
        <v>76</v>
      </c>
      <c r="J2618" s="695" t="s">
        <v>5966</v>
      </c>
      <c r="K2618" s="695" t="s">
        <v>3907</v>
      </c>
      <c r="L2618" s="696">
        <v>4</v>
      </c>
      <c r="M2618" s="170"/>
    </row>
    <row r="2619" spans="2:13" x14ac:dyDescent="0.2">
      <c r="B2619" s="173"/>
      <c r="C2619" s="694">
        <v>1</v>
      </c>
      <c r="D2619" s="695" t="s">
        <v>3903</v>
      </c>
      <c r="E2619" s="695">
        <v>3</v>
      </c>
      <c r="F2619" s="695" t="s">
        <v>4822</v>
      </c>
      <c r="G2619" s="695">
        <v>6</v>
      </c>
      <c r="H2619" s="695" t="s">
        <v>5892</v>
      </c>
      <c r="I2619" s="695">
        <v>77</v>
      </c>
      <c r="J2619" s="695" t="s">
        <v>9022</v>
      </c>
      <c r="K2619" s="695" t="s">
        <v>3907</v>
      </c>
      <c r="L2619" s="696">
        <v>5</v>
      </c>
      <c r="M2619" s="170"/>
    </row>
    <row r="2620" spans="2:13" x14ac:dyDescent="0.2">
      <c r="B2620" s="173"/>
      <c r="C2620" s="694">
        <v>1</v>
      </c>
      <c r="D2620" s="695" t="s">
        <v>3903</v>
      </c>
      <c r="E2620" s="695">
        <v>3</v>
      </c>
      <c r="F2620" s="695" t="s">
        <v>4822</v>
      </c>
      <c r="G2620" s="695">
        <v>6</v>
      </c>
      <c r="H2620" s="695" t="s">
        <v>5892</v>
      </c>
      <c r="I2620" s="695">
        <v>78</v>
      </c>
      <c r="J2620" s="695" t="s">
        <v>9023</v>
      </c>
      <c r="K2620" s="695" t="s">
        <v>3907</v>
      </c>
      <c r="L2620" s="696">
        <v>2</v>
      </c>
      <c r="M2620" s="170"/>
    </row>
    <row r="2621" spans="2:13" x14ac:dyDescent="0.2">
      <c r="B2621" s="173"/>
      <c r="C2621" s="694">
        <v>1</v>
      </c>
      <c r="D2621" s="695" t="s">
        <v>3903</v>
      </c>
      <c r="E2621" s="695">
        <v>3</v>
      </c>
      <c r="F2621" s="695" t="s">
        <v>4822</v>
      </c>
      <c r="G2621" s="695">
        <v>6</v>
      </c>
      <c r="H2621" s="695" t="s">
        <v>5892</v>
      </c>
      <c r="I2621" s="695">
        <v>79</v>
      </c>
      <c r="J2621" s="695" t="s">
        <v>9024</v>
      </c>
      <c r="K2621" s="695" t="s">
        <v>3907</v>
      </c>
      <c r="L2621" s="696">
        <v>1</v>
      </c>
      <c r="M2621" s="170"/>
    </row>
    <row r="2622" spans="2:13" x14ac:dyDescent="0.2">
      <c r="B2622" s="173"/>
      <c r="C2622" s="694">
        <v>1</v>
      </c>
      <c r="D2622" s="695" t="s">
        <v>3903</v>
      </c>
      <c r="E2622" s="695">
        <v>3</v>
      </c>
      <c r="F2622" s="695" t="s">
        <v>4822</v>
      </c>
      <c r="G2622" s="695">
        <v>6</v>
      </c>
      <c r="H2622" s="695" t="s">
        <v>5892</v>
      </c>
      <c r="I2622" s="695">
        <v>80</v>
      </c>
      <c r="J2622" s="695" t="s">
        <v>9025</v>
      </c>
      <c r="K2622" s="695" t="s">
        <v>3907</v>
      </c>
      <c r="L2622" s="696">
        <v>2</v>
      </c>
      <c r="M2622" s="170"/>
    </row>
    <row r="2623" spans="2:13" x14ac:dyDescent="0.2">
      <c r="B2623" s="173"/>
      <c r="C2623" s="694">
        <v>1</v>
      </c>
      <c r="D2623" s="695" t="s">
        <v>3903</v>
      </c>
      <c r="E2623" s="695">
        <v>3</v>
      </c>
      <c r="F2623" s="695" t="s">
        <v>4822</v>
      </c>
      <c r="G2623" s="695">
        <v>6</v>
      </c>
      <c r="H2623" s="695" t="s">
        <v>5892</v>
      </c>
      <c r="I2623" s="695">
        <v>81</v>
      </c>
      <c r="J2623" s="695" t="s">
        <v>9026</v>
      </c>
      <c r="K2623" s="695" t="s">
        <v>3907</v>
      </c>
      <c r="L2623" s="696">
        <v>1</v>
      </c>
      <c r="M2623" s="170"/>
    </row>
    <row r="2624" spans="2:13" x14ac:dyDescent="0.2">
      <c r="B2624" s="173"/>
      <c r="C2624" s="694">
        <v>1</v>
      </c>
      <c r="D2624" s="695" t="s">
        <v>3903</v>
      </c>
      <c r="E2624" s="695">
        <v>3</v>
      </c>
      <c r="F2624" s="695" t="s">
        <v>4822</v>
      </c>
      <c r="G2624" s="695">
        <v>6</v>
      </c>
      <c r="H2624" s="695" t="s">
        <v>5892</v>
      </c>
      <c r="I2624" s="695">
        <v>82</v>
      </c>
      <c r="J2624" s="695" t="s">
        <v>9027</v>
      </c>
      <c r="K2624" s="695" t="s">
        <v>3907</v>
      </c>
      <c r="L2624" s="696">
        <v>1</v>
      </c>
      <c r="M2624" s="170"/>
    </row>
    <row r="2625" spans="2:13" x14ac:dyDescent="0.2">
      <c r="B2625" s="173"/>
      <c r="C2625" s="694">
        <v>1</v>
      </c>
      <c r="D2625" s="695" t="s">
        <v>3903</v>
      </c>
      <c r="E2625" s="695">
        <v>3</v>
      </c>
      <c r="F2625" s="695" t="s">
        <v>4822</v>
      </c>
      <c r="G2625" s="695">
        <v>6</v>
      </c>
      <c r="H2625" s="695" t="s">
        <v>5892</v>
      </c>
      <c r="I2625" s="695">
        <v>83</v>
      </c>
      <c r="J2625" s="695" t="s">
        <v>9028</v>
      </c>
      <c r="K2625" s="695" t="s">
        <v>3985</v>
      </c>
      <c r="L2625" s="696">
        <v>1</v>
      </c>
      <c r="M2625" s="170"/>
    </row>
    <row r="2626" spans="2:13" x14ac:dyDescent="0.2">
      <c r="B2626" s="173"/>
      <c r="C2626" s="694">
        <v>1</v>
      </c>
      <c r="D2626" s="695" t="s">
        <v>3903</v>
      </c>
      <c r="E2626" s="695">
        <v>3</v>
      </c>
      <c r="F2626" s="695" t="s">
        <v>4822</v>
      </c>
      <c r="G2626" s="695">
        <v>6</v>
      </c>
      <c r="H2626" s="695" t="s">
        <v>5892</v>
      </c>
      <c r="I2626" s="695">
        <v>84</v>
      </c>
      <c r="J2626" s="695" t="s">
        <v>9029</v>
      </c>
      <c r="K2626" s="695" t="s">
        <v>3907</v>
      </c>
      <c r="L2626" s="696">
        <v>1</v>
      </c>
      <c r="M2626" s="170"/>
    </row>
    <row r="2627" spans="2:13" x14ac:dyDescent="0.2">
      <c r="B2627" s="173"/>
      <c r="C2627" s="694">
        <v>1</v>
      </c>
      <c r="D2627" s="695" t="s">
        <v>3903</v>
      </c>
      <c r="E2627" s="695">
        <v>3</v>
      </c>
      <c r="F2627" s="695" t="s">
        <v>4822</v>
      </c>
      <c r="G2627" s="695">
        <v>6</v>
      </c>
      <c r="H2627" s="695" t="s">
        <v>5892</v>
      </c>
      <c r="I2627" s="695">
        <v>85</v>
      </c>
      <c r="J2627" s="695" t="s">
        <v>9030</v>
      </c>
      <c r="K2627" s="695" t="s">
        <v>8544</v>
      </c>
      <c r="L2627" s="696">
        <v>2</v>
      </c>
      <c r="M2627" s="170"/>
    </row>
    <row r="2628" spans="2:13" x14ac:dyDescent="0.2">
      <c r="B2628" s="173"/>
      <c r="C2628" s="694">
        <v>1</v>
      </c>
      <c r="D2628" s="695" t="s">
        <v>3903</v>
      </c>
      <c r="E2628" s="695">
        <v>4</v>
      </c>
      <c r="F2628" s="695" t="s">
        <v>5967</v>
      </c>
      <c r="G2628" s="695">
        <v>1</v>
      </c>
      <c r="H2628" s="695" t="s">
        <v>5968</v>
      </c>
      <c r="I2628" s="695">
        <v>1</v>
      </c>
      <c r="J2628" s="695" t="s">
        <v>5969</v>
      </c>
      <c r="K2628" s="695" t="s">
        <v>3907</v>
      </c>
      <c r="L2628" s="696">
        <v>4269</v>
      </c>
      <c r="M2628" s="170"/>
    </row>
    <row r="2629" spans="2:13" x14ac:dyDescent="0.2">
      <c r="B2629" s="173"/>
      <c r="C2629" s="694">
        <v>1</v>
      </c>
      <c r="D2629" s="695" t="s">
        <v>3903</v>
      </c>
      <c r="E2629" s="695">
        <v>4</v>
      </c>
      <c r="F2629" s="695" t="s">
        <v>5967</v>
      </c>
      <c r="G2629" s="695">
        <v>1</v>
      </c>
      <c r="H2629" s="695" t="s">
        <v>5968</v>
      </c>
      <c r="I2629" s="695">
        <v>2</v>
      </c>
      <c r="J2629" s="695" t="s">
        <v>5970</v>
      </c>
      <c r="K2629" s="695" t="s">
        <v>3907</v>
      </c>
      <c r="L2629" s="696">
        <v>7</v>
      </c>
      <c r="M2629" s="170"/>
    </row>
    <row r="2630" spans="2:13" x14ac:dyDescent="0.2">
      <c r="B2630" s="173"/>
      <c r="C2630" s="694">
        <v>1</v>
      </c>
      <c r="D2630" s="695" t="s">
        <v>3903</v>
      </c>
      <c r="E2630" s="695">
        <v>4</v>
      </c>
      <c r="F2630" s="695" t="s">
        <v>5967</v>
      </c>
      <c r="G2630" s="695">
        <v>1</v>
      </c>
      <c r="H2630" s="695" t="s">
        <v>5968</v>
      </c>
      <c r="I2630" s="695">
        <v>3</v>
      </c>
      <c r="J2630" s="695" t="s">
        <v>5971</v>
      </c>
      <c r="K2630" s="695" t="s">
        <v>3907</v>
      </c>
      <c r="L2630" s="696">
        <v>2</v>
      </c>
      <c r="M2630" s="170"/>
    </row>
    <row r="2631" spans="2:13" x14ac:dyDescent="0.2">
      <c r="B2631" s="173"/>
      <c r="C2631" s="694">
        <v>1</v>
      </c>
      <c r="D2631" s="695" t="s">
        <v>3903</v>
      </c>
      <c r="E2631" s="695">
        <v>4</v>
      </c>
      <c r="F2631" s="695" t="s">
        <v>5967</v>
      </c>
      <c r="G2631" s="695">
        <v>1</v>
      </c>
      <c r="H2631" s="695" t="s">
        <v>5968</v>
      </c>
      <c r="I2631" s="695">
        <v>4</v>
      </c>
      <c r="J2631" s="695" t="s">
        <v>5972</v>
      </c>
      <c r="K2631" s="695" t="s">
        <v>3907</v>
      </c>
      <c r="L2631" s="696">
        <v>638</v>
      </c>
      <c r="M2631" s="170"/>
    </row>
    <row r="2632" spans="2:13" x14ac:dyDescent="0.2">
      <c r="B2632" s="173"/>
      <c r="C2632" s="694">
        <v>1</v>
      </c>
      <c r="D2632" s="695" t="s">
        <v>3903</v>
      </c>
      <c r="E2632" s="695">
        <v>4</v>
      </c>
      <c r="F2632" s="695" t="s">
        <v>5967</v>
      </c>
      <c r="G2632" s="695">
        <v>1</v>
      </c>
      <c r="H2632" s="695" t="s">
        <v>5968</v>
      </c>
      <c r="I2632" s="695">
        <v>5</v>
      </c>
      <c r="J2632" s="695" t="s">
        <v>5973</v>
      </c>
      <c r="K2632" s="695" t="s">
        <v>3907</v>
      </c>
      <c r="L2632" s="696">
        <v>35</v>
      </c>
      <c r="M2632" s="170"/>
    </row>
    <row r="2633" spans="2:13" x14ac:dyDescent="0.2">
      <c r="B2633" s="173"/>
      <c r="C2633" s="694">
        <v>1</v>
      </c>
      <c r="D2633" s="695" t="s">
        <v>3903</v>
      </c>
      <c r="E2633" s="695">
        <v>4</v>
      </c>
      <c r="F2633" s="695" t="s">
        <v>5967</v>
      </c>
      <c r="G2633" s="695">
        <v>1</v>
      </c>
      <c r="H2633" s="695" t="s">
        <v>5968</v>
      </c>
      <c r="I2633" s="695">
        <v>6</v>
      </c>
      <c r="J2633" s="695" t="s">
        <v>5974</v>
      </c>
      <c r="K2633" s="695" t="s">
        <v>3907</v>
      </c>
      <c r="L2633" s="696">
        <v>4</v>
      </c>
      <c r="M2633" s="170"/>
    </row>
    <row r="2634" spans="2:13" x14ac:dyDescent="0.2">
      <c r="B2634" s="173"/>
      <c r="C2634" s="694">
        <v>1</v>
      </c>
      <c r="D2634" s="695" t="s">
        <v>3903</v>
      </c>
      <c r="E2634" s="695">
        <v>4</v>
      </c>
      <c r="F2634" s="695" t="s">
        <v>5967</v>
      </c>
      <c r="G2634" s="695">
        <v>1</v>
      </c>
      <c r="H2634" s="695" t="s">
        <v>5968</v>
      </c>
      <c r="I2634" s="695">
        <v>7</v>
      </c>
      <c r="J2634" s="695" t="s">
        <v>5975</v>
      </c>
      <c r="K2634" s="695" t="s">
        <v>3907</v>
      </c>
      <c r="L2634" s="696">
        <v>1</v>
      </c>
      <c r="M2634" s="170"/>
    </row>
    <row r="2635" spans="2:13" x14ac:dyDescent="0.2">
      <c r="B2635" s="173"/>
      <c r="C2635" s="694">
        <v>1</v>
      </c>
      <c r="D2635" s="695" t="s">
        <v>3903</v>
      </c>
      <c r="E2635" s="695">
        <v>4</v>
      </c>
      <c r="F2635" s="695" t="s">
        <v>5967</v>
      </c>
      <c r="G2635" s="695">
        <v>1</v>
      </c>
      <c r="H2635" s="695" t="s">
        <v>5968</v>
      </c>
      <c r="I2635" s="695">
        <v>8</v>
      </c>
      <c r="J2635" s="695" t="s">
        <v>5976</v>
      </c>
      <c r="K2635" s="695" t="s">
        <v>3907</v>
      </c>
      <c r="L2635" s="696">
        <v>5</v>
      </c>
      <c r="M2635" s="170"/>
    </row>
    <row r="2636" spans="2:13" x14ac:dyDescent="0.2">
      <c r="B2636" s="173"/>
      <c r="C2636" s="694">
        <v>1</v>
      </c>
      <c r="D2636" s="695" t="s">
        <v>3903</v>
      </c>
      <c r="E2636" s="695">
        <v>4</v>
      </c>
      <c r="F2636" s="695" t="s">
        <v>5967</v>
      </c>
      <c r="G2636" s="695">
        <v>1</v>
      </c>
      <c r="H2636" s="695" t="s">
        <v>5968</v>
      </c>
      <c r="I2636" s="695">
        <v>9</v>
      </c>
      <c r="J2636" s="695" t="s">
        <v>5977</v>
      </c>
      <c r="K2636" s="695" t="s">
        <v>3907</v>
      </c>
      <c r="L2636" s="696">
        <v>97</v>
      </c>
      <c r="M2636" s="170"/>
    </row>
    <row r="2637" spans="2:13" x14ac:dyDescent="0.2">
      <c r="B2637" s="173"/>
      <c r="C2637" s="694">
        <v>1</v>
      </c>
      <c r="D2637" s="695" t="s">
        <v>3903</v>
      </c>
      <c r="E2637" s="695">
        <v>4</v>
      </c>
      <c r="F2637" s="695" t="s">
        <v>5967</v>
      </c>
      <c r="G2637" s="695">
        <v>1</v>
      </c>
      <c r="H2637" s="695" t="s">
        <v>5968</v>
      </c>
      <c r="I2637" s="695">
        <v>10</v>
      </c>
      <c r="J2637" s="695" t="s">
        <v>5978</v>
      </c>
      <c r="K2637" s="695" t="s">
        <v>3907</v>
      </c>
      <c r="L2637" s="696">
        <v>39</v>
      </c>
      <c r="M2637" s="170"/>
    </row>
    <row r="2638" spans="2:13" x14ac:dyDescent="0.2">
      <c r="B2638" s="173"/>
      <c r="C2638" s="694">
        <v>1</v>
      </c>
      <c r="D2638" s="695" t="s">
        <v>3903</v>
      </c>
      <c r="E2638" s="695">
        <v>4</v>
      </c>
      <c r="F2638" s="695" t="s">
        <v>5967</v>
      </c>
      <c r="G2638" s="695">
        <v>1</v>
      </c>
      <c r="H2638" s="695" t="s">
        <v>5968</v>
      </c>
      <c r="I2638" s="695">
        <v>11</v>
      </c>
      <c r="J2638" s="695" t="s">
        <v>5979</v>
      </c>
      <c r="K2638" s="695" t="s">
        <v>3907</v>
      </c>
      <c r="L2638" s="696">
        <v>31</v>
      </c>
      <c r="M2638" s="170"/>
    </row>
    <row r="2639" spans="2:13" x14ac:dyDescent="0.2">
      <c r="B2639" s="173"/>
      <c r="C2639" s="694">
        <v>1</v>
      </c>
      <c r="D2639" s="695" t="s">
        <v>3903</v>
      </c>
      <c r="E2639" s="695">
        <v>4</v>
      </c>
      <c r="F2639" s="695" t="s">
        <v>5967</v>
      </c>
      <c r="G2639" s="695">
        <v>1</v>
      </c>
      <c r="H2639" s="695" t="s">
        <v>5968</v>
      </c>
      <c r="I2639" s="695">
        <v>12</v>
      </c>
      <c r="J2639" s="695" t="s">
        <v>5980</v>
      </c>
      <c r="K2639" s="695" t="s">
        <v>3907</v>
      </c>
      <c r="L2639" s="696">
        <v>82</v>
      </c>
      <c r="M2639" s="170"/>
    </row>
    <row r="2640" spans="2:13" x14ac:dyDescent="0.2">
      <c r="B2640" s="173"/>
      <c r="C2640" s="694">
        <v>1</v>
      </c>
      <c r="D2640" s="695" t="s">
        <v>3903</v>
      </c>
      <c r="E2640" s="695">
        <v>4</v>
      </c>
      <c r="F2640" s="695" t="s">
        <v>5967</v>
      </c>
      <c r="G2640" s="695">
        <v>1</v>
      </c>
      <c r="H2640" s="695" t="s">
        <v>5968</v>
      </c>
      <c r="I2640" s="695">
        <v>13</v>
      </c>
      <c r="J2640" s="695" t="s">
        <v>3974</v>
      </c>
      <c r="K2640" s="695" t="s">
        <v>3907</v>
      </c>
      <c r="L2640" s="696">
        <v>95</v>
      </c>
      <c r="M2640" s="170"/>
    </row>
    <row r="2641" spans="2:13" x14ac:dyDescent="0.2">
      <c r="B2641" s="173"/>
      <c r="C2641" s="694">
        <v>1</v>
      </c>
      <c r="D2641" s="695" t="s">
        <v>3903</v>
      </c>
      <c r="E2641" s="695">
        <v>4</v>
      </c>
      <c r="F2641" s="695" t="s">
        <v>5967</v>
      </c>
      <c r="G2641" s="695">
        <v>1</v>
      </c>
      <c r="H2641" s="695" t="s">
        <v>5968</v>
      </c>
      <c r="I2641" s="695">
        <v>14</v>
      </c>
      <c r="J2641" s="695" t="s">
        <v>5981</v>
      </c>
      <c r="K2641" s="695" t="s">
        <v>3907</v>
      </c>
      <c r="L2641" s="696">
        <v>2</v>
      </c>
      <c r="M2641" s="170"/>
    </row>
    <row r="2642" spans="2:13" x14ac:dyDescent="0.2">
      <c r="B2642" s="173"/>
      <c r="C2642" s="694">
        <v>1</v>
      </c>
      <c r="D2642" s="695" t="s">
        <v>3903</v>
      </c>
      <c r="E2642" s="695">
        <v>4</v>
      </c>
      <c r="F2642" s="695" t="s">
        <v>5967</v>
      </c>
      <c r="G2642" s="695">
        <v>1</v>
      </c>
      <c r="H2642" s="695" t="s">
        <v>5968</v>
      </c>
      <c r="I2642" s="695">
        <v>15</v>
      </c>
      <c r="J2642" s="695" t="s">
        <v>5982</v>
      </c>
      <c r="K2642" s="695" t="s">
        <v>3907</v>
      </c>
      <c r="L2642" s="696">
        <v>1224</v>
      </c>
      <c r="M2642" s="170"/>
    </row>
    <row r="2643" spans="2:13" x14ac:dyDescent="0.2">
      <c r="B2643" s="173"/>
      <c r="C2643" s="694">
        <v>1</v>
      </c>
      <c r="D2643" s="695" t="s">
        <v>3903</v>
      </c>
      <c r="E2643" s="695">
        <v>4</v>
      </c>
      <c r="F2643" s="695" t="s">
        <v>5967</v>
      </c>
      <c r="G2643" s="695">
        <v>1</v>
      </c>
      <c r="H2643" s="695" t="s">
        <v>5968</v>
      </c>
      <c r="I2643" s="695">
        <v>16</v>
      </c>
      <c r="J2643" s="695" t="s">
        <v>5983</v>
      </c>
      <c r="K2643" s="695" t="s">
        <v>3907</v>
      </c>
      <c r="L2643" s="696">
        <v>42</v>
      </c>
      <c r="M2643" s="170"/>
    </row>
    <row r="2644" spans="2:13" x14ac:dyDescent="0.2">
      <c r="B2644" s="173"/>
      <c r="C2644" s="694">
        <v>1</v>
      </c>
      <c r="D2644" s="695" t="s">
        <v>3903</v>
      </c>
      <c r="E2644" s="695">
        <v>4</v>
      </c>
      <c r="F2644" s="695" t="s">
        <v>5967</v>
      </c>
      <c r="G2644" s="695">
        <v>1</v>
      </c>
      <c r="H2644" s="695" t="s">
        <v>5968</v>
      </c>
      <c r="I2644" s="695">
        <v>17</v>
      </c>
      <c r="J2644" s="695" t="s">
        <v>4656</v>
      </c>
      <c r="K2644" s="695" t="s">
        <v>3907</v>
      </c>
      <c r="L2644" s="696">
        <v>400</v>
      </c>
      <c r="M2644" s="170"/>
    </row>
    <row r="2645" spans="2:13" x14ac:dyDescent="0.2">
      <c r="B2645" s="173"/>
      <c r="C2645" s="694">
        <v>1</v>
      </c>
      <c r="D2645" s="695" t="s">
        <v>3903</v>
      </c>
      <c r="E2645" s="695">
        <v>4</v>
      </c>
      <c r="F2645" s="695" t="s">
        <v>5967</v>
      </c>
      <c r="G2645" s="695">
        <v>1</v>
      </c>
      <c r="H2645" s="695" t="s">
        <v>5968</v>
      </c>
      <c r="I2645" s="695">
        <v>18</v>
      </c>
      <c r="J2645" s="695" t="s">
        <v>5984</v>
      </c>
      <c r="K2645" s="695" t="s">
        <v>3907</v>
      </c>
      <c r="L2645" s="696">
        <v>31</v>
      </c>
      <c r="M2645" s="170"/>
    </row>
    <row r="2646" spans="2:13" x14ac:dyDescent="0.2">
      <c r="B2646" s="173"/>
      <c r="C2646" s="694">
        <v>1</v>
      </c>
      <c r="D2646" s="695" t="s">
        <v>3903</v>
      </c>
      <c r="E2646" s="695">
        <v>4</v>
      </c>
      <c r="F2646" s="695" t="s">
        <v>5967</v>
      </c>
      <c r="G2646" s="695">
        <v>1</v>
      </c>
      <c r="H2646" s="695" t="s">
        <v>5968</v>
      </c>
      <c r="I2646" s="695">
        <v>19</v>
      </c>
      <c r="J2646" s="695" t="s">
        <v>5985</v>
      </c>
      <c r="K2646" s="695" t="s">
        <v>3907</v>
      </c>
      <c r="L2646" s="696">
        <v>168</v>
      </c>
      <c r="M2646" s="170"/>
    </row>
    <row r="2647" spans="2:13" x14ac:dyDescent="0.2">
      <c r="B2647" s="173"/>
      <c r="C2647" s="694">
        <v>1</v>
      </c>
      <c r="D2647" s="695" t="s">
        <v>3903</v>
      </c>
      <c r="E2647" s="695">
        <v>4</v>
      </c>
      <c r="F2647" s="695" t="s">
        <v>5967</v>
      </c>
      <c r="G2647" s="695">
        <v>1</v>
      </c>
      <c r="H2647" s="695" t="s">
        <v>5968</v>
      </c>
      <c r="I2647" s="695">
        <v>20</v>
      </c>
      <c r="J2647" s="695" t="s">
        <v>5986</v>
      </c>
      <c r="K2647" s="695" t="s">
        <v>3907</v>
      </c>
      <c r="L2647" s="696">
        <v>2</v>
      </c>
      <c r="M2647" s="170"/>
    </row>
    <row r="2648" spans="2:13" x14ac:dyDescent="0.2">
      <c r="B2648" s="173"/>
      <c r="C2648" s="694">
        <v>1</v>
      </c>
      <c r="D2648" s="695" t="s">
        <v>3903</v>
      </c>
      <c r="E2648" s="695">
        <v>4</v>
      </c>
      <c r="F2648" s="695" t="s">
        <v>5967</v>
      </c>
      <c r="G2648" s="695">
        <v>1</v>
      </c>
      <c r="H2648" s="695" t="s">
        <v>5968</v>
      </c>
      <c r="I2648" s="695">
        <v>21</v>
      </c>
      <c r="J2648" s="695" t="s">
        <v>5987</v>
      </c>
      <c r="K2648" s="695" t="s">
        <v>3907</v>
      </c>
      <c r="L2648" s="696">
        <v>1</v>
      </c>
      <c r="M2648" s="170"/>
    </row>
    <row r="2649" spans="2:13" x14ac:dyDescent="0.2">
      <c r="B2649" s="173"/>
      <c r="C2649" s="694">
        <v>1</v>
      </c>
      <c r="D2649" s="695" t="s">
        <v>3903</v>
      </c>
      <c r="E2649" s="695">
        <v>4</v>
      </c>
      <c r="F2649" s="695" t="s">
        <v>5967</v>
      </c>
      <c r="G2649" s="695">
        <v>1</v>
      </c>
      <c r="H2649" s="695" t="s">
        <v>5968</v>
      </c>
      <c r="I2649" s="695">
        <v>22</v>
      </c>
      <c r="J2649" s="695" t="s">
        <v>5988</v>
      </c>
      <c r="K2649" s="695" t="s">
        <v>3907</v>
      </c>
      <c r="L2649" s="696">
        <v>280</v>
      </c>
      <c r="M2649" s="170"/>
    </row>
    <row r="2650" spans="2:13" x14ac:dyDescent="0.2">
      <c r="B2650" s="173"/>
      <c r="C2650" s="694">
        <v>1</v>
      </c>
      <c r="D2650" s="695" t="s">
        <v>3903</v>
      </c>
      <c r="E2650" s="695">
        <v>4</v>
      </c>
      <c r="F2650" s="695" t="s">
        <v>5967</v>
      </c>
      <c r="G2650" s="695">
        <v>1</v>
      </c>
      <c r="H2650" s="695" t="s">
        <v>5968</v>
      </c>
      <c r="I2650" s="695">
        <v>23</v>
      </c>
      <c r="J2650" s="695" t="s">
        <v>5989</v>
      </c>
      <c r="K2650" s="695" t="s">
        <v>3907</v>
      </c>
      <c r="L2650" s="696">
        <v>12</v>
      </c>
      <c r="M2650" s="170"/>
    </row>
    <row r="2651" spans="2:13" x14ac:dyDescent="0.2">
      <c r="B2651" s="173"/>
      <c r="C2651" s="694">
        <v>1</v>
      </c>
      <c r="D2651" s="695" t="s">
        <v>3903</v>
      </c>
      <c r="E2651" s="695">
        <v>4</v>
      </c>
      <c r="F2651" s="695" t="s">
        <v>5967</v>
      </c>
      <c r="G2651" s="695">
        <v>1</v>
      </c>
      <c r="H2651" s="695" t="s">
        <v>5968</v>
      </c>
      <c r="I2651" s="695">
        <v>24</v>
      </c>
      <c r="J2651" s="695" t="s">
        <v>3980</v>
      </c>
      <c r="K2651" s="695" t="s">
        <v>3907</v>
      </c>
      <c r="L2651" s="696">
        <v>79</v>
      </c>
      <c r="M2651" s="170"/>
    </row>
    <row r="2652" spans="2:13" x14ac:dyDescent="0.2">
      <c r="B2652" s="173"/>
      <c r="C2652" s="694">
        <v>1</v>
      </c>
      <c r="D2652" s="695" t="s">
        <v>3903</v>
      </c>
      <c r="E2652" s="695">
        <v>4</v>
      </c>
      <c r="F2652" s="695" t="s">
        <v>5967</v>
      </c>
      <c r="G2652" s="695">
        <v>1</v>
      </c>
      <c r="H2652" s="695" t="s">
        <v>5968</v>
      </c>
      <c r="I2652" s="695">
        <v>25</v>
      </c>
      <c r="J2652" s="695" t="s">
        <v>5990</v>
      </c>
      <c r="K2652" s="695" t="s">
        <v>3907</v>
      </c>
      <c r="L2652" s="696">
        <v>8</v>
      </c>
      <c r="M2652" s="170"/>
    </row>
    <row r="2653" spans="2:13" x14ac:dyDescent="0.2">
      <c r="B2653" s="173"/>
      <c r="C2653" s="694">
        <v>1</v>
      </c>
      <c r="D2653" s="695" t="s">
        <v>3903</v>
      </c>
      <c r="E2653" s="695">
        <v>4</v>
      </c>
      <c r="F2653" s="695" t="s">
        <v>5967</v>
      </c>
      <c r="G2653" s="695">
        <v>1</v>
      </c>
      <c r="H2653" s="695" t="s">
        <v>5968</v>
      </c>
      <c r="I2653" s="695">
        <v>26</v>
      </c>
      <c r="J2653" s="695" t="s">
        <v>5991</v>
      </c>
      <c r="K2653" s="695" t="s">
        <v>3907</v>
      </c>
      <c r="L2653" s="696">
        <v>0</v>
      </c>
      <c r="M2653" s="170"/>
    </row>
    <row r="2654" spans="2:13" x14ac:dyDescent="0.2">
      <c r="B2654" s="173"/>
      <c r="C2654" s="694">
        <v>1</v>
      </c>
      <c r="D2654" s="695" t="s">
        <v>3903</v>
      </c>
      <c r="E2654" s="695">
        <v>4</v>
      </c>
      <c r="F2654" s="695" t="s">
        <v>5967</v>
      </c>
      <c r="G2654" s="695">
        <v>1</v>
      </c>
      <c r="H2654" s="695" t="s">
        <v>5968</v>
      </c>
      <c r="I2654" s="695">
        <v>27</v>
      </c>
      <c r="J2654" s="695" t="s">
        <v>5992</v>
      </c>
      <c r="K2654" s="695" t="s">
        <v>3907</v>
      </c>
      <c r="L2654" s="696">
        <v>22</v>
      </c>
      <c r="M2654" s="170"/>
    </row>
    <row r="2655" spans="2:13" x14ac:dyDescent="0.2">
      <c r="B2655" s="173"/>
      <c r="C2655" s="694">
        <v>1</v>
      </c>
      <c r="D2655" s="695" t="s">
        <v>3903</v>
      </c>
      <c r="E2655" s="695">
        <v>4</v>
      </c>
      <c r="F2655" s="695" t="s">
        <v>5967</v>
      </c>
      <c r="G2655" s="695">
        <v>1</v>
      </c>
      <c r="H2655" s="695" t="s">
        <v>5968</v>
      </c>
      <c r="I2655" s="695">
        <v>28</v>
      </c>
      <c r="J2655" s="695" t="s">
        <v>5993</v>
      </c>
      <c r="K2655" s="695" t="s">
        <v>3907</v>
      </c>
      <c r="L2655" s="696">
        <v>4</v>
      </c>
      <c r="M2655" s="170"/>
    </row>
    <row r="2656" spans="2:13" x14ac:dyDescent="0.2">
      <c r="B2656" s="173"/>
      <c r="C2656" s="694">
        <v>1</v>
      </c>
      <c r="D2656" s="695" t="s">
        <v>3903</v>
      </c>
      <c r="E2656" s="695">
        <v>4</v>
      </c>
      <c r="F2656" s="695" t="s">
        <v>5967</v>
      </c>
      <c r="G2656" s="695">
        <v>1</v>
      </c>
      <c r="H2656" s="695" t="s">
        <v>5968</v>
      </c>
      <c r="I2656" s="695">
        <v>29</v>
      </c>
      <c r="J2656" s="695" t="s">
        <v>5994</v>
      </c>
      <c r="K2656" s="695" t="s">
        <v>3907</v>
      </c>
      <c r="L2656" s="696">
        <v>7</v>
      </c>
      <c r="M2656" s="170"/>
    </row>
    <row r="2657" spans="2:13" x14ac:dyDescent="0.2">
      <c r="B2657" s="173"/>
      <c r="C2657" s="694">
        <v>1</v>
      </c>
      <c r="D2657" s="695" t="s">
        <v>3903</v>
      </c>
      <c r="E2657" s="695">
        <v>4</v>
      </c>
      <c r="F2657" s="695" t="s">
        <v>5967</v>
      </c>
      <c r="G2657" s="695">
        <v>1</v>
      </c>
      <c r="H2657" s="695" t="s">
        <v>5968</v>
      </c>
      <c r="I2657" s="695">
        <v>30</v>
      </c>
      <c r="J2657" s="695" t="s">
        <v>5995</v>
      </c>
      <c r="K2657" s="695" t="s">
        <v>3907</v>
      </c>
      <c r="L2657" s="696">
        <v>2</v>
      </c>
      <c r="M2657" s="170"/>
    </row>
    <row r="2658" spans="2:13" x14ac:dyDescent="0.2">
      <c r="B2658" s="173"/>
      <c r="C2658" s="694">
        <v>1</v>
      </c>
      <c r="D2658" s="695" t="s">
        <v>3903</v>
      </c>
      <c r="E2658" s="695">
        <v>4</v>
      </c>
      <c r="F2658" s="695" t="s">
        <v>5967</v>
      </c>
      <c r="G2658" s="695">
        <v>1</v>
      </c>
      <c r="H2658" s="695" t="s">
        <v>5968</v>
      </c>
      <c r="I2658" s="695">
        <v>31</v>
      </c>
      <c r="J2658" s="695" t="s">
        <v>5996</v>
      </c>
      <c r="K2658" s="695" t="s">
        <v>3907</v>
      </c>
      <c r="L2658" s="696">
        <v>2</v>
      </c>
      <c r="M2658" s="170"/>
    </row>
    <row r="2659" spans="2:13" x14ac:dyDescent="0.2">
      <c r="B2659" s="173"/>
      <c r="C2659" s="694">
        <v>1</v>
      </c>
      <c r="D2659" s="695" t="s">
        <v>3903</v>
      </c>
      <c r="E2659" s="695">
        <v>4</v>
      </c>
      <c r="F2659" s="695" t="s">
        <v>5967</v>
      </c>
      <c r="G2659" s="695">
        <v>1</v>
      </c>
      <c r="H2659" s="695" t="s">
        <v>5968</v>
      </c>
      <c r="I2659" s="695">
        <v>32</v>
      </c>
      <c r="J2659" s="695" t="s">
        <v>5997</v>
      </c>
      <c r="K2659" s="695" t="s">
        <v>3907</v>
      </c>
      <c r="L2659" s="696">
        <v>7</v>
      </c>
      <c r="M2659" s="170"/>
    </row>
    <row r="2660" spans="2:13" x14ac:dyDescent="0.2">
      <c r="B2660" s="173"/>
      <c r="C2660" s="694">
        <v>1</v>
      </c>
      <c r="D2660" s="695" t="s">
        <v>3903</v>
      </c>
      <c r="E2660" s="695">
        <v>4</v>
      </c>
      <c r="F2660" s="695" t="s">
        <v>5967</v>
      </c>
      <c r="G2660" s="695">
        <v>1</v>
      </c>
      <c r="H2660" s="695" t="s">
        <v>5968</v>
      </c>
      <c r="I2660" s="695">
        <v>33</v>
      </c>
      <c r="J2660" s="695" t="s">
        <v>5998</v>
      </c>
      <c r="K2660" s="695" t="s">
        <v>3907</v>
      </c>
      <c r="L2660" s="696">
        <v>9</v>
      </c>
      <c r="M2660" s="170"/>
    </row>
    <row r="2661" spans="2:13" x14ac:dyDescent="0.2">
      <c r="B2661" s="173"/>
      <c r="C2661" s="694">
        <v>1</v>
      </c>
      <c r="D2661" s="695" t="s">
        <v>3903</v>
      </c>
      <c r="E2661" s="695">
        <v>4</v>
      </c>
      <c r="F2661" s="695" t="s">
        <v>5967</v>
      </c>
      <c r="G2661" s="695">
        <v>1</v>
      </c>
      <c r="H2661" s="695" t="s">
        <v>5968</v>
      </c>
      <c r="I2661" s="695">
        <v>34</v>
      </c>
      <c r="J2661" s="695" t="s">
        <v>5999</v>
      </c>
      <c r="K2661" s="695" t="s">
        <v>3907</v>
      </c>
      <c r="L2661" s="696">
        <v>36</v>
      </c>
      <c r="M2661" s="170"/>
    </row>
    <row r="2662" spans="2:13" x14ac:dyDescent="0.2">
      <c r="B2662" s="173"/>
      <c r="C2662" s="694">
        <v>1</v>
      </c>
      <c r="D2662" s="695" t="s">
        <v>3903</v>
      </c>
      <c r="E2662" s="695">
        <v>4</v>
      </c>
      <c r="F2662" s="695" t="s">
        <v>5967</v>
      </c>
      <c r="G2662" s="695">
        <v>1</v>
      </c>
      <c r="H2662" s="695" t="s">
        <v>5968</v>
      </c>
      <c r="I2662" s="695">
        <v>35</v>
      </c>
      <c r="J2662" s="695" t="s">
        <v>6000</v>
      </c>
      <c r="K2662" s="695" t="s">
        <v>3907</v>
      </c>
      <c r="L2662" s="696">
        <v>3</v>
      </c>
      <c r="M2662" s="170"/>
    </row>
    <row r="2663" spans="2:13" x14ac:dyDescent="0.2">
      <c r="B2663" s="173"/>
      <c r="C2663" s="694">
        <v>1</v>
      </c>
      <c r="D2663" s="695" t="s">
        <v>3903</v>
      </c>
      <c r="E2663" s="695">
        <v>4</v>
      </c>
      <c r="F2663" s="695" t="s">
        <v>5967</v>
      </c>
      <c r="G2663" s="695">
        <v>1</v>
      </c>
      <c r="H2663" s="695" t="s">
        <v>5968</v>
      </c>
      <c r="I2663" s="695">
        <v>36</v>
      </c>
      <c r="J2663" s="695" t="s">
        <v>6001</v>
      </c>
      <c r="K2663" s="695" t="s">
        <v>3907</v>
      </c>
      <c r="L2663" s="696">
        <v>22</v>
      </c>
      <c r="M2663" s="170"/>
    </row>
    <row r="2664" spans="2:13" x14ac:dyDescent="0.2">
      <c r="B2664" s="173"/>
      <c r="C2664" s="694">
        <v>1</v>
      </c>
      <c r="D2664" s="695" t="s">
        <v>3903</v>
      </c>
      <c r="E2664" s="695">
        <v>4</v>
      </c>
      <c r="F2664" s="695" t="s">
        <v>5967</v>
      </c>
      <c r="G2664" s="695">
        <v>1</v>
      </c>
      <c r="H2664" s="695" t="s">
        <v>5968</v>
      </c>
      <c r="I2664" s="695">
        <v>37</v>
      </c>
      <c r="J2664" s="695" t="s">
        <v>6002</v>
      </c>
      <c r="K2664" s="695" t="s">
        <v>3907</v>
      </c>
      <c r="L2664" s="696">
        <v>187</v>
      </c>
      <c r="M2664" s="170"/>
    </row>
    <row r="2665" spans="2:13" x14ac:dyDescent="0.2">
      <c r="B2665" s="173"/>
      <c r="C2665" s="694">
        <v>1</v>
      </c>
      <c r="D2665" s="695" t="s">
        <v>3903</v>
      </c>
      <c r="E2665" s="695">
        <v>4</v>
      </c>
      <c r="F2665" s="695" t="s">
        <v>5967</v>
      </c>
      <c r="G2665" s="695">
        <v>1</v>
      </c>
      <c r="H2665" s="695" t="s">
        <v>5968</v>
      </c>
      <c r="I2665" s="695">
        <v>38</v>
      </c>
      <c r="J2665" s="695" t="s">
        <v>6003</v>
      </c>
      <c r="K2665" s="695" t="s">
        <v>3907</v>
      </c>
      <c r="L2665" s="696">
        <v>13</v>
      </c>
      <c r="M2665" s="170"/>
    </row>
    <row r="2666" spans="2:13" x14ac:dyDescent="0.2">
      <c r="B2666" s="173"/>
      <c r="C2666" s="694">
        <v>1</v>
      </c>
      <c r="D2666" s="695" t="s">
        <v>3903</v>
      </c>
      <c r="E2666" s="695">
        <v>4</v>
      </c>
      <c r="F2666" s="695" t="s">
        <v>5967</v>
      </c>
      <c r="G2666" s="695">
        <v>1</v>
      </c>
      <c r="H2666" s="695" t="s">
        <v>5968</v>
      </c>
      <c r="I2666" s="695">
        <v>39</v>
      </c>
      <c r="J2666" s="695" t="s">
        <v>6004</v>
      </c>
      <c r="K2666" s="695" t="s">
        <v>3907</v>
      </c>
      <c r="L2666" s="696">
        <v>0</v>
      </c>
      <c r="M2666" s="170"/>
    </row>
    <row r="2667" spans="2:13" x14ac:dyDescent="0.2">
      <c r="B2667" s="173"/>
      <c r="C2667" s="694">
        <v>1</v>
      </c>
      <c r="D2667" s="695" t="s">
        <v>3903</v>
      </c>
      <c r="E2667" s="695">
        <v>4</v>
      </c>
      <c r="F2667" s="695" t="s">
        <v>5967</v>
      </c>
      <c r="G2667" s="695">
        <v>1</v>
      </c>
      <c r="H2667" s="695" t="s">
        <v>5968</v>
      </c>
      <c r="I2667" s="695">
        <v>40</v>
      </c>
      <c r="J2667" s="695" t="s">
        <v>5105</v>
      </c>
      <c r="K2667" s="695" t="s">
        <v>3907</v>
      </c>
      <c r="L2667" s="696">
        <v>52</v>
      </c>
      <c r="M2667" s="170"/>
    </row>
    <row r="2668" spans="2:13" x14ac:dyDescent="0.2">
      <c r="B2668" s="173"/>
      <c r="C2668" s="694">
        <v>1</v>
      </c>
      <c r="D2668" s="695" t="s">
        <v>3903</v>
      </c>
      <c r="E2668" s="695">
        <v>4</v>
      </c>
      <c r="F2668" s="695" t="s">
        <v>5967</v>
      </c>
      <c r="G2668" s="695">
        <v>1</v>
      </c>
      <c r="H2668" s="695" t="s">
        <v>5968</v>
      </c>
      <c r="I2668" s="695">
        <v>41</v>
      </c>
      <c r="J2668" s="695" t="s">
        <v>5107</v>
      </c>
      <c r="K2668" s="695" t="s">
        <v>3907</v>
      </c>
      <c r="L2668" s="696">
        <v>729</v>
      </c>
      <c r="M2668" s="170"/>
    </row>
    <row r="2669" spans="2:13" x14ac:dyDescent="0.2">
      <c r="B2669" s="173"/>
      <c r="C2669" s="694">
        <v>1</v>
      </c>
      <c r="D2669" s="695" t="s">
        <v>3903</v>
      </c>
      <c r="E2669" s="695">
        <v>4</v>
      </c>
      <c r="F2669" s="695" t="s">
        <v>5967</v>
      </c>
      <c r="G2669" s="695">
        <v>1</v>
      </c>
      <c r="H2669" s="695" t="s">
        <v>5968</v>
      </c>
      <c r="I2669" s="695">
        <v>42</v>
      </c>
      <c r="J2669" s="695" t="s">
        <v>6005</v>
      </c>
      <c r="K2669" s="695" t="s">
        <v>3907</v>
      </c>
      <c r="L2669" s="696">
        <v>24</v>
      </c>
      <c r="M2669" s="170"/>
    </row>
    <row r="2670" spans="2:13" x14ac:dyDescent="0.2">
      <c r="B2670" s="173"/>
      <c r="C2670" s="694">
        <v>1</v>
      </c>
      <c r="D2670" s="695" t="s">
        <v>3903</v>
      </c>
      <c r="E2670" s="695">
        <v>4</v>
      </c>
      <c r="F2670" s="695" t="s">
        <v>5967</v>
      </c>
      <c r="G2670" s="695">
        <v>1</v>
      </c>
      <c r="H2670" s="695" t="s">
        <v>5968</v>
      </c>
      <c r="I2670" s="695">
        <v>43</v>
      </c>
      <c r="J2670" s="695" t="s">
        <v>6006</v>
      </c>
      <c r="K2670" s="695" t="s">
        <v>4057</v>
      </c>
      <c r="L2670" s="696">
        <v>155</v>
      </c>
      <c r="M2670" s="170"/>
    </row>
    <row r="2671" spans="2:13" x14ac:dyDescent="0.2">
      <c r="B2671" s="173"/>
      <c r="C2671" s="694">
        <v>1</v>
      </c>
      <c r="D2671" s="695" t="s">
        <v>3903</v>
      </c>
      <c r="E2671" s="695">
        <v>4</v>
      </c>
      <c r="F2671" s="695" t="s">
        <v>5967</v>
      </c>
      <c r="G2671" s="695">
        <v>1</v>
      </c>
      <c r="H2671" s="695" t="s">
        <v>5968</v>
      </c>
      <c r="I2671" s="695">
        <v>44</v>
      </c>
      <c r="J2671" s="695" t="s">
        <v>6007</v>
      </c>
      <c r="K2671" s="695" t="s">
        <v>3907</v>
      </c>
      <c r="L2671" s="696">
        <v>2</v>
      </c>
      <c r="M2671" s="170"/>
    </row>
    <row r="2672" spans="2:13" x14ac:dyDescent="0.2">
      <c r="B2672" s="173"/>
      <c r="C2672" s="694">
        <v>1</v>
      </c>
      <c r="D2672" s="695" t="s">
        <v>3903</v>
      </c>
      <c r="E2672" s="695">
        <v>4</v>
      </c>
      <c r="F2672" s="695" t="s">
        <v>5967</v>
      </c>
      <c r="G2672" s="695">
        <v>1</v>
      </c>
      <c r="H2672" s="695" t="s">
        <v>5968</v>
      </c>
      <c r="I2672" s="695">
        <v>45</v>
      </c>
      <c r="J2672" s="695" t="s">
        <v>6008</v>
      </c>
      <c r="K2672" s="695" t="s">
        <v>3907</v>
      </c>
      <c r="L2672" s="696">
        <v>3</v>
      </c>
      <c r="M2672" s="170"/>
    </row>
    <row r="2673" spans="2:13" x14ac:dyDescent="0.2">
      <c r="B2673" s="173"/>
      <c r="C2673" s="694">
        <v>1</v>
      </c>
      <c r="D2673" s="695" t="s">
        <v>3903</v>
      </c>
      <c r="E2673" s="695">
        <v>4</v>
      </c>
      <c r="F2673" s="695" t="s">
        <v>5967</v>
      </c>
      <c r="G2673" s="695">
        <v>1</v>
      </c>
      <c r="H2673" s="695" t="s">
        <v>5968</v>
      </c>
      <c r="I2673" s="695">
        <v>46</v>
      </c>
      <c r="J2673" s="695" t="s">
        <v>6009</v>
      </c>
      <c r="K2673" s="695" t="s">
        <v>3907</v>
      </c>
      <c r="L2673" s="696">
        <v>0</v>
      </c>
      <c r="M2673" s="170"/>
    </row>
    <row r="2674" spans="2:13" x14ac:dyDescent="0.2">
      <c r="B2674" s="173"/>
      <c r="C2674" s="694">
        <v>1</v>
      </c>
      <c r="D2674" s="695" t="s">
        <v>3903</v>
      </c>
      <c r="E2674" s="695">
        <v>4</v>
      </c>
      <c r="F2674" s="695" t="s">
        <v>5967</v>
      </c>
      <c r="G2674" s="695">
        <v>1</v>
      </c>
      <c r="H2674" s="695" t="s">
        <v>5968</v>
      </c>
      <c r="I2674" s="695">
        <v>47</v>
      </c>
      <c r="J2674" s="695" t="s">
        <v>6010</v>
      </c>
      <c r="K2674" s="695" t="s">
        <v>3907</v>
      </c>
      <c r="L2674" s="696">
        <v>1</v>
      </c>
      <c r="M2674" s="170"/>
    </row>
    <row r="2675" spans="2:13" x14ac:dyDescent="0.2">
      <c r="B2675" s="173"/>
      <c r="C2675" s="694">
        <v>1</v>
      </c>
      <c r="D2675" s="695" t="s">
        <v>3903</v>
      </c>
      <c r="E2675" s="695">
        <v>4</v>
      </c>
      <c r="F2675" s="695" t="s">
        <v>5967</v>
      </c>
      <c r="G2675" s="695">
        <v>1</v>
      </c>
      <c r="H2675" s="695" t="s">
        <v>5968</v>
      </c>
      <c r="I2675" s="695">
        <v>48</v>
      </c>
      <c r="J2675" s="695" t="s">
        <v>6011</v>
      </c>
      <c r="K2675" s="695" t="s">
        <v>3907</v>
      </c>
      <c r="L2675" s="696">
        <v>293</v>
      </c>
      <c r="M2675" s="170"/>
    </row>
    <row r="2676" spans="2:13" x14ac:dyDescent="0.2">
      <c r="B2676" s="173"/>
      <c r="C2676" s="694">
        <v>1</v>
      </c>
      <c r="D2676" s="695" t="s">
        <v>3903</v>
      </c>
      <c r="E2676" s="695">
        <v>4</v>
      </c>
      <c r="F2676" s="695" t="s">
        <v>5967</v>
      </c>
      <c r="G2676" s="695">
        <v>1</v>
      </c>
      <c r="H2676" s="695" t="s">
        <v>5968</v>
      </c>
      <c r="I2676" s="695">
        <v>49</v>
      </c>
      <c r="J2676" s="695" t="s">
        <v>6012</v>
      </c>
      <c r="K2676" s="695" t="s">
        <v>8544</v>
      </c>
      <c r="L2676" s="696">
        <v>13</v>
      </c>
      <c r="M2676" s="170"/>
    </row>
    <row r="2677" spans="2:13" x14ac:dyDescent="0.2">
      <c r="B2677" s="173"/>
      <c r="C2677" s="694">
        <v>1</v>
      </c>
      <c r="D2677" s="695" t="s">
        <v>3903</v>
      </c>
      <c r="E2677" s="695">
        <v>4</v>
      </c>
      <c r="F2677" s="695" t="s">
        <v>5967</v>
      </c>
      <c r="G2677" s="695">
        <v>1</v>
      </c>
      <c r="H2677" s="695" t="s">
        <v>5968</v>
      </c>
      <c r="I2677" s="695">
        <v>50</v>
      </c>
      <c r="J2677" s="695" t="s">
        <v>6013</v>
      </c>
      <c r="K2677" s="695" t="s">
        <v>3907</v>
      </c>
      <c r="L2677" s="696">
        <v>8</v>
      </c>
      <c r="M2677" s="170"/>
    </row>
    <row r="2678" spans="2:13" x14ac:dyDescent="0.2">
      <c r="B2678" s="173"/>
      <c r="C2678" s="694">
        <v>1</v>
      </c>
      <c r="D2678" s="695" t="s">
        <v>3903</v>
      </c>
      <c r="E2678" s="695">
        <v>4</v>
      </c>
      <c r="F2678" s="695" t="s">
        <v>5967</v>
      </c>
      <c r="G2678" s="695">
        <v>1</v>
      </c>
      <c r="H2678" s="695" t="s">
        <v>5968</v>
      </c>
      <c r="I2678" s="695">
        <v>51</v>
      </c>
      <c r="J2678" s="695" t="s">
        <v>6014</v>
      </c>
      <c r="K2678" s="695" t="s">
        <v>3985</v>
      </c>
      <c r="L2678" s="696">
        <v>93</v>
      </c>
      <c r="M2678" s="170"/>
    </row>
    <row r="2679" spans="2:13" x14ac:dyDescent="0.2">
      <c r="B2679" s="173"/>
      <c r="C2679" s="694">
        <v>1</v>
      </c>
      <c r="D2679" s="695" t="s">
        <v>3903</v>
      </c>
      <c r="E2679" s="695">
        <v>4</v>
      </c>
      <c r="F2679" s="695" t="s">
        <v>5967</v>
      </c>
      <c r="G2679" s="695">
        <v>1</v>
      </c>
      <c r="H2679" s="695" t="s">
        <v>5968</v>
      </c>
      <c r="I2679" s="695">
        <v>52</v>
      </c>
      <c r="J2679" s="695" t="s">
        <v>6015</v>
      </c>
      <c r="K2679" s="695" t="s">
        <v>3985</v>
      </c>
      <c r="L2679" s="696">
        <v>2</v>
      </c>
      <c r="M2679" s="170"/>
    </row>
    <row r="2680" spans="2:13" x14ac:dyDescent="0.2">
      <c r="B2680" s="173"/>
      <c r="C2680" s="694">
        <v>1</v>
      </c>
      <c r="D2680" s="695" t="s">
        <v>3903</v>
      </c>
      <c r="E2680" s="695">
        <v>4</v>
      </c>
      <c r="F2680" s="695" t="s">
        <v>5967</v>
      </c>
      <c r="G2680" s="695">
        <v>1</v>
      </c>
      <c r="H2680" s="695" t="s">
        <v>5968</v>
      </c>
      <c r="I2680" s="695">
        <v>53</v>
      </c>
      <c r="J2680" s="695" t="s">
        <v>6016</v>
      </c>
      <c r="K2680" s="695" t="s">
        <v>3907</v>
      </c>
      <c r="L2680" s="696">
        <v>131</v>
      </c>
      <c r="M2680" s="170"/>
    </row>
    <row r="2681" spans="2:13" x14ac:dyDescent="0.2">
      <c r="B2681" s="173"/>
      <c r="C2681" s="694">
        <v>1</v>
      </c>
      <c r="D2681" s="695" t="s">
        <v>3903</v>
      </c>
      <c r="E2681" s="695">
        <v>4</v>
      </c>
      <c r="F2681" s="695" t="s">
        <v>5967</v>
      </c>
      <c r="G2681" s="695">
        <v>1</v>
      </c>
      <c r="H2681" s="695" t="s">
        <v>5968</v>
      </c>
      <c r="I2681" s="695">
        <v>54</v>
      </c>
      <c r="J2681" s="695" t="s">
        <v>6017</v>
      </c>
      <c r="K2681" s="695" t="s">
        <v>3907</v>
      </c>
      <c r="L2681" s="696">
        <v>25</v>
      </c>
      <c r="M2681" s="170"/>
    </row>
    <row r="2682" spans="2:13" x14ac:dyDescent="0.2">
      <c r="B2682" s="173"/>
      <c r="C2682" s="694">
        <v>1</v>
      </c>
      <c r="D2682" s="695" t="s">
        <v>3903</v>
      </c>
      <c r="E2682" s="695">
        <v>4</v>
      </c>
      <c r="F2682" s="695" t="s">
        <v>5967</v>
      </c>
      <c r="G2682" s="695">
        <v>1</v>
      </c>
      <c r="H2682" s="695" t="s">
        <v>5968</v>
      </c>
      <c r="I2682" s="695">
        <v>55</v>
      </c>
      <c r="J2682" s="695" t="s">
        <v>6018</v>
      </c>
      <c r="K2682" s="695" t="s">
        <v>8544</v>
      </c>
      <c r="L2682" s="696">
        <v>7</v>
      </c>
      <c r="M2682" s="170"/>
    </row>
    <row r="2683" spans="2:13" x14ac:dyDescent="0.2">
      <c r="B2683" s="173"/>
      <c r="C2683" s="694">
        <v>1</v>
      </c>
      <c r="D2683" s="695" t="s">
        <v>3903</v>
      </c>
      <c r="E2683" s="695">
        <v>4</v>
      </c>
      <c r="F2683" s="695" t="s">
        <v>5967</v>
      </c>
      <c r="G2683" s="695">
        <v>1</v>
      </c>
      <c r="H2683" s="695" t="s">
        <v>5968</v>
      </c>
      <c r="I2683" s="695">
        <v>56</v>
      </c>
      <c r="J2683" s="695" t="s">
        <v>6019</v>
      </c>
      <c r="K2683" s="695" t="s">
        <v>3907</v>
      </c>
      <c r="L2683" s="696">
        <v>19</v>
      </c>
      <c r="M2683" s="170"/>
    </row>
    <row r="2684" spans="2:13" x14ac:dyDescent="0.2">
      <c r="B2684" s="173"/>
      <c r="C2684" s="694">
        <v>1</v>
      </c>
      <c r="D2684" s="695" t="s">
        <v>3903</v>
      </c>
      <c r="E2684" s="695">
        <v>4</v>
      </c>
      <c r="F2684" s="695" t="s">
        <v>5967</v>
      </c>
      <c r="G2684" s="695">
        <v>1</v>
      </c>
      <c r="H2684" s="695" t="s">
        <v>5968</v>
      </c>
      <c r="I2684" s="695">
        <v>57</v>
      </c>
      <c r="J2684" s="695" t="s">
        <v>6020</v>
      </c>
      <c r="K2684" s="695" t="s">
        <v>4085</v>
      </c>
      <c r="L2684" s="696">
        <v>5</v>
      </c>
      <c r="M2684" s="170"/>
    </row>
    <row r="2685" spans="2:13" x14ac:dyDescent="0.2">
      <c r="B2685" s="173"/>
      <c r="C2685" s="694">
        <v>1</v>
      </c>
      <c r="D2685" s="695" t="s">
        <v>3903</v>
      </c>
      <c r="E2685" s="695">
        <v>4</v>
      </c>
      <c r="F2685" s="695" t="s">
        <v>5967</v>
      </c>
      <c r="G2685" s="695">
        <v>1</v>
      </c>
      <c r="H2685" s="695" t="s">
        <v>5968</v>
      </c>
      <c r="I2685" s="695">
        <v>58</v>
      </c>
      <c r="J2685" s="695" t="s">
        <v>6021</v>
      </c>
      <c r="K2685" s="695" t="s">
        <v>4085</v>
      </c>
      <c r="L2685" s="696">
        <v>14</v>
      </c>
      <c r="M2685" s="170"/>
    </row>
    <row r="2686" spans="2:13" x14ac:dyDescent="0.2">
      <c r="B2686" s="173"/>
      <c r="C2686" s="694">
        <v>1</v>
      </c>
      <c r="D2686" s="695" t="s">
        <v>3903</v>
      </c>
      <c r="E2686" s="695">
        <v>4</v>
      </c>
      <c r="F2686" s="695" t="s">
        <v>5967</v>
      </c>
      <c r="G2686" s="695">
        <v>1</v>
      </c>
      <c r="H2686" s="695" t="s">
        <v>5968</v>
      </c>
      <c r="I2686" s="695">
        <v>59</v>
      </c>
      <c r="J2686" s="695" t="s">
        <v>6022</v>
      </c>
      <c r="K2686" s="695" t="s">
        <v>3985</v>
      </c>
      <c r="L2686" s="696">
        <v>12</v>
      </c>
      <c r="M2686" s="170"/>
    </row>
    <row r="2687" spans="2:13" x14ac:dyDescent="0.2">
      <c r="B2687" s="173"/>
      <c r="C2687" s="694">
        <v>1</v>
      </c>
      <c r="D2687" s="695" t="s">
        <v>3903</v>
      </c>
      <c r="E2687" s="695">
        <v>4</v>
      </c>
      <c r="F2687" s="695" t="s">
        <v>5967</v>
      </c>
      <c r="G2687" s="695">
        <v>1</v>
      </c>
      <c r="H2687" s="695" t="s">
        <v>5968</v>
      </c>
      <c r="I2687" s="695">
        <v>60</v>
      </c>
      <c r="J2687" s="695" t="s">
        <v>6023</v>
      </c>
      <c r="K2687" s="695" t="s">
        <v>8544</v>
      </c>
      <c r="L2687" s="696">
        <v>48</v>
      </c>
      <c r="M2687" s="170"/>
    </row>
    <row r="2688" spans="2:13" x14ac:dyDescent="0.2">
      <c r="B2688" s="173"/>
      <c r="C2688" s="694">
        <v>1</v>
      </c>
      <c r="D2688" s="695" t="s">
        <v>3903</v>
      </c>
      <c r="E2688" s="695">
        <v>4</v>
      </c>
      <c r="F2688" s="695" t="s">
        <v>5967</v>
      </c>
      <c r="G2688" s="695">
        <v>1</v>
      </c>
      <c r="H2688" s="695" t="s">
        <v>5968</v>
      </c>
      <c r="I2688" s="695">
        <v>61</v>
      </c>
      <c r="J2688" s="695" t="s">
        <v>6024</v>
      </c>
      <c r="K2688" s="695" t="s">
        <v>3907</v>
      </c>
      <c r="L2688" s="696">
        <v>25</v>
      </c>
      <c r="M2688" s="170"/>
    </row>
    <row r="2689" spans="2:13" x14ac:dyDescent="0.2">
      <c r="B2689" s="173"/>
      <c r="C2689" s="694">
        <v>1</v>
      </c>
      <c r="D2689" s="695" t="s">
        <v>3903</v>
      </c>
      <c r="E2689" s="695">
        <v>4</v>
      </c>
      <c r="F2689" s="695" t="s">
        <v>5967</v>
      </c>
      <c r="G2689" s="695">
        <v>1</v>
      </c>
      <c r="H2689" s="695" t="s">
        <v>5968</v>
      </c>
      <c r="I2689" s="695">
        <v>62</v>
      </c>
      <c r="J2689" s="695" t="s">
        <v>6025</v>
      </c>
      <c r="K2689" s="695" t="s">
        <v>8544</v>
      </c>
      <c r="L2689" s="696">
        <v>25</v>
      </c>
      <c r="M2689" s="170"/>
    </row>
    <row r="2690" spans="2:13" x14ac:dyDescent="0.2">
      <c r="B2690" s="173"/>
      <c r="C2690" s="694">
        <v>1</v>
      </c>
      <c r="D2690" s="695" t="s">
        <v>3903</v>
      </c>
      <c r="E2690" s="695">
        <v>4</v>
      </c>
      <c r="F2690" s="695" t="s">
        <v>5967</v>
      </c>
      <c r="G2690" s="695">
        <v>1</v>
      </c>
      <c r="H2690" s="695" t="s">
        <v>5968</v>
      </c>
      <c r="I2690" s="695">
        <v>63</v>
      </c>
      <c r="J2690" s="695" t="s">
        <v>6026</v>
      </c>
      <c r="K2690" s="695" t="s">
        <v>3985</v>
      </c>
      <c r="L2690" s="696">
        <v>1</v>
      </c>
      <c r="M2690" s="170"/>
    </row>
    <row r="2691" spans="2:13" x14ac:dyDescent="0.2">
      <c r="B2691" s="173"/>
      <c r="C2691" s="694">
        <v>1</v>
      </c>
      <c r="D2691" s="695" t="s">
        <v>3903</v>
      </c>
      <c r="E2691" s="695">
        <v>4</v>
      </c>
      <c r="F2691" s="695" t="s">
        <v>5967</v>
      </c>
      <c r="G2691" s="695">
        <v>1</v>
      </c>
      <c r="H2691" s="695" t="s">
        <v>5968</v>
      </c>
      <c r="I2691" s="695">
        <v>64</v>
      </c>
      <c r="J2691" s="695" t="s">
        <v>6027</v>
      </c>
      <c r="K2691" s="695" t="s">
        <v>8544</v>
      </c>
      <c r="L2691" s="696">
        <v>28</v>
      </c>
      <c r="M2691" s="170"/>
    </row>
    <row r="2692" spans="2:13" x14ac:dyDescent="0.2">
      <c r="B2692" s="173"/>
      <c r="C2692" s="694">
        <v>1</v>
      </c>
      <c r="D2692" s="695" t="s">
        <v>3903</v>
      </c>
      <c r="E2692" s="695">
        <v>4</v>
      </c>
      <c r="F2692" s="695" t="s">
        <v>5967</v>
      </c>
      <c r="G2692" s="695">
        <v>1</v>
      </c>
      <c r="H2692" s="695" t="s">
        <v>5968</v>
      </c>
      <c r="I2692" s="695">
        <v>65</v>
      </c>
      <c r="J2692" s="695" t="s">
        <v>6028</v>
      </c>
      <c r="K2692" s="695" t="s">
        <v>8544</v>
      </c>
      <c r="L2692" s="696">
        <v>7</v>
      </c>
      <c r="M2692" s="170"/>
    </row>
    <row r="2693" spans="2:13" x14ac:dyDescent="0.2">
      <c r="B2693" s="173"/>
      <c r="C2693" s="694">
        <v>1</v>
      </c>
      <c r="D2693" s="695" t="s">
        <v>3903</v>
      </c>
      <c r="E2693" s="695">
        <v>4</v>
      </c>
      <c r="F2693" s="695" t="s">
        <v>5967</v>
      </c>
      <c r="G2693" s="695">
        <v>1</v>
      </c>
      <c r="H2693" s="695" t="s">
        <v>5968</v>
      </c>
      <c r="I2693" s="695">
        <v>66</v>
      </c>
      <c r="J2693" s="695" t="s">
        <v>6029</v>
      </c>
      <c r="K2693" s="695" t="s">
        <v>3907</v>
      </c>
      <c r="L2693" s="696">
        <v>8</v>
      </c>
      <c r="M2693" s="170"/>
    </row>
    <row r="2694" spans="2:13" x14ac:dyDescent="0.2">
      <c r="B2694" s="173"/>
      <c r="C2694" s="694">
        <v>1</v>
      </c>
      <c r="D2694" s="695" t="s">
        <v>3903</v>
      </c>
      <c r="E2694" s="695">
        <v>4</v>
      </c>
      <c r="F2694" s="695" t="s">
        <v>5967</v>
      </c>
      <c r="G2694" s="695">
        <v>1</v>
      </c>
      <c r="H2694" s="695" t="s">
        <v>5968</v>
      </c>
      <c r="I2694" s="695">
        <v>67</v>
      </c>
      <c r="J2694" s="695" t="s">
        <v>6030</v>
      </c>
      <c r="K2694" s="695" t="s">
        <v>8544</v>
      </c>
      <c r="L2694" s="696">
        <v>0</v>
      </c>
      <c r="M2694" s="170"/>
    </row>
    <row r="2695" spans="2:13" x14ac:dyDescent="0.2">
      <c r="B2695" s="173"/>
      <c r="C2695" s="694">
        <v>1</v>
      </c>
      <c r="D2695" s="695" t="s">
        <v>3903</v>
      </c>
      <c r="E2695" s="695">
        <v>4</v>
      </c>
      <c r="F2695" s="695" t="s">
        <v>5967</v>
      </c>
      <c r="G2695" s="695">
        <v>1</v>
      </c>
      <c r="H2695" s="695" t="s">
        <v>5968</v>
      </c>
      <c r="I2695" s="695">
        <v>68</v>
      </c>
      <c r="J2695" s="695" t="s">
        <v>6031</v>
      </c>
      <c r="K2695" s="695" t="s">
        <v>8544</v>
      </c>
      <c r="L2695" s="696">
        <v>2</v>
      </c>
      <c r="M2695" s="170"/>
    </row>
    <row r="2696" spans="2:13" x14ac:dyDescent="0.2">
      <c r="B2696" s="173"/>
      <c r="C2696" s="694">
        <v>1</v>
      </c>
      <c r="D2696" s="695" t="s">
        <v>3903</v>
      </c>
      <c r="E2696" s="695">
        <v>4</v>
      </c>
      <c r="F2696" s="695" t="s">
        <v>5967</v>
      </c>
      <c r="G2696" s="695">
        <v>1</v>
      </c>
      <c r="H2696" s="695" t="s">
        <v>5968</v>
      </c>
      <c r="I2696" s="695">
        <v>69</v>
      </c>
      <c r="J2696" s="695" t="s">
        <v>6032</v>
      </c>
      <c r="K2696" s="695" t="s">
        <v>8544</v>
      </c>
      <c r="L2696" s="696">
        <v>21</v>
      </c>
      <c r="M2696" s="170"/>
    </row>
    <row r="2697" spans="2:13" x14ac:dyDescent="0.2">
      <c r="B2697" s="173"/>
      <c r="C2697" s="694">
        <v>1</v>
      </c>
      <c r="D2697" s="695" t="s">
        <v>3903</v>
      </c>
      <c r="E2697" s="695">
        <v>4</v>
      </c>
      <c r="F2697" s="695" t="s">
        <v>5967</v>
      </c>
      <c r="G2697" s="695">
        <v>1</v>
      </c>
      <c r="H2697" s="695" t="s">
        <v>5968</v>
      </c>
      <c r="I2697" s="695">
        <v>70</v>
      </c>
      <c r="J2697" s="695" t="s">
        <v>6033</v>
      </c>
      <c r="K2697" s="695" t="s">
        <v>8544</v>
      </c>
      <c r="L2697" s="696">
        <v>15</v>
      </c>
      <c r="M2697" s="170"/>
    </row>
    <row r="2698" spans="2:13" x14ac:dyDescent="0.2">
      <c r="B2698" s="173"/>
      <c r="C2698" s="694">
        <v>1</v>
      </c>
      <c r="D2698" s="695" t="s">
        <v>3903</v>
      </c>
      <c r="E2698" s="695">
        <v>4</v>
      </c>
      <c r="F2698" s="695" t="s">
        <v>5967</v>
      </c>
      <c r="G2698" s="695">
        <v>1</v>
      </c>
      <c r="H2698" s="695" t="s">
        <v>5968</v>
      </c>
      <c r="I2698" s="695">
        <v>71</v>
      </c>
      <c r="J2698" s="695" t="s">
        <v>6034</v>
      </c>
      <c r="K2698" s="695" t="s">
        <v>4057</v>
      </c>
      <c r="L2698" s="696">
        <v>37</v>
      </c>
      <c r="M2698" s="170"/>
    </row>
    <row r="2699" spans="2:13" x14ac:dyDescent="0.2">
      <c r="B2699" s="173"/>
      <c r="C2699" s="694">
        <v>1</v>
      </c>
      <c r="D2699" s="695" t="s">
        <v>3903</v>
      </c>
      <c r="E2699" s="695">
        <v>4</v>
      </c>
      <c r="F2699" s="695" t="s">
        <v>5967</v>
      </c>
      <c r="G2699" s="695">
        <v>1</v>
      </c>
      <c r="H2699" s="695" t="s">
        <v>5968</v>
      </c>
      <c r="I2699" s="695">
        <v>72</v>
      </c>
      <c r="J2699" s="695" t="s">
        <v>6035</v>
      </c>
      <c r="K2699" s="695" t="s">
        <v>4057</v>
      </c>
      <c r="L2699" s="696">
        <v>49</v>
      </c>
      <c r="M2699" s="170"/>
    </row>
    <row r="2700" spans="2:13" x14ac:dyDescent="0.2">
      <c r="B2700" s="173"/>
      <c r="C2700" s="694">
        <v>1</v>
      </c>
      <c r="D2700" s="695" t="s">
        <v>3903</v>
      </c>
      <c r="E2700" s="695">
        <v>4</v>
      </c>
      <c r="F2700" s="695" t="s">
        <v>5967</v>
      </c>
      <c r="G2700" s="695">
        <v>1</v>
      </c>
      <c r="H2700" s="695" t="s">
        <v>5968</v>
      </c>
      <c r="I2700" s="695">
        <v>73</v>
      </c>
      <c r="J2700" s="695" t="s">
        <v>6036</v>
      </c>
      <c r="K2700" s="695" t="s">
        <v>8544</v>
      </c>
      <c r="L2700" s="696">
        <v>4</v>
      </c>
      <c r="M2700" s="170"/>
    </row>
    <row r="2701" spans="2:13" x14ac:dyDescent="0.2">
      <c r="B2701" s="173"/>
      <c r="C2701" s="694">
        <v>1</v>
      </c>
      <c r="D2701" s="695" t="s">
        <v>3903</v>
      </c>
      <c r="E2701" s="695">
        <v>4</v>
      </c>
      <c r="F2701" s="695" t="s">
        <v>5967</v>
      </c>
      <c r="G2701" s="695">
        <v>1</v>
      </c>
      <c r="H2701" s="695" t="s">
        <v>5968</v>
      </c>
      <c r="I2701" s="695">
        <v>74</v>
      </c>
      <c r="J2701" s="695" t="s">
        <v>6037</v>
      </c>
      <c r="K2701" s="695" t="s">
        <v>8544</v>
      </c>
      <c r="L2701" s="696">
        <v>5</v>
      </c>
      <c r="M2701" s="170"/>
    </row>
    <row r="2702" spans="2:13" x14ac:dyDescent="0.2">
      <c r="B2702" s="173"/>
      <c r="C2702" s="694">
        <v>1</v>
      </c>
      <c r="D2702" s="695" t="s">
        <v>3903</v>
      </c>
      <c r="E2702" s="695">
        <v>4</v>
      </c>
      <c r="F2702" s="695" t="s">
        <v>5967</v>
      </c>
      <c r="G2702" s="695">
        <v>1</v>
      </c>
      <c r="H2702" s="695" t="s">
        <v>5968</v>
      </c>
      <c r="I2702" s="695">
        <v>75</v>
      </c>
      <c r="J2702" s="695" t="s">
        <v>6038</v>
      </c>
      <c r="K2702" s="695" t="s">
        <v>8544</v>
      </c>
      <c r="L2702" s="696">
        <v>74</v>
      </c>
      <c r="M2702" s="170"/>
    </row>
    <row r="2703" spans="2:13" x14ac:dyDescent="0.2">
      <c r="B2703" s="173"/>
      <c r="C2703" s="694">
        <v>1</v>
      </c>
      <c r="D2703" s="695" t="s">
        <v>3903</v>
      </c>
      <c r="E2703" s="695">
        <v>4</v>
      </c>
      <c r="F2703" s="695" t="s">
        <v>5967</v>
      </c>
      <c r="G2703" s="695">
        <v>1</v>
      </c>
      <c r="H2703" s="695" t="s">
        <v>5968</v>
      </c>
      <c r="I2703" s="695">
        <v>76</v>
      </c>
      <c r="J2703" s="695" t="s">
        <v>6037</v>
      </c>
      <c r="K2703" s="695" t="s">
        <v>8544</v>
      </c>
      <c r="L2703" s="696">
        <v>4</v>
      </c>
      <c r="M2703" s="170"/>
    </row>
    <row r="2704" spans="2:13" x14ac:dyDescent="0.2">
      <c r="B2704" s="173"/>
      <c r="C2704" s="694">
        <v>1</v>
      </c>
      <c r="D2704" s="695" t="s">
        <v>3903</v>
      </c>
      <c r="E2704" s="695">
        <v>4</v>
      </c>
      <c r="F2704" s="695" t="s">
        <v>5967</v>
      </c>
      <c r="G2704" s="695">
        <v>1</v>
      </c>
      <c r="H2704" s="695" t="s">
        <v>5968</v>
      </c>
      <c r="I2704" s="695">
        <v>77</v>
      </c>
      <c r="J2704" s="695" t="s">
        <v>6039</v>
      </c>
      <c r="K2704" s="695" t="s">
        <v>8544</v>
      </c>
      <c r="L2704" s="696">
        <v>2</v>
      </c>
      <c r="M2704" s="170"/>
    </row>
    <row r="2705" spans="2:13" x14ac:dyDescent="0.2">
      <c r="B2705" s="173"/>
      <c r="C2705" s="694">
        <v>1</v>
      </c>
      <c r="D2705" s="695" t="s">
        <v>3903</v>
      </c>
      <c r="E2705" s="695">
        <v>4</v>
      </c>
      <c r="F2705" s="695" t="s">
        <v>5967</v>
      </c>
      <c r="G2705" s="695">
        <v>1</v>
      </c>
      <c r="H2705" s="695" t="s">
        <v>5968</v>
      </c>
      <c r="I2705" s="695">
        <v>78</v>
      </c>
      <c r="J2705" s="695" t="s">
        <v>6040</v>
      </c>
      <c r="K2705" s="695" t="s">
        <v>3907</v>
      </c>
      <c r="L2705" s="696">
        <v>5</v>
      </c>
      <c r="M2705" s="170"/>
    </row>
    <row r="2706" spans="2:13" x14ac:dyDescent="0.2">
      <c r="B2706" s="173"/>
      <c r="C2706" s="694">
        <v>1</v>
      </c>
      <c r="D2706" s="695" t="s">
        <v>3903</v>
      </c>
      <c r="E2706" s="695">
        <v>4</v>
      </c>
      <c r="F2706" s="695" t="s">
        <v>5967</v>
      </c>
      <c r="G2706" s="695">
        <v>1</v>
      </c>
      <c r="H2706" s="695" t="s">
        <v>5968</v>
      </c>
      <c r="I2706" s="695">
        <v>79</v>
      </c>
      <c r="J2706" s="695" t="s">
        <v>6041</v>
      </c>
      <c r="K2706" s="695" t="s">
        <v>8544</v>
      </c>
      <c r="L2706" s="696">
        <v>1</v>
      </c>
      <c r="M2706" s="170"/>
    </row>
    <row r="2707" spans="2:13" x14ac:dyDescent="0.2">
      <c r="B2707" s="173"/>
      <c r="C2707" s="694">
        <v>1</v>
      </c>
      <c r="D2707" s="695" t="s">
        <v>3903</v>
      </c>
      <c r="E2707" s="695">
        <v>4</v>
      </c>
      <c r="F2707" s="695" t="s">
        <v>5967</v>
      </c>
      <c r="G2707" s="695">
        <v>1</v>
      </c>
      <c r="H2707" s="695" t="s">
        <v>5968</v>
      </c>
      <c r="I2707" s="695">
        <v>80</v>
      </c>
      <c r="J2707" s="695" t="s">
        <v>6042</v>
      </c>
      <c r="K2707" s="695" t="s">
        <v>8544</v>
      </c>
      <c r="L2707" s="696">
        <v>60</v>
      </c>
      <c r="M2707" s="170"/>
    </row>
    <row r="2708" spans="2:13" x14ac:dyDescent="0.2">
      <c r="B2708" s="173"/>
      <c r="C2708" s="694">
        <v>1</v>
      </c>
      <c r="D2708" s="695" t="s">
        <v>3903</v>
      </c>
      <c r="E2708" s="695">
        <v>4</v>
      </c>
      <c r="F2708" s="695" t="s">
        <v>5967</v>
      </c>
      <c r="G2708" s="695">
        <v>1</v>
      </c>
      <c r="H2708" s="695" t="s">
        <v>5968</v>
      </c>
      <c r="I2708" s="695">
        <v>81</v>
      </c>
      <c r="J2708" s="695" t="s">
        <v>6043</v>
      </c>
      <c r="K2708" s="695" t="s">
        <v>4009</v>
      </c>
      <c r="L2708" s="696">
        <v>0</v>
      </c>
      <c r="M2708" s="170"/>
    </row>
    <row r="2709" spans="2:13" x14ac:dyDescent="0.2">
      <c r="B2709" s="173"/>
      <c r="C2709" s="694">
        <v>1</v>
      </c>
      <c r="D2709" s="695" t="s">
        <v>3903</v>
      </c>
      <c r="E2709" s="695">
        <v>4</v>
      </c>
      <c r="F2709" s="695" t="s">
        <v>5967</v>
      </c>
      <c r="G2709" s="695">
        <v>1</v>
      </c>
      <c r="H2709" s="695" t="s">
        <v>5968</v>
      </c>
      <c r="I2709" s="695">
        <v>82</v>
      </c>
      <c r="J2709" s="695" t="s">
        <v>6044</v>
      </c>
      <c r="K2709" s="695" t="s">
        <v>8544</v>
      </c>
      <c r="L2709" s="696">
        <v>33</v>
      </c>
      <c r="M2709" s="170"/>
    </row>
    <row r="2710" spans="2:13" x14ac:dyDescent="0.2">
      <c r="B2710" s="173"/>
      <c r="C2710" s="694">
        <v>1</v>
      </c>
      <c r="D2710" s="695" t="s">
        <v>3903</v>
      </c>
      <c r="E2710" s="695">
        <v>4</v>
      </c>
      <c r="F2710" s="695" t="s">
        <v>5967</v>
      </c>
      <c r="G2710" s="695">
        <v>1</v>
      </c>
      <c r="H2710" s="695" t="s">
        <v>5968</v>
      </c>
      <c r="I2710" s="695">
        <v>83</v>
      </c>
      <c r="J2710" s="695" t="s">
        <v>6045</v>
      </c>
      <c r="K2710" s="695" t="s">
        <v>8544</v>
      </c>
      <c r="L2710" s="696">
        <v>9</v>
      </c>
      <c r="M2710" s="170"/>
    </row>
    <row r="2711" spans="2:13" x14ac:dyDescent="0.2">
      <c r="B2711" s="173"/>
      <c r="C2711" s="694">
        <v>1</v>
      </c>
      <c r="D2711" s="695" t="s">
        <v>3903</v>
      </c>
      <c r="E2711" s="695">
        <v>4</v>
      </c>
      <c r="F2711" s="695" t="s">
        <v>5967</v>
      </c>
      <c r="G2711" s="695">
        <v>1</v>
      </c>
      <c r="H2711" s="695" t="s">
        <v>5968</v>
      </c>
      <c r="I2711" s="695">
        <v>84</v>
      </c>
      <c r="J2711" s="695" t="s">
        <v>6046</v>
      </c>
      <c r="K2711" s="695" t="s">
        <v>8544</v>
      </c>
      <c r="L2711" s="696">
        <v>12</v>
      </c>
      <c r="M2711" s="170"/>
    </row>
    <row r="2712" spans="2:13" x14ac:dyDescent="0.2">
      <c r="B2712" s="173"/>
      <c r="C2712" s="694">
        <v>1</v>
      </c>
      <c r="D2712" s="695" t="s">
        <v>3903</v>
      </c>
      <c r="E2712" s="695">
        <v>4</v>
      </c>
      <c r="F2712" s="695" t="s">
        <v>5967</v>
      </c>
      <c r="G2712" s="695">
        <v>1</v>
      </c>
      <c r="H2712" s="695" t="s">
        <v>5968</v>
      </c>
      <c r="I2712" s="695">
        <v>85</v>
      </c>
      <c r="J2712" s="695" t="s">
        <v>6047</v>
      </c>
      <c r="K2712" s="695" t="s">
        <v>8544</v>
      </c>
      <c r="L2712" s="696">
        <v>19</v>
      </c>
      <c r="M2712" s="170"/>
    </row>
    <row r="2713" spans="2:13" x14ac:dyDescent="0.2">
      <c r="B2713" s="173"/>
      <c r="C2713" s="694">
        <v>1</v>
      </c>
      <c r="D2713" s="695" t="s">
        <v>3903</v>
      </c>
      <c r="E2713" s="695">
        <v>4</v>
      </c>
      <c r="F2713" s="695" t="s">
        <v>5967</v>
      </c>
      <c r="G2713" s="695">
        <v>1</v>
      </c>
      <c r="H2713" s="695" t="s">
        <v>5968</v>
      </c>
      <c r="I2713" s="695">
        <v>86</v>
      </c>
      <c r="J2713" s="695" t="s">
        <v>6048</v>
      </c>
      <c r="K2713" s="695" t="s">
        <v>8544</v>
      </c>
      <c r="L2713" s="696">
        <v>1</v>
      </c>
      <c r="M2713" s="170"/>
    </row>
    <row r="2714" spans="2:13" x14ac:dyDescent="0.2">
      <c r="B2714" s="173"/>
      <c r="C2714" s="694">
        <v>1</v>
      </c>
      <c r="D2714" s="695" t="s">
        <v>3903</v>
      </c>
      <c r="E2714" s="695">
        <v>4</v>
      </c>
      <c r="F2714" s="695" t="s">
        <v>5967</v>
      </c>
      <c r="G2714" s="695">
        <v>1</v>
      </c>
      <c r="H2714" s="695" t="s">
        <v>5968</v>
      </c>
      <c r="I2714" s="695">
        <v>87</v>
      </c>
      <c r="J2714" s="695" t="s">
        <v>6049</v>
      </c>
      <c r="K2714" s="695" t="s">
        <v>3985</v>
      </c>
      <c r="L2714" s="696">
        <v>33</v>
      </c>
      <c r="M2714" s="170"/>
    </row>
    <row r="2715" spans="2:13" x14ac:dyDescent="0.2">
      <c r="B2715" s="173"/>
      <c r="C2715" s="694">
        <v>1</v>
      </c>
      <c r="D2715" s="695" t="s">
        <v>3903</v>
      </c>
      <c r="E2715" s="695">
        <v>4</v>
      </c>
      <c r="F2715" s="695" t="s">
        <v>5967</v>
      </c>
      <c r="G2715" s="695">
        <v>1</v>
      </c>
      <c r="H2715" s="695" t="s">
        <v>5968</v>
      </c>
      <c r="I2715" s="695">
        <v>88</v>
      </c>
      <c r="J2715" s="695" t="s">
        <v>6050</v>
      </c>
      <c r="K2715" s="695" t="s">
        <v>3985</v>
      </c>
      <c r="L2715" s="696">
        <v>0</v>
      </c>
      <c r="M2715" s="170"/>
    </row>
    <row r="2716" spans="2:13" x14ac:dyDescent="0.2">
      <c r="B2716" s="173"/>
      <c r="C2716" s="694">
        <v>1</v>
      </c>
      <c r="D2716" s="695" t="s">
        <v>3903</v>
      </c>
      <c r="E2716" s="695">
        <v>4</v>
      </c>
      <c r="F2716" s="695" t="s">
        <v>5967</v>
      </c>
      <c r="G2716" s="695">
        <v>1</v>
      </c>
      <c r="H2716" s="695" t="s">
        <v>5968</v>
      </c>
      <c r="I2716" s="695">
        <v>89</v>
      </c>
      <c r="J2716" s="695" t="s">
        <v>5106</v>
      </c>
      <c r="K2716" s="695" t="s">
        <v>3985</v>
      </c>
      <c r="L2716" s="696">
        <v>292</v>
      </c>
      <c r="M2716" s="170"/>
    </row>
    <row r="2717" spans="2:13" x14ac:dyDescent="0.2">
      <c r="B2717" s="173"/>
      <c r="C2717" s="694">
        <v>1</v>
      </c>
      <c r="D2717" s="695" t="s">
        <v>3903</v>
      </c>
      <c r="E2717" s="695">
        <v>4</v>
      </c>
      <c r="F2717" s="695" t="s">
        <v>5967</v>
      </c>
      <c r="G2717" s="695">
        <v>1</v>
      </c>
      <c r="H2717" s="695" t="s">
        <v>5968</v>
      </c>
      <c r="I2717" s="695">
        <v>90</v>
      </c>
      <c r="J2717" s="695" t="s">
        <v>6051</v>
      </c>
      <c r="K2717" s="695" t="s">
        <v>8544</v>
      </c>
      <c r="L2717" s="696">
        <v>30</v>
      </c>
      <c r="M2717" s="170"/>
    </row>
    <row r="2718" spans="2:13" x14ac:dyDescent="0.2">
      <c r="B2718" s="173"/>
      <c r="C2718" s="694">
        <v>1</v>
      </c>
      <c r="D2718" s="695" t="s">
        <v>3903</v>
      </c>
      <c r="E2718" s="695">
        <v>4</v>
      </c>
      <c r="F2718" s="695" t="s">
        <v>5967</v>
      </c>
      <c r="G2718" s="695">
        <v>1</v>
      </c>
      <c r="H2718" s="695" t="s">
        <v>5968</v>
      </c>
      <c r="I2718" s="695">
        <v>91</v>
      </c>
      <c r="J2718" s="695" t="s">
        <v>6052</v>
      </c>
      <c r="K2718" s="695" t="s">
        <v>8544</v>
      </c>
      <c r="L2718" s="696">
        <v>0</v>
      </c>
      <c r="M2718" s="170"/>
    </row>
    <row r="2719" spans="2:13" x14ac:dyDescent="0.2">
      <c r="B2719" s="173"/>
      <c r="C2719" s="694">
        <v>1</v>
      </c>
      <c r="D2719" s="695" t="s">
        <v>3903</v>
      </c>
      <c r="E2719" s="695">
        <v>4</v>
      </c>
      <c r="F2719" s="695" t="s">
        <v>5967</v>
      </c>
      <c r="G2719" s="695">
        <v>1</v>
      </c>
      <c r="H2719" s="695" t="s">
        <v>5968</v>
      </c>
      <c r="I2719" s="695">
        <v>92</v>
      </c>
      <c r="J2719" s="695" t="s">
        <v>6053</v>
      </c>
      <c r="K2719" s="695" t="s">
        <v>8544</v>
      </c>
      <c r="L2719" s="696">
        <v>14</v>
      </c>
      <c r="M2719" s="170"/>
    </row>
    <row r="2720" spans="2:13" x14ac:dyDescent="0.2">
      <c r="B2720" s="173"/>
      <c r="C2720" s="694">
        <v>1</v>
      </c>
      <c r="D2720" s="695" t="s">
        <v>3903</v>
      </c>
      <c r="E2720" s="695">
        <v>4</v>
      </c>
      <c r="F2720" s="695" t="s">
        <v>5967</v>
      </c>
      <c r="G2720" s="695">
        <v>1</v>
      </c>
      <c r="H2720" s="695" t="s">
        <v>5968</v>
      </c>
      <c r="I2720" s="695">
        <v>93</v>
      </c>
      <c r="J2720" s="695" t="s">
        <v>6054</v>
      </c>
      <c r="K2720" s="695" t="s">
        <v>8544</v>
      </c>
      <c r="L2720" s="696">
        <v>16</v>
      </c>
      <c r="M2720" s="170"/>
    </row>
    <row r="2721" spans="2:13" x14ac:dyDescent="0.2">
      <c r="B2721" s="173"/>
      <c r="C2721" s="694">
        <v>1</v>
      </c>
      <c r="D2721" s="695" t="s">
        <v>3903</v>
      </c>
      <c r="E2721" s="695">
        <v>4</v>
      </c>
      <c r="F2721" s="695" t="s">
        <v>5967</v>
      </c>
      <c r="G2721" s="695">
        <v>1</v>
      </c>
      <c r="H2721" s="695" t="s">
        <v>5968</v>
      </c>
      <c r="I2721" s="695">
        <v>94</v>
      </c>
      <c r="J2721" s="695" t="s">
        <v>6055</v>
      </c>
      <c r="K2721" s="695" t="s">
        <v>8544</v>
      </c>
      <c r="L2721" s="696">
        <v>29</v>
      </c>
      <c r="M2721" s="170"/>
    </row>
    <row r="2722" spans="2:13" x14ac:dyDescent="0.2">
      <c r="B2722" s="173"/>
      <c r="C2722" s="694">
        <v>1</v>
      </c>
      <c r="D2722" s="695" t="s">
        <v>3903</v>
      </c>
      <c r="E2722" s="695">
        <v>4</v>
      </c>
      <c r="F2722" s="695" t="s">
        <v>5967</v>
      </c>
      <c r="G2722" s="695">
        <v>1</v>
      </c>
      <c r="H2722" s="695" t="s">
        <v>5968</v>
      </c>
      <c r="I2722" s="695">
        <v>95</v>
      </c>
      <c r="J2722" s="695" t="s">
        <v>6056</v>
      </c>
      <c r="K2722" s="695" t="s">
        <v>8544</v>
      </c>
      <c r="L2722" s="696">
        <v>17</v>
      </c>
      <c r="M2722" s="170"/>
    </row>
    <row r="2723" spans="2:13" x14ac:dyDescent="0.2">
      <c r="B2723" s="173"/>
      <c r="C2723" s="694">
        <v>1</v>
      </c>
      <c r="D2723" s="695" t="s">
        <v>3903</v>
      </c>
      <c r="E2723" s="695">
        <v>4</v>
      </c>
      <c r="F2723" s="695" t="s">
        <v>5967</v>
      </c>
      <c r="G2723" s="695">
        <v>1</v>
      </c>
      <c r="H2723" s="695" t="s">
        <v>5968</v>
      </c>
      <c r="I2723" s="695">
        <v>96</v>
      </c>
      <c r="J2723" s="695" t="s">
        <v>6057</v>
      </c>
      <c r="K2723" s="695" t="s">
        <v>8544</v>
      </c>
      <c r="L2723" s="696">
        <v>64</v>
      </c>
      <c r="M2723" s="170"/>
    </row>
    <row r="2724" spans="2:13" x14ac:dyDescent="0.2">
      <c r="B2724" s="173"/>
      <c r="C2724" s="694">
        <v>1</v>
      </c>
      <c r="D2724" s="695" t="s">
        <v>3903</v>
      </c>
      <c r="E2724" s="695">
        <v>4</v>
      </c>
      <c r="F2724" s="695" t="s">
        <v>5967</v>
      </c>
      <c r="G2724" s="695">
        <v>1</v>
      </c>
      <c r="H2724" s="695" t="s">
        <v>5968</v>
      </c>
      <c r="I2724" s="695">
        <v>97</v>
      </c>
      <c r="J2724" s="695" t="s">
        <v>6058</v>
      </c>
      <c r="K2724" s="695" t="s">
        <v>4057</v>
      </c>
      <c r="L2724" s="696">
        <v>9</v>
      </c>
      <c r="M2724" s="170"/>
    </row>
    <row r="2725" spans="2:13" x14ac:dyDescent="0.2">
      <c r="B2725" s="173"/>
      <c r="C2725" s="694">
        <v>1</v>
      </c>
      <c r="D2725" s="695" t="s">
        <v>3903</v>
      </c>
      <c r="E2725" s="695">
        <v>4</v>
      </c>
      <c r="F2725" s="695" t="s">
        <v>5967</v>
      </c>
      <c r="G2725" s="695">
        <v>1</v>
      </c>
      <c r="H2725" s="695" t="s">
        <v>5968</v>
      </c>
      <c r="I2725" s="695">
        <v>98</v>
      </c>
      <c r="J2725" s="695" t="s">
        <v>6059</v>
      </c>
      <c r="K2725" s="695" t="s">
        <v>3907</v>
      </c>
      <c r="L2725" s="696">
        <v>43</v>
      </c>
      <c r="M2725" s="170"/>
    </row>
    <row r="2726" spans="2:13" x14ac:dyDescent="0.2">
      <c r="B2726" s="173"/>
      <c r="C2726" s="694">
        <v>1</v>
      </c>
      <c r="D2726" s="695" t="s">
        <v>3903</v>
      </c>
      <c r="E2726" s="695">
        <v>4</v>
      </c>
      <c r="F2726" s="695" t="s">
        <v>5967</v>
      </c>
      <c r="G2726" s="695">
        <v>1</v>
      </c>
      <c r="H2726" s="695" t="s">
        <v>5968</v>
      </c>
      <c r="I2726" s="695">
        <v>99</v>
      </c>
      <c r="J2726" s="695" t="s">
        <v>6060</v>
      </c>
      <c r="K2726" s="695" t="s">
        <v>8544</v>
      </c>
      <c r="L2726" s="696">
        <v>7</v>
      </c>
      <c r="M2726" s="170"/>
    </row>
    <row r="2727" spans="2:13" x14ac:dyDescent="0.2">
      <c r="B2727" s="173"/>
      <c r="C2727" s="694">
        <v>1</v>
      </c>
      <c r="D2727" s="695" t="s">
        <v>3903</v>
      </c>
      <c r="E2727" s="695">
        <v>4</v>
      </c>
      <c r="F2727" s="695" t="s">
        <v>5967</v>
      </c>
      <c r="G2727" s="695">
        <v>1</v>
      </c>
      <c r="H2727" s="695" t="s">
        <v>5968</v>
      </c>
      <c r="I2727" s="695">
        <v>100</v>
      </c>
      <c r="J2727" s="695" t="s">
        <v>6061</v>
      </c>
      <c r="K2727" s="695" t="s">
        <v>4057</v>
      </c>
      <c r="L2727" s="696">
        <v>36</v>
      </c>
      <c r="M2727" s="170"/>
    </row>
    <row r="2728" spans="2:13" x14ac:dyDescent="0.2">
      <c r="B2728" s="173"/>
      <c r="C2728" s="694">
        <v>1</v>
      </c>
      <c r="D2728" s="695" t="s">
        <v>3903</v>
      </c>
      <c r="E2728" s="695">
        <v>4</v>
      </c>
      <c r="F2728" s="695" t="s">
        <v>5967</v>
      </c>
      <c r="G2728" s="695">
        <v>1</v>
      </c>
      <c r="H2728" s="695" t="s">
        <v>5968</v>
      </c>
      <c r="I2728" s="695">
        <v>101</v>
      </c>
      <c r="J2728" s="695" t="s">
        <v>6062</v>
      </c>
      <c r="K2728" s="695" t="s">
        <v>4057</v>
      </c>
      <c r="L2728" s="696">
        <v>125</v>
      </c>
      <c r="M2728" s="170"/>
    </row>
    <row r="2729" spans="2:13" x14ac:dyDescent="0.2">
      <c r="B2729" s="173"/>
      <c r="C2729" s="694">
        <v>1</v>
      </c>
      <c r="D2729" s="695" t="s">
        <v>3903</v>
      </c>
      <c r="E2729" s="695">
        <v>4</v>
      </c>
      <c r="F2729" s="695" t="s">
        <v>5967</v>
      </c>
      <c r="G2729" s="695">
        <v>1</v>
      </c>
      <c r="H2729" s="695" t="s">
        <v>5968</v>
      </c>
      <c r="I2729" s="695">
        <v>102</v>
      </c>
      <c r="J2729" s="695" t="s">
        <v>6063</v>
      </c>
      <c r="K2729" s="695" t="s">
        <v>4057</v>
      </c>
      <c r="L2729" s="696">
        <v>6</v>
      </c>
      <c r="M2729" s="170"/>
    </row>
    <row r="2730" spans="2:13" x14ac:dyDescent="0.2">
      <c r="B2730" s="173"/>
      <c r="C2730" s="694">
        <v>1</v>
      </c>
      <c r="D2730" s="695" t="s">
        <v>3903</v>
      </c>
      <c r="E2730" s="695">
        <v>4</v>
      </c>
      <c r="F2730" s="695" t="s">
        <v>5967</v>
      </c>
      <c r="G2730" s="695">
        <v>1</v>
      </c>
      <c r="H2730" s="695" t="s">
        <v>5968</v>
      </c>
      <c r="I2730" s="695">
        <v>103</v>
      </c>
      <c r="J2730" s="695" t="s">
        <v>6064</v>
      </c>
      <c r="K2730" s="695" t="s">
        <v>8544</v>
      </c>
      <c r="L2730" s="696">
        <v>16</v>
      </c>
      <c r="M2730" s="170"/>
    </row>
    <row r="2731" spans="2:13" x14ac:dyDescent="0.2">
      <c r="B2731" s="173"/>
      <c r="C2731" s="694">
        <v>1</v>
      </c>
      <c r="D2731" s="695" t="s">
        <v>3903</v>
      </c>
      <c r="E2731" s="695">
        <v>4</v>
      </c>
      <c r="F2731" s="695" t="s">
        <v>5967</v>
      </c>
      <c r="G2731" s="695">
        <v>1</v>
      </c>
      <c r="H2731" s="695" t="s">
        <v>5968</v>
      </c>
      <c r="I2731" s="695">
        <v>104</v>
      </c>
      <c r="J2731" s="695" t="s">
        <v>6065</v>
      </c>
      <c r="K2731" s="695" t="s">
        <v>8544</v>
      </c>
      <c r="L2731" s="696">
        <v>10</v>
      </c>
      <c r="M2731" s="170"/>
    </row>
    <row r="2732" spans="2:13" x14ac:dyDescent="0.2">
      <c r="B2732" s="173"/>
      <c r="C2732" s="694">
        <v>1</v>
      </c>
      <c r="D2732" s="695" t="s">
        <v>3903</v>
      </c>
      <c r="E2732" s="695">
        <v>4</v>
      </c>
      <c r="F2732" s="695" t="s">
        <v>5967</v>
      </c>
      <c r="G2732" s="695">
        <v>1</v>
      </c>
      <c r="H2732" s="695" t="s">
        <v>5968</v>
      </c>
      <c r="I2732" s="695">
        <v>105</v>
      </c>
      <c r="J2732" s="695" t="s">
        <v>6066</v>
      </c>
      <c r="K2732" s="695" t="s">
        <v>8544</v>
      </c>
      <c r="L2732" s="696">
        <v>3</v>
      </c>
      <c r="M2732" s="170"/>
    </row>
    <row r="2733" spans="2:13" x14ac:dyDescent="0.2">
      <c r="B2733" s="173"/>
      <c r="C2733" s="694">
        <v>1</v>
      </c>
      <c r="D2733" s="695" t="s">
        <v>3903</v>
      </c>
      <c r="E2733" s="695">
        <v>4</v>
      </c>
      <c r="F2733" s="695" t="s">
        <v>5967</v>
      </c>
      <c r="G2733" s="695">
        <v>1</v>
      </c>
      <c r="H2733" s="695" t="s">
        <v>5968</v>
      </c>
      <c r="I2733" s="695">
        <v>106</v>
      </c>
      <c r="J2733" s="695" t="s">
        <v>6067</v>
      </c>
      <c r="K2733" s="695" t="s">
        <v>8544</v>
      </c>
      <c r="L2733" s="696">
        <v>1</v>
      </c>
      <c r="M2733" s="170"/>
    </row>
    <row r="2734" spans="2:13" x14ac:dyDescent="0.2">
      <c r="B2734" s="173"/>
      <c r="C2734" s="694">
        <v>1</v>
      </c>
      <c r="D2734" s="695" t="s">
        <v>3903</v>
      </c>
      <c r="E2734" s="695">
        <v>4</v>
      </c>
      <c r="F2734" s="695" t="s">
        <v>5967</v>
      </c>
      <c r="G2734" s="695">
        <v>1</v>
      </c>
      <c r="H2734" s="695" t="s">
        <v>5968</v>
      </c>
      <c r="I2734" s="695">
        <v>107</v>
      </c>
      <c r="J2734" s="695" t="s">
        <v>6068</v>
      </c>
      <c r="K2734" s="695" t="s">
        <v>8544</v>
      </c>
      <c r="L2734" s="696">
        <v>13</v>
      </c>
      <c r="M2734" s="170"/>
    </row>
    <row r="2735" spans="2:13" x14ac:dyDescent="0.2">
      <c r="B2735" s="173"/>
      <c r="C2735" s="694">
        <v>1</v>
      </c>
      <c r="D2735" s="695" t="s">
        <v>3903</v>
      </c>
      <c r="E2735" s="695">
        <v>4</v>
      </c>
      <c r="F2735" s="695" t="s">
        <v>5967</v>
      </c>
      <c r="G2735" s="695">
        <v>1</v>
      </c>
      <c r="H2735" s="695" t="s">
        <v>5968</v>
      </c>
      <c r="I2735" s="695">
        <v>108</v>
      </c>
      <c r="J2735" s="695" t="s">
        <v>6069</v>
      </c>
      <c r="K2735" s="695" t="s">
        <v>3907</v>
      </c>
      <c r="L2735" s="696">
        <v>10</v>
      </c>
      <c r="M2735" s="170"/>
    </row>
    <row r="2736" spans="2:13" x14ac:dyDescent="0.2">
      <c r="B2736" s="173"/>
      <c r="C2736" s="694">
        <v>1</v>
      </c>
      <c r="D2736" s="695" t="s">
        <v>3903</v>
      </c>
      <c r="E2736" s="695">
        <v>4</v>
      </c>
      <c r="F2736" s="695" t="s">
        <v>5967</v>
      </c>
      <c r="G2736" s="695">
        <v>1</v>
      </c>
      <c r="H2736" s="695" t="s">
        <v>5968</v>
      </c>
      <c r="I2736" s="695">
        <v>109</v>
      </c>
      <c r="J2736" s="695" t="s">
        <v>6070</v>
      </c>
      <c r="K2736" s="695" t="s">
        <v>8544</v>
      </c>
      <c r="L2736" s="696">
        <v>5</v>
      </c>
      <c r="M2736" s="170"/>
    </row>
    <row r="2737" spans="2:13" x14ac:dyDescent="0.2">
      <c r="B2737" s="173"/>
      <c r="C2737" s="694">
        <v>1</v>
      </c>
      <c r="D2737" s="695" t="s">
        <v>3903</v>
      </c>
      <c r="E2737" s="695">
        <v>4</v>
      </c>
      <c r="F2737" s="695" t="s">
        <v>5967</v>
      </c>
      <c r="G2737" s="695">
        <v>1</v>
      </c>
      <c r="H2737" s="695" t="s">
        <v>5968</v>
      </c>
      <c r="I2737" s="695">
        <v>110</v>
      </c>
      <c r="J2737" s="695" t="s">
        <v>6071</v>
      </c>
      <c r="K2737" s="695" t="s">
        <v>8544</v>
      </c>
      <c r="L2737" s="696">
        <v>1</v>
      </c>
      <c r="M2737" s="170"/>
    </row>
    <row r="2738" spans="2:13" x14ac:dyDescent="0.2">
      <c r="B2738" s="173"/>
      <c r="C2738" s="694">
        <v>1</v>
      </c>
      <c r="D2738" s="695" t="s">
        <v>3903</v>
      </c>
      <c r="E2738" s="695">
        <v>4</v>
      </c>
      <c r="F2738" s="695" t="s">
        <v>5967</v>
      </c>
      <c r="G2738" s="695">
        <v>1</v>
      </c>
      <c r="H2738" s="695" t="s">
        <v>5968</v>
      </c>
      <c r="I2738" s="695">
        <v>111</v>
      </c>
      <c r="J2738" s="695" t="s">
        <v>6072</v>
      </c>
      <c r="K2738" s="695" t="s">
        <v>8544</v>
      </c>
      <c r="L2738" s="696">
        <v>7</v>
      </c>
      <c r="M2738" s="170"/>
    </row>
    <row r="2739" spans="2:13" x14ac:dyDescent="0.2">
      <c r="B2739" s="173"/>
      <c r="C2739" s="694">
        <v>1</v>
      </c>
      <c r="D2739" s="695" t="s">
        <v>3903</v>
      </c>
      <c r="E2739" s="695">
        <v>4</v>
      </c>
      <c r="F2739" s="695" t="s">
        <v>5967</v>
      </c>
      <c r="G2739" s="695">
        <v>1</v>
      </c>
      <c r="H2739" s="695" t="s">
        <v>5968</v>
      </c>
      <c r="I2739" s="695">
        <v>112</v>
      </c>
      <c r="J2739" s="695" t="s">
        <v>6073</v>
      </c>
      <c r="K2739" s="695" t="s">
        <v>8544</v>
      </c>
      <c r="L2739" s="696">
        <v>8</v>
      </c>
      <c r="M2739" s="170"/>
    </row>
    <row r="2740" spans="2:13" x14ac:dyDescent="0.2">
      <c r="B2740" s="173"/>
      <c r="C2740" s="694">
        <v>1</v>
      </c>
      <c r="D2740" s="695" t="s">
        <v>3903</v>
      </c>
      <c r="E2740" s="695">
        <v>4</v>
      </c>
      <c r="F2740" s="695" t="s">
        <v>5967</v>
      </c>
      <c r="G2740" s="695">
        <v>1</v>
      </c>
      <c r="H2740" s="695" t="s">
        <v>5968</v>
      </c>
      <c r="I2740" s="695">
        <v>113</v>
      </c>
      <c r="J2740" s="695" t="s">
        <v>4703</v>
      </c>
      <c r="K2740" s="695" t="s">
        <v>8544</v>
      </c>
      <c r="L2740" s="696">
        <v>25</v>
      </c>
      <c r="M2740" s="170"/>
    </row>
    <row r="2741" spans="2:13" x14ac:dyDescent="0.2">
      <c r="B2741" s="173"/>
      <c r="C2741" s="694">
        <v>1</v>
      </c>
      <c r="D2741" s="695" t="s">
        <v>3903</v>
      </c>
      <c r="E2741" s="695">
        <v>4</v>
      </c>
      <c r="F2741" s="695" t="s">
        <v>5967</v>
      </c>
      <c r="G2741" s="695">
        <v>1</v>
      </c>
      <c r="H2741" s="695" t="s">
        <v>5968</v>
      </c>
      <c r="I2741" s="695">
        <v>114</v>
      </c>
      <c r="J2741" s="695" t="s">
        <v>6074</v>
      </c>
      <c r="K2741" s="695" t="s">
        <v>8544</v>
      </c>
      <c r="L2741" s="696">
        <v>6</v>
      </c>
      <c r="M2741" s="170"/>
    </row>
    <row r="2742" spans="2:13" x14ac:dyDescent="0.2">
      <c r="B2742" s="173"/>
      <c r="C2742" s="694">
        <v>1</v>
      </c>
      <c r="D2742" s="695" t="s">
        <v>3903</v>
      </c>
      <c r="E2742" s="695">
        <v>4</v>
      </c>
      <c r="F2742" s="695" t="s">
        <v>5967</v>
      </c>
      <c r="G2742" s="695">
        <v>1</v>
      </c>
      <c r="H2742" s="695" t="s">
        <v>5968</v>
      </c>
      <c r="I2742" s="695">
        <v>115</v>
      </c>
      <c r="J2742" s="695" t="s">
        <v>6075</v>
      </c>
      <c r="K2742" s="695" t="s">
        <v>8544</v>
      </c>
      <c r="L2742" s="696">
        <v>0</v>
      </c>
      <c r="M2742" s="170"/>
    </row>
    <row r="2743" spans="2:13" x14ac:dyDescent="0.2">
      <c r="B2743" s="173"/>
      <c r="C2743" s="694">
        <v>1</v>
      </c>
      <c r="D2743" s="695" t="s">
        <v>3903</v>
      </c>
      <c r="E2743" s="695">
        <v>4</v>
      </c>
      <c r="F2743" s="695" t="s">
        <v>5967</v>
      </c>
      <c r="G2743" s="695">
        <v>1</v>
      </c>
      <c r="H2743" s="695" t="s">
        <v>5968</v>
      </c>
      <c r="I2743" s="695">
        <v>116</v>
      </c>
      <c r="J2743" s="695" t="s">
        <v>6076</v>
      </c>
      <c r="K2743" s="695" t="s">
        <v>8544</v>
      </c>
      <c r="L2743" s="696">
        <v>11</v>
      </c>
      <c r="M2743" s="170"/>
    </row>
    <row r="2744" spans="2:13" x14ac:dyDescent="0.2">
      <c r="B2744" s="173"/>
      <c r="C2744" s="694">
        <v>1</v>
      </c>
      <c r="D2744" s="695" t="s">
        <v>3903</v>
      </c>
      <c r="E2744" s="695">
        <v>4</v>
      </c>
      <c r="F2744" s="695" t="s">
        <v>5967</v>
      </c>
      <c r="G2744" s="695">
        <v>1</v>
      </c>
      <c r="H2744" s="695" t="s">
        <v>5968</v>
      </c>
      <c r="I2744" s="695">
        <v>117</v>
      </c>
      <c r="J2744" s="695" t="s">
        <v>6077</v>
      </c>
      <c r="K2744" s="695" t="s">
        <v>8544</v>
      </c>
      <c r="L2744" s="696">
        <v>13</v>
      </c>
      <c r="M2744" s="170"/>
    </row>
    <row r="2745" spans="2:13" x14ac:dyDescent="0.2">
      <c r="B2745" s="173"/>
      <c r="C2745" s="694">
        <v>1</v>
      </c>
      <c r="D2745" s="695" t="s">
        <v>3903</v>
      </c>
      <c r="E2745" s="695">
        <v>4</v>
      </c>
      <c r="F2745" s="695" t="s">
        <v>5967</v>
      </c>
      <c r="G2745" s="695">
        <v>1</v>
      </c>
      <c r="H2745" s="695" t="s">
        <v>5968</v>
      </c>
      <c r="I2745" s="695">
        <v>118</v>
      </c>
      <c r="J2745" s="695" t="s">
        <v>6078</v>
      </c>
      <c r="K2745" s="695" t="s">
        <v>8544</v>
      </c>
      <c r="L2745" s="696">
        <v>95</v>
      </c>
      <c r="M2745" s="170"/>
    </row>
    <row r="2746" spans="2:13" x14ac:dyDescent="0.2">
      <c r="B2746" s="173"/>
      <c r="C2746" s="694">
        <v>1</v>
      </c>
      <c r="D2746" s="695" t="s">
        <v>3903</v>
      </c>
      <c r="E2746" s="695">
        <v>4</v>
      </c>
      <c r="F2746" s="695" t="s">
        <v>5967</v>
      </c>
      <c r="G2746" s="695">
        <v>1</v>
      </c>
      <c r="H2746" s="695" t="s">
        <v>5968</v>
      </c>
      <c r="I2746" s="695">
        <v>119</v>
      </c>
      <c r="J2746" s="695" t="s">
        <v>6079</v>
      </c>
      <c r="K2746" s="695" t="s">
        <v>8544</v>
      </c>
      <c r="L2746" s="696">
        <v>39</v>
      </c>
      <c r="M2746" s="170"/>
    </row>
    <row r="2747" spans="2:13" x14ac:dyDescent="0.2">
      <c r="B2747" s="173"/>
      <c r="C2747" s="694">
        <v>1</v>
      </c>
      <c r="D2747" s="695" t="s">
        <v>3903</v>
      </c>
      <c r="E2747" s="695">
        <v>4</v>
      </c>
      <c r="F2747" s="695" t="s">
        <v>5967</v>
      </c>
      <c r="G2747" s="695">
        <v>1</v>
      </c>
      <c r="H2747" s="695" t="s">
        <v>5968</v>
      </c>
      <c r="I2747" s="695">
        <v>120</v>
      </c>
      <c r="J2747" s="695" t="s">
        <v>6080</v>
      </c>
      <c r="K2747" s="695" t="s">
        <v>8544</v>
      </c>
      <c r="L2747" s="696">
        <v>2</v>
      </c>
      <c r="M2747" s="170"/>
    </row>
    <row r="2748" spans="2:13" x14ac:dyDescent="0.2">
      <c r="B2748" s="173"/>
      <c r="C2748" s="694">
        <v>1</v>
      </c>
      <c r="D2748" s="695" t="s">
        <v>3903</v>
      </c>
      <c r="E2748" s="695">
        <v>4</v>
      </c>
      <c r="F2748" s="695" t="s">
        <v>5967</v>
      </c>
      <c r="G2748" s="695">
        <v>1</v>
      </c>
      <c r="H2748" s="695" t="s">
        <v>5968</v>
      </c>
      <c r="I2748" s="695">
        <v>121</v>
      </c>
      <c r="J2748" s="695" t="s">
        <v>6081</v>
      </c>
      <c r="K2748" s="695" t="s">
        <v>8544</v>
      </c>
      <c r="L2748" s="696">
        <v>10</v>
      </c>
      <c r="M2748" s="170"/>
    </row>
    <row r="2749" spans="2:13" x14ac:dyDescent="0.2">
      <c r="B2749" s="173"/>
      <c r="C2749" s="694">
        <v>1</v>
      </c>
      <c r="D2749" s="695" t="s">
        <v>3903</v>
      </c>
      <c r="E2749" s="695">
        <v>4</v>
      </c>
      <c r="F2749" s="695" t="s">
        <v>5967</v>
      </c>
      <c r="G2749" s="695">
        <v>1</v>
      </c>
      <c r="H2749" s="695" t="s">
        <v>5968</v>
      </c>
      <c r="I2749" s="695">
        <v>122</v>
      </c>
      <c r="J2749" s="695" t="s">
        <v>6082</v>
      </c>
      <c r="K2749" s="695" t="s">
        <v>8544</v>
      </c>
      <c r="L2749" s="696">
        <v>32</v>
      </c>
      <c r="M2749" s="170"/>
    </row>
    <row r="2750" spans="2:13" x14ac:dyDescent="0.2">
      <c r="B2750" s="173"/>
      <c r="C2750" s="694">
        <v>1</v>
      </c>
      <c r="D2750" s="695" t="s">
        <v>3903</v>
      </c>
      <c r="E2750" s="695">
        <v>4</v>
      </c>
      <c r="F2750" s="695" t="s">
        <v>5967</v>
      </c>
      <c r="G2750" s="695">
        <v>1</v>
      </c>
      <c r="H2750" s="695" t="s">
        <v>5968</v>
      </c>
      <c r="I2750" s="695">
        <v>123</v>
      </c>
      <c r="J2750" s="695" t="s">
        <v>6083</v>
      </c>
      <c r="K2750" s="695" t="s">
        <v>8544</v>
      </c>
      <c r="L2750" s="696">
        <v>0</v>
      </c>
      <c r="M2750" s="170"/>
    </row>
    <row r="2751" spans="2:13" x14ac:dyDescent="0.2">
      <c r="B2751" s="173"/>
      <c r="C2751" s="694">
        <v>1</v>
      </c>
      <c r="D2751" s="695" t="s">
        <v>3903</v>
      </c>
      <c r="E2751" s="695">
        <v>4</v>
      </c>
      <c r="F2751" s="695" t="s">
        <v>5967</v>
      </c>
      <c r="G2751" s="695">
        <v>1</v>
      </c>
      <c r="H2751" s="695" t="s">
        <v>5968</v>
      </c>
      <c r="I2751" s="695">
        <v>124</v>
      </c>
      <c r="J2751" s="695" t="s">
        <v>6084</v>
      </c>
      <c r="K2751" s="695" t="s">
        <v>8544</v>
      </c>
      <c r="L2751" s="696">
        <v>23</v>
      </c>
      <c r="M2751" s="170"/>
    </row>
    <row r="2752" spans="2:13" x14ac:dyDescent="0.2">
      <c r="B2752" s="173"/>
      <c r="C2752" s="694">
        <v>1</v>
      </c>
      <c r="D2752" s="695" t="s">
        <v>3903</v>
      </c>
      <c r="E2752" s="695">
        <v>4</v>
      </c>
      <c r="F2752" s="695" t="s">
        <v>5967</v>
      </c>
      <c r="G2752" s="695">
        <v>1</v>
      </c>
      <c r="H2752" s="695" t="s">
        <v>5968</v>
      </c>
      <c r="I2752" s="695">
        <v>125</v>
      </c>
      <c r="J2752" s="695" t="s">
        <v>5999</v>
      </c>
      <c r="K2752" s="695" t="s">
        <v>8544</v>
      </c>
      <c r="L2752" s="696">
        <v>20</v>
      </c>
      <c r="M2752" s="170"/>
    </row>
    <row r="2753" spans="2:13" x14ac:dyDescent="0.2">
      <c r="B2753" s="173"/>
      <c r="C2753" s="694">
        <v>1</v>
      </c>
      <c r="D2753" s="695" t="s">
        <v>3903</v>
      </c>
      <c r="E2753" s="695">
        <v>4</v>
      </c>
      <c r="F2753" s="695" t="s">
        <v>5967</v>
      </c>
      <c r="G2753" s="695">
        <v>1</v>
      </c>
      <c r="H2753" s="695" t="s">
        <v>5968</v>
      </c>
      <c r="I2753" s="695">
        <v>126</v>
      </c>
      <c r="J2753" s="695" t="s">
        <v>6085</v>
      </c>
      <c r="K2753" s="695" t="s">
        <v>8544</v>
      </c>
      <c r="L2753" s="696">
        <v>5</v>
      </c>
      <c r="M2753" s="170"/>
    </row>
    <row r="2754" spans="2:13" x14ac:dyDescent="0.2">
      <c r="B2754" s="173"/>
      <c r="C2754" s="694">
        <v>1</v>
      </c>
      <c r="D2754" s="695" t="s">
        <v>3903</v>
      </c>
      <c r="E2754" s="695">
        <v>4</v>
      </c>
      <c r="F2754" s="695" t="s">
        <v>5967</v>
      </c>
      <c r="G2754" s="695">
        <v>1</v>
      </c>
      <c r="H2754" s="695" t="s">
        <v>5968</v>
      </c>
      <c r="I2754" s="695">
        <v>127</v>
      </c>
      <c r="J2754" s="695" t="s">
        <v>6086</v>
      </c>
      <c r="K2754" s="695" t="s">
        <v>8544</v>
      </c>
      <c r="L2754" s="696">
        <v>8</v>
      </c>
      <c r="M2754" s="170"/>
    </row>
    <row r="2755" spans="2:13" x14ac:dyDescent="0.2">
      <c r="B2755" s="173"/>
      <c r="C2755" s="694">
        <v>1</v>
      </c>
      <c r="D2755" s="695" t="s">
        <v>3903</v>
      </c>
      <c r="E2755" s="695">
        <v>4</v>
      </c>
      <c r="F2755" s="695" t="s">
        <v>5967</v>
      </c>
      <c r="G2755" s="695">
        <v>1</v>
      </c>
      <c r="H2755" s="695" t="s">
        <v>5968</v>
      </c>
      <c r="I2755" s="695">
        <v>128</v>
      </c>
      <c r="J2755" s="695" t="s">
        <v>6087</v>
      </c>
      <c r="K2755" s="695" t="s">
        <v>8544</v>
      </c>
      <c r="L2755" s="696">
        <v>7</v>
      </c>
      <c r="M2755" s="170"/>
    </row>
    <row r="2756" spans="2:13" x14ac:dyDescent="0.2">
      <c r="B2756" s="173"/>
      <c r="C2756" s="694">
        <v>1</v>
      </c>
      <c r="D2756" s="695" t="s">
        <v>3903</v>
      </c>
      <c r="E2756" s="695">
        <v>4</v>
      </c>
      <c r="F2756" s="695" t="s">
        <v>5967</v>
      </c>
      <c r="G2756" s="695">
        <v>1</v>
      </c>
      <c r="H2756" s="695" t="s">
        <v>5968</v>
      </c>
      <c r="I2756" s="695">
        <v>129</v>
      </c>
      <c r="J2756" s="695" t="s">
        <v>6088</v>
      </c>
      <c r="K2756" s="695" t="s">
        <v>4057</v>
      </c>
      <c r="L2756" s="696">
        <v>8</v>
      </c>
      <c r="M2756" s="170"/>
    </row>
    <row r="2757" spans="2:13" x14ac:dyDescent="0.2">
      <c r="B2757" s="173"/>
      <c r="C2757" s="694">
        <v>1</v>
      </c>
      <c r="D2757" s="695" t="s">
        <v>3903</v>
      </c>
      <c r="E2757" s="695">
        <v>4</v>
      </c>
      <c r="F2757" s="695" t="s">
        <v>5967</v>
      </c>
      <c r="G2757" s="695">
        <v>1</v>
      </c>
      <c r="H2757" s="695" t="s">
        <v>5968</v>
      </c>
      <c r="I2757" s="695">
        <v>130</v>
      </c>
      <c r="J2757" s="695" t="s">
        <v>6089</v>
      </c>
      <c r="K2757" s="695" t="s">
        <v>8544</v>
      </c>
      <c r="L2757" s="696">
        <v>24</v>
      </c>
      <c r="M2757" s="170"/>
    </row>
    <row r="2758" spans="2:13" x14ac:dyDescent="0.2">
      <c r="B2758" s="173"/>
      <c r="C2758" s="694">
        <v>1</v>
      </c>
      <c r="D2758" s="695" t="s">
        <v>3903</v>
      </c>
      <c r="E2758" s="695">
        <v>4</v>
      </c>
      <c r="F2758" s="695" t="s">
        <v>5967</v>
      </c>
      <c r="G2758" s="695">
        <v>1</v>
      </c>
      <c r="H2758" s="695" t="s">
        <v>5968</v>
      </c>
      <c r="I2758" s="695">
        <v>131</v>
      </c>
      <c r="J2758" s="695" t="s">
        <v>6090</v>
      </c>
      <c r="K2758" s="695" t="s">
        <v>8544</v>
      </c>
      <c r="L2758" s="696">
        <v>21</v>
      </c>
      <c r="M2758" s="170"/>
    </row>
    <row r="2759" spans="2:13" x14ac:dyDescent="0.2">
      <c r="B2759" s="173"/>
      <c r="C2759" s="694">
        <v>1</v>
      </c>
      <c r="D2759" s="695" t="s">
        <v>3903</v>
      </c>
      <c r="E2759" s="695">
        <v>4</v>
      </c>
      <c r="F2759" s="695" t="s">
        <v>5967</v>
      </c>
      <c r="G2759" s="695">
        <v>1</v>
      </c>
      <c r="H2759" s="695" t="s">
        <v>5968</v>
      </c>
      <c r="I2759" s="695">
        <v>132</v>
      </c>
      <c r="J2759" s="695" t="s">
        <v>6091</v>
      </c>
      <c r="K2759" s="695" t="s">
        <v>8544</v>
      </c>
      <c r="L2759" s="696">
        <v>15</v>
      </c>
      <c r="M2759" s="170"/>
    </row>
    <row r="2760" spans="2:13" x14ac:dyDescent="0.2">
      <c r="B2760" s="173"/>
      <c r="C2760" s="694">
        <v>1</v>
      </c>
      <c r="D2760" s="695" t="s">
        <v>3903</v>
      </c>
      <c r="E2760" s="695">
        <v>4</v>
      </c>
      <c r="F2760" s="695" t="s">
        <v>5967</v>
      </c>
      <c r="G2760" s="695">
        <v>1</v>
      </c>
      <c r="H2760" s="695" t="s">
        <v>5968</v>
      </c>
      <c r="I2760" s="695">
        <v>133</v>
      </c>
      <c r="J2760" s="695" t="s">
        <v>6092</v>
      </c>
      <c r="K2760" s="695" t="s">
        <v>8544</v>
      </c>
      <c r="L2760" s="696">
        <v>2</v>
      </c>
      <c r="M2760" s="170"/>
    </row>
    <row r="2761" spans="2:13" x14ac:dyDescent="0.2">
      <c r="B2761" s="173"/>
      <c r="C2761" s="694">
        <v>1</v>
      </c>
      <c r="D2761" s="695" t="s">
        <v>3903</v>
      </c>
      <c r="E2761" s="695">
        <v>4</v>
      </c>
      <c r="F2761" s="695" t="s">
        <v>5967</v>
      </c>
      <c r="G2761" s="695">
        <v>1</v>
      </c>
      <c r="H2761" s="695" t="s">
        <v>5968</v>
      </c>
      <c r="I2761" s="695">
        <v>134</v>
      </c>
      <c r="J2761" s="695" t="s">
        <v>6093</v>
      </c>
      <c r="K2761" s="695" t="s">
        <v>8544</v>
      </c>
      <c r="L2761" s="696">
        <v>8</v>
      </c>
      <c r="M2761" s="170"/>
    </row>
    <row r="2762" spans="2:13" x14ac:dyDescent="0.2">
      <c r="B2762" s="173"/>
      <c r="C2762" s="694">
        <v>1</v>
      </c>
      <c r="D2762" s="695" t="s">
        <v>3903</v>
      </c>
      <c r="E2762" s="695">
        <v>4</v>
      </c>
      <c r="F2762" s="695" t="s">
        <v>5967</v>
      </c>
      <c r="G2762" s="695">
        <v>1</v>
      </c>
      <c r="H2762" s="695" t="s">
        <v>5968</v>
      </c>
      <c r="I2762" s="695">
        <v>135</v>
      </c>
      <c r="J2762" s="695" t="s">
        <v>6094</v>
      </c>
      <c r="K2762" s="695" t="s">
        <v>8544</v>
      </c>
      <c r="L2762" s="696">
        <v>1</v>
      </c>
      <c r="M2762" s="170"/>
    </row>
    <row r="2763" spans="2:13" x14ac:dyDescent="0.2">
      <c r="B2763" s="173"/>
      <c r="C2763" s="694">
        <v>1</v>
      </c>
      <c r="D2763" s="695" t="s">
        <v>3903</v>
      </c>
      <c r="E2763" s="695">
        <v>4</v>
      </c>
      <c r="F2763" s="695" t="s">
        <v>5967</v>
      </c>
      <c r="G2763" s="695">
        <v>1</v>
      </c>
      <c r="H2763" s="695" t="s">
        <v>5968</v>
      </c>
      <c r="I2763" s="695">
        <v>136</v>
      </c>
      <c r="J2763" s="695" t="s">
        <v>6095</v>
      </c>
      <c r="K2763" s="695" t="s">
        <v>8544</v>
      </c>
      <c r="L2763" s="696">
        <v>10</v>
      </c>
      <c r="M2763" s="170"/>
    </row>
    <row r="2764" spans="2:13" x14ac:dyDescent="0.2">
      <c r="B2764" s="173"/>
      <c r="C2764" s="694">
        <v>1</v>
      </c>
      <c r="D2764" s="695" t="s">
        <v>3903</v>
      </c>
      <c r="E2764" s="695">
        <v>4</v>
      </c>
      <c r="F2764" s="695" t="s">
        <v>5967</v>
      </c>
      <c r="G2764" s="695">
        <v>1</v>
      </c>
      <c r="H2764" s="695" t="s">
        <v>5968</v>
      </c>
      <c r="I2764" s="695">
        <v>137</v>
      </c>
      <c r="J2764" s="695" t="s">
        <v>6096</v>
      </c>
      <c r="K2764" s="695" t="s">
        <v>3907</v>
      </c>
      <c r="L2764" s="696">
        <v>3</v>
      </c>
      <c r="M2764" s="170"/>
    </row>
    <row r="2765" spans="2:13" x14ac:dyDescent="0.2">
      <c r="B2765" s="173"/>
      <c r="C2765" s="694">
        <v>1</v>
      </c>
      <c r="D2765" s="695" t="s">
        <v>3903</v>
      </c>
      <c r="E2765" s="695">
        <v>4</v>
      </c>
      <c r="F2765" s="695" t="s">
        <v>5967</v>
      </c>
      <c r="G2765" s="695">
        <v>1</v>
      </c>
      <c r="H2765" s="695" t="s">
        <v>5968</v>
      </c>
      <c r="I2765" s="695">
        <v>138</v>
      </c>
      <c r="J2765" s="695" t="s">
        <v>6097</v>
      </c>
      <c r="K2765" s="695" t="s">
        <v>4057</v>
      </c>
      <c r="L2765" s="696">
        <v>10</v>
      </c>
      <c r="M2765" s="170"/>
    </row>
    <row r="2766" spans="2:13" x14ac:dyDescent="0.2">
      <c r="B2766" s="173"/>
      <c r="C2766" s="694">
        <v>1</v>
      </c>
      <c r="D2766" s="695" t="s">
        <v>3903</v>
      </c>
      <c r="E2766" s="695">
        <v>4</v>
      </c>
      <c r="F2766" s="695" t="s">
        <v>5967</v>
      </c>
      <c r="G2766" s="695">
        <v>1</v>
      </c>
      <c r="H2766" s="695" t="s">
        <v>5968</v>
      </c>
      <c r="I2766" s="695">
        <v>139</v>
      </c>
      <c r="J2766" s="695" t="s">
        <v>6098</v>
      </c>
      <c r="K2766" s="695" t="s">
        <v>8544</v>
      </c>
      <c r="L2766" s="696">
        <v>1</v>
      </c>
      <c r="M2766" s="170"/>
    </row>
    <row r="2767" spans="2:13" x14ac:dyDescent="0.2">
      <c r="B2767" s="173"/>
      <c r="C2767" s="694">
        <v>1</v>
      </c>
      <c r="D2767" s="695" t="s">
        <v>3903</v>
      </c>
      <c r="E2767" s="695">
        <v>4</v>
      </c>
      <c r="F2767" s="695" t="s">
        <v>5967</v>
      </c>
      <c r="G2767" s="695">
        <v>1</v>
      </c>
      <c r="H2767" s="695" t="s">
        <v>5968</v>
      </c>
      <c r="I2767" s="695">
        <v>140</v>
      </c>
      <c r="J2767" s="695" t="s">
        <v>6099</v>
      </c>
      <c r="K2767" s="695" t="s">
        <v>8544</v>
      </c>
      <c r="L2767" s="696">
        <v>13</v>
      </c>
      <c r="M2767" s="170"/>
    </row>
    <row r="2768" spans="2:13" x14ac:dyDescent="0.2">
      <c r="B2768" s="173"/>
      <c r="C2768" s="694">
        <v>1</v>
      </c>
      <c r="D2768" s="695" t="s">
        <v>3903</v>
      </c>
      <c r="E2768" s="695">
        <v>4</v>
      </c>
      <c r="F2768" s="695" t="s">
        <v>5967</v>
      </c>
      <c r="G2768" s="695">
        <v>1</v>
      </c>
      <c r="H2768" s="695" t="s">
        <v>5968</v>
      </c>
      <c r="I2768" s="695">
        <v>141</v>
      </c>
      <c r="J2768" s="695" t="s">
        <v>6100</v>
      </c>
      <c r="K2768" s="695" t="s">
        <v>8544</v>
      </c>
      <c r="L2768" s="696">
        <v>1</v>
      </c>
      <c r="M2768" s="170"/>
    </row>
    <row r="2769" spans="2:13" x14ac:dyDescent="0.2">
      <c r="B2769" s="173"/>
      <c r="C2769" s="694">
        <v>1</v>
      </c>
      <c r="D2769" s="695" t="s">
        <v>3903</v>
      </c>
      <c r="E2769" s="695">
        <v>4</v>
      </c>
      <c r="F2769" s="695" t="s">
        <v>5967</v>
      </c>
      <c r="G2769" s="695">
        <v>1</v>
      </c>
      <c r="H2769" s="695" t="s">
        <v>5968</v>
      </c>
      <c r="I2769" s="695">
        <v>142</v>
      </c>
      <c r="J2769" s="695" t="s">
        <v>6101</v>
      </c>
      <c r="K2769" s="695" t="s">
        <v>8544</v>
      </c>
      <c r="L2769" s="696">
        <v>14</v>
      </c>
      <c r="M2769" s="170"/>
    </row>
    <row r="2770" spans="2:13" x14ac:dyDescent="0.2">
      <c r="B2770" s="173"/>
      <c r="C2770" s="694">
        <v>1</v>
      </c>
      <c r="D2770" s="695" t="s">
        <v>3903</v>
      </c>
      <c r="E2770" s="695">
        <v>4</v>
      </c>
      <c r="F2770" s="695" t="s">
        <v>5967</v>
      </c>
      <c r="G2770" s="695">
        <v>1</v>
      </c>
      <c r="H2770" s="695" t="s">
        <v>5968</v>
      </c>
      <c r="I2770" s="695">
        <v>143</v>
      </c>
      <c r="J2770" s="695" t="s">
        <v>6102</v>
      </c>
      <c r="K2770" s="695" t="s">
        <v>8544</v>
      </c>
      <c r="L2770" s="696">
        <v>54</v>
      </c>
      <c r="M2770" s="170"/>
    </row>
    <row r="2771" spans="2:13" x14ac:dyDescent="0.2">
      <c r="B2771" s="173"/>
      <c r="C2771" s="694">
        <v>1</v>
      </c>
      <c r="D2771" s="695" t="s">
        <v>3903</v>
      </c>
      <c r="E2771" s="695">
        <v>4</v>
      </c>
      <c r="F2771" s="695" t="s">
        <v>5967</v>
      </c>
      <c r="G2771" s="695">
        <v>1</v>
      </c>
      <c r="H2771" s="695" t="s">
        <v>5968</v>
      </c>
      <c r="I2771" s="695">
        <v>144</v>
      </c>
      <c r="J2771" s="695" t="s">
        <v>6098</v>
      </c>
      <c r="K2771" s="695" t="s">
        <v>4057</v>
      </c>
      <c r="L2771" s="696">
        <v>2</v>
      </c>
      <c r="M2771" s="170"/>
    </row>
    <row r="2772" spans="2:13" x14ac:dyDescent="0.2">
      <c r="B2772" s="173"/>
      <c r="C2772" s="694">
        <v>1</v>
      </c>
      <c r="D2772" s="695" t="s">
        <v>3903</v>
      </c>
      <c r="E2772" s="695">
        <v>4</v>
      </c>
      <c r="F2772" s="695" t="s">
        <v>5967</v>
      </c>
      <c r="G2772" s="695">
        <v>1</v>
      </c>
      <c r="H2772" s="695" t="s">
        <v>5968</v>
      </c>
      <c r="I2772" s="695">
        <v>145</v>
      </c>
      <c r="J2772" s="695" t="s">
        <v>6103</v>
      </c>
      <c r="K2772" s="695" t="s">
        <v>8544</v>
      </c>
      <c r="L2772" s="696">
        <v>0</v>
      </c>
      <c r="M2772" s="170"/>
    </row>
    <row r="2773" spans="2:13" x14ac:dyDescent="0.2">
      <c r="B2773" s="173"/>
      <c r="C2773" s="694">
        <v>1</v>
      </c>
      <c r="D2773" s="695" t="s">
        <v>3903</v>
      </c>
      <c r="E2773" s="695">
        <v>4</v>
      </c>
      <c r="F2773" s="695" t="s">
        <v>5967</v>
      </c>
      <c r="G2773" s="695">
        <v>1</v>
      </c>
      <c r="H2773" s="695" t="s">
        <v>5968</v>
      </c>
      <c r="I2773" s="695">
        <v>146</v>
      </c>
      <c r="J2773" s="695" t="s">
        <v>6104</v>
      </c>
      <c r="K2773" s="695" t="s">
        <v>8544</v>
      </c>
      <c r="L2773" s="696">
        <v>6</v>
      </c>
      <c r="M2773" s="170"/>
    </row>
    <row r="2774" spans="2:13" x14ac:dyDescent="0.2">
      <c r="B2774" s="173"/>
      <c r="C2774" s="694">
        <v>1</v>
      </c>
      <c r="D2774" s="695" t="s">
        <v>3903</v>
      </c>
      <c r="E2774" s="695">
        <v>4</v>
      </c>
      <c r="F2774" s="695" t="s">
        <v>5967</v>
      </c>
      <c r="G2774" s="695">
        <v>1</v>
      </c>
      <c r="H2774" s="695" t="s">
        <v>5968</v>
      </c>
      <c r="I2774" s="695">
        <v>147</v>
      </c>
      <c r="J2774" s="695" t="s">
        <v>6027</v>
      </c>
      <c r="K2774" s="695" t="s">
        <v>8544</v>
      </c>
      <c r="L2774" s="696">
        <v>3</v>
      </c>
      <c r="M2774" s="170"/>
    </row>
    <row r="2775" spans="2:13" x14ac:dyDescent="0.2">
      <c r="B2775" s="173"/>
      <c r="C2775" s="694">
        <v>1</v>
      </c>
      <c r="D2775" s="695" t="s">
        <v>3903</v>
      </c>
      <c r="E2775" s="695">
        <v>4</v>
      </c>
      <c r="F2775" s="695" t="s">
        <v>5967</v>
      </c>
      <c r="G2775" s="695">
        <v>1</v>
      </c>
      <c r="H2775" s="695" t="s">
        <v>5968</v>
      </c>
      <c r="I2775" s="695">
        <v>148</v>
      </c>
      <c r="J2775" s="695" t="s">
        <v>6105</v>
      </c>
      <c r="K2775" s="695" t="s">
        <v>8544</v>
      </c>
      <c r="L2775" s="696">
        <v>1</v>
      </c>
      <c r="M2775" s="170"/>
    </row>
    <row r="2776" spans="2:13" x14ac:dyDescent="0.2">
      <c r="B2776" s="173"/>
      <c r="C2776" s="694">
        <v>1</v>
      </c>
      <c r="D2776" s="695" t="s">
        <v>3903</v>
      </c>
      <c r="E2776" s="695">
        <v>4</v>
      </c>
      <c r="F2776" s="695" t="s">
        <v>5967</v>
      </c>
      <c r="G2776" s="695">
        <v>1</v>
      </c>
      <c r="H2776" s="695" t="s">
        <v>5968</v>
      </c>
      <c r="I2776" s="695">
        <v>149</v>
      </c>
      <c r="J2776" s="695" t="s">
        <v>6106</v>
      </c>
      <c r="K2776" s="695" t="s">
        <v>8544</v>
      </c>
      <c r="L2776" s="696">
        <v>4</v>
      </c>
      <c r="M2776" s="170"/>
    </row>
    <row r="2777" spans="2:13" x14ac:dyDescent="0.2">
      <c r="B2777" s="173"/>
      <c r="C2777" s="694">
        <v>1</v>
      </c>
      <c r="D2777" s="695" t="s">
        <v>3903</v>
      </c>
      <c r="E2777" s="695">
        <v>4</v>
      </c>
      <c r="F2777" s="695" t="s">
        <v>5967</v>
      </c>
      <c r="G2777" s="695">
        <v>1</v>
      </c>
      <c r="H2777" s="695" t="s">
        <v>5968</v>
      </c>
      <c r="I2777" s="695">
        <v>150</v>
      </c>
      <c r="J2777" s="695" t="s">
        <v>6107</v>
      </c>
      <c r="K2777" s="695" t="s">
        <v>8544</v>
      </c>
      <c r="L2777" s="696">
        <v>3</v>
      </c>
      <c r="M2777" s="170"/>
    </row>
    <row r="2778" spans="2:13" x14ac:dyDescent="0.2">
      <c r="B2778" s="173"/>
      <c r="C2778" s="694">
        <v>1</v>
      </c>
      <c r="D2778" s="695" t="s">
        <v>3903</v>
      </c>
      <c r="E2778" s="695">
        <v>4</v>
      </c>
      <c r="F2778" s="695" t="s">
        <v>5967</v>
      </c>
      <c r="G2778" s="695">
        <v>1</v>
      </c>
      <c r="H2778" s="695" t="s">
        <v>5968</v>
      </c>
      <c r="I2778" s="695">
        <v>151</v>
      </c>
      <c r="J2778" s="695" t="s">
        <v>6108</v>
      </c>
      <c r="K2778" s="695" t="s">
        <v>8544</v>
      </c>
      <c r="L2778" s="696">
        <v>8</v>
      </c>
      <c r="M2778" s="170"/>
    </row>
    <row r="2779" spans="2:13" x14ac:dyDescent="0.2">
      <c r="B2779" s="173"/>
      <c r="C2779" s="694">
        <v>1</v>
      </c>
      <c r="D2779" s="695" t="s">
        <v>3903</v>
      </c>
      <c r="E2779" s="695">
        <v>4</v>
      </c>
      <c r="F2779" s="695" t="s">
        <v>5967</v>
      </c>
      <c r="G2779" s="695">
        <v>1</v>
      </c>
      <c r="H2779" s="695" t="s">
        <v>5968</v>
      </c>
      <c r="I2779" s="695">
        <v>152</v>
      </c>
      <c r="J2779" s="695" t="s">
        <v>6109</v>
      </c>
      <c r="K2779" s="695" t="s">
        <v>8544</v>
      </c>
      <c r="L2779" s="696">
        <v>34</v>
      </c>
      <c r="M2779" s="170"/>
    </row>
    <row r="2780" spans="2:13" x14ac:dyDescent="0.2">
      <c r="B2780" s="173"/>
      <c r="C2780" s="694">
        <v>1</v>
      </c>
      <c r="D2780" s="695" t="s">
        <v>3903</v>
      </c>
      <c r="E2780" s="695">
        <v>4</v>
      </c>
      <c r="F2780" s="695" t="s">
        <v>5967</v>
      </c>
      <c r="G2780" s="695">
        <v>1</v>
      </c>
      <c r="H2780" s="695" t="s">
        <v>5968</v>
      </c>
      <c r="I2780" s="695">
        <v>153</v>
      </c>
      <c r="J2780" s="695" t="s">
        <v>6110</v>
      </c>
      <c r="K2780" s="695" t="s">
        <v>8544</v>
      </c>
      <c r="L2780" s="696">
        <v>2</v>
      </c>
      <c r="M2780" s="170"/>
    </row>
    <row r="2781" spans="2:13" x14ac:dyDescent="0.2">
      <c r="B2781" s="173"/>
      <c r="C2781" s="694">
        <v>1</v>
      </c>
      <c r="D2781" s="695" t="s">
        <v>3903</v>
      </c>
      <c r="E2781" s="695">
        <v>4</v>
      </c>
      <c r="F2781" s="695" t="s">
        <v>5967</v>
      </c>
      <c r="G2781" s="695">
        <v>1</v>
      </c>
      <c r="H2781" s="695" t="s">
        <v>5968</v>
      </c>
      <c r="I2781" s="695">
        <v>154</v>
      </c>
      <c r="J2781" s="695" t="s">
        <v>6111</v>
      </c>
      <c r="K2781" s="695" t="s">
        <v>3907</v>
      </c>
      <c r="L2781" s="696">
        <v>1</v>
      </c>
      <c r="M2781" s="170"/>
    </row>
    <row r="2782" spans="2:13" x14ac:dyDescent="0.2">
      <c r="B2782" s="173"/>
      <c r="C2782" s="694">
        <v>1</v>
      </c>
      <c r="D2782" s="695" t="s">
        <v>3903</v>
      </c>
      <c r="E2782" s="695">
        <v>4</v>
      </c>
      <c r="F2782" s="695" t="s">
        <v>5967</v>
      </c>
      <c r="G2782" s="695">
        <v>1</v>
      </c>
      <c r="H2782" s="695" t="s">
        <v>5968</v>
      </c>
      <c r="I2782" s="695">
        <v>155</v>
      </c>
      <c r="J2782" s="695" t="s">
        <v>6112</v>
      </c>
      <c r="K2782" s="695" t="s">
        <v>8544</v>
      </c>
      <c r="L2782" s="696">
        <v>8</v>
      </c>
      <c r="M2782" s="170"/>
    </row>
    <row r="2783" spans="2:13" x14ac:dyDescent="0.2">
      <c r="B2783" s="173"/>
      <c r="C2783" s="694">
        <v>1</v>
      </c>
      <c r="D2783" s="695" t="s">
        <v>3903</v>
      </c>
      <c r="E2783" s="695">
        <v>4</v>
      </c>
      <c r="F2783" s="695" t="s">
        <v>5967</v>
      </c>
      <c r="G2783" s="695">
        <v>1</v>
      </c>
      <c r="H2783" s="695" t="s">
        <v>5968</v>
      </c>
      <c r="I2783" s="695">
        <v>156</v>
      </c>
      <c r="J2783" s="695" t="s">
        <v>6113</v>
      </c>
      <c r="K2783" s="695" t="s">
        <v>8544</v>
      </c>
      <c r="L2783" s="696">
        <v>3</v>
      </c>
      <c r="M2783" s="170"/>
    </row>
    <row r="2784" spans="2:13" x14ac:dyDescent="0.2">
      <c r="B2784" s="173"/>
      <c r="C2784" s="694">
        <v>1</v>
      </c>
      <c r="D2784" s="695" t="s">
        <v>3903</v>
      </c>
      <c r="E2784" s="695">
        <v>4</v>
      </c>
      <c r="F2784" s="695" t="s">
        <v>5967</v>
      </c>
      <c r="G2784" s="695">
        <v>1</v>
      </c>
      <c r="H2784" s="695" t="s">
        <v>5968</v>
      </c>
      <c r="I2784" s="695">
        <v>157</v>
      </c>
      <c r="J2784" s="695" t="s">
        <v>6114</v>
      </c>
      <c r="K2784" s="695" t="s">
        <v>8544</v>
      </c>
      <c r="L2784" s="696">
        <v>17</v>
      </c>
      <c r="M2784" s="170"/>
    </row>
    <row r="2785" spans="2:13" x14ac:dyDescent="0.2">
      <c r="B2785" s="173"/>
      <c r="C2785" s="694">
        <v>1</v>
      </c>
      <c r="D2785" s="695" t="s">
        <v>3903</v>
      </c>
      <c r="E2785" s="695">
        <v>4</v>
      </c>
      <c r="F2785" s="695" t="s">
        <v>5967</v>
      </c>
      <c r="G2785" s="695">
        <v>1</v>
      </c>
      <c r="H2785" s="695" t="s">
        <v>5968</v>
      </c>
      <c r="I2785" s="695">
        <v>158</v>
      </c>
      <c r="J2785" s="695" t="s">
        <v>6115</v>
      </c>
      <c r="K2785" s="695" t="s">
        <v>8544</v>
      </c>
      <c r="L2785" s="696">
        <v>7</v>
      </c>
      <c r="M2785" s="170"/>
    </row>
    <row r="2786" spans="2:13" x14ac:dyDescent="0.2">
      <c r="B2786" s="173"/>
      <c r="C2786" s="694">
        <v>1</v>
      </c>
      <c r="D2786" s="695" t="s">
        <v>3903</v>
      </c>
      <c r="E2786" s="695">
        <v>4</v>
      </c>
      <c r="F2786" s="695" t="s">
        <v>5967</v>
      </c>
      <c r="G2786" s="695">
        <v>1</v>
      </c>
      <c r="H2786" s="695" t="s">
        <v>5968</v>
      </c>
      <c r="I2786" s="695">
        <v>159</v>
      </c>
      <c r="J2786" s="695" t="s">
        <v>6116</v>
      </c>
      <c r="K2786" s="695" t="s">
        <v>8544</v>
      </c>
      <c r="L2786" s="696">
        <v>3</v>
      </c>
      <c r="M2786" s="170"/>
    </row>
    <row r="2787" spans="2:13" x14ac:dyDescent="0.2">
      <c r="B2787" s="173"/>
      <c r="C2787" s="694">
        <v>1</v>
      </c>
      <c r="D2787" s="695" t="s">
        <v>3903</v>
      </c>
      <c r="E2787" s="695">
        <v>4</v>
      </c>
      <c r="F2787" s="695" t="s">
        <v>5967</v>
      </c>
      <c r="G2787" s="695">
        <v>1</v>
      </c>
      <c r="H2787" s="695" t="s">
        <v>5968</v>
      </c>
      <c r="I2787" s="695">
        <v>160</v>
      </c>
      <c r="J2787" s="695" t="s">
        <v>6117</v>
      </c>
      <c r="K2787" s="695" t="s">
        <v>8544</v>
      </c>
      <c r="L2787" s="696">
        <v>5</v>
      </c>
      <c r="M2787" s="170"/>
    </row>
    <row r="2788" spans="2:13" x14ac:dyDescent="0.2">
      <c r="B2788" s="173"/>
      <c r="C2788" s="694">
        <v>1</v>
      </c>
      <c r="D2788" s="695" t="s">
        <v>3903</v>
      </c>
      <c r="E2788" s="695">
        <v>4</v>
      </c>
      <c r="F2788" s="695" t="s">
        <v>5967</v>
      </c>
      <c r="G2788" s="695">
        <v>1</v>
      </c>
      <c r="H2788" s="695" t="s">
        <v>5968</v>
      </c>
      <c r="I2788" s="695">
        <v>161</v>
      </c>
      <c r="J2788" s="695" t="s">
        <v>6118</v>
      </c>
      <c r="K2788" s="695" t="s">
        <v>8544</v>
      </c>
      <c r="L2788" s="696">
        <v>1</v>
      </c>
      <c r="M2788" s="170"/>
    </row>
    <row r="2789" spans="2:13" x14ac:dyDescent="0.2">
      <c r="B2789" s="173"/>
      <c r="C2789" s="694">
        <v>1</v>
      </c>
      <c r="D2789" s="695" t="s">
        <v>3903</v>
      </c>
      <c r="E2789" s="695">
        <v>4</v>
      </c>
      <c r="F2789" s="695" t="s">
        <v>5967</v>
      </c>
      <c r="G2789" s="695">
        <v>1</v>
      </c>
      <c r="H2789" s="695" t="s">
        <v>5968</v>
      </c>
      <c r="I2789" s="695">
        <v>162</v>
      </c>
      <c r="J2789" s="695" t="s">
        <v>6119</v>
      </c>
      <c r="K2789" s="695" t="s">
        <v>8544</v>
      </c>
      <c r="L2789" s="696">
        <v>5</v>
      </c>
      <c r="M2789" s="170"/>
    </row>
    <row r="2790" spans="2:13" x14ac:dyDescent="0.2">
      <c r="B2790" s="173"/>
      <c r="C2790" s="694">
        <v>1</v>
      </c>
      <c r="D2790" s="695" t="s">
        <v>3903</v>
      </c>
      <c r="E2790" s="695">
        <v>4</v>
      </c>
      <c r="F2790" s="695" t="s">
        <v>5967</v>
      </c>
      <c r="G2790" s="695">
        <v>1</v>
      </c>
      <c r="H2790" s="695" t="s">
        <v>5968</v>
      </c>
      <c r="I2790" s="695">
        <v>163</v>
      </c>
      <c r="J2790" s="695" t="s">
        <v>6120</v>
      </c>
      <c r="K2790" s="695" t="s">
        <v>8544</v>
      </c>
      <c r="L2790" s="696">
        <v>0</v>
      </c>
      <c r="M2790" s="170"/>
    </row>
    <row r="2791" spans="2:13" x14ac:dyDescent="0.2">
      <c r="B2791" s="173"/>
      <c r="C2791" s="694">
        <v>1</v>
      </c>
      <c r="D2791" s="695" t="s">
        <v>3903</v>
      </c>
      <c r="E2791" s="695">
        <v>4</v>
      </c>
      <c r="F2791" s="695" t="s">
        <v>5967</v>
      </c>
      <c r="G2791" s="695">
        <v>1</v>
      </c>
      <c r="H2791" s="695" t="s">
        <v>5968</v>
      </c>
      <c r="I2791" s="695">
        <v>164</v>
      </c>
      <c r="J2791" s="695" t="s">
        <v>6121</v>
      </c>
      <c r="K2791" s="695" t="s">
        <v>8544</v>
      </c>
      <c r="L2791" s="696">
        <v>19</v>
      </c>
      <c r="M2791" s="170"/>
    </row>
    <row r="2792" spans="2:13" x14ac:dyDescent="0.2">
      <c r="B2792" s="173"/>
      <c r="C2792" s="694">
        <v>1</v>
      </c>
      <c r="D2792" s="695" t="s">
        <v>3903</v>
      </c>
      <c r="E2792" s="695">
        <v>4</v>
      </c>
      <c r="F2792" s="695" t="s">
        <v>5967</v>
      </c>
      <c r="G2792" s="695">
        <v>1</v>
      </c>
      <c r="H2792" s="695" t="s">
        <v>5968</v>
      </c>
      <c r="I2792" s="695">
        <v>165</v>
      </c>
      <c r="J2792" s="695" t="s">
        <v>6122</v>
      </c>
      <c r="K2792" s="695" t="s">
        <v>3907</v>
      </c>
      <c r="L2792" s="696">
        <v>2</v>
      </c>
      <c r="M2792" s="170"/>
    </row>
    <row r="2793" spans="2:13" x14ac:dyDescent="0.2">
      <c r="B2793" s="173"/>
      <c r="C2793" s="694">
        <v>1</v>
      </c>
      <c r="D2793" s="695" t="s">
        <v>3903</v>
      </c>
      <c r="E2793" s="695">
        <v>4</v>
      </c>
      <c r="F2793" s="695" t="s">
        <v>5967</v>
      </c>
      <c r="G2793" s="695">
        <v>1</v>
      </c>
      <c r="H2793" s="695" t="s">
        <v>5968</v>
      </c>
      <c r="I2793" s="695">
        <v>166</v>
      </c>
      <c r="J2793" s="695" t="s">
        <v>6123</v>
      </c>
      <c r="K2793" s="695" t="s">
        <v>3907</v>
      </c>
      <c r="L2793" s="696">
        <v>25</v>
      </c>
      <c r="M2793" s="170"/>
    </row>
    <row r="2794" spans="2:13" x14ac:dyDescent="0.2">
      <c r="B2794" s="173"/>
      <c r="C2794" s="694">
        <v>1</v>
      </c>
      <c r="D2794" s="695" t="s">
        <v>3903</v>
      </c>
      <c r="E2794" s="695">
        <v>4</v>
      </c>
      <c r="F2794" s="695" t="s">
        <v>5967</v>
      </c>
      <c r="G2794" s="695">
        <v>1</v>
      </c>
      <c r="H2794" s="695" t="s">
        <v>5968</v>
      </c>
      <c r="I2794" s="695">
        <v>167</v>
      </c>
      <c r="J2794" s="695" t="s">
        <v>6124</v>
      </c>
      <c r="K2794" s="695" t="s">
        <v>8544</v>
      </c>
      <c r="L2794" s="696">
        <v>1</v>
      </c>
      <c r="M2794" s="170"/>
    </row>
    <row r="2795" spans="2:13" x14ac:dyDescent="0.2">
      <c r="B2795" s="173"/>
      <c r="C2795" s="694">
        <v>1</v>
      </c>
      <c r="D2795" s="695" t="s">
        <v>3903</v>
      </c>
      <c r="E2795" s="695">
        <v>4</v>
      </c>
      <c r="F2795" s="695" t="s">
        <v>5967</v>
      </c>
      <c r="G2795" s="695">
        <v>1</v>
      </c>
      <c r="H2795" s="695" t="s">
        <v>5968</v>
      </c>
      <c r="I2795" s="695">
        <v>168</v>
      </c>
      <c r="J2795" s="695" t="s">
        <v>6125</v>
      </c>
      <c r="K2795" s="695" t="s">
        <v>8544</v>
      </c>
      <c r="L2795" s="696">
        <v>5</v>
      </c>
      <c r="M2795" s="170"/>
    </row>
    <row r="2796" spans="2:13" x14ac:dyDescent="0.2">
      <c r="B2796" s="173"/>
      <c r="C2796" s="694">
        <v>1</v>
      </c>
      <c r="D2796" s="695" t="s">
        <v>3903</v>
      </c>
      <c r="E2796" s="695">
        <v>4</v>
      </c>
      <c r="F2796" s="695" t="s">
        <v>5967</v>
      </c>
      <c r="G2796" s="695">
        <v>1</v>
      </c>
      <c r="H2796" s="695" t="s">
        <v>5968</v>
      </c>
      <c r="I2796" s="695">
        <v>169</v>
      </c>
      <c r="J2796" s="695" t="s">
        <v>6126</v>
      </c>
      <c r="K2796" s="695" t="s">
        <v>8544</v>
      </c>
      <c r="L2796" s="696">
        <v>4</v>
      </c>
      <c r="M2796" s="170"/>
    </row>
    <row r="2797" spans="2:13" x14ac:dyDescent="0.2">
      <c r="B2797" s="173"/>
      <c r="C2797" s="694">
        <v>1</v>
      </c>
      <c r="D2797" s="695" t="s">
        <v>3903</v>
      </c>
      <c r="E2797" s="695">
        <v>4</v>
      </c>
      <c r="F2797" s="695" t="s">
        <v>5967</v>
      </c>
      <c r="G2797" s="695">
        <v>1</v>
      </c>
      <c r="H2797" s="695" t="s">
        <v>5968</v>
      </c>
      <c r="I2797" s="695">
        <v>170</v>
      </c>
      <c r="J2797" s="695" t="s">
        <v>6127</v>
      </c>
      <c r="K2797" s="695" t="s">
        <v>8544</v>
      </c>
      <c r="L2797" s="696">
        <v>5</v>
      </c>
      <c r="M2797" s="170"/>
    </row>
    <row r="2798" spans="2:13" x14ac:dyDescent="0.2">
      <c r="B2798" s="173"/>
      <c r="C2798" s="694">
        <v>1</v>
      </c>
      <c r="D2798" s="695" t="s">
        <v>3903</v>
      </c>
      <c r="E2798" s="695">
        <v>4</v>
      </c>
      <c r="F2798" s="695" t="s">
        <v>5967</v>
      </c>
      <c r="G2798" s="695">
        <v>1</v>
      </c>
      <c r="H2798" s="695" t="s">
        <v>5968</v>
      </c>
      <c r="I2798" s="695">
        <v>171</v>
      </c>
      <c r="J2798" s="695" t="s">
        <v>6128</v>
      </c>
      <c r="K2798" s="695" t="s">
        <v>8544</v>
      </c>
      <c r="L2798" s="696">
        <v>4</v>
      </c>
      <c r="M2798" s="170"/>
    </row>
    <row r="2799" spans="2:13" x14ac:dyDescent="0.2">
      <c r="B2799" s="173"/>
      <c r="C2799" s="694">
        <v>1</v>
      </c>
      <c r="D2799" s="695" t="s">
        <v>3903</v>
      </c>
      <c r="E2799" s="695">
        <v>4</v>
      </c>
      <c r="F2799" s="695" t="s">
        <v>5967</v>
      </c>
      <c r="G2799" s="695">
        <v>1</v>
      </c>
      <c r="H2799" s="695" t="s">
        <v>5968</v>
      </c>
      <c r="I2799" s="695">
        <v>172</v>
      </c>
      <c r="J2799" s="695" t="s">
        <v>6129</v>
      </c>
      <c r="K2799" s="695" t="s">
        <v>8544</v>
      </c>
      <c r="L2799" s="696">
        <v>5</v>
      </c>
      <c r="M2799" s="170"/>
    </row>
    <row r="2800" spans="2:13" x14ac:dyDescent="0.2">
      <c r="B2800" s="173"/>
      <c r="C2800" s="694">
        <v>1</v>
      </c>
      <c r="D2800" s="695" t="s">
        <v>3903</v>
      </c>
      <c r="E2800" s="695">
        <v>4</v>
      </c>
      <c r="F2800" s="695" t="s">
        <v>5967</v>
      </c>
      <c r="G2800" s="695">
        <v>1</v>
      </c>
      <c r="H2800" s="695" t="s">
        <v>5968</v>
      </c>
      <c r="I2800" s="695">
        <v>173</v>
      </c>
      <c r="J2800" s="695" t="s">
        <v>6130</v>
      </c>
      <c r="K2800" s="695" t="s">
        <v>8544</v>
      </c>
      <c r="L2800" s="696">
        <v>3</v>
      </c>
      <c r="M2800" s="170"/>
    </row>
    <row r="2801" spans="2:13" x14ac:dyDescent="0.2">
      <c r="B2801" s="173"/>
      <c r="C2801" s="694">
        <v>1</v>
      </c>
      <c r="D2801" s="695" t="s">
        <v>3903</v>
      </c>
      <c r="E2801" s="695">
        <v>4</v>
      </c>
      <c r="F2801" s="695" t="s">
        <v>5967</v>
      </c>
      <c r="G2801" s="695">
        <v>1</v>
      </c>
      <c r="H2801" s="695" t="s">
        <v>5968</v>
      </c>
      <c r="I2801" s="695">
        <v>174</v>
      </c>
      <c r="J2801" s="695" t="s">
        <v>6131</v>
      </c>
      <c r="K2801" s="695" t="s">
        <v>8544</v>
      </c>
      <c r="L2801" s="696">
        <v>85</v>
      </c>
      <c r="M2801" s="170"/>
    </row>
    <row r="2802" spans="2:13" x14ac:dyDescent="0.2">
      <c r="B2802" s="173"/>
      <c r="C2802" s="694">
        <v>1</v>
      </c>
      <c r="D2802" s="695" t="s">
        <v>3903</v>
      </c>
      <c r="E2802" s="695">
        <v>4</v>
      </c>
      <c r="F2802" s="695" t="s">
        <v>5967</v>
      </c>
      <c r="G2802" s="695">
        <v>1</v>
      </c>
      <c r="H2802" s="695" t="s">
        <v>5968</v>
      </c>
      <c r="I2802" s="695">
        <v>175</v>
      </c>
      <c r="J2802" s="695" t="s">
        <v>6132</v>
      </c>
      <c r="K2802" s="695" t="s">
        <v>8544</v>
      </c>
      <c r="L2802" s="696">
        <v>87</v>
      </c>
      <c r="M2802" s="170"/>
    </row>
    <row r="2803" spans="2:13" x14ac:dyDescent="0.2">
      <c r="B2803" s="173"/>
      <c r="C2803" s="694">
        <v>1</v>
      </c>
      <c r="D2803" s="695" t="s">
        <v>3903</v>
      </c>
      <c r="E2803" s="695">
        <v>4</v>
      </c>
      <c r="F2803" s="695" t="s">
        <v>5967</v>
      </c>
      <c r="G2803" s="695">
        <v>1</v>
      </c>
      <c r="H2803" s="695" t="s">
        <v>5968</v>
      </c>
      <c r="I2803" s="695">
        <v>176</v>
      </c>
      <c r="J2803" s="695" t="s">
        <v>6133</v>
      </c>
      <c r="K2803" s="695" t="s">
        <v>3907</v>
      </c>
      <c r="L2803" s="696">
        <v>11</v>
      </c>
      <c r="M2803" s="170"/>
    </row>
    <row r="2804" spans="2:13" x14ac:dyDescent="0.2">
      <c r="B2804" s="173"/>
      <c r="C2804" s="694">
        <v>1</v>
      </c>
      <c r="D2804" s="695" t="s">
        <v>3903</v>
      </c>
      <c r="E2804" s="695">
        <v>4</v>
      </c>
      <c r="F2804" s="695" t="s">
        <v>5967</v>
      </c>
      <c r="G2804" s="695">
        <v>1</v>
      </c>
      <c r="H2804" s="695" t="s">
        <v>5968</v>
      </c>
      <c r="I2804" s="695">
        <v>177</v>
      </c>
      <c r="J2804" s="695" t="s">
        <v>6134</v>
      </c>
      <c r="K2804" s="695" t="s">
        <v>3907</v>
      </c>
      <c r="L2804" s="696">
        <v>3</v>
      </c>
      <c r="M2804" s="170"/>
    </row>
    <row r="2805" spans="2:13" x14ac:dyDescent="0.2">
      <c r="B2805" s="173"/>
      <c r="C2805" s="694">
        <v>1</v>
      </c>
      <c r="D2805" s="695" t="s">
        <v>3903</v>
      </c>
      <c r="E2805" s="695">
        <v>4</v>
      </c>
      <c r="F2805" s="695" t="s">
        <v>5967</v>
      </c>
      <c r="G2805" s="695">
        <v>1</v>
      </c>
      <c r="H2805" s="695" t="s">
        <v>5968</v>
      </c>
      <c r="I2805" s="695">
        <v>178</v>
      </c>
      <c r="J2805" s="695" t="s">
        <v>6135</v>
      </c>
      <c r="K2805" s="695" t="s">
        <v>3907</v>
      </c>
      <c r="L2805" s="696">
        <v>18</v>
      </c>
      <c r="M2805" s="170"/>
    </row>
    <row r="2806" spans="2:13" x14ac:dyDescent="0.2">
      <c r="B2806" s="173"/>
      <c r="C2806" s="694">
        <v>1</v>
      </c>
      <c r="D2806" s="695" t="s">
        <v>3903</v>
      </c>
      <c r="E2806" s="695">
        <v>4</v>
      </c>
      <c r="F2806" s="695" t="s">
        <v>5967</v>
      </c>
      <c r="G2806" s="695">
        <v>1</v>
      </c>
      <c r="H2806" s="695" t="s">
        <v>5968</v>
      </c>
      <c r="I2806" s="695">
        <v>179</v>
      </c>
      <c r="J2806" s="695" t="s">
        <v>6136</v>
      </c>
      <c r="K2806" s="695" t="s">
        <v>8544</v>
      </c>
      <c r="L2806" s="696">
        <v>2</v>
      </c>
      <c r="M2806" s="170"/>
    </row>
    <row r="2807" spans="2:13" x14ac:dyDescent="0.2">
      <c r="B2807" s="173"/>
      <c r="C2807" s="694">
        <v>1</v>
      </c>
      <c r="D2807" s="695" t="s">
        <v>3903</v>
      </c>
      <c r="E2807" s="695">
        <v>4</v>
      </c>
      <c r="F2807" s="695" t="s">
        <v>5967</v>
      </c>
      <c r="G2807" s="695">
        <v>1</v>
      </c>
      <c r="H2807" s="695" t="s">
        <v>5968</v>
      </c>
      <c r="I2807" s="695">
        <v>180</v>
      </c>
      <c r="J2807" s="695" t="s">
        <v>6137</v>
      </c>
      <c r="K2807" s="695" t="s">
        <v>8544</v>
      </c>
      <c r="L2807" s="696">
        <v>5</v>
      </c>
      <c r="M2807" s="170"/>
    </row>
    <row r="2808" spans="2:13" x14ac:dyDescent="0.2">
      <c r="B2808" s="173"/>
      <c r="C2808" s="694">
        <v>1</v>
      </c>
      <c r="D2808" s="695" t="s">
        <v>3903</v>
      </c>
      <c r="E2808" s="695">
        <v>4</v>
      </c>
      <c r="F2808" s="695" t="s">
        <v>5967</v>
      </c>
      <c r="G2808" s="695">
        <v>1</v>
      </c>
      <c r="H2808" s="695" t="s">
        <v>5968</v>
      </c>
      <c r="I2808" s="695">
        <v>181</v>
      </c>
      <c r="J2808" s="695" t="s">
        <v>6138</v>
      </c>
      <c r="K2808" s="695" t="s">
        <v>8544</v>
      </c>
      <c r="L2808" s="696">
        <v>1</v>
      </c>
      <c r="M2808" s="170"/>
    </row>
    <row r="2809" spans="2:13" x14ac:dyDescent="0.2">
      <c r="B2809" s="173"/>
      <c r="C2809" s="694">
        <v>1</v>
      </c>
      <c r="D2809" s="695" t="s">
        <v>3903</v>
      </c>
      <c r="E2809" s="695">
        <v>4</v>
      </c>
      <c r="F2809" s="695" t="s">
        <v>5967</v>
      </c>
      <c r="G2809" s="695">
        <v>1</v>
      </c>
      <c r="H2809" s="695" t="s">
        <v>5968</v>
      </c>
      <c r="I2809" s="695">
        <v>182</v>
      </c>
      <c r="J2809" s="695" t="s">
        <v>6139</v>
      </c>
      <c r="K2809" s="695" t="s">
        <v>3907</v>
      </c>
      <c r="L2809" s="696">
        <v>8</v>
      </c>
      <c r="M2809" s="170"/>
    </row>
    <row r="2810" spans="2:13" x14ac:dyDescent="0.2">
      <c r="B2810" s="173"/>
      <c r="C2810" s="694">
        <v>1</v>
      </c>
      <c r="D2810" s="695" t="s">
        <v>3903</v>
      </c>
      <c r="E2810" s="695">
        <v>4</v>
      </c>
      <c r="F2810" s="695" t="s">
        <v>5967</v>
      </c>
      <c r="G2810" s="695">
        <v>1</v>
      </c>
      <c r="H2810" s="695" t="s">
        <v>5968</v>
      </c>
      <c r="I2810" s="695">
        <v>183</v>
      </c>
      <c r="J2810" s="695" t="s">
        <v>6140</v>
      </c>
      <c r="K2810" s="695" t="s">
        <v>8544</v>
      </c>
      <c r="L2810" s="696">
        <v>1</v>
      </c>
      <c r="M2810" s="170"/>
    </row>
    <row r="2811" spans="2:13" x14ac:dyDescent="0.2">
      <c r="B2811" s="173"/>
      <c r="C2811" s="694">
        <v>1</v>
      </c>
      <c r="D2811" s="695" t="s">
        <v>3903</v>
      </c>
      <c r="E2811" s="695">
        <v>4</v>
      </c>
      <c r="F2811" s="695" t="s">
        <v>5967</v>
      </c>
      <c r="G2811" s="695">
        <v>1</v>
      </c>
      <c r="H2811" s="695" t="s">
        <v>5968</v>
      </c>
      <c r="I2811" s="695">
        <v>184</v>
      </c>
      <c r="J2811" s="695" t="s">
        <v>6141</v>
      </c>
      <c r="K2811" s="695" t="s">
        <v>3907</v>
      </c>
      <c r="L2811" s="696">
        <v>8</v>
      </c>
      <c r="M2811" s="170"/>
    </row>
    <row r="2812" spans="2:13" x14ac:dyDescent="0.2">
      <c r="B2812" s="173"/>
      <c r="C2812" s="694">
        <v>1</v>
      </c>
      <c r="D2812" s="695" t="s">
        <v>3903</v>
      </c>
      <c r="E2812" s="695">
        <v>4</v>
      </c>
      <c r="F2812" s="695" t="s">
        <v>5967</v>
      </c>
      <c r="G2812" s="695">
        <v>1</v>
      </c>
      <c r="H2812" s="695" t="s">
        <v>5968</v>
      </c>
      <c r="I2812" s="695">
        <v>185</v>
      </c>
      <c r="J2812" s="695" t="s">
        <v>6142</v>
      </c>
      <c r="K2812" s="695" t="s">
        <v>3907</v>
      </c>
      <c r="L2812" s="696">
        <v>1</v>
      </c>
      <c r="M2812" s="170"/>
    </row>
    <row r="2813" spans="2:13" x14ac:dyDescent="0.2">
      <c r="B2813" s="173"/>
      <c r="C2813" s="694">
        <v>1</v>
      </c>
      <c r="D2813" s="695" t="s">
        <v>3903</v>
      </c>
      <c r="E2813" s="695">
        <v>4</v>
      </c>
      <c r="F2813" s="695" t="s">
        <v>5967</v>
      </c>
      <c r="G2813" s="695">
        <v>1</v>
      </c>
      <c r="H2813" s="695" t="s">
        <v>5968</v>
      </c>
      <c r="I2813" s="695">
        <v>186</v>
      </c>
      <c r="J2813" s="695" t="s">
        <v>6143</v>
      </c>
      <c r="K2813" s="695" t="s">
        <v>3907</v>
      </c>
      <c r="L2813" s="696">
        <v>5</v>
      </c>
      <c r="M2813" s="170"/>
    </row>
    <row r="2814" spans="2:13" x14ac:dyDescent="0.2">
      <c r="B2814" s="173"/>
      <c r="C2814" s="694">
        <v>1</v>
      </c>
      <c r="D2814" s="695" t="s">
        <v>3903</v>
      </c>
      <c r="E2814" s="695">
        <v>4</v>
      </c>
      <c r="F2814" s="695" t="s">
        <v>5967</v>
      </c>
      <c r="G2814" s="695">
        <v>1</v>
      </c>
      <c r="H2814" s="695" t="s">
        <v>5968</v>
      </c>
      <c r="I2814" s="695">
        <v>187</v>
      </c>
      <c r="J2814" s="695" t="s">
        <v>6144</v>
      </c>
      <c r="K2814" s="695" t="s">
        <v>3907</v>
      </c>
      <c r="L2814" s="696">
        <v>1</v>
      </c>
      <c r="M2814" s="170"/>
    </row>
    <row r="2815" spans="2:13" x14ac:dyDescent="0.2">
      <c r="B2815" s="173"/>
      <c r="C2815" s="694">
        <v>1</v>
      </c>
      <c r="D2815" s="695" t="s">
        <v>3903</v>
      </c>
      <c r="E2815" s="695">
        <v>4</v>
      </c>
      <c r="F2815" s="695" t="s">
        <v>5967</v>
      </c>
      <c r="G2815" s="695">
        <v>1</v>
      </c>
      <c r="H2815" s="695" t="s">
        <v>5968</v>
      </c>
      <c r="I2815" s="695">
        <v>188</v>
      </c>
      <c r="J2815" s="695" t="s">
        <v>6145</v>
      </c>
      <c r="K2815" s="695" t="s">
        <v>3907</v>
      </c>
      <c r="L2815" s="696">
        <v>8</v>
      </c>
      <c r="M2815" s="170"/>
    </row>
    <row r="2816" spans="2:13" x14ac:dyDescent="0.2">
      <c r="B2816" s="173"/>
      <c r="C2816" s="694">
        <v>1</v>
      </c>
      <c r="D2816" s="695" t="s">
        <v>3903</v>
      </c>
      <c r="E2816" s="695">
        <v>4</v>
      </c>
      <c r="F2816" s="695" t="s">
        <v>5967</v>
      </c>
      <c r="G2816" s="695">
        <v>1</v>
      </c>
      <c r="H2816" s="695" t="s">
        <v>5968</v>
      </c>
      <c r="I2816" s="695">
        <v>189</v>
      </c>
      <c r="J2816" s="695" t="s">
        <v>6146</v>
      </c>
      <c r="K2816" s="695" t="s">
        <v>8544</v>
      </c>
      <c r="L2816" s="696">
        <v>2</v>
      </c>
      <c r="M2816" s="170"/>
    </row>
    <row r="2817" spans="2:13" x14ac:dyDescent="0.2">
      <c r="B2817" s="173"/>
      <c r="C2817" s="694">
        <v>1</v>
      </c>
      <c r="D2817" s="695" t="s">
        <v>3903</v>
      </c>
      <c r="E2817" s="695">
        <v>4</v>
      </c>
      <c r="F2817" s="695" t="s">
        <v>5967</v>
      </c>
      <c r="G2817" s="695">
        <v>1</v>
      </c>
      <c r="H2817" s="695" t="s">
        <v>5968</v>
      </c>
      <c r="I2817" s="695">
        <v>190</v>
      </c>
      <c r="J2817" s="695" t="s">
        <v>6147</v>
      </c>
      <c r="K2817" s="695" t="s">
        <v>8544</v>
      </c>
      <c r="L2817" s="696">
        <v>5</v>
      </c>
      <c r="M2817" s="170"/>
    </row>
    <row r="2818" spans="2:13" x14ac:dyDescent="0.2">
      <c r="B2818" s="173"/>
      <c r="C2818" s="694">
        <v>1</v>
      </c>
      <c r="D2818" s="695" t="s">
        <v>3903</v>
      </c>
      <c r="E2818" s="695">
        <v>4</v>
      </c>
      <c r="F2818" s="695" t="s">
        <v>5967</v>
      </c>
      <c r="G2818" s="695">
        <v>1</v>
      </c>
      <c r="H2818" s="695" t="s">
        <v>5968</v>
      </c>
      <c r="I2818" s="695">
        <v>191</v>
      </c>
      <c r="J2818" s="695" t="s">
        <v>6148</v>
      </c>
      <c r="K2818" s="695" t="s">
        <v>8544</v>
      </c>
      <c r="L2818" s="696">
        <v>3</v>
      </c>
      <c r="M2818" s="170"/>
    </row>
    <row r="2819" spans="2:13" x14ac:dyDescent="0.2">
      <c r="B2819" s="173"/>
      <c r="C2819" s="694">
        <v>1</v>
      </c>
      <c r="D2819" s="695" t="s">
        <v>3903</v>
      </c>
      <c r="E2819" s="695">
        <v>4</v>
      </c>
      <c r="F2819" s="695" t="s">
        <v>5967</v>
      </c>
      <c r="G2819" s="695">
        <v>1</v>
      </c>
      <c r="H2819" s="695" t="s">
        <v>5968</v>
      </c>
      <c r="I2819" s="695">
        <v>192</v>
      </c>
      <c r="J2819" s="695" t="s">
        <v>6149</v>
      </c>
      <c r="K2819" s="695" t="s">
        <v>8544</v>
      </c>
      <c r="L2819" s="696">
        <v>5</v>
      </c>
      <c r="M2819" s="170"/>
    </row>
    <row r="2820" spans="2:13" x14ac:dyDescent="0.2">
      <c r="B2820" s="173"/>
      <c r="C2820" s="694">
        <v>1</v>
      </c>
      <c r="D2820" s="695" t="s">
        <v>3903</v>
      </c>
      <c r="E2820" s="695">
        <v>4</v>
      </c>
      <c r="F2820" s="695" t="s">
        <v>5967</v>
      </c>
      <c r="G2820" s="695">
        <v>1</v>
      </c>
      <c r="H2820" s="695" t="s">
        <v>5968</v>
      </c>
      <c r="I2820" s="695">
        <v>193</v>
      </c>
      <c r="J2820" s="695" t="s">
        <v>6150</v>
      </c>
      <c r="K2820" s="695" t="s">
        <v>8544</v>
      </c>
      <c r="L2820" s="696">
        <v>9</v>
      </c>
      <c r="M2820" s="170"/>
    </row>
    <row r="2821" spans="2:13" x14ac:dyDescent="0.2">
      <c r="B2821" s="173"/>
      <c r="C2821" s="694">
        <v>1</v>
      </c>
      <c r="D2821" s="695" t="s">
        <v>3903</v>
      </c>
      <c r="E2821" s="695">
        <v>4</v>
      </c>
      <c r="F2821" s="695" t="s">
        <v>5967</v>
      </c>
      <c r="G2821" s="695">
        <v>1</v>
      </c>
      <c r="H2821" s="695" t="s">
        <v>5968</v>
      </c>
      <c r="I2821" s="695">
        <v>194</v>
      </c>
      <c r="J2821" s="695" t="s">
        <v>6151</v>
      </c>
      <c r="K2821" s="695" t="s">
        <v>8544</v>
      </c>
      <c r="L2821" s="696">
        <v>9</v>
      </c>
      <c r="M2821" s="170"/>
    </row>
    <row r="2822" spans="2:13" x14ac:dyDescent="0.2">
      <c r="B2822" s="173"/>
      <c r="C2822" s="694">
        <v>1</v>
      </c>
      <c r="D2822" s="695" t="s">
        <v>3903</v>
      </c>
      <c r="E2822" s="695">
        <v>4</v>
      </c>
      <c r="F2822" s="695" t="s">
        <v>5967</v>
      </c>
      <c r="G2822" s="695">
        <v>1</v>
      </c>
      <c r="H2822" s="695" t="s">
        <v>5968</v>
      </c>
      <c r="I2822" s="695">
        <v>195</v>
      </c>
      <c r="J2822" s="695" t="s">
        <v>6152</v>
      </c>
      <c r="K2822" s="695" t="s">
        <v>8544</v>
      </c>
      <c r="L2822" s="696">
        <v>8</v>
      </c>
      <c r="M2822" s="170"/>
    </row>
    <row r="2823" spans="2:13" x14ac:dyDescent="0.2">
      <c r="B2823" s="173"/>
      <c r="C2823" s="694">
        <v>1</v>
      </c>
      <c r="D2823" s="695" t="s">
        <v>3903</v>
      </c>
      <c r="E2823" s="695">
        <v>4</v>
      </c>
      <c r="F2823" s="695" t="s">
        <v>5967</v>
      </c>
      <c r="G2823" s="695">
        <v>1</v>
      </c>
      <c r="H2823" s="695" t="s">
        <v>5968</v>
      </c>
      <c r="I2823" s="695">
        <v>196</v>
      </c>
      <c r="J2823" s="695" t="s">
        <v>6153</v>
      </c>
      <c r="K2823" s="695" t="s">
        <v>4057</v>
      </c>
      <c r="L2823" s="696">
        <v>10</v>
      </c>
      <c r="M2823" s="170"/>
    </row>
    <row r="2824" spans="2:13" x14ac:dyDescent="0.2">
      <c r="B2824" s="173"/>
      <c r="C2824" s="694">
        <v>1</v>
      </c>
      <c r="D2824" s="695" t="s">
        <v>3903</v>
      </c>
      <c r="E2824" s="695">
        <v>4</v>
      </c>
      <c r="F2824" s="695" t="s">
        <v>5967</v>
      </c>
      <c r="G2824" s="695">
        <v>1</v>
      </c>
      <c r="H2824" s="695" t="s">
        <v>5968</v>
      </c>
      <c r="I2824" s="695">
        <v>197</v>
      </c>
      <c r="J2824" s="695" t="s">
        <v>6154</v>
      </c>
      <c r="K2824" s="695" t="s">
        <v>8544</v>
      </c>
      <c r="L2824" s="696">
        <v>14</v>
      </c>
      <c r="M2824" s="170"/>
    </row>
    <row r="2825" spans="2:13" x14ac:dyDescent="0.2">
      <c r="B2825" s="173"/>
      <c r="C2825" s="694">
        <v>1</v>
      </c>
      <c r="D2825" s="695" t="s">
        <v>3903</v>
      </c>
      <c r="E2825" s="695">
        <v>4</v>
      </c>
      <c r="F2825" s="695" t="s">
        <v>5967</v>
      </c>
      <c r="G2825" s="695">
        <v>1</v>
      </c>
      <c r="H2825" s="695" t="s">
        <v>5968</v>
      </c>
      <c r="I2825" s="695">
        <v>198</v>
      </c>
      <c r="J2825" s="695" t="s">
        <v>6155</v>
      </c>
      <c r="K2825" s="695" t="s">
        <v>8544</v>
      </c>
      <c r="L2825" s="696">
        <v>8</v>
      </c>
      <c r="M2825" s="170"/>
    </row>
    <row r="2826" spans="2:13" x14ac:dyDescent="0.2">
      <c r="B2826" s="173"/>
      <c r="C2826" s="694">
        <v>1</v>
      </c>
      <c r="D2826" s="695" t="s">
        <v>3903</v>
      </c>
      <c r="E2826" s="695">
        <v>4</v>
      </c>
      <c r="F2826" s="695" t="s">
        <v>5967</v>
      </c>
      <c r="G2826" s="695">
        <v>1</v>
      </c>
      <c r="H2826" s="695" t="s">
        <v>5968</v>
      </c>
      <c r="I2826" s="695">
        <v>199</v>
      </c>
      <c r="J2826" s="695" t="s">
        <v>6156</v>
      </c>
      <c r="K2826" s="695" t="s">
        <v>8544</v>
      </c>
      <c r="L2826" s="696">
        <v>2</v>
      </c>
      <c r="M2826" s="170"/>
    </row>
    <row r="2827" spans="2:13" x14ac:dyDescent="0.2">
      <c r="B2827" s="173"/>
      <c r="C2827" s="694">
        <v>1</v>
      </c>
      <c r="D2827" s="695" t="s">
        <v>3903</v>
      </c>
      <c r="E2827" s="695">
        <v>4</v>
      </c>
      <c r="F2827" s="695" t="s">
        <v>5967</v>
      </c>
      <c r="G2827" s="695">
        <v>1</v>
      </c>
      <c r="H2827" s="695" t="s">
        <v>5968</v>
      </c>
      <c r="I2827" s="695">
        <v>200</v>
      </c>
      <c r="J2827" s="695" t="s">
        <v>6157</v>
      </c>
      <c r="K2827" s="695" t="s">
        <v>8544</v>
      </c>
      <c r="L2827" s="696">
        <v>20</v>
      </c>
      <c r="M2827" s="170"/>
    </row>
    <row r="2828" spans="2:13" x14ac:dyDescent="0.2">
      <c r="B2828" s="173"/>
      <c r="C2828" s="694">
        <v>1</v>
      </c>
      <c r="D2828" s="695" t="s">
        <v>3903</v>
      </c>
      <c r="E2828" s="695">
        <v>4</v>
      </c>
      <c r="F2828" s="695" t="s">
        <v>5967</v>
      </c>
      <c r="G2828" s="695">
        <v>1</v>
      </c>
      <c r="H2828" s="695" t="s">
        <v>5968</v>
      </c>
      <c r="I2828" s="695">
        <v>201</v>
      </c>
      <c r="J2828" s="695" t="s">
        <v>6158</v>
      </c>
      <c r="K2828" s="695" t="s">
        <v>8544</v>
      </c>
      <c r="L2828" s="696">
        <v>1</v>
      </c>
      <c r="M2828" s="170"/>
    </row>
    <row r="2829" spans="2:13" x14ac:dyDescent="0.2">
      <c r="B2829" s="173"/>
      <c r="C2829" s="694">
        <v>1</v>
      </c>
      <c r="D2829" s="695" t="s">
        <v>3903</v>
      </c>
      <c r="E2829" s="695">
        <v>4</v>
      </c>
      <c r="F2829" s="695" t="s">
        <v>5967</v>
      </c>
      <c r="G2829" s="695">
        <v>1</v>
      </c>
      <c r="H2829" s="695" t="s">
        <v>5968</v>
      </c>
      <c r="I2829" s="695">
        <v>202</v>
      </c>
      <c r="J2829" s="695" t="s">
        <v>6159</v>
      </c>
      <c r="K2829" s="695" t="s">
        <v>8544</v>
      </c>
      <c r="L2829" s="696">
        <v>22</v>
      </c>
      <c r="M2829" s="170"/>
    </row>
    <row r="2830" spans="2:13" x14ac:dyDescent="0.2">
      <c r="B2830" s="173"/>
      <c r="C2830" s="694">
        <v>1</v>
      </c>
      <c r="D2830" s="695" t="s">
        <v>3903</v>
      </c>
      <c r="E2830" s="695">
        <v>4</v>
      </c>
      <c r="F2830" s="695" t="s">
        <v>5967</v>
      </c>
      <c r="G2830" s="695">
        <v>1</v>
      </c>
      <c r="H2830" s="695" t="s">
        <v>5968</v>
      </c>
      <c r="I2830" s="695">
        <v>203</v>
      </c>
      <c r="J2830" s="695" t="s">
        <v>6160</v>
      </c>
      <c r="K2830" s="695" t="s">
        <v>8544</v>
      </c>
      <c r="L2830" s="696">
        <v>40</v>
      </c>
      <c r="M2830" s="170"/>
    </row>
    <row r="2831" spans="2:13" x14ac:dyDescent="0.2">
      <c r="B2831" s="173"/>
      <c r="C2831" s="694">
        <v>1</v>
      </c>
      <c r="D2831" s="695" t="s">
        <v>3903</v>
      </c>
      <c r="E2831" s="695">
        <v>4</v>
      </c>
      <c r="F2831" s="695" t="s">
        <v>5967</v>
      </c>
      <c r="G2831" s="695">
        <v>1</v>
      </c>
      <c r="H2831" s="695" t="s">
        <v>5968</v>
      </c>
      <c r="I2831" s="695">
        <v>204</v>
      </c>
      <c r="J2831" s="695" t="s">
        <v>6161</v>
      </c>
      <c r="K2831" s="695" t="s">
        <v>8544</v>
      </c>
      <c r="L2831" s="696">
        <v>0</v>
      </c>
      <c r="M2831" s="170"/>
    </row>
    <row r="2832" spans="2:13" x14ac:dyDescent="0.2">
      <c r="B2832" s="173"/>
      <c r="C2832" s="694">
        <v>1</v>
      </c>
      <c r="D2832" s="695" t="s">
        <v>3903</v>
      </c>
      <c r="E2832" s="695">
        <v>4</v>
      </c>
      <c r="F2832" s="695" t="s">
        <v>5967</v>
      </c>
      <c r="G2832" s="695">
        <v>1</v>
      </c>
      <c r="H2832" s="695" t="s">
        <v>5968</v>
      </c>
      <c r="I2832" s="695">
        <v>205</v>
      </c>
      <c r="J2832" s="695" t="s">
        <v>6162</v>
      </c>
      <c r="K2832" s="695" t="s">
        <v>8544</v>
      </c>
      <c r="L2832" s="696">
        <v>27</v>
      </c>
      <c r="M2832" s="170"/>
    </row>
    <row r="2833" spans="2:13" x14ac:dyDescent="0.2">
      <c r="B2833" s="173"/>
      <c r="C2833" s="694">
        <v>1</v>
      </c>
      <c r="D2833" s="695" t="s">
        <v>3903</v>
      </c>
      <c r="E2833" s="695">
        <v>4</v>
      </c>
      <c r="F2833" s="695" t="s">
        <v>5967</v>
      </c>
      <c r="G2833" s="695">
        <v>1</v>
      </c>
      <c r="H2833" s="695" t="s">
        <v>5968</v>
      </c>
      <c r="I2833" s="695">
        <v>206</v>
      </c>
      <c r="J2833" s="695" t="s">
        <v>6163</v>
      </c>
      <c r="K2833" s="695" t="s">
        <v>8544</v>
      </c>
      <c r="L2833" s="696">
        <v>9</v>
      </c>
      <c r="M2833" s="170"/>
    </row>
    <row r="2834" spans="2:13" x14ac:dyDescent="0.2">
      <c r="B2834" s="173"/>
      <c r="C2834" s="694">
        <v>1</v>
      </c>
      <c r="D2834" s="695" t="s">
        <v>3903</v>
      </c>
      <c r="E2834" s="695">
        <v>4</v>
      </c>
      <c r="F2834" s="695" t="s">
        <v>5967</v>
      </c>
      <c r="G2834" s="695">
        <v>1</v>
      </c>
      <c r="H2834" s="695" t="s">
        <v>5968</v>
      </c>
      <c r="I2834" s="695">
        <v>207</v>
      </c>
      <c r="J2834" s="695" t="s">
        <v>6164</v>
      </c>
      <c r="K2834" s="695" t="s">
        <v>8544</v>
      </c>
      <c r="L2834" s="696">
        <v>0</v>
      </c>
      <c r="M2834" s="170"/>
    </row>
    <row r="2835" spans="2:13" x14ac:dyDescent="0.2">
      <c r="B2835" s="173"/>
      <c r="C2835" s="694">
        <v>1</v>
      </c>
      <c r="D2835" s="695" t="s">
        <v>3903</v>
      </c>
      <c r="E2835" s="695">
        <v>4</v>
      </c>
      <c r="F2835" s="695" t="s">
        <v>5967</v>
      </c>
      <c r="G2835" s="695">
        <v>1</v>
      </c>
      <c r="H2835" s="695" t="s">
        <v>5968</v>
      </c>
      <c r="I2835" s="695">
        <v>208</v>
      </c>
      <c r="J2835" s="695" t="s">
        <v>6165</v>
      </c>
      <c r="K2835" s="695" t="s">
        <v>3907</v>
      </c>
      <c r="L2835" s="696">
        <v>2</v>
      </c>
      <c r="M2835" s="170"/>
    </row>
    <row r="2836" spans="2:13" x14ac:dyDescent="0.2">
      <c r="B2836" s="173"/>
      <c r="C2836" s="694">
        <v>1</v>
      </c>
      <c r="D2836" s="695" t="s">
        <v>3903</v>
      </c>
      <c r="E2836" s="695">
        <v>4</v>
      </c>
      <c r="F2836" s="695" t="s">
        <v>5967</v>
      </c>
      <c r="G2836" s="695">
        <v>1</v>
      </c>
      <c r="H2836" s="695" t="s">
        <v>5968</v>
      </c>
      <c r="I2836" s="695">
        <v>209</v>
      </c>
      <c r="J2836" s="695" t="s">
        <v>6166</v>
      </c>
      <c r="K2836" s="695" t="s">
        <v>8544</v>
      </c>
      <c r="L2836" s="696">
        <v>2</v>
      </c>
      <c r="M2836" s="170"/>
    </row>
    <row r="2837" spans="2:13" x14ac:dyDescent="0.2">
      <c r="B2837" s="173"/>
      <c r="C2837" s="694">
        <v>1</v>
      </c>
      <c r="D2837" s="695" t="s">
        <v>3903</v>
      </c>
      <c r="E2837" s="695">
        <v>4</v>
      </c>
      <c r="F2837" s="695" t="s">
        <v>5967</v>
      </c>
      <c r="G2837" s="695">
        <v>1</v>
      </c>
      <c r="H2837" s="695" t="s">
        <v>5968</v>
      </c>
      <c r="I2837" s="695">
        <v>210</v>
      </c>
      <c r="J2837" s="695" t="s">
        <v>6167</v>
      </c>
      <c r="K2837" s="695" t="s">
        <v>8544</v>
      </c>
      <c r="L2837" s="696">
        <v>0</v>
      </c>
      <c r="M2837" s="170"/>
    </row>
    <row r="2838" spans="2:13" x14ac:dyDescent="0.2">
      <c r="B2838" s="173"/>
      <c r="C2838" s="694">
        <v>1</v>
      </c>
      <c r="D2838" s="695" t="s">
        <v>3903</v>
      </c>
      <c r="E2838" s="695">
        <v>4</v>
      </c>
      <c r="F2838" s="695" t="s">
        <v>5967</v>
      </c>
      <c r="G2838" s="695">
        <v>1</v>
      </c>
      <c r="H2838" s="695" t="s">
        <v>5968</v>
      </c>
      <c r="I2838" s="695">
        <v>211</v>
      </c>
      <c r="J2838" s="695" t="s">
        <v>6168</v>
      </c>
      <c r="K2838" s="695" t="s">
        <v>8544</v>
      </c>
      <c r="L2838" s="696">
        <v>3</v>
      </c>
      <c r="M2838" s="170"/>
    </row>
    <row r="2839" spans="2:13" x14ac:dyDescent="0.2">
      <c r="B2839" s="173"/>
      <c r="C2839" s="694">
        <v>1</v>
      </c>
      <c r="D2839" s="695" t="s">
        <v>3903</v>
      </c>
      <c r="E2839" s="695">
        <v>4</v>
      </c>
      <c r="F2839" s="695" t="s">
        <v>5967</v>
      </c>
      <c r="G2839" s="695">
        <v>1</v>
      </c>
      <c r="H2839" s="695" t="s">
        <v>5968</v>
      </c>
      <c r="I2839" s="695">
        <v>212</v>
      </c>
      <c r="J2839" s="695" t="s">
        <v>6169</v>
      </c>
      <c r="K2839" s="695" t="s">
        <v>8544</v>
      </c>
      <c r="L2839" s="696">
        <v>5</v>
      </c>
      <c r="M2839" s="170"/>
    </row>
    <row r="2840" spans="2:13" x14ac:dyDescent="0.2">
      <c r="B2840" s="173"/>
      <c r="C2840" s="694">
        <v>1</v>
      </c>
      <c r="D2840" s="695" t="s">
        <v>3903</v>
      </c>
      <c r="E2840" s="695">
        <v>4</v>
      </c>
      <c r="F2840" s="695" t="s">
        <v>5967</v>
      </c>
      <c r="G2840" s="695">
        <v>1</v>
      </c>
      <c r="H2840" s="695" t="s">
        <v>5968</v>
      </c>
      <c r="I2840" s="695">
        <v>213</v>
      </c>
      <c r="J2840" s="695" t="s">
        <v>6170</v>
      </c>
      <c r="K2840" s="695" t="s">
        <v>3907</v>
      </c>
      <c r="L2840" s="696">
        <v>4</v>
      </c>
      <c r="M2840" s="170"/>
    </row>
    <row r="2841" spans="2:13" x14ac:dyDescent="0.2">
      <c r="B2841" s="173"/>
      <c r="C2841" s="694">
        <v>1</v>
      </c>
      <c r="D2841" s="695" t="s">
        <v>3903</v>
      </c>
      <c r="E2841" s="695">
        <v>4</v>
      </c>
      <c r="F2841" s="695" t="s">
        <v>5967</v>
      </c>
      <c r="G2841" s="695">
        <v>1</v>
      </c>
      <c r="H2841" s="695" t="s">
        <v>5968</v>
      </c>
      <c r="I2841" s="695">
        <v>214</v>
      </c>
      <c r="J2841" s="695" t="s">
        <v>6171</v>
      </c>
      <c r="K2841" s="695" t="s">
        <v>3907</v>
      </c>
      <c r="L2841" s="696">
        <v>4</v>
      </c>
      <c r="M2841" s="170"/>
    </row>
    <row r="2842" spans="2:13" x14ac:dyDescent="0.2">
      <c r="B2842" s="173"/>
      <c r="C2842" s="694">
        <v>1</v>
      </c>
      <c r="D2842" s="695" t="s">
        <v>3903</v>
      </c>
      <c r="E2842" s="695">
        <v>4</v>
      </c>
      <c r="F2842" s="695" t="s">
        <v>5967</v>
      </c>
      <c r="G2842" s="695">
        <v>1</v>
      </c>
      <c r="H2842" s="695" t="s">
        <v>5968</v>
      </c>
      <c r="I2842" s="695">
        <v>215</v>
      </c>
      <c r="J2842" s="695" t="s">
        <v>6172</v>
      </c>
      <c r="K2842" s="695" t="s">
        <v>8544</v>
      </c>
      <c r="L2842" s="696">
        <v>1</v>
      </c>
      <c r="M2842" s="170"/>
    </row>
    <row r="2843" spans="2:13" x14ac:dyDescent="0.2">
      <c r="B2843" s="173"/>
      <c r="C2843" s="694">
        <v>1</v>
      </c>
      <c r="D2843" s="695" t="s">
        <v>3903</v>
      </c>
      <c r="E2843" s="695">
        <v>4</v>
      </c>
      <c r="F2843" s="695" t="s">
        <v>5967</v>
      </c>
      <c r="G2843" s="695">
        <v>1</v>
      </c>
      <c r="H2843" s="695" t="s">
        <v>5968</v>
      </c>
      <c r="I2843" s="695">
        <v>216</v>
      </c>
      <c r="J2843" s="695" t="s">
        <v>6173</v>
      </c>
      <c r="K2843" s="695" t="s">
        <v>3907</v>
      </c>
      <c r="L2843" s="696">
        <v>2</v>
      </c>
      <c r="M2843" s="170"/>
    </row>
    <row r="2844" spans="2:13" x14ac:dyDescent="0.2">
      <c r="B2844" s="173"/>
      <c r="C2844" s="694">
        <v>1</v>
      </c>
      <c r="D2844" s="695" t="s">
        <v>3903</v>
      </c>
      <c r="E2844" s="695">
        <v>4</v>
      </c>
      <c r="F2844" s="695" t="s">
        <v>5967</v>
      </c>
      <c r="G2844" s="695">
        <v>1</v>
      </c>
      <c r="H2844" s="695" t="s">
        <v>5968</v>
      </c>
      <c r="I2844" s="695">
        <v>217</v>
      </c>
      <c r="J2844" s="695" t="s">
        <v>6174</v>
      </c>
      <c r="K2844" s="695" t="s">
        <v>3907</v>
      </c>
      <c r="L2844" s="696">
        <v>1</v>
      </c>
      <c r="M2844" s="170"/>
    </row>
    <row r="2845" spans="2:13" x14ac:dyDescent="0.2">
      <c r="B2845" s="173"/>
      <c r="C2845" s="694">
        <v>1</v>
      </c>
      <c r="D2845" s="695" t="s">
        <v>3903</v>
      </c>
      <c r="E2845" s="695">
        <v>4</v>
      </c>
      <c r="F2845" s="695" t="s">
        <v>5967</v>
      </c>
      <c r="G2845" s="695">
        <v>1</v>
      </c>
      <c r="H2845" s="695" t="s">
        <v>5968</v>
      </c>
      <c r="I2845" s="695">
        <v>218</v>
      </c>
      <c r="J2845" s="695" t="s">
        <v>6175</v>
      </c>
      <c r="K2845" s="695" t="s">
        <v>3907</v>
      </c>
      <c r="L2845" s="696">
        <v>4</v>
      </c>
      <c r="M2845" s="170"/>
    </row>
    <row r="2846" spans="2:13" x14ac:dyDescent="0.2">
      <c r="B2846" s="173"/>
      <c r="C2846" s="694">
        <v>1</v>
      </c>
      <c r="D2846" s="695" t="s">
        <v>3903</v>
      </c>
      <c r="E2846" s="695">
        <v>4</v>
      </c>
      <c r="F2846" s="695" t="s">
        <v>5967</v>
      </c>
      <c r="G2846" s="695">
        <v>1</v>
      </c>
      <c r="H2846" s="695" t="s">
        <v>5968</v>
      </c>
      <c r="I2846" s="695">
        <v>219</v>
      </c>
      <c r="J2846" s="695" t="s">
        <v>6176</v>
      </c>
      <c r="K2846" s="695" t="s">
        <v>3907</v>
      </c>
      <c r="L2846" s="696">
        <v>2</v>
      </c>
      <c r="M2846" s="170"/>
    </row>
    <row r="2847" spans="2:13" x14ac:dyDescent="0.2">
      <c r="B2847" s="173"/>
      <c r="C2847" s="694">
        <v>1</v>
      </c>
      <c r="D2847" s="695" t="s">
        <v>3903</v>
      </c>
      <c r="E2847" s="695">
        <v>4</v>
      </c>
      <c r="F2847" s="695" t="s">
        <v>5967</v>
      </c>
      <c r="G2847" s="695">
        <v>1</v>
      </c>
      <c r="H2847" s="695" t="s">
        <v>5968</v>
      </c>
      <c r="I2847" s="695">
        <v>220</v>
      </c>
      <c r="J2847" s="695" t="s">
        <v>6177</v>
      </c>
      <c r="K2847" s="695" t="s">
        <v>3907</v>
      </c>
      <c r="L2847" s="696">
        <v>1</v>
      </c>
      <c r="M2847" s="170"/>
    </row>
    <row r="2848" spans="2:13" x14ac:dyDescent="0.2">
      <c r="B2848" s="173"/>
      <c r="C2848" s="694">
        <v>1</v>
      </c>
      <c r="D2848" s="695" t="s">
        <v>3903</v>
      </c>
      <c r="E2848" s="695">
        <v>4</v>
      </c>
      <c r="F2848" s="695" t="s">
        <v>5967</v>
      </c>
      <c r="G2848" s="695">
        <v>1</v>
      </c>
      <c r="H2848" s="695" t="s">
        <v>5968</v>
      </c>
      <c r="I2848" s="695">
        <v>221</v>
      </c>
      <c r="J2848" s="695" t="s">
        <v>6178</v>
      </c>
      <c r="K2848" s="695" t="s">
        <v>3907</v>
      </c>
      <c r="L2848" s="696">
        <v>12</v>
      </c>
      <c r="M2848" s="170"/>
    </row>
    <row r="2849" spans="2:13" x14ac:dyDescent="0.2">
      <c r="B2849" s="173"/>
      <c r="C2849" s="694">
        <v>1</v>
      </c>
      <c r="D2849" s="695" t="s">
        <v>3903</v>
      </c>
      <c r="E2849" s="695">
        <v>4</v>
      </c>
      <c r="F2849" s="695" t="s">
        <v>5967</v>
      </c>
      <c r="G2849" s="695">
        <v>1</v>
      </c>
      <c r="H2849" s="695" t="s">
        <v>5968</v>
      </c>
      <c r="I2849" s="695">
        <v>222</v>
      </c>
      <c r="J2849" s="695" t="s">
        <v>6179</v>
      </c>
      <c r="K2849" s="695" t="s">
        <v>3907</v>
      </c>
      <c r="L2849" s="696">
        <v>3</v>
      </c>
      <c r="M2849" s="170"/>
    </row>
    <row r="2850" spans="2:13" x14ac:dyDescent="0.2">
      <c r="B2850" s="173"/>
      <c r="C2850" s="694">
        <v>1</v>
      </c>
      <c r="D2850" s="695" t="s">
        <v>3903</v>
      </c>
      <c r="E2850" s="695">
        <v>4</v>
      </c>
      <c r="F2850" s="695" t="s">
        <v>5967</v>
      </c>
      <c r="G2850" s="695">
        <v>1</v>
      </c>
      <c r="H2850" s="695" t="s">
        <v>5968</v>
      </c>
      <c r="I2850" s="695">
        <v>223</v>
      </c>
      <c r="J2850" s="695" t="s">
        <v>6180</v>
      </c>
      <c r="K2850" s="695" t="s">
        <v>3907</v>
      </c>
      <c r="L2850" s="696">
        <v>7</v>
      </c>
      <c r="M2850" s="170"/>
    </row>
    <row r="2851" spans="2:13" x14ac:dyDescent="0.2">
      <c r="B2851" s="173"/>
      <c r="C2851" s="694">
        <v>1</v>
      </c>
      <c r="D2851" s="695" t="s">
        <v>3903</v>
      </c>
      <c r="E2851" s="695">
        <v>4</v>
      </c>
      <c r="F2851" s="695" t="s">
        <v>5967</v>
      </c>
      <c r="G2851" s="695">
        <v>1</v>
      </c>
      <c r="H2851" s="695" t="s">
        <v>5968</v>
      </c>
      <c r="I2851" s="695">
        <v>224</v>
      </c>
      <c r="J2851" s="695" t="s">
        <v>6181</v>
      </c>
      <c r="K2851" s="695" t="s">
        <v>3907</v>
      </c>
      <c r="L2851" s="696">
        <v>13</v>
      </c>
      <c r="M2851" s="170"/>
    </row>
    <row r="2852" spans="2:13" x14ac:dyDescent="0.2">
      <c r="B2852" s="173"/>
      <c r="C2852" s="694">
        <v>1</v>
      </c>
      <c r="D2852" s="695" t="s">
        <v>3903</v>
      </c>
      <c r="E2852" s="695">
        <v>4</v>
      </c>
      <c r="F2852" s="695" t="s">
        <v>5967</v>
      </c>
      <c r="G2852" s="695">
        <v>1</v>
      </c>
      <c r="H2852" s="695" t="s">
        <v>5968</v>
      </c>
      <c r="I2852" s="695">
        <v>225</v>
      </c>
      <c r="J2852" s="695" t="s">
        <v>6182</v>
      </c>
      <c r="K2852" s="695" t="s">
        <v>3907</v>
      </c>
      <c r="L2852" s="696">
        <v>1</v>
      </c>
      <c r="M2852" s="170"/>
    </row>
    <row r="2853" spans="2:13" x14ac:dyDescent="0.2">
      <c r="B2853" s="173"/>
      <c r="C2853" s="694">
        <v>1</v>
      </c>
      <c r="D2853" s="695" t="s">
        <v>3903</v>
      </c>
      <c r="E2853" s="695">
        <v>4</v>
      </c>
      <c r="F2853" s="695" t="s">
        <v>5967</v>
      </c>
      <c r="G2853" s="695">
        <v>1</v>
      </c>
      <c r="H2853" s="695" t="s">
        <v>5968</v>
      </c>
      <c r="I2853" s="695">
        <v>226</v>
      </c>
      <c r="J2853" s="695" t="s">
        <v>6183</v>
      </c>
      <c r="K2853" s="695" t="s">
        <v>3907</v>
      </c>
      <c r="L2853" s="696">
        <v>3</v>
      </c>
      <c r="M2853" s="170"/>
    </row>
    <row r="2854" spans="2:13" x14ac:dyDescent="0.2">
      <c r="B2854" s="173"/>
      <c r="C2854" s="694">
        <v>1</v>
      </c>
      <c r="D2854" s="695" t="s">
        <v>3903</v>
      </c>
      <c r="E2854" s="695">
        <v>4</v>
      </c>
      <c r="F2854" s="695" t="s">
        <v>5967</v>
      </c>
      <c r="G2854" s="695">
        <v>1</v>
      </c>
      <c r="H2854" s="695" t="s">
        <v>5968</v>
      </c>
      <c r="I2854" s="695">
        <v>227</v>
      </c>
      <c r="J2854" s="695" t="s">
        <v>6184</v>
      </c>
      <c r="K2854" s="695" t="s">
        <v>3907</v>
      </c>
      <c r="L2854" s="696">
        <v>3</v>
      </c>
      <c r="M2854" s="170"/>
    </row>
    <row r="2855" spans="2:13" x14ac:dyDescent="0.2">
      <c r="B2855" s="173"/>
      <c r="C2855" s="694">
        <v>1</v>
      </c>
      <c r="D2855" s="695" t="s">
        <v>3903</v>
      </c>
      <c r="E2855" s="695">
        <v>4</v>
      </c>
      <c r="F2855" s="695" t="s">
        <v>5967</v>
      </c>
      <c r="G2855" s="695">
        <v>1</v>
      </c>
      <c r="H2855" s="695" t="s">
        <v>5968</v>
      </c>
      <c r="I2855" s="695">
        <v>228</v>
      </c>
      <c r="J2855" s="695" t="s">
        <v>6185</v>
      </c>
      <c r="K2855" s="695" t="s">
        <v>3907</v>
      </c>
      <c r="L2855" s="696">
        <v>4</v>
      </c>
      <c r="M2855" s="170"/>
    </row>
    <row r="2856" spans="2:13" x14ac:dyDescent="0.2">
      <c r="B2856" s="173"/>
      <c r="C2856" s="694">
        <v>1</v>
      </c>
      <c r="D2856" s="695" t="s">
        <v>3903</v>
      </c>
      <c r="E2856" s="695">
        <v>4</v>
      </c>
      <c r="F2856" s="695" t="s">
        <v>5967</v>
      </c>
      <c r="G2856" s="695">
        <v>1</v>
      </c>
      <c r="H2856" s="695" t="s">
        <v>5968</v>
      </c>
      <c r="I2856" s="695">
        <v>229</v>
      </c>
      <c r="J2856" s="695" t="s">
        <v>6186</v>
      </c>
      <c r="K2856" s="695" t="s">
        <v>3907</v>
      </c>
      <c r="L2856" s="696">
        <v>3</v>
      </c>
      <c r="M2856" s="170"/>
    </row>
    <row r="2857" spans="2:13" x14ac:dyDescent="0.2">
      <c r="B2857" s="173"/>
      <c r="C2857" s="694">
        <v>1</v>
      </c>
      <c r="D2857" s="695" t="s">
        <v>3903</v>
      </c>
      <c r="E2857" s="695">
        <v>4</v>
      </c>
      <c r="F2857" s="695" t="s">
        <v>5967</v>
      </c>
      <c r="G2857" s="695">
        <v>1</v>
      </c>
      <c r="H2857" s="695" t="s">
        <v>5968</v>
      </c>
      <c r="I2857" s="695">
        <v>230</v>
      </c>
      <c r="J2857" s="695" t="s">
        <v>6187</v>
      </c>
      <c r="K2857" s="695" t="s">
        <v>3907</v>
      </c>
      <c r="L2857" s="696">
        <v>2</v>
      </c>
      <c r="M2857" s="170"/>
    </row>
    <row r="2858" spans="2:13" x14ac:dyDescent="0.2">
      <c r="B2858" s="173"/>
      <c r="C2858" s="694">
        <v>1</v>
      </c>
      <c r="D2858" s="695" t="s">
        <v>3903</v>
      </c>
      <c r="E2858" s="695">
        <v>4</v>
      </c>
      <c r="F2858" s="695" t="s">
        <v>5967</v>
      </c>
      <c r="G2858" s="695">
        <v>1</v>
      </c>
      <c r="H2858" s="695" t="s">
        <v>5968</v>
      </c>
      <c r="I2858" s="695">
        <v>231</v>
      </c>
      <c r="J2858" s="695" t="s">
        <v>6188</v>
      </c>
      <c r="K2858" s="695" t="s">
        <v>3907</v>
      </c>
      <c r="L2858" s="696">
        <v>2</v>
      </c>
      <c r="M2858" s="170"/>
    </row>
    <row r="2859" spans="2:13" x14ac:dyDescent="0.2">
      <c r="B2859" s="173"/>
      <c r="C2859" s="694">
        <v>1</v>
      </c>
      <c r="D2859" s="695" t="s">
        <v>3903</v>
      </c>
      <c r="E2859" s="695">
        <v>4</v>
      </c>
      <c r="F2859" s="695" t="s">
        <v>5967</v>
      </c>
      <c r="G2859" s="695">
        <v>1</v>
      </c>
      <c r="H2859" s="695" t="s">
        <v>5968</v>
      </c>
      <c r="I2859" s="695">
        <v>232</v>
      </c>
      <c r="J2859" s="695" t="s">
        <v>6189</v>
      </c>
      <c r="K2859" s="695" t="s">
        <v>3907</v>
      </c>
      <c r="L2859" s="696">
        <v>3</v>
      </c>
      <c r="M2859" s="170"/>
    </row>
    <row r="2860" spans="2:13" x14ac:dyDescent="0.2">
      <c r="B2860" s="173"/>
      <c r="C2860" s="694">
        <v>1</v>
      </c>
      <c r="D2860" s="695" t="s">
        <v>3903</v>
      </c>
      <c r="E2860" s="695">
        <v>4</v>
      </c>
      <c r="F2860" s="695" t="s">
        <v>5967</v>
      </c>
      <c r="G2860" s="695">
        <v>1</v>
      </c>
      <c r="H2860" s="695" t="s">
        <v>5968</v>
      </c>
      <c r="I2860" s="695">
        <v>233</v>
      </c>
      <c r="J2860" s="695" t="s">
        <v>6190</v>
      </c>
      <c r="K2860" s="695" t="s">
        <v>3907</v>
      </c>
      <c r="L2860" s="696">
        <v>1</v>
      </c>
      <c r="M2860" s="170"/>
    </row>
    <row r="2861" spans="2:13" x14ac:dyDescent="0.2">
      <c r="B2861" s="173"/>
      <c r="C2861" s="694">
        <v>1</v>
      </c>
      <c r="D2861" s="695" t="s">
        <v>3903</v>
      </c>
      <c r="E2861" s="695">
        <v>4</v>
      </c>
      <c r="F2861" s="695" t="s">
        <v>5967</v>
      </c>
      <c r="G2861" s="695">
        <v>1</v>
      </c>
      <c r="H2861" s="695" t="s">
        <v>5968</v>
      </c>
      <c r="I2861" s="695">
        <v>234</v>
      </c>
      <c r="J2861" s="695" t="s">
        <v>6191</v>
      </c>
      <c r="K2861" s="695" t="s">
        <v>3907</v>
      </c>
      <c r="L2861" s="696">
        <v>2</v>
      </c>
      <c r="M2861" s="170"/>
    </row>
    <row r="2862" spans="2:13" x14ac:dyDescent="0.2">
      <c r="B2862" s="173"/>
      <c r="C2862" s="694">
        <v>1</v>
      </c>
      <c r="D2862" s="695" t="s">
        <v>3903</v>
      </c>
      <c r="E2862" s="695">
        <v>4</v>
      </c>
      <c r="F2862" s="695" t="s">
        <v>5967</v>
      </c>
      <c r="G2862" s="695">
        <v>1</v>
      </c>
      <c r="H2862" s="695" t="s">
        <v>5968</v>
      </c>
      <c r="I2862" s="695">
        <v>235</v>
      </c>
      <c r="J2862" s="695" t="s">
        <v>6192</v>
      </c>
      <c r="K2862" s="695" t="s">
        <v>3907</v>
      </c>
      <c r="L2862" s="696">
        <v>9</v>
      </c>
      <c r="M2862" s="170"/>
    </row>
    <row r="2863" spans="2:13" x14ac:dyDescent="0.2">
      <c r="B2863" s="173"/>
      <c r="C2863" s="694">
        <v>1</v>
      </c>
      <c r="D2863" s="695" t="s">
        <v>3903</v>
      </c>
      <c r="E2863" s="695">
        <v>4</v>
      </c>
      <c r="F2863" s="695" t="s">
        <v>5967</v>
      </c>
      <c r="G2863" s="695">
        <v>1</v>
      </c>
      <c r="H2863" s="695" t="s">
        <v>5968</v>
      </c>
      <c r="I2863" s="695">
        <v>236</v>
      </c>
      <c r="J2863" s="695" t="s">
        <v>6193</v>
      </c>
      <c r="K2863" s="695" t="s">
        <v>3907</v>
      </c>
      <c r="L2863" s="696">
        <v>2</v>
      </c>
      <c r="M2863" s="170"/>
    </row>
    <row r="2864" spans="2:13" x14ac:dyDescent="0.2">
      <c r="B2864" s="173"/>
      <c r="C2864" s="694">
        <v>1</v>
      </c>
      <c r="D2864" s="695" t="s">
        <v>3903</v>
      </c>
      <c r="E2864" s="695">
        <v>4</v>
      </c>
      <c r="F2864" s="695" t="s">
        <v>5967</v>
      </c>
      <c r="G2864" s="695">
        <v>1</v>
      </c>
      <c r="H2864" s="695" t="s">
        <v>5968</v>
      </c>
      <c r="I2864" s="695">
        <v>237</v>
      </c>
      <c r="J2864" s="695" t="s">
        <v>6194</v>
      </c>
      <c r="K2864" s="695" t="s">
        <v>3907</v>
      </c>
      <c r="L2864" s="696">
        <v>1</v>
      </c>
      <c r="M2864" s="170"/>
    </row>
    <row r="2865" spans="2:13" x14ac:dyDescent="0.2">
      <c r="B2865" s="173"/>
      <c r="C2865" s="694">
        <v>1</v>
      </c>
      <c r="D2865" s="695" t="s">
        <v>3903</v>
      </c>
      <c r="E2865" s="695">
        <v>4</v>
      </c>
      <c r="F2865" s="695" t="s">
        <v>5967</v>
      </c>
      <c r="G2865" s="695">
        <v>1</v>
      </c>
      <c r="H2865" s="695" t="s">
        <v>5968</v>
      </c>
      <c r="I2865" s="695">
        <v>238</v>
      </c>
      <c r="J2865" s="695" t="s">
        <v>6195</v>
      </c>
      <c r="K2865" s="695" t="s">
        <v>3907</v>
      </c>
      <c r="L2865" s="696">
        <v>1</v>
      </c>
      <c r="M2865" s="170"/>
    </row>
    <row r="2866" spans="2:13" x14ac:dyDescent="0.2">
      <c r="B2866" s="173"/>
      <c r="C2866" s="694">
        <v>1</v>
      </c>
      <c r="D2866" s="695" t="s">
        <v>3903</v>
      </c>
      <c r="E2866" s="695">
        <v>4</v>
      </c>
      <c r="F2866" s="695" t="s">
        <v>5967</v>
      </c>
      <c r="G2866" s="695">
        <v>1</v>
      </c>
      <c r="H2866" s="695" t="s">
        <v>5968</v>
      </c>
      <c r="I2866" s="695">
        <v>239</v>
      </c>
      <c r="J2866" s="695" t="s">
        <v>9031</v>
      </c>
      <c r="K2866" s="695" t="s">
        <v>3907</v>
      </c>
      <c r="L2866" s="696">
        <v>4</v>
      </c>
      <c r="M2866" s="170"/>
    </row>
    <row r="2867" spans="2:13" x14ac:dyDescent="0.2">
      <c r="B2867" s="173"/>
      <c r="C2867" s="694">
        <v>1</v>
      </c>
      <c r="D2867" s="695" t="s">
        <v>3903</v>
      </c>
      <c r="E2867" s="695">
        <v>4</v>
      </c>
      <c r="F2867" s="695" t="s">
        <v>5967</v>
      </c>
      <c r="G2867" s="695">
        <v>1</v>
      </c>
      <c r="H2867" s="695" t="s">
        <v>5968</v>
      </c>
      <c r="I2867" s="695">
        <v>240</v>
      </c>
      <c r="J2867" s="695" t="s">
        <v>6196</v>
      </c>
      <c r="K2867" s="695" t="s">
        <v>3907</v>
      </c>
      <c r="L2867" s="696">
        <v>25</v>
      </c>
      <c r="M2867" s="170"/>
    </row>
    <row r="2868" spans="2:13" x14ac:dyDescent="0.2">
      <c r="B2868" s="173"/>
      <c r="C2868" s="694">
        <v>1</v>
      </c>
      <c r="D2868" s="695" t="s">
        <v>3903</v>
      </c>
      <c r="E2868" s="695">
        <v>4</v>
      </c>
      <c r="F2868" s="695" t="s">
        <v>5967</v>
      </c>
      <c r="G2868" s="695">
        <v>1</v>
      </c>
      <c r="H2868" s="695" t="s">
        <v>5968</v>
      </c>
      <c r="I2868" s="695">
        <v>241</v>
      </c>
      <c r="J2868" s="695" t="s">
        <v>6197</v>
      </c>
      <c r="K2868" s="695" t="s">
        <v>3907</v>
      </c>
      <c r="L2868" s="696">
        <v>6</v>
      </c>
      <c r="M2868" s="170"/>
    </row>
    <row r="2869" spans="2:13" x14ac:dyDescent="0.2">
      <c r="B2869" s="173"/>
      <c r="C2869" s="694">
        <v>1</v>
      </c>
      <c r="D2869" s="695" t="s">
        <v>3903</v>
      </c>
      <c r="E2869" s="695">
        <v>4</v>
      </c>
      <c r="F2869" s="695" t="s">
        <v>5967</v>
      </c>
      <c r="G2869" s="695">
        <v>1</v>
      </c>
      <c r="H2869" s="695" t="s">
        <v>5968</v>
      </c>
      <c r="I2869" s="695">
        <v>242</v>
      </c>
      <c r="J2869" s="695" t="s">
        <v>6198</v>
      </c>
      <c r="K2869" s="695" t="s">
        <v>3907</v>
      </c>
      <c r="L2869" s="696">
        <v>4</v>
      </c>
      <c r="M2869" s="170"/>
    </row>
    <row r="2870" spans="2:13" x14ac:dyDescent="0.2">
      <c r="B2870" s="173"/>
      <c r="C2870" s="694">
        <v>1</v>
      </c>
      <c r="D2870" s="695" t="s">
        <v>3903</v>
      </c>
      <c r="E2870" s="695">
        <v>4</v>
      </c>
      <c r="F2870" s="695" t="s">
        <v>5967</v>
      </c>
      <c r="G2870" s="695">
        <v>1</v>
      </c>
      <c r="H2870" s="695" t="s">
        <v>5968</v>
      </c>
      <c r="I2870" s="695">
        <v>243</v>
      </c>
      <c r="J2870" s="695" t="s">
        <v>6199</v>
      </c>
      <c r="K2870" s="695" t="s">
        <v>3907</v>
      </c>
      <c r="L2870" s="696">
        <v>6</v>
      </c>
      <c r="M2870" s="170"/>
    </row>
    <row r="2871" spans="2:13" x14ac:dyDescent="0.2">
      <c r="B2871" s="173"/>
      <c r="C2871" s="694">
        <v>1</v>
      </c>
      <c r="D2871" s="695" t="s">
        <v>3903</v>
      </c>
      <c r="E2871" s="695">
        <v>4</v>
      </c>
      <c r="F2871" s="695" t="s">
        <v>5967</v>
      </c>
      <c r="G2871" s="695">
        <v>1</v>
      </c>
      <c r="H2871" s="695" t="s">
        <v>5968</v>
      </c>
      <c r="I2871" s="695">
        <v>244</v>
      </c>
      <c r="J2871" s="695" t="s">
        <v>6200</v>
      </c>
      <c r="K2871" s="695" t="s">
        <v>3907</v>
      </c>
      <c r="L2871" s="696">
        <v>8</v>
      </c>
      <c r="M2871" s="170"/>
    </row>
    <row r="2872" spans="2:13" x14ac:dyDescent="0.2">
      <c r="B2872" s="173"/>
      <c r="C2872" s="694">
        <v>1</v>
      </c>
      <c r="D2872" s="695" t="s">
        <v>3903</v>
      </c>
      <c r="E2872" s="695">
        <v>4</v>
      </c>
      <c r="F2872" s="695" t="s">
        <v>5967</v>
      </c>
      <c r="G2872" s="695">
        <v>1</v>
      </c>
      <c r="H2872" s="695" t="s">
        <v>5968</v>
      </c>
      <c r="I2872" s="695">
        <v>245</v>
      </c>
      <c r="J2872" s="695" t="s">
        <v>6201</v>
      </c>
      <c r="K2872" s="695" t="s">
        <v>3907</v>
      </c>
      <c r="L2872" s="696">
        <v>4</v>
      </c>
      <c r="M2872" s="170"/>
    </row>
    <row r="2873" spans="2:13" x14ac:dyDescent="0.2">
      <c r="B2873" s="173"/>
      <c r="C2873" s="694">
        <v>1</v>
      </c>
      <c r="D2873" s="695" t="s">
        <v>3903</v>
      </c>
      <c r="E2873" s="695">
        <v>4</v>
      </c>
      <c r="F2873" s="695" t="s">
        <v>5967</v>
      </c>
      <c r="G2873" s="695">
        <v>1</v>
      </c>
      <c r="H2873" s="695" t="s">
        <v>5968</v>
      </c>
      <c r="I2873" s="695">
        <v>246</v>
      </c>
      <c r="J2873" s="695" t="s">
        <v>6202</v>
      </c>
      <c r="K2873" s="695" t="s">
        <v>3907</v>
      </c>
      <c r="L2873" s="696">
        <v>2</v>
      </c>
      <c r="M2873" s="170"/>
    </row>
    <row r="2874" spans="2:13" x14ac:dyDescent="0.2">
      <c r="B2874" s="173"/>
      <c r="C2874" s="694">
        <v>1</v>
      </c>
      <c r="D2874" s="695" t="s">
        <v>3903</v>
      </c>
      <c r="E2874" s="695">
        <v>4</v>
      </c>
      <c r="F2874" s="695" t="s">
        <v>5967</v>
      </c>
      <c r="G2874" s="695">
        <v>1</v>
      </c>
      <c r="H2874" s="695" t="s">
        <v>5968</v>
      </c>
      <c r="I2874" s="695">
        <v>247</v>
      </c>
      <c r="J2874" s="695" t="s">
        <v>6203</v>
      </c>
      <c r="K2874" s="695" t="s">
        <v>3907</v>
      </c>
      <c r="L2874" s="696">
        <v>3</v>
      </c>
      <c r="M2874" s="170"/>
    </row>
    <row r="2875" spans="2:13" x14ac:dyDescent="0.2">
      <c r="B2875" s="173"/>
      <c r="C2875" s="694">
        <v>1</v>
      </c>
      <c r="D2875" s="695" t="s">
        <v>3903</v>
      </c>
      <c r="E2875" s="695">
        <v>4</v>
      </c>
      <c r="F2875" s="695" t="s">
        <v>5967</v>
      </c>
      <c r="G2875" s="695">
        <v>1</v>
      </c>
      <c r="H2875" s="695" t="s">
        <v>5968</v>
      </c>
      <c r="I2875" s="695">
        <v>248</v>
      </c>
      <c r="J2875" s="695" t="s">
        <v>6204</v>
      </c>
      <c r="K2875" s="695" t="s">
        <v>3907</v>
      </c>
      <c r="L2875" s="696">
        <v>4</v>
      </c>
      <c r="M2875" s="170"/>
    </row>
    <row r="2876" spans="2:13" x14ac:dyDescent="0.2">
      <c r="B2876" s="173"/>
      <c r="C2876" s="694">
        <v>1</v>
      </c>
      <c r="D2876" s="695" t="s">
        <v>3903</v>
      </c>
      <c r="E2876" s="695">
        <v>4</v>
      </c>
      <c r="F2876" s="695" t="s">
        <v>5967</v>
      </c>
      <c r="G2876" s="695">
        <v>1</v>
      </c>
      <c r="H2876" s="695" t="s">
        <v>5968</v>
      </c>
      <c r="I2876" s="695">
        <v>249</v>
      </c>
      <c r="J2876" s="695" t="s">
        <v>6205</v>
      </c>
      <c r="K2876" s="695" t="s">
        <v>3907</v>
      </c>
      <c r="L2876" s="696">
        <v>10</v>
      </c>
      <c r="M2876" s="170"/>
    </row>
    <row r="2877" spans="2:13" x14ac:dyDescent="0.2">
      <c r="B2877" s="173"/>
      <c r="C2877" s="694">
        <v>1</v>
      </c>
      <c r="D2877" s="695" t="s">
        <v>3903</v>
      </c>
      <c r="E2877" s="695">
        <v>4</v>
      </c>
      <c r="F2877" s="695" t="s">
        <v>5967</v>
      </c>
      <c r="G2877" s="695">
        <v>1</v>
      </c>
      <c r="H2877" s="695" t="s">
        <v>5968</v>
      </c>
      <c r="I2877" s="695">
        <v>250</v>
      </c>
      <c r="J2877" s="695" t="s">
        <v>6206</v>
      </c>
      <c r="K2877" s="695" t="s">
        <v>3907</v>
      </c>
      <c r="L2877" s="696">
        <v>1</v>
      </c>
      <c r="M2877" s="170"/>
    </row>
    <row r="2878" spans="2:13" x14ac:dyDescent="0.2">
      <c r="B2878" s="173"/>
      <c r="C2878" s="694">
        <v>1</v>
      </c>
      <c r="D2878" s="695" t="s">
        <v>3903</v>
      </c>
      <c r="E2878" s="695">
        <v>4</v>
      </c>
      <c r="F2878" s="695" t="s">
        <v>5967</v>
      </c>
      <c r="G2878" s="695">
        <v>1</v>
      </c>
      <c r="H2878" s="695" t="s">
        <v>5968</v>
      </c>
      <c r="I2878" s="695">
        <v>251</v>
      </c>
      <c r="J2878" s="695" t="s">
        <v>6207</v>
      </c>
      <c r="K2878" s="695" t="s">
        <v>3907</v>
      </c>
      <c r="L2878" s="696">
        <v>18</v>
      </c>
      <c r="M2878" s="170"/>
    </row>
    <row r="2879" spans="2:13" x14ac:dyDescent="0.2">
      <c r="B2879" s="173"/>
      <c r="C2879" s="694">
        <v>1</v>
      </c>
      <c r="D2879" s="695" t="s">
        <v>3903</v>
      </c>
      <c r="E2879" s="695">
        <v>4</v>
      </c>
      <c r="F2879" s="695" t="s">
        <v>5967</v>
      </c>
      <c r="G2879" s="695">
        <v>1</v>
      </c>
      <c r="H2879" s="695" t="s">
        <v>5968</v>
      </c>
      <c r="I2879" s="695">
        <v>252</v>
      </c>
      <c r="J2879" s="695" t="s">
        <v>6208</v>
      </c>
      <c r="K2879" s="695" t="s">
        <v>3907</v>
      </c>
      <c r="L2879" s="696">
        <v>4</v>
      </c>
      <c r="M2879" s="170"/>
    </row>
    <row r="2880" spans="2:13" x14ac:dyDescent="0.2">
      <c r="B2880" s="173"/>
      <c r="C2880" s="694">
        <v>1</v>
      </c>
      <c r="D2880" s="695" t="s">
        <v>3903</v>
      </c>
      <c r="E2880" s="695">
        <v>4</v>
      </c>
      <c r="F2880" s="695" t="s">
        <v>5967</v>
      </c>
      <c r="G2880" s="695">
        <v>1</v>
      </c>
      <c r="H2880" s="695" t="s">
        <v>5968</v>
      </c>
      <c r="I2880" s="695">
        <v>253</v>
      </c>
      <c r="J2880" s="695" t="s">
        <v>6209</v>
      </c>
      <c r="K2880" s="695" t="s">
        <v>3907</v>
      </c>
      <c r="L2880" s="696">
        <v>2</v>
      </c>
      <c r="M2880" s="170"/>
    </row>
    <row r="2881" spans="2:13" x14ac:dyDescent="0.2">
      <c r="B2881" s="173"/>
      <c r="C2881" s="694">
        <v>1</v>
      </c>
      <c r="D2881" s="695" t="s">
        <v>3903</v>
      </c>
      <c r="E2881" s="695">
        <v>4</v>
      </c>
      <c r="F2881" s="695" t="s">
        <v>5967</v>
      </c>
      <c r="G2881" s="695">
        <v>1</v>
      </c>
      <c r="H2881" s="695" t="s">
        <v>5968</v>
      </c>
      <c r="I2881" s="695">
        <v>254</v>
      </c>
      <c r="J2881" s="695" t="s">
        <v>6210</v>
      </c>
      <c r="K2881" s="695" t="s">
        <v>3907</v>
      </c>
      <c r="L2881" s="696">
        <v>25</v>
      </c>
      <c r="M2881" s="170"/>
    </row>
    <row r="2882" spans="2:13" x14ac:dyDescent="0.2">
      <c r="B2882" s="173"/>
      <c r="C2882" s="694">
        <v>1</v>
      </c>
      <c r="D2882" s="695" t="s">
        <v>3903</v>
      </c>
      <c r="E2882" s="695">
        <v>4</v>
      </c>
      <c r="F2882" s="695" t="s">
        <v>5967</v>
      </c>
      <c r="G2882" s="695">
        <v>1</v>
      </c>
      <c r="H2882" s="695" t="s">
        <v>5968</v>
      </c>
      <c r="I2882" s="695">
        <v>255</v>
      </c>
      <c r="J2882" s="695" t="s">
        <v>6211</v>
      </c>
      <c r="K2882" s="695" t="s">
        <v>3907</v>
      </c>
      <c r="L2882" s="696">
        <v>4</v>
      </c>
      <c r="M2882" s="170"/>
    </row>
    <row r="2883" spans="2:13" x14ac:dyDescent="0.2">
      <c r="B2883" s="173"/>
      <c r="C2883" s="694">
        <v>1</v>
      </c>
      <c r="D2883" s="695" t="s">
        <v>3903</v>
      </c>
      <c r="E2883" s="695">
        <v>4</v>
      </c>
      <c r="F2883" s="695" t="s">
        <v>5967</v>
      </c>
      <c r="G2883" s="695">
        <v>1</v>
      </c>
      <c r="H2883" s="695" t="s">
        <v>5968</v>
      </c>
      <c r="I2883" s="695">
        <v>256</v>
      </c>
      <c r="J2883" s="695" t="s">
        <v>6212</v>
      </c>
      <c r="K2883" s="695" t="s">
        <v>3907</v>
      </c>
      <c r="L2883" s="696">
        <v>11</v>
      </c>
      <c r="M2883" s="170"/>
    </row>
    <row r="2884" spans="2:13" x14ac:dyDescent="0.2">
      <c r="B2884" s="173"/>
      <c r="C2884" s="694">
        <v>1</v>
      </c>
      <c r="D2884" s="695" t="s">
        <v>3903</v>
      </c>
      <c r="E2884" s="695">
        <v>4</v>
      </c>
      <c r="F2884" s="695" t="s">
        <v>5967</v>
      </c>
      <c r="G2884" s="695">
        <v>1</v>
      </c>
      <c r="H2884" s="695" t="s">
        <v>5968</v>
      </c>
      <c r="I2884" s="695">
        <v>257</v>
      </c>
      <c r="J2884" s="695" t="s">
        <v>6213</v>
      </c>
      <c r="K2884" s="695" t="s">
        <v>3907</v>
      </c>
      <c r="L2884" s="696">
        <v>30</v>
      </c>
      <c r="M2884" s="170"/>
    </row>
    <row r="2885" spans="2:13" x14ac:dyDescent="0.2">
      <c r="B2885" s="173"/>
      <c r="C2885" s="694">
        <v>1</v>
      </c>
      <c r="D2885" s="695" t="s">
        <v>3903</v>
      </c>
      <c r="E2885" s="695">
        <v>4</v>
      </c>
      <c r="F2885" s="695" t="s">
        <v>5967</v>
      </c>
      <c r="G2885" s="695">
        <v>1</v>
      </c>
      <c r="H2885" s="695" t="s">
        <v>5968</v>
      </c>
      <c r="I2885" s="695">
        <v>258</v>
      </c>
      <c r="J2885" s="695" t="s">
        <v>6214</v>
      </c>
      <c r="K2885" s="695" t="s">
        <v>3907</v>
      </c>
      <c r="L2885" s="696">
        <v>44</v>
      </c>
      <c r="M2885" s="170"/>
    </row>
    <row r="2886" spans="2:13" x14ac:dyDescent="0.2">
      <c r="B2886" s="173"/>
      <c r="C2886" s="694">
        <v>1</v>
      </c>
      <c r="D2886" s="695" t="s">
        <v>3903</v>
      </c>
      <c r="E2886" s="695">
        <v>4</v>
      </c>
      <c r="F2886" s="695" t="s">
        <v>5967</v>
      </c>
      <c r="G2886" s="695">
        <v>1</v>
      </c>
      <c r="H2886" s="695" t="s">
        <v>5968</v>
      </c>
      <c r="I2886" s="695">
        <v>259</v>
      </c>
      <c r="J2886" s="695" t="s">
        <v>6215</v>
      </c>
      <c r="K2886" s="695" t="s">
        <v>3907</v>
      </c>
      <c r="L2886" s="696">
        <v>79</v>
      </c>
      <c r="M2886" s="170"/>
    </row>
    <row r="2887" spans="2:13" x14ac:dyDescent="0.2">
      <c r="B2887" s="173"/>
      <c r="C2887" s="694">
        <v>1</v>
      </c>
      <c r="D2887" s="695" t="s">
        <v>3903</v>
      </c>
      <c r="E2887" s="695">
        <v>4</v>
      </c>
      <c r="F2887" s="695" t="s">
        <v>5967</v>
      </c>
      <c r="G2887" s="695">
        <v>1</v>
      </c>
      <c r="H2887" s="695" t="s">
        <v>5968</v>
      </c>
      <c r="I2887" s="695">
        <v>260</v>
      </c>
      <c r="J2887" s="695" t="s">
        <v>6216</v>
      </c>
      <c r="K2887" s="695" t="s">
        <v>3907</v>
      </c>
      <c r="L2887" s="696">
        <v>1</v>
      </c>
      <c r="M2887" s="170"/>
    </row>
    <row r="2888" spans="2:13" x14ac:dyDescent="0.2">
      <c r="B2888" s="173"/>
      <c r="C2888" s="694">
        <v>1</v>
      </c>
      <c r="D2888" s="695" t="s">
        <v>3903</v>
      </c>
      <c r="E2888" s="695">
        <v>4</v>
      </c>
      <c r="F2888" s="695" t="s">
        <v>5967</v>
      </c>
      <c r="G2888" s="695">
        <v>1</v>
      </c>
      <c r="H2888" s="695" t="s">
        <v>5968</v>
      </c>
      <c r="I2888" s="695">
        <v>261</v>
      </c>
      <c r="J2888" s="695" t="s">
        <v>6217</v>
      </c>
      <c r="K2888" s="695" t="s">
        <v>3907</v>
      </c>
      <c r="L2888" s="696">
        <v>2</v>
      </c>
      <c r="M2888" s="170"/>
    </row>
    <row r="2889" spans="2:13" x14ac:dyDescent="0.2">
      <c r="B2889" s="173"/>
      <c r="C2889" s="694">
        <v>1</v>
      </c>
      <c r="D2889" s="695" t="s">
        <v>3903</v>
      </c>
      <c r="E2889" s="695">
        <v>4</v>
      </c>
      <c r="F2889" s="695" t="s">
        <v>5967</v>
      </c>
      <c r="G2889" s="695">
        <v>1</v>
      </c>
      <c r="H2889" s="695" t="s">
        <v>5968</v>
      </c>
      <c r="I2889" s="695">
        <v>262</v>
      </c>
      <c r="J2889" s="695" t="s">
        <v>6218</v>
      </c>
      <c r="K2889" s="695" t="s">
        <v>3907</v>
      </c>
      <c r="L2889" s="696">
        <v>4</v>
      </c>
      <c r="M2889" s="170"/>
    </row>
    <row r="2890" spans="2:13" x14ac:dyDescent="0.2">
      <c r="B2890" s="173"/>
      <c r="C2890" s="694">
        <v>1</v>
      </c>
      <c r="D2890" s="695" t="s">
        <v>3903</v>
      </c>
      <c r="E2890" s="695">
        <v>4</v>
      </c>
      <c r="F2890" s="695" t="s">
        <v>5967</v>
      </c>
      <c r="G2890" s="695">
        <v>1</v>
      </c>
      <c r="H2890" s="695" t="s">
        <v>5968</v>
      </c>
      <c r="I2890" s="695">
        <v>263</v>
      </c>
      <c r="J2890" s="695" t="s">
        <v>6219</v>
      </c>
      <c r="K2890" s="695" t="s">
        <v>3907</v>
      </c>
      <c r="L2890" s="696">
        <v>1</v>
      </c>
      <c r="M2890" s="170"/>
    </row>
    <row r="2891" spans="2:13" x14ac:dyDescent="0.2">
      <c r="B2891" s="173"/>
      <c r="C2891" s="694">
        <v>1</v>
      </c>
      <c r="D2891" s="695" t="s">
        <v>3903</v>
      </c>
      <c r="E2891" s="695">
        <v>4</v>
      </c>
      <c r="F2891" s="695" t="s">
        <v>5967</v>
      </c>
      <c r="G2891" s="695">
        <v>1</v>
      </c>
      <c r="H2891" s="695" t="s">
        <v>5968</v>
      </c>
      <c r="I2891" s="695">
        <v>264</v>
      </c>
      <c r="J2891" s="695" t="s">
        <v>6220</v>
      </c>
      <c r="K2891" s="695" t="s">
        <v>3907</v>
      </c>
      <c r="L2891" s="696">
        <v>3</v>
      </c>
      <c r="M2891" s="170"/>
    </row>
    <row r="2892" spans="2:13" x14ac:dyDescent="0.2">
      <c r="B2892" s="173"/>
      <c r="C2892" s="694">
        <v>1</v>
      </c>
      <c r="D2892" s="695" t="s">
        <v>3903</v>
      </c>
      <c r="E2892" s="695">
        <v>4</v>
      </c>
      <c r="F2892" s="695" t="s">
        <v>5967</v>
      </c>
      <c r="G2892" s="695">
        <v>1</v>
      </c>
      <c r="H2892" s="695" t="s">
        <v>5968</v>
      </c>
      <c r="I2892" s="695">
        <v>265</v>
      </c>
      <c r="J2892" s="695" t="s">
        <v>6221</v>
      </c>
      <c r="K2892" s="695" t="s">
        <v>3907</v>
      </c>
      <c r="L2892" s="696">
        <v>9</v>
      </c>
      <c r="M2892" s="170"/>
    </row>
    <row r="2893" spans="2:13" x14ac:dyDescent="0.2">
      <c r="B2893" s="173"/>
      <c r="C2893" s="694">
        <v>1</v>
      </c>
      <c r="D2893" s="695" t="s">
        <v>3903</v>
      </c>
      <c r="E2893" s="695">
        <v>4</v>
      </c>
      <c r="F2893" s="695" t="s">
        <v>5967</v>
      </c>
      <c r="G2893" s="695">
        <v>1</v>
      </c>
      <c r="H2893" s="695" t="s">
        <v>5968</v>
      </c>
      <c r="I2893" s="695">
        <v>266</v>
      </c>
      <c r="J2893" s="695" t="s">
        <v>6222</v>
      </c>
      <c r="K2893" s="695" t="s">
        <v>3907</v>
      </c>
      <c r="L2893" s="696">
        <v>8</v>
      </c>
      <c r="M2893" s="170"/>
    </row>
    <row r="2894" spans="2:13" x14ac:dyDescent="0.2">
      <c r="B2894" s="173"/>
      <c r="C2894" s="694">
        <v>1</v>
      </c>
      <c r="D2894" s="695" t="s">
        <v>3903</v>
      </c>
      <c r="E2894" s="695">
        <v>4</v>
      </c>
      <c r="F2894" s="695" t="s">
        <v>5967</v>
      </c>
      <c r="G2894" s="695">
        <v>1</v>
      </c>
      <c r="H2894" s="695" t="s">
        <v>5968</v>
      </c>
      <c r="I2894" s="695">
        <v>267</v>
      </c>
      <c r="J2894" s="695" t="s">
        <v>6223</v>
      </c>
      <c r="K2894" s="695" t="s">
        <v>3907</v>
      </c>
      <c r="L2894" s="696">
        <v>2</v>
      </c>
      <c r="M2894" s="170"/>
    </row>
    <row r="2895" spans="2:13" x14ac:dyDescent="0.2">
      <c r="B2895" s="173"/>
      <c r="C2895" s="694">
        <v>1</v>
      </c>
      <c r="D2895" s="695" t="s">
        <v>3903</v>
      </c>
      <c r="E2895" s="695">
        <v>4</v>
      </c>
      <c r="F2895" s="695" t="s">
        <v>5967</v>
      </c>
      <c r="G2895" s="695">
        <v>1</v>
      </c>
      <c r="H2895" s="695" t="s">
        <v>5968</v>
      </c>
      <c r="I2895" s="695">
        <v>268</v>
      </c>
      <c r="J2895" s="695" t="s">
        <v>6224</v>
      </c>
      <c r="K2895" s="695" t="s">
        <v>3907</v>
      </c>
      <c r="L2895" s="696">
        <v>9</v>
      </c>
      <c r="M2895" s="170"/>
    </row>
    <row r="2896" spans="2:13" x14ac:dyDescent="0.2">
      <c r="B2896" s="173"/>
      <c r="C2896" s="694">
        <v>1</v>
      </c>
      <c r="D2896" s="695" t="s">
        <v>3903</v>
      </c>
      <c r="E2896" s="695">
        <v>4</v>
      </c>
      <c r="F2896" s="695" t="s">
        <v>5967</v>
      </c>
      <c r="G2896" s="695">
        <v>1</v>
      </c>
      <c r="H2896" s="695" t="s">
        <v>5968</v>
      </c>
      <c r="I2896" s="695">
        <v>269</v>
      </c>
      <c r="J2896" s="695" t="s">
        <v>6225</v>
      </c>
      <c r="K2896" s="695" t="s">
        <v>3907</v>
      </c>
      <c r="L2896" s="696">
        <v>3</v>
      </c>
      <c r="M2896" s="170"/>
    </row>
    <row r="2897" spans="2:13" x14ac:dyDescent="0.2">
      <c r="B2897" s="173"/>
      <c r="C2897" s="694">
        <v>1</v>
      </c>
      <c r="D2897" s="695" t="s">
        <v>3903</v>
      </c>
      <c r="E2897" s="695">
        <v>4</v>
      </c>
      <c r="F2897" s="695" t="s">
        <v>5967</v>
      </c>
      <c r="G2897" s="695">
        <v>1</v>
      </c>
      <c r="H2897" s="695" t="s">
        <v>5968</v>
      </c>
      <c r="I2897" s="695">
        <v>270</v>
      </c>
      <c r="J2897" s="695" t="s">
        <v>6226</v>
      </c>
      <c r="K2897" s="695" t="s">
        <v>3907</v>
      </c>
      <c r="L2897" s="696">
        <v>4</v>
      </c>
      <c r="M2897" s="170"/>
    </row>
    <row r="2898" spans="2:13" x14ac:dyDescent="0.2">
      <c r="B2898" s="173"/>
      <c r="C2898" s="694">
        <v>1</v>
      </c>
      <c r="D2898" s="695" t="s">
        <v>3903</v>
      </c>
      <c r="E2898" s="695">
        <v>4</v>
      </c>
      <c r="F2898" s="695" t="s">
        <v>5967</v>
      </c>
      <c r="G2898" s="695">
        <v>1</v>
      </c>
      <c r="H2898" s="695" t="s">
        <v>5968</v>
      </c>
      <c r="I2898" s="695">
        <v>271</v>
      </c>
      <c r="J2898" s="695" t="s">
        <v>6227</v>
      </c>
      <c r="K2898" s="695" t="s">
        <v>3907</v>
      </c>
      <c r="L2898" s="696">
        <v>1</v>
      </c>
      <c r="M2898" s="170"/>
    </row>
    <row r="2899" spans="2:13" x14ac:dyDescent="0.2">
      <c r="B2899" s="173"/>
      <c r="C2899" s="694">
        <v>1</v>
      </c>
      <c r="D2899" s="695" t="s">
        <v>3903</v>
      </c>
      <c r="E2899" s="695">
        <v>4</v>
      </c>
      <c r="F2899" s="695" t="s">
        <v>5967</v>
      </c>
      <c r="G2899" s="695">
        <v>1</v>
      </c>
      <c r="H2899" s="695" t="s">
        <v>5968</v>
      </c>
      <c r="I2899" s="695">
        <v>272</v>
      </c>
      <c r="J2899" s="695" t="s">
        <v>6228</v>
      </c>
      <c r="K2899" s="695" t="s">
        <v>3907</v>
      </c>
      <c r="L2899" s="696">
        <v>7</v>
      </c>
      <c r="M2899" s="170"/>
    </row>
    <row r="2900" spans="2:13" x14ac:dyDescent="0.2">
      <c r="B2900" s="173"/>
      <c r="C2900" s="694">
        <v>1</v>
      </c>
      <c r="D2900" s="695" t="s">
        <v>3903</v>
      </c>
      <c r="E2900" s="695">
        <v>4</v>
      </c>
      <c r="F2900" s="695" t="s">
        <v>5967</v>
      </c>
      <c r="G2900" s="695">
        <v>1</v>
      </c>
      <c r="H2900" s="695" t="s">
        <v>5968</v>
      </c>
      <c r="I2900" s="695">
        <v>273</v>
      </c>
      <c r="J2900" s="695" t="s">
        <v>6229</v>
      </c>
      <c r="K2900" s="695" t="s">
        <v>3907</v>
      </c>
      <c r="L2900" s="696">
        <v>1</v>
      </c>
      <c r="M2900" s="170"/>
    </row>
    <row r="2901" spans="2:13" x14ac:dyDescent="0.2">
      <c r="B2901" s="173"/>
      <c r="C2901" s="694">
        <v>1</v>
      </c>
      <c r="D2901" s="695" t="s">
        <v>3903</v>
      </c>
      <c r="E2901" s="695">
        <v>4</v>
      </c>
      <c r="F2901" s="695" t="s">
        <v>5967</v>
      </c>
      <c r="G2901" s="695">
        <v>1</v>
      </c>
      <c r="H2901" s="695" t="s">
        <v>5968</v>
      </c>
      <c r="I2901" s="695">
        <v>274</v>
      </c>
      <c r="J2901" s="695" t="s">
        <v>6230</v>
      </c>
      <c r="K2901" s="695" t="s">
        <v>3907</v>
      </c>
      <c r="L2901" s="696">
        <v>1</v>
      </c>
      <c r="M2901" s="170"/>
    </row>
    <row r="2902" spans="2:13" x14ac:dyDescent="0.2">
      <c r="B2902" s="173"/>
      <c r="C2902" s="694">
        <v>1</v>
      </c>
      <c r="D2902" s="695" t="s">
        <v>3903</v>
      </c>
      <c r="E2902" s="695">
        <v>4</v>
      </c>
      <c r="F2902" s="695" t="s">
        <v>5967</v>
      </c>
      <c r="G2902" s="695">
        <v>1</v>
      </c>
      <c r="H2902" s="695" t="s">
        <v>5968</v>
      </c>
      <c r="I2902" s="695">
        <v>275</v>
      </c>
      <c r="J2902" s="695" t="s">
        <v>6231</v>
      </c>
      <c r="K2902" s="695" t="s">
        <v>3907</v>
      </c>
      <c r="L2902" s="696">
        <v>3</v>
      </c>
      <c r="M2902" s="170"/>
    </row>
    <row r="2903" spans="2:13" x14ac:dyDescent="0.2">
      <c r="B2903" s="173"/>
      <c r="C2903" s="694">
        <v>1</v>
      </c>
      <c r="D2903" s="695" t="s">
        <v>3903</v>
      </c>
      <c r="E2903" s="695">
        <v>4</v>
      </c>
      <c r="F2903" s="695" t="s">
        <v>5967</v>
      </c>
      <c r="G2903" s="695">
        <v>1</v>
      </c>
      <c r="H2903" s="695" t="s">
        <v>5968</v>
      </c>
      <c r="I2903" s="695">
        <v>276</v>
      </c>
      <c r="J2903" s="695" t="s">
        <v>6232</v>
      </c>
      <c r="K2903" s="695" t="s">
        <v>3907</v>
      </c>
      <c r="L2903" s="696">
        <v>17</v>
      </c>
      <c r="M2903" s="170"/>
    </row>
    <row r="2904" spans="2:13" x14ac:dyDescent="0.2">
      <c r="B2904" s="173"/>
      <c r="C2904" s="694">
        <v>1</v>
      </c>
      <c r="D2904" s="695" t="s">
        <v>3903</v>
      </c>
      <c r="E2904" s="695">
        <v>4</v>
      </c>
      <c r="F2904" s="695" t="s">
        <v>5967</v>
      </c>
      <c r="G2904" s="695">
        <v>1</v>
      </c>
      <c r="H2904" s="695" t="s">
        <v>5968</v>
      </c>
      <c r="I2904" s="695">
        <v>277</v>
      </c>
      <c r="J2904" s="695" t="s">
        <v>6233</v>
      </c>
      <c r="K2904" s="695" t="s">
        <v>3907</v>
      </c>
      <c r="L2904" s="696">
        <v>3</v>
      </c>
      <c r="M2904" s="170"/>
    </row>
    <row r="2905" spans="2:13" x14ac:dyDescent="0.2">
      <c r="B2905" s="173"/>
      <c r="C2905" s="694">
        <v>1</v>
      </c>
      <c r="D2905" s="695" t="s">
        <v>3903</v>
      </c>
      <c r="E2905" s="695">
        <v>4</v>
      </c>
      <c r="F2905" s="695" t="s">
        <v>5967</v>
      </c>
      <c r="G2905" s="695">
        <v>1</v>
      </c>
      <c r="H2905" s="695" t="s">
        <v>5968</v>
      </c>
      <c r="I2905" s="695">
        <v>278</v>
      </c>
      <c r="J2905" s="695" t="s">
        <v>6234</v>
      </c>
      <c r="K2905" s="695" t="s">
        <v>3907</v>
      </c>
      <c r="L2905" s="696">
        <v>4</v>
      </c>
      <c r="M2905" s="170"/>
    </row>
    <row r="2906" spans="2:13" x14ac:dyDescent="0.2">
      <c r="B2906" s="173"/>
      <c r="C2906" s="694">
        <v>1</v>
      </c>
      <c r="D2906" s="695" t="s">
        <v>3903</v>
      </c>
      <c r="E2906" s="695">
        <v>4</v>
      </c>
      <c r="F2906" s="695" t="s">
        <v>5967</v>
      </c>
      <c r="G2906" s="695">
        <v>1</v>
      </c>
      <c r="H2906" s="695" t="s">
        <v>5968</v>
      </c>
      <c r="I2906" s="695">
        <v>279</v>
      </c>
      <c r="J2906" s="695" t="s">
        <v>6235</v>
      </c>
      <c r="K2906" s="695" t="s">
        <v>3907</v>
      </c>
      <c r="L2906" s="696">
        <v>1</v>
      </c>
      <c r="M2906" s="170"/>
    </row>
    <row r="2907" spans="2:13" x14ac:dyDescent="0.2">
      <c r="B2907" s="173"/>
      <c r="C2907" s="694">
        <v>1</v>
      </c>
      <c r="D2907" s="695" t="s">
        <v>3903</v>
      </c>
      <c r="E2907" s="695">
        <v>4</v>
      </c>
      <c r="F2907" s="695" t="s">
        <v>5967</v>
      </c>
      <c r="G2907" s="695">
        <v>1</v>
      </c>
      <c r="H2907" s="695" t="s">
        <v>5968</v>
      </c>
      <c r="I2907" s="695">
        <v>280</v>
      </c>
      <c r="J2907" s="695" t="s">
        <v>6236</v>
      </c>
      <c r="K2907" s="695" t="s">
        <v>3907</v>
      </c>
      <c r="L2907" s="696">
        <v>2</v>
      </c>
      <c r="M2907" s="170"/>
    </row>
    <row r="2908" spans="2:13" x14ac:dyDescent="0.2">
      <c r="B2908" s="173"/>
      <c r="C2908" s="694">
        <v>1</v>
      </c>
      <c r="D2908" s="695" t="s">
        <v>3903</v>
      </c>
      <c r="E2908" s="695">
        <v>4</v>
      </c>
      <c r="F2908" s="695" t="s">
        <v>5967</v>
      </c>
      <c r="G2908" s="695">
        <v>1</v>
      </c>
      <c r="H2908" s="695" t="s">
        <v>5968</v>
      </c>
      <c r="I2908" s="695">
        <v>281</v>
      </c>
      <c r="J2908" s="695" t="s">
        <v>6237</v>
      </c>
      <c r="K2908" s="695" t="s">
        <v>3907</v>
      </c>
      <c r="L2908" s="696">
        <v>2</v>
      </c>
      <c r="M2908" s="170"/>
    </row>
    <row r="2909" spans="2:13" x14ac:dyDescent="0.2">
      <c r="B2909" s="173"/>
      <c r="C2909" s="694">
        <v>1</v>
      </c>
      <c r="D2909" s="695" t="s">
        <v>3903</v>
      </c>
      <c r="E2909" s="695">
        <v>4</v>
      </c>
      <c r="F2909" s="695" t="s">
        <v>5967</v>
      </c>
      <c r="G2909" s="695">
        <v>1</v>
      </c>
      <c r="H2909" s="695" t="s">
        <v>5968</v>
      </c>
      <c r="I2909" s="695">
        <v>282</v>
      </c>
      <c r="J2909" s="695" t="s">
        <v>6238</v>
      </c>
      <c r="K2909" s="695" t="s">
        <v>3907</v>
      </c>
      <c r="L2909" s="696">
        <v>0</v>
      </c>
      <c r="M2909" s="170"/>
    </row>
    <row r="2910" spans="2:13" x14ac:dyDescent="0.2">
      <c r="B2910" s="173"/>
      <c r="C2910" s="694">
        <v>1</v>
      </c>
      <c r="D2910" s="695" t="s">
        <v>3903</v>
      </c>
      <c r="E2910" s="695">
        <v>4</v>
      </c>
      <c r="F2910" s="695" t="s">
        <v>5967</v>
      </c>
      <c r="G2910" s="695">
        <v>1</v>
      </c>
      <c r="H2910" s="695" t="s">
        <v>5968</v>
      </c>
      <c r="I2910" s="695">
        <v>283</v>
      </c>
      <c r="J2910" s="695" t="s">
        <v>6239</v>
      </c>
      <c r="K2910" s="695" t="s">
        <v>3907</v>
      </c>
      <c r="L2910" s="696">
        <v>2</v>
      </c>
      <c r="M2910" s="170"/>
    </row>
    <row r="2911" spans="2:13" x14ac:dyDescent="0.2">
      <c r="B2911" s="173"/>
      <c r="C2911" s="694">
        <v>1</v>
      </c>
      <c r="D2911" s="695" t="s">
        <v>3903</v>
      </c>
      <c r="E2911" s="695">
        <v>4</v>
      </c>
      <c r="F2911" s="695" t="s">
        <v>5967</v>
      </c>
      <c r="G2911" s="695">
        <v>1</v>
      </c>
      <c r="H2911" s="695" t="s">
        <v>5968</v>
      </c>
      <c r="I2911" s="695">
        <v>284</v>
      </c>
      <c r="J2911" s="695" t="s">
        <v>6240</v>
      </c>
      <c r="K2911" s="695" t="s">
        <v>3907</v>
      </c>
      <c r="L2911" s="696">
        <v>2</v>
      </c>
      <c r="M2911" s="170"/>
    </row>
    <row r="2912" spans="2:13" x14ac:dyDescent="0.2">
      <c r="B2912" s="173"/>
      <c r="C2912" s="694">
        <v>1</v>
      </c>
      <c r="D2912" s="695" t="s">
        <v>3903</v>
      </c>
      <c r="E2912" s="695">
        <v>4</v>
      </c>
      <c r="F2912" s="695" t="s">
        <v>5967</v>
      </c>
      <c r="G2912" s="695">
        <v>1</v>
      </c>
      <c r="H2912" s="695" t="s">
        <v>5968</v>
      </c>
      <c r="I2912" s="695">
        <v>285</v>
      </c>
      <c r="J2912" s="695" t="s">
        <v>6241</v>
      </c>
      <c r="K2912" s="695" t="s">
        <v>3907</v>
      </c>
      <c r="L2912" s="696">
        <v>1</v>
      </c>
      <c r="M2912" s="170"/>
    </row>
    <row r="2913" spans="2:13" x14ac:dyDescent="0.2">
      <c r="B2913" s="173"/>
      <c r="C2913" s="694">
        <v>1</v>
      </c>
      <c r="D2913" s="695" t="s">
        <v>3903</v>
      </c>
      <c r="E2913" s="695">
        <v>4</v>
      </c>
      <c r="F2913" s="695" t="s">
        <v>5967</v>
      </c>
      <c r="G2913" s="695">
        <v>1</v>
      </c>
      <c r="H2913" s="695" t="s">
        <v>5968</v>
      </c>
      <c r="I2913" s="695">
        <v>286</v>
      </c>
      <c r="J2913" s="695" t="s">
        <v>6242</v>
      </c>
      <c r="K2913" s="695" t="s">
        <v>3907</v>
      </c>
      <c r="L2913" s="696">
        <v>2</v>
      </c>
      <c r="M2913" s="170"/>
    </row>
    <row r="2914" spans="2:13" x14ac:dyDescent="0.2">
      <c r="B2914" s="173"/>
      <c r="C2914" s="694">
        <v>1</v>
      </c>
      <c r="D2914" s="695" t="s">
        <v>3903</v>
      </c>
      <c r="E2914" s="695">
        <v>4</v>
      </c>
      <c r="F2914" s="695" t="s">
        <v>5967</v>
      </c>
      <c r="G2914" s="695">
        <v>1</v>
      </c>
      <c r="H2914" s="695" t="s">
        <v>5968</v>
      </c>
      <c r="I2914" s="695">
        <v>287</v>
      </c>
      <c r="J2914" s="695" t="s">
        <v>6243</v>
      </c>
      <c r="K2914" s="695" t="s">
        <v>3907</v>
      </c>
      <c r="L2914" s="696">
        <v>1</v>
      </c>
      <c r="M2914" s="170"/>
    </row>
    <row r="2915" spans="2:13" x14ac:dyDescent="0.2">
      <c r="B2915" s="173"/>
      <c r="C2915" s="694">
        <v>1</v>
      </c>
      <c r="D2915" s="695" t="s">
        <v>3903</v>
      </c>
      <c r="E2915" s="695">
        <v>4</v>
      </c>
      <c r="F2915" s="695" t="s">
        <v>5967</v>
      </c>
      <c r="G2915" s="695">
        <v>1</v>
      </c>
      <c r="H2915" s="695" t="s">
        <v>5968</v>
      </c>
      <c r="I2915" s="695">
        <v>288</v>
      </c>
      <c r="J2915" s="695" t="s">
        <v>6244</v>
      </c>
      <c r="K2915" s="695" t="s">
        <v>3907</v>
      </c>
      <c r="L2915" s="696">
        <v>0</v>
      </c>
      <c r="M2915" s="170"/>
    </row>
    <row r="2916" spans="2:13" x14ac:dyDescent="0.2">
      <c r="B2916" s="173"/>
      <c r="C2916" s="694">
        <v>1</v>
      </c>
      <c r="D2916" s="695" t="s">
        <v>3903</v>
      </c>
      <c r="E2916" s="695">
        <v>4</v>
      </c>
      <c r="F2916" s="695" t="s">
        <v>5967</v>
      </c>
      <c r="G2916" s="695">
        <v>1</v>
      </c>
      <c r="H2916" s="695" t="s">
        <v>5968</v>
      </c>
      <c r="I2916" s="695">
        <v>289</v>
      </c>
      <c r="J2916" s="695" t="s">
        <v>6245</v>
      </c>
      <c r="K2916" s="695" t="s">
        <v>3907</v>
      </c>
      <c r="L2916" s="696">
        <v>14</v>
      </c>
      <c r="M2916" s="170"/>
    </row>
    <row r="2917" spans="2:13" x14ac:dyDescent="0.2">
      <c r="B2917" s="173"/>
      <c r="C2917" s="694">
        <v>1</v>
      </c>
      <c r="D2917" s="695" t="s">
        <v>3903</v>
      </c>
      <c r="E2917" s="695">
        <v>4</v>
      </c>
      <c r="F2917" s="695" t="s">
        <v>5967</v>
      </c>
      <c r="G2917" s="695">
        <v>1</v>
      </c>
      <c r="H2917" s="695" t="s">
        <v>5968</v>
      </c>
      <c r="I2917" s="695">
        <v>290</v>
      </c>
      <c r="J2917" s="695" t="s">
        <v>6246</v>
      </c>
      <c r="K2917" s="695" t="s">
        <v>3907</v>
      </c>
      <c r="L2917" s="696">
        <v>2</v>
      </c>
      <c r="M2917" s="170"/>
    </row>
    <row r="2918" spans="2:13" x14ac:dyDescent="0.2">
      <c r="B2918" s="173"/>
      <c r="C2918" s="694">
        <v>1</v>
      </c>
      <c r="D2918" s="695" t="s">
        <v>3903</v>
      </c>
      <c r="E2918" s="695">
        <v>4</v>
      </c>
      <c r="F2918" s="695" t="s">
        <v>5967</v>
      </c>
      <c r="G2918" s="695">
        <v>1</v>
      </c>
      <c r="H2918" s="695" t="s">
        <v>5968</v>
      </c>
      <c r="I2918" s="695">
        <v>291</v>
      </c>
      <c r="J2918" s="695" t="s">
        <v>6247</v>
      </c>
      <c r="K2918" s="695" t="s">
        <v>3907</v>
      </c>
      <c r="L2918" s="696">
        <v>3</v>
      </c>
      <c r="M2918" s="170"/>
    </row>
    <row r="2919" spans="2:13" x14ac:dyDescent="0.2">
      <c r="B2919" s="173"/>
      <c r="C2919" s="694">
        <v>1</v>
      </c>
      <c r="D2919" s="695" t="s">
        <v>3903</v>
      </c>
      <c r="E2919" s="695">
        <v>4</v>
      </c>
      <c r="F2919" s="695" t="s">
        <v>5967</v>
      </c>
      <c r="G2919" s="695">
        <v>1</v>
      </c>
      <c r="H2919" s="695" t="s">
        <v>5968</v>
      </c>
      <c r="I2919" s="695">
        <v>292</v>
      </c>
      <c r="J2919" s="695" t="s">
        <v>6248</v>
      </c>
      <c r="K2919" s="695" t="s">
        <v>3907</v>
      </c>
      <c r="L2919" s="696">
        <v>4</v>
      </c>
      <c r="M2919" s="170"/>
    </row>
    <row r="2920" spans="2:13" x14ac:dyDescent="0.2">
      <c r="B2920" s="173"/>
      <c r="C2920" s="694">
        <v>1</v>
      </c>
      <c r="D2920" s="695" t="s">
        <v>3903</v>
      </c>
      <c r="E2920" s="695">
        <v>4</v>
      </c>
      <c r="F2920" s="695" t="s">
        <v>5967</v>
      </c>
      <c r="G2920" s="695">
        <v>1</v>
      </c>
      <c r="H2920" s="695" t="s">
        <v>5968</v>
      </c>
      <c r="I2920" s="695">
        <v>293</v>
      </c>
      <c r="J2920" s="695" t="s">
        <v>6249</v>
      </c>
      <c r="K2920" s="695" t="s">
        <v>3907</v>
      </c>
      <c r="L2920" s="696">
        <v>1</v>
      </c>
      <c r="M2920" s="170"/>
    </row>
    <row r="2921" spans="2:13" x14ac:dyDescent="0.2">
      <c r="B2921" s="173"/>
      <c r="C2921" s="694">
        <v>1</v>
      </c>
      <c r="D2921" s="695" t="s">
        <v>3903</v>
      </c>
      <c r="E2921" s="695">
        <v>4</v>
      </c>
      <c r="F2921" s="695" t="s">
        <v>5967</v>
      </c>
      <c r="G2921" s="695">
        <v>1</v>
      </c>
      <c r="H2921" s="695" t="s">
        <v>5968</v>
      </c>
      <c r="I2921" s="695">
        <v>294</v>
      </c>
      <c r="J2921" s="695" t="s">
        <v>6250</v>
      </c>
      <c r="K2921" s="695" t="s">
        <v>3907</v>
      </c>
      <c r="L2921" s="696">
        <v>1</v>
      </c>
      <c r="M2921" s="170"/>
    </row>
    <row r="2922" spans="2:13" x14ac:dyDescent="0.2">
      <c r="B2922" s="173"/>
      <c r="C2922" s="694">
        <v>1</v>
      </c>
      <c r="D2922" s="695" t="s">
        <v>3903</v>
      </c>
      <c r="E2922" s="695">
        <v>4</v>
      </c>
      <c r="F2922" s="695" t="s">
        <v>5967</v>
      </c>
      <c r="G2922" s="695">
        <v>1</v>
      </c>
      <c r="H2922" s="695" t="s">
        <v>5968</v>
      </c>
      <c r="I2922" s="695">
        <v>295</v>
      </c>
      <c r="J2922" s="695" t="s">
        <v>6251</v>
      </c>
      <c r="K2922" s="695" t="s">
        <v>3907</v>
      </c>
      <c r="L2922" s="696">
        <v>2</v>
      </c>
      <c r="M2922" s="170"/>
    </row>
    <row r="2923" spans="2:13" x14ac:dyDescent="0.2">
      <c r="B2923" s="173"/>
      <c r="C2923" s="694">
        <v>1</v>
      </c>
      <c r="D2923" s="695" t="s">
        <v>3903</v>
      </c>
      <c r="E2923" s="695">
        <v>4</v>
      </c>
      <c r="F2923" s="695" t="s">
        <v>5967</v>
      </c>
      <c r="G2923" s="695">
        <v>1</v>
      </c>
      <c r="H2923" s="695" t="s">
        <v>5968</v>
      </c>
      <c r="I2923" s="695">
        <v>296</v>
      </c>
      <c r="J2923" s="695" t="s">
        <v>6252</v>
      </c>
      <c r="K2923" s="695" t="s">
        <v>3907</v>
      </c>
      <c r="L2923" s="696">
        <v>1</v>
      </c>
      <c r="M2923" s="170"/>
    </row>
    <row r="2924" spans="2:13" x14ac:dyDescent="0.2">
      <c r="B2924" s="173"/>
      <c r="C2924" s="694">
        <v>1</v>
      </c>
      <c r="D2924" s="695" t="s">
        <v>3903</v>
      </c>
      <c r="E2924" s="695">
        <v>4</v>
      </c>
      <c r="F2924" s="695" t="s">
        <v>5967</v>
      </c>
      <c r="G2924" s="695">
        <v>1</v>
      </c>
      <c r="H2924" s="695" t="s">
        <v>5968</v>
      </c>
      <c r="I2924" s="695">
        <v>297</v>
      </c>
      <c r="J2924" s="695" t="s">
        <v>6253</v>
      </c>
      <c r="K2924" s="695" t="s">
        <v>3907</v>
      </c>
      <c r="L2924" s="696">
        <v>3</v>
      </c>
      <c r="M2924" s="170"/>
    </row>
    <row r="2925" spans="2:13" x14ac:dyDescent="0.2">
      <c r="B2925" s="173"/>
      <c r="C2925" s="694">
        <v>1</v>
      </c>
      <c r="D2925" s="695" t="s">
        <v>3903</v>
      </c>
      <c r="E2925" s="695">
        <v>4</v>
      </c>
      <c r="F2925" s="695" t="s">
        <v>5967</v>
      </c>
      <c r="G2925" s="695">
        <v>1</v>
      </c>
      <c r="H2925" s="695" t="s">
        <v>5968</v>
      </c>
      <c r="I2925" s="695">
        <v>298</v>
      </c>
      <c r="J2925" s="695" t="s">
        <v>6254</v>
      </c>
      <c r="K2925" s="695" t="s">
        <v>3907</v>
      </c>
      <c r="L2925" s="696">
        <v>4</v>
      </c>
      <c r="M2925" s="170"/>
    </row>
    <row r="2926" spans="2:13" x14ac:dyDescent="0.2">
      <c r="B2926" s="173"/>
      <c r="C2926" s="694">
        <v>1</v>
      </c>
      <c r="D2926" s="695" t="s">
        <v>3903</v>
      </c>
      <c r="E2926" s="695">
        <v>4</v>
      </c>
      <c r="F2926" s="695" t="s">
        <v>5967</v>
      </c>
      <c r="G2926" s="695">
        <v>1</v>
      </c>
      <c r="H2926" s="695" t="s">
        <v>5968</v>
      </c>
      <c r="I2926" s="695">
        <v>299</v>
      </c>
      <c r="J2926" s="695" t="s">
        <v>6255</v>
      </c>
      <c r="K2926" s="695" t="s">
        <v>3907</v>
      </c>
      <c r="L2926" s="696">
        <v>1</v>
      </c>
      <c r="M2926" s="170"/>
    </row>
    <row r="2927" spans="2:13" x14ac:dyDescent="0.2">
      <c r="B2927" s="173"/>
      <c r="C2927" s="694">
        <v>1</v>
      </c>
      <c r="D2927" s="695" t="s">
        <v>3903</v>
      </c>
      <c r="E2927" s="695">
        <v>4</v>
      </c>
      <c r="F2927" s="695" t="s">
        <v>5967</v>
      </c>
      <c r="G2927" s="695">
        <v>1</v>
      </c>
      <c r="H2927" s="695" t="s">
        <v>5968</v>
      </c>
      <c r="I2927" s="695">
        <v>300</v>
      </c>
      <c r="J2927" s="695" t="s">
        <v>6256</v>
      </c>
      <c r="K2927" s="695" t="s">
        <v>3907</v>
      </c>
      <c r="L2927" s="696">
        <v>1</v>
      </c>
      <c r="M2927" s="170"/>
    </row>
    <row r="2928" spans="2:13" x14ac:dyDescent="0.2">
      <c r="B2928" s="173"/>
      <c r="C2928" s="694">
        <v>1</v>
      </c>
      <c r="D2928" s="695" t="s">
        <v>3903</v>
      </c>
      <c r="E2928" s="695">
        <v>4</v>
      </c>
      <c r="F2928" s="695" t="s">
        <v>5967</v>
      </c>
      <c r="G2928" s="695">
        <v>1</v>
      </c>
      <c r="H2928" s="695" t="s">
        <v>5968</v>
      </c>
      <c r="I2928" s="695">
        <v>301</v>
      </c>
      <c r="J2928" s="695" t="s">
        <v>6257</v>
      </c>
      <c r="K2928" s="695" t="s">
        <v>3907</v>
      </c>
      <c r="L2928" s="696">
        <v>1</v>
      </c>
      <c r="M2928" s="170"/>
    </row>
    <row r="2929" spans="2:13" x14ac:dyDescent="0.2">
      <c r="B2929" s="173"/>
      <c r="C2929" s="694">
        <v>1</v>
      </c>
      <c r="D2929" s="695" t="s">
        <v>3903</v>
      </c>
      <c r="E2929" s="695">
        <v>4</v>
      </c>
      <c r="F2929" s="695" t="s">
        <v>5967</v>
      </c>
      <c r="G2929" s="695">
        <v>1</v>
      </c>
      <c r="H2929" s="695" t="s">
        <v>5968</v>
      </c>
      <c r="I2929" s="695">
        <v>302</v>
      </c>
      <c r="J2929" s="695" t="s">
        <v>6258</v>
      </c>
      <c r="K2929" s="695" t="s">
        <v>3907</v>
      </c>
      <c r="L2929" s="696">
        <v>2</v>
      </c>
      <c r="M2929" s="170"/>
    </row>
    <row r="2930" spans="2:13" x14ac:dyDescent="0.2">
      <c r="B2930" s="173"/>
      <c r="C2930" s="694">
        <v>1</v>
      </c>
      <c r="D2930" s="695" t="s">
        <v>3903</v>
      </c>
      <c r="E2930" s="695">
        <v>4</v>
      </c>
      <c r="F2930" s="695" t="s">
        <v>5967</v>
      </c>
      <c r="G2930" s="695">
        <v>1</v>
      </c>
      <c r="H2930" s="695" t="s">
        <v>5968</v>
      </c>
      <c r="I2930" s="695">
        <v>303</v>
      </c>
      <c r="J2930" s="695" t="s">
        <v>6259</v>
      </c>
      <c r="K2930" s="695" t="s">
        <v>3907</v>
      </c>
      <c r="L2930" s="696">
        <v>2</v>
      </c>
      <c r="M2930" s="170"/>
    </row>
    <row r="2931" spans="2:13" x14ac:dyDescent="0.2">
      <c r="B2931" s="173"/>
      <c r="C2931" s="694">
        <v>1</v>
      </c>
      <c r="D2931" s="695" t="s">
        <v>3903</v>
      </c>
      <c r="E2931" s="695">
        <v>4</v>
      </c>
      <c r="F2931" s="695" t="s">
        <v>5967</v>
      </c>
      <c r="G2931" s="695">
        <v>1</v>
      </c>
      <c r="H2931" s="695" t="s">
        <v>5968</v>
      </c>
      <c r="I2931" s="695">
        <v>304</v>
      </c>
      <c r="J2931" s="695" t="s">
        <v>6260</v>
      </c>
      <c r="K2931" s="695" t="s">
        <v>3907</v>
      </c>
      <c r="L2931" s="696">
        <v>1</v>
      </c>
      <c r="M2931" s="170"/>
    </row>
    <row r="2932" spans="2:13" x14ac:dyDescent="0.2">
      <c r="B2932" s="173"/>
      <c r="C2932" s="694">
        <v>1</v>
      </c>
      <c r="D2932" s="695" t="s">
        <v>3903</v>
      </c>
      <c r="E2932" s="695">
        <v>4</v>
      </c>
      <c r="F2932" s="695" t="s">
        <v>5967</v>
      </c>
      <c r="G2932" s="695">
        <v>1</v>
      </c>
      <c r="H2932" s="695" t="s">
        <v>5968</v>
      </c>
      <c r="I2932" s="695">
        <v>305</v>
      </c>
      <c r="J2932" s="695" t="s">
        <v>6261</v>
      </c>
      <c r="K2932" s="695" t="s">
        <v>3907</v>
      </c>
      <c r="L2932" s="696">
        <v>1</v>
      </c>
      <c r="M2932" s="170"/>
    </row>
    <row r="2933" spans="2:13" x14ac:dyDescent="0.2">
      <c r="B2933" s="173"/>
      <c r="C2933" s="694">
        <v>1</v>
      </c>
      <c r="D2933" s="695" t="s">
        <v>3903</v>
      </c>
      <c r="E2933" s="695">
        <v>4</v>
      </c>
      <c r="F2933" s="695" t="s">
        <v>5967</v>
      </c>
      <c r="G2933" s="695">
        <v>1</v>
      </c>
      <c r="H2933" s="695" t="s">
        <v>5968</v>
      </c>
      <c r="I2933" s="695">
        <v>306</v>
      </c>
      <c r="J2933" s="695" t="s">
        <v>6262</v>
      </c>
      <c r="K2933" s="695" t="s">
        <v>3907</v>
      </c>
      <c r="L2933" s="696">
        <v>2</v>
      </c>
      <c r="M2933" s="170"/>
    </row>
    <row r="2934" spans="2:13" x14ac:dyDescent="0.2">
      <c r="B2934" s="173"/>
      <c r="C2934" s="694">
        <v>1</v>
      </c>
      <c r="D2934" s="695" t="s">
        <v>3903</v>
      </c>
      <c r="E2934" s="695">
        <v>4</v>
      </c>
      <c r="F2934" s="695" t="s">
        <v>5967</v>
      </c>
      <c r="G2934" s="695">
        <v>1</v>
      </c>
      <c r="H2934" s="695" t="s">
        <v>5968</v>
      </c>
      <c r="I2934" s="695">
        <v>307</v>
      </c>
      <c r="J2934" s="695" t="s">
        <v>6263</v>
      </c>
      <c r="K2934" s="695" t="s">
        <v>3907</v>
      </c>
      <c r="L2934" s="696">
        <v>3</v>
      </c>
      <c r="M2934" s="170"/>
    </row>
    <row r="2935" spans="2:13" x14ac:dyDescent="0.2">
      <c r="B2935" s="173"/>
      <c r="C2935" s="694">
        <v>1</v>
      </c>
      <c r="D2935" s="695" t="s">
        <v>3903</v>
      </c>
      <c r="E2935" s="695">
        <v>4</v>
      </c>
      <c r="F2935" s="695" t="s">
        <v>5967</v>
      </c>
      <c r="G2935" s="695">
        <v>1</v>
      </c>
      <c r="H2935" s="695" t="s">
        <v>5968</v>
      </c>
      <c r="I2935" s="695">
        <v>308</v>
      </c>
      <c r="J2935" s="695" t="s">
        <v>6264</v>
      </c>
      <c r="K2935" s="695" t="s">
        <v>3907</v>
      </c>
      <c r="L2935" s="696">
        <v>2</v>
      </c>
      <c r="M2935" s="170"/>
    </row>
    <row r="2936" spans="2:13" x14ac:dyDescent="0.2">
      <c r="B2936" s="173"/>
      <c r="C2936" s="694">
        <v>1</v>
      </c>
      <c r="D2936" s="695" t="s">
        <v>3903</v>
      </c>
      <c r="E2936" s="695">
        <v>4</v>
      </c>
      <c r="F2936" s="695" t="s">
        <v>5967</v>
      </c>
      <c r="G2936" s="695">
        <v>1</v>
      </c>
      <c r="H2936" s="695" t="s">
        <v>5968</v>
      </c>
      <c r="I2936" s="695">
        <v>309</v>
      </c>
      <c r="J2936" s="695" t="s">
        <v>6265</v>
      </c>
      <c r="K2936" s="695" t="s">
        <v>3907</v>
      </c>
      <c r="L2936" s="696">
        <v>4</v>
      </c>
      <c r="M2936" s="170"/>
    </row>
    <row r="2937" spans="2:13" x14ac:dyDescent="0.2">
      <c r="B2937" s="173"/>
      <c r="C2937" s="694">
        <v>1</v>
      </c>
      <c r="D2937" s="695" t="s">
        <v>3903</v>
      </c>
      <c r="E2937" s="695">
        <v>4</v>
      </c>
      <c r="F2937" s="695" t="s">
        <v>5967</v>
      </c>
      <c r="G2937" s="695">
        <v>1</v>
      </c>
      <c r="H2937" s="695" t="s">
        <v>5968</v>
      </c>
      <c r="I2937" s="695">
        <v>310</v>
      </c>
      <c r="J2937" s="695" t="s">
        <v>6266</v>
      </c>
      <c r="K2937" s="695" t="s">
        <v>3907</v>
      </c>
      <c r="L2937" s="696">
        <v>1</v>
      </c>
      <c r="M2937" s="170"/>
    </row>
    <row r="2938" spans="2:13" x14ac:dyDescent="0.2">
      <c r="B2938" s="173"/>
      <c r="C2938" s="694">
        <v>1</v>
      </c>
      <c r="D2938" s="695" t="s">
        <v>3903</v>
      </c>
      <c r="E2938" s="695">
        <v>4</v>
      </c>
      <c r="F2938" s="695" t="s">
        <v>5967</v>
      </c>
      <c r="G2938" s="695">
        <v>1</v>
      </c>
      <c r="H2938" s="695" t="s">
        <v>5968</v>
      </c>
      <c r="I2938" s="695">
        <v>311</v>
      </c>
      <c r="J2938" s="695" t="s">
        <v>6267</v>
      </c>
      <c r="K2938" s="695" t="s">
        <v>3907</v>
      </c>
      <c r="L2938" s="696">
        <v>0</v>
      </c>
      <c r="M2938" s="170"/>
    </row>
    <row r="2939" spans="2:13" x14ac:dyDescent="0.2">
      <c r="B2939" s="173"/>
      <c r="C2939" s="694">
        <v>1</v>
      </c>
      <c r="D2939" s="695" t="s">
        <v>3903</v>
      </c>
      <c r="E2939" s="695">
        <v>4</v>
      </c>
      <c r="F2939" s="695" t="s">
        <v>5967</v>
      </c>
      <c r="G2939" s="695">
        <v>1</v>
      </c>
      <c r="H2939" s="695" t="s">
        <v>5968</v>
      </c>
      <c r="I2939" s="695">
        <v>312</v>
      </c>
      <c r="J2939" s="695" t="s">
        <v>6268</v>
      </c>
      <c r="K2939" s="695" t="s">
        <v>3907</v>
      </c>
      <c r="L2939" s="696">
        <v>1</v>
      </c>
      <c r="M2939" s="170"/>
    </row>
    <row r="2940" spans="2:13" x14ac:dyDescent="0.2">
      <c r="B2940" s="173"/>
      <c r="C2940" s="694">
        <v>1</v>
      </c>
      <c r="D2940" s="695" t="s">
        <v>3903</v>
      </c>
      <c r="E2940" s="695">
        <v>4</v>
      </c>
      <c r="F2940" s="695" t="s">
        <v>5967</v>
      </c>
      <c r="G2940" s="695">
        <v>1</v>
      </c>
      <c r="H2940" s="695" t="s">
        <v>5968</v>
      </c>
      <c r="I2940" s="695">
        <v>313</v>
      </c>
      <c r="J2940" s="695" t="s">
        <v>6269</v>
      </c>
      <c r="K2940" s="695" t="s">
        <v>3907</v>
      </c>
      <c r="L2940" s="696">
        <v>2</v>
      </c>
      <c r="M2940" s="170"/>
    </row>
    <row r="2941" spans="2:13" x14ac:dyDescent="0.2">
      <c r="B2941" s="173"/>
      <c r="C2941" s="694">
        <v>1</v>
      </c>
      <c r="D2941" s="695" t="s">
        <v>3903</v>
      </c>
      <c r="E2941" s="695">
        <v>4</v>
      </c>
      <c r="F2941" s="695" t="s">
        <v>5967</v>
      </c>
      <c r="G2941" s="695">
        <v>1</v>
      </c>
      <c r="H2941" s="695" t="s">
        <v>5968</v>
      </c>
      <c r="I2941" s="695">
        <v>314</v>
      </c>
      <c r="J2941" s="695" t="s">
        <v>6270</v>
      </c>
      <c r="K2941" s="695" t="s">
        <v>3907</v>
      </c>
      <c r="L2941" s="696">
        <v>1</v>
      </c>
      <c r="M2941" s="170"/>
    </row>
    <row r="2942" spans="2:13" x14ac:dyDescent="0.2">
      <c r="B2942" s="173"/>
      <c r="C2942" s="694">
        <v>1</v>
      </c>
      <c r="D2942" s="695" t="s">
        <v>3903</v>
      </c>
      <c r="E2942" s="695">
        <v>4</v>
      </c>
      <c r="F2942" s="695" t="s">
        <v>5967</v>
      </c>
      <c r="G2942" s="695">
        <v>1</v>
      </c>
      <c r="H2942" s="695" t="s">
        <v>5968</v>
      </c>
      <c r="I2942" s="695">
        <v>315</v>
      </c>
      <c r="J2942" s="695" t="s">
        <v>6271</v>
      </c>
      <c r="K2942" s="695" t="s">
        <v>3907</v>
      </c>
      <c r="L2942" s="696">
        <v>1</v>
      </c>
      <c r="M2942" s="170"/>
    </row>
    <row r="2943" spans="2:13" x14ac:dyDescent="0.2">
      <c r="B2943" s="173"/>
      <c r="C2943" s="694">
        <v>1</v>
      </c>
      <c r="D2943" s="695" t="s">
        <v>3903</v>
      </c>
      <c r="E2943" s="695">
        <v>4</v>
      </c>
      <c r="F2943" s="695" t="s">
        <v>5967</v>
      </c>
      <c r="G2943" s="695">
        <v>1</v>
      </c>
      <c r="H2943" s="695" t="s">
        <v>5968</v>
      </c>
      <c r="I2943" s="695">
        <v>316</v>
      </c>
      <c r="J2943" s="695" t="s">
        <v>6272</v>
      </c>
      <c r="K2943" s="695" t="s">
        <v>3907</v>
      </c>
      <c r="L2943" s="696">
        <v>2</v>
      </c>
      <c r="M2943" s="170"/>
    </row>
    <row r="2944" spans="2:13" x14ac:dyDescent="0.2">
      <c r="B2944" s="173"/>
      <c r="C2944" s="694">
        <v>1</v>
      </c>
      <c r="D2944" s="695" t="s">
        <v>3903</v>
      </c>
      <c r="E2944" s="695">
        <v>4</v>
      </c>
      <c r="F2944" s="695" t="s">
        <v>5967</v>
      </c>
      <c r="G2944" s="695">
        <v>1</v>
      </c>
      <c r="H2944" s="695" t="s">
        <v>5968</v>
      </c>
      <c r="I2944" s="695">
        <v>317</v>
      </c>
      <c r="J2944" s="695" t="s">
        <v>6273</v>
      </c>
      <c r="K2944" s="695" t="s">
        <v>3907</v>
      </c>
      <c r="L2944" s="696">
        <v>3</v>
      </c>
      <c r="M2944" s="170"/>
    </row>
    <row r="2945" spans="2:13" x14ac:dyDescent="0.2">
      <c r="B2945" s="173"/>
      <c r="C2945" s="694">
        <v>1</v>
      </c>
      <c r="D2945" s="695" t="s">
        <v>3903</v>
      </c>
      <c r="E2945" s="695">
        <v>4</v>
      </c>
      <c r="F2945" s="695" t="s">
        <v>5967</v>
      </c>
      <c r="G2945" s="695">
        <v>1</v>
      </c>
      <c r="H2945" s="695" t="s">
        <v>5968</v>
      </c>
      <c r="I2945" s="695">
        <v>318</v>
      </c>
      <c r="J2945" s="695" t="s">
        <v>6274</v>
      </c>
      <c r="K2945" s="695" t="s">
        <v>3907</v>
      </c>
      <c r="L2945" s="696">
        <v>3</v>
      </c>
      <c r="M2945" s="170"/>
    </row>
    <row r="2946" spans="2:13" x14ac:dyDescent="0.2">
      <c r="B2946" s="173"/>
      <c r="C2946" s="694">
        <v>1</v>
      </c>
      <c r="D2946" s="695" t="s">
        <v>3903</v>
      </c>
      <c r="E2946" s="695">
        <v>4</v>
      </c>
      <c r="F2946" s="695" t="s">
        <v>5967</v>
      </c>
      <c r="G2946" s="695">
        <v>1</v>
      </c>
      <c r="H2946" s="695" t="s">
        <v>5968</v>
      </c>
      <c r="I2946" s="695">
        <v>319</v>
      </c>
      <c r="J2946" s="695" t="s">
        <v>6275</v>
      </c>
      <c r="K2946" s="695" t="s">
        <v>3907</v>
      </c>
      <c r="L2946" s="696">
        <v>0</v>
      </c>
      <c r="M2946" s="170"/>
    </row>
    <row r="2947" spans="2:13" x14ac:dyDescent="0.2">
      <c r="B2947" s="173"/>
      <c r="C2947" s="694">
        <v>1</v>
      </c>
      <c r="D2947" s="695" t="s">
        <v>3903</v>
      </c>
      <c r="E2947" s="695">
        <v>4</v>
      </c>
      <c r="F2947" s="695" t="s">
        <v>5967</v>
      </c>
      <c r="G2947" s="695">
        <v>1</v>
      </c>
      <c r="H2947" s="695" t="s">
        <v>5968</v>
      </c>
      <c r="I2947" s="695">
        <v>320</v>
      </c>
      <c r="J2947" s="695" t="s">
        <v>6276</v>
      </c>
      <c r="K2947" s="695" t="s">
        <v>3907</v>
      </c>
      <c r="L2947" s="696">
        <v>4</v>
      </c>
      <c r="M2947" s="170"/>
    </row>
    <row r="2948" spans="2:13" x14ac:dyDescent="0.2">
      <c r="B2948" s="173"/>
      <c r="C2948" s="694">
        <v>1</v>
      </c>
      <c r="D2948" s="695" t="s">
        <v>3903</v>
      </c>
      <c r="E2948" s="695">
        <v>4</v>
      </c>
      <c r="F2948" s="695" t="s">
        <v>5967</v>
      </c>
      <c r="G2948" s="695">
        <v>1</v>
      </c>
      <c r="H2948" s="695" t="s">
        <v>5968</v>
      </c>
      <c r="I2948" s="695">
        <v>321</v>
      </c>
      <c r="J2948" s="695" t="s">
        <v>6277</v>
      </c>
      <c r="K2948" s="695" t="s">
        <v>3907</v>
      </c>
      <c r="L2948" s="696">
        <v>1</v>
      </c>
      <c r="M2948" s="170"/>
    </row>
    <row r="2949" spans="2:13" x14ac:dyDescent="0.2">
      <c r="B2949" s="173"/>
      <c r="C2949" s="694">
        <v>1</v>
      </c>
      <c r="D2949" s="695" t="s">
        <v>3903</v>
      </c>
      <c r="E2949" s="695">
        <v>4</v>
      </c>
      <c r="F2949" s="695" t="s">
        <v>5967</v>
      </c>
      <c r="G2949" s="695">
        <v>1</v>
      </c>
      <c r="H2949" s="695" t="s">
        <v>5968</v>
      </c>
      <c r="I2949" s="695">
        <v>322</v>
      </c>
      <c r="J2949" s="695" t="s">
        <v>6214</v>
      </c>
      <c r="K2949" s="695" t="s">
        <v>3907</v>
      </c>
      <c r="L2949" s="696">
        <v>3</v>
      </c>
      <c r="M2949" s="170"/>
    </row>
    <row r="2950" spans="2:13" x14ac:dyDescent="0.2">
      <c r="B2950" s="173"/>
      <c r="C2950" s="694">
        <v>1</v>
      </c>
      <c r="D2950" s="695" t="s">
        <v>3903</v>
      </c>
      <c r="E2950" s="695">
        <v>4</v>
      </c>
      <c r="F2950" s="695" t="s">
        <v>5967</v>
      </c>
      <c r="G2950" s="695">
        <v>1</v>
      </c>
      <c r="H2950" s="695" t="s">
        <v>5968</v>
      </c>
      <c r="I2950" s="695">
        <v>323</v>
      </c>
      <c r="J2950" s="695" t="s">
        <v>6278</v>
      </c>
      <c r="K2950" s="695" t="s">
        <v>3907</v>
      </c>
      <c r="L2950" s="696">
        <v>6</v>
      </c>
      <c r="M2950" s="170"/>
    </row>
    <row r="2951" spans="2:13" x14ac:dyDescent="0.2">
      <c r="B2951" s="173"/>
      <c r="C2951" s="694">
        <v>1</v>
      </c>
      <c r="D2951" s="695" t="s">
        <v>3903</v>
      </c>
      <c r="E2951" s="695">
        <v>4</v>
      </c>
      <c r="F2951" s="695" t="s">
        <v>5967</v>
      </c>
      <c r="G2951" s="695">
        <v>1</v>
      </c>
      <c r="H2951" s="695" t="s">
        <v>5968</v>
      </c>
      <c r="I2951" s="695">
        <v>324</v>
      </c>
      <c r="J2951" s="695" t="s">
        <v>6279</v>
      </c>
      <c r="K2951" s="695" t="s">
        <v>3907</v>
      </c>
      <c r="L2951" s="696">
        <v>2</v>
      </c>
      <c r="M2951" s="170"/>
    </row>
    <row r="2952" spans="2:13" x14ac:dyDescent="0.2">
      <c r="B2952" s="173"/>
      <c r="C2952" s="694">
        <v>1</v>
      </c>
      <c r="D2952" s="695" t="s">
        <v>3903</v>
      </c>
      <c r="E2952" s="695">
        <v>4</v>
      </c>
      <c r="F2952" s="695" t="s">
        <v>5967</v>
      </c>
      <c r="G2952" s="695">
        <v>1</v>
      </c>
      <c r="H2952" s="695" t="s">
        <v>5968</v>
      </c>
      <c r="I2952" s="695">
        <v>325</v>
      </c>
      <c r="J2952" s="695" t="s">
        <v>6280</v>
      </c>
      <c r="K2952" s="695" t="s">
        <v>3907</v>
      </c>
      <c r="L2952" s="696">
        <v>2</v>
      </c>
      <c r="M2952" s="170"/>
    </row>
    <row r="2953" spans="2:13" x14ac:dyDescent="0.2">
      <c r="B2953" s="173"/>
      <c r="C2953" s="694">
        <v>1</v>
      </c>
      <c r="D2953" s="695" t="s">
        <v>3903</v>
      </c>
      <c r="E2953" s="695">
        <v>4</v>
      </c>
      <c r="F2953" s="695" t="s">
        <v>5967</v>
      </c>
      <c r="G2953" s="695">
        <v>1</v>
      </c>
      <c r="H2953" s="695" t="s">
        <v>5968</v>
      </c>
      <c r="I2953" s="695">
        <v>326</v>
      </c>
      <c r="J2953" s="695" t="s">
        <v>6281</v>
      </c>
      <c r="K2953" s="695" t="s">
        <v>3907</v>
      </c>
      <c r="L2953" s="696">
        <v>3</v>
      </c>
      <c r="M2953" s="170"/>
    </row>
    <row r="2954" spans="2:13" x14ac:dyDescent="0.2">
      <c r="B2954" s="173"/>
      <c r="C2954" s="694">
        <v>1</v>
      </c>
      <c r="D2954" s="695" t="s">
        <v>3903</v>
      </c>
      <c r="E2954" s="695">
        <v>4</v>
      </c>
      <c r="F2954" s="695" t="s">
        <v>5967</v>
      </c>
      <c r="G2954" s="695">
        <v>1</v>
      </c>
      <c r="H2954" s="695" t="s">
        <v>5968</v>
      </c>
      <c r="I2954" s="695">
        <v>327</v>
      </c>
      <c r="J2954" s="695" t="s">
        <v>6282</v>
      </c>
      <c r="K2954" s="695" t="s">
        <v>3907</v>
      </c>
      <c r="L2954" s="696">
        <v>1</v>
      </c>
      <c r="M2954" s="170"/>
    </row>
    <row r="2955" spans="2:13" x14ac:dyDescent="0.2">
      <c r="B2955" s="173"/>
      <c r="C2955" s="694">
        <v>1</v>
      </c>
      <c r="D2955" s="695" t="s">
        <v>3903</v>
      </c>
      <c r="E2955" s="695">
        <v>4</v>
      </c>
      <c r="F2955" s="695" t="s">
        <v>5967</v>
      </c>
      <c r="G2955" s="695">
        <v>1</v>
      </c>
      <c r="H2955" s="695" t="s">
        <v>5968</v>
      </c>
      <c r="I2955" s="695">
        <v>328</v>
      </c>
      <c r="J2955" s="695" t="s">
        <v>6283</v>
      </c>
      <c r="K2955" s="695" t="s">
        <v>3907</v>
      </c>
      <c r="L2955" s="696">
        <v>1</v>
      </c>
      <c r="M2955" s="170"/>
    </row>
    <row r="2956" spans="2:13" x14ac:dyDescent="0.2">
      <c r="B2956" s="173"/>
      <c r="C2956" s="694">
        <v>1</v>
      </c>
      <c r="D2956" s="695" t="s">
        <v>3903</v>
      </c>
      <c r="E2956" s="695">
        <v>4</v>
      </c>
      <c r="F2956" s="695" t="s">
        <v>5967</v>
      </c>
      <c r="G2956" s="695">
        <v>1</v>
      </c>
      <c r="H2956" s="695" t="s">
        <v>5968</v>
      </c>
      <c r="I2956" s="695">
        <v>329</v>
      </c>
      <c r="J2956" s="695" t="s">
        <v>6284</v>
      </c>
      <c r="K2956" s="695" t="s">
        <v>3907</v>
      </c>
      <c r="L2956" s="696">
        <v>1</v>
      </c>
      <c r="M2956" s="170"/>
    </row>
    <row r="2957" spans="2:13" x14ac:dyDescent="0.2">
      <c r="B2957" s="173"/>
      <c r="C2957" s="694">
        <v>1</v>
      </c>
      <c r="D2957" s="695" t="s">
        <v>3903</v>
      </c>
      <c r="E2957" s="695">
        <v>4</v>
      </c>
      <c r="F2957" s="695" t="s">
        <v>5967</v>
      </c>
      <c r="G2957" s="695">
        <v>1</v>
      </c>
      <c r="H2957" s="695" t="s">
        <v>5968</v>
      </c>
      <c r="I2957" s="695">
        <v>330</v>
      </c>
      <c r="J2957" s="695" t="s">
        <v>6285</v>
      </c>
      <c r="K2957" s="695" t="s">
        <v>3907</v>
      </c>
      <c r="L2957" s="696">
        <v>3</v>
      </c>
      <c r="M2957" s="170"/>
    </row>
    <row r="2958" spans="2:13" x14ac:dyDescent="0.2">
      <c r="B2958" s="173"/>
      <c r="C2958" s="694">
        <v>1</v>
      </c>
      <c r="D2958" s="695" t="s">
        <v>3903</v>
      </c>
      <c r="E2958" s="695">
        <v>4</v>
      </c>
      <c r="F2958" s="695" t="s">
        <v>5967</v>
      </c>
      <c r="G2958" s="695">
        <v>1</v>
      </c>
      <c r="H2958" s="695" t="s">
        <v>5968</v>
      </c>
      <c r="I2958" s="695">
        <v>331</v>
      </c>
      <c r="J2958" s="695" t="s">
        <v>6286</v>
      </c>
      <c r="K2958" s="695" t="s">
        <v>3907</v>
      </c>
      <c r="L2958" s="696">
        <v>1</v>
      </c>
      <c r="M2958" s="170"/>
    </row>
    <row r="2959" spans="2:13" x14ac:dyDescent="0.2">
      <c r="B2959" s="173"/>
      <c r="C2959" s="694">
        <v>1</v>
      </c>
      <c r="D2959" s="695" t="s">
        <v>3903</v>
      </c>
      <c r="E2959" s="695">
        <v>4</v>
      </c>
      <c r="F2959" s="695" t="s">
        <v>5967</v>
      </c>
      <c r="G2959" s="695">
        <v>1</v>
      </c>
      <c r="H2959" s="695" t="s">
        <v>5968</v>
      </c>
      <c r="I2959" s="695">
        <v>332</v>
      </c>
      <c r="J2959" s="695" t="s">
        <v>6287</v>
      </c>
      <c r="K2959" s="695" t="s">
        <v>3907</v>
      </c>
      <c r="L2959" s="696">
        <v>6</v>
      </c>
      <c r="M2959" s="170"/>
    </row>
    <row r="2960" spans="2:13" x14ac:dyDescent="0.2">
      <c r="B2960" s="173"/>
      <c r="C2960" s="694">
        <v>1</v>
      </c>
      <c r="D2960" s="695" t="s">
        <v>3903</v>
      </c>
      <c r="E2960" s="695">
        <v>4</v>
      </c>
      <c r="F2960" s="695" t="s">
        <v>5967</v>
      </c>
      <c r="G2960" s="695">
        <v>1</v>
      </c>
      <c r="H2960" s="695" t="s">
        <v>5968</v>
      </c>
      <c r="I2960" s="695">
        <v>333</v>
      </c>
      <c r="J2960" s="695" t="s">
        <v>6288</v>
      </c>
      <c r="K2960" s="695" t="s">
        <v>3907</v>
      </c>
      <c r="L2960" s="696">
        <v>1</v>
      </c>
      <c r="M2960" s="170"/>
    </row>
    <row r="2961" spans="2:13" x14ac:dyDescent="0.2">
      <c r="B2961" s="173"/>
      <c r="C2961" s="694">
        <v>1</v>
      </c>
      <c r="D2961" s="695" t="s">
        <v>3903</v>
      </c>
      <c r="E2961" s="695">
        <v>4</v>
      </c>
      <c r="F2961" s="695" t="s">
        <v>5967</v>
      </c>
      <c r="G2961" s="695">
        <v>1</v>
      </c>
      <c r="H2961" s="695" t="s">
        <v>5968</v>
      </c>
      <c r="I2961" s="695">
        <v>334</v>
      </c>
      <c r="J2961" s="695" t="s">
        <v>6289</v>
      </c>
      <c r="K2961" s="695" t="s">
        <v>3907</v>
      </c>
      <c r="L2961" s="696">
        <v>1</v>
      </c>
      <c r="M2961" s="170"/>
    </row>
    <row r="2962" spans="2:13" x14ac:dyDescent="0.2">
      <c r="B2962" s="173"/>
      <c r="C2962" s="694">
        <v>1</v>
      </c>
      <c r="D2962" s="695" t="s">
        <v>3903</v>
      </c>
      <c r="E2962" s="695">
        <v>4</v>
      </c>
      <c r="F2962" s="695" t="s">
        <v>5967</v>
      </c>
      <c r="G2962" s="695">
        <v>1</v>
      </c>
      <c r="H2962" s="695" t="s">
        <v>5968</v>
      </c>
      <c r="I2962" s="695">
        <v>335</v>
      </c>
      <c r="J2962" s="695" t="s">
        <v>6290</v>
      </c>
      <c r="K2962" s="695" t="s">
        <v>3907</v>
      </c>
      <c r="L2962" s="696">
        <v>8</v>
      </c>
      <c r="M2962" s="170"/>
    </row>
    <row r="2963" spans="2:13" x14ac:dyDescent="0.2">
      <c r="B2963" s="173"/>
      <c r="C2963" s="694">
        <v>1</v>
      </c>
      <c r="D2963" s="695" t="s">
        <v>3903</v>
      </c>
      <c r="E2963" s="695">
        <v>4</v>
      </c>
      <c r="F2963" s="695" t="s">
        <v>5967</v>
      </c>
      <c r="G2963" s="695">
        <v>1</v>
      </c>
      <c r="H2963" s="695" t="s">
        <v>5968</v>
      </c>
      <c r="I2963" s="695">
        <v>336</v>
      </c>
      <c r="J2963" s="695" t="s">
        <v>6291</v>
      </c>
      <c r="K2963" s="695" t="s">
        <v>3907</v>
      </c>
      <c r="L2963" s="696">
        <v>0</v>
      </c>
      <c r="M2963" s="170"/>
    </row>
    <row r="2964" spans="2:13" x14ac:dyDescent="0.2">
      <c r="B2964" s="173"/>
      <c r="C2964" s="694">
        <v>1</v>
      </c>
      <c r="D2964" s="695" t="s">
        <v>3903</v>
      </c>
      <c r="E2964" s="695">
        <v>4</v>
      </c>
      <c r="F2964" s="695" t="s">
        <v>5967</v>
      </c>
      <c r="G2964" s="695">
        <v>1</v>
      </c>
      <c r="H2964" s="695" t="s">
        <v>5968</v>
      </c>
      <c r="I2964" s="695">
        <v>337</v>
      </c>
      <c r="J2964" s="695" t="s">
        <v>6292</v>
      </c>
      <c r="K2964" s="695" t="s">
        <v>3907</v>
      </c>
      <c r="L2964" s="696">
        <v>4</v>
      </c>
      <c r="M2964" s="170"/>
    </row>
    <row r="2965" spans="2:13" x14ac:dyDescent="0.2">
      <c r="B2965" s="173"/>
      <c r="C2965" s="694">
        <v>1</v>
      </c>
      <c r="D2965" s="695" t="s">
        <v>3903</v>
      </c>
      <c r="E2965" s="695">
        <v>4</v>
      </c>
      <c r="F2965" s="695" t="s">
        <v>5967</v>
      </c>
      <c r="G2965" s="695">
        <v>1</v>
      </c>
      <c r="H2965" s="695" t="s">
        <v>5968</v>
      </c>
      <c r="I2965" s="695">
        <v>338</v>
      </c>
      <c r="J2965" s="695" t="s">
        <v>6293</v>
      </c>
      <c r="K2965" s="695" t="s">
        <v>3907</v>
      </c>
      <c r="L2965" s="696">
        <v>1</v>
      </c>
      <c r="M2965" s="170"/>
    </row>
    <row r="2966" spans="2:13" x14ac:dyDescent="0.2">
      <c r="B2966" s="173"/>
      <c r="C2966" s="694">
        <v>1</v>
      </c>
      <c r="D2966" s="695" t="s">
        <v>3903</v>
      </c>
      <c r="E2966" s="695">
        <v>4</v>
      </c>
      <c r="F2966" s="695" t="s">
        <v>5967</v>
      </c>
      <c r="G2966" s="695">
        <v>1</v>
      </c>
      <c r="H2966" s="695" t="s">
        <v>5968</v>
      </c>
      <c r="I2966" s="695">
        <v>339</v>
      </c>
      <c r="J2966" s="695" t="s">
        <v>6294</v>
      </c>
      <c r="K2966" s="695" t="s">
        <v>3907</v>
      </c>
      <c r="L2966" s="696">
        <v>1</v>
      </c>
      <c r="M2966" s="170"/>
    </row>
    <row r="2967" spans="2:13" x14ac:dyDescent="0.2">
      <c r="B2967" s="173"/>
      <c r="C2967" s="694">
        <v>1</v>
      </c>
      <c r="D2967" s="695" t="s">
        <v>3903</v>
      </c>
      <c r="E2967" s="695">
        <v>4</v>
      </c>
      <c r="F2967" s="695" t="s">
        <v>5967</v>
      </c>
      <c r="G2967" s="695">
        <v>1</v>
      </c>
      <c r="H2967" s="695" t="s">
        <v>5968</v>
      </c>
      <c r="I2967" s="695">
        <v>340</v>
      </c>
      <c r="J2967" s="695" t="s">
        <v>6295</v>
      </c>
      <c r="K2967" s="695" t="s">
        <v>3907</v>
      </c>
      <c r="L2967" s="696">
        <v>1</v>
      </c>
      <c r="M2967" s="170"/>
    </row>
    <row r="2968" spans="2:13" x14ac:dyDescent="0.2">
      <c r="B2968" s="173"/>
      <c r="C2968" s="694">
        <v>1</v>
      </c>
      <c r="D2968" s="695" t="s">
        <v>3903</v>
      </c>
      <c r="E2968" s="695">
        <v>4</v>
      </c>
      <c r="F2968" s="695" t="s">
        <v>5967</v>
      </c>
      <c r="G2968" s="695">
        <v>1</v>
      </c>
      <c r="H2968" s="695" t="s">
        <v>5968</v>
      </c>
      <c r="I2968" s="695">
        <v>341</v>
      </c>
      <c r="J2968" s="695" t="s">
        <v>6296</v>
      </c>
      <c r="K2968" s="695" t="s">
        <v>3907</v>
      </c>
      <c r="L2968" s="696">
        <v>4</v>
      </c>
      <c r="M2968" s="170"/>
    </row>
    <row r="2969" spans="2:13" x14ac:dyDescent="0.2">
      <c r="B2969" s="173"/>
      <c r="C2969" s="694">
        <v>1</v>
      </c>
      <c r="D2969" s="695" t="s">
        <v>3903</v>
      </c>
      <c r="E2969" s="695">
        <v>4</v>
      </c>
      <c r="F2969" s="695" t="s">
        <v>5967</v>
      </c>
      <c r="G2969" s="695">
        <v>1</v>
      </c>
      <c r="H2969" s="695" t="s">
        <v>5968</v>
      </c>
      <c r="I2969" s="695">
        <v>342</v>
      </c>
      <c r="J2969" s="695" t="s">
        <v>6297</v>
      </c>
      <c r="K2969" s="695" t="s">
        <v>3907</v>
      </c>
      <c r="L2969" s="696">
        <v>1</v>
      </c>
      <c r="M2969" s="170"/>
    </row>
    <row r="2970" spans="2:13" x14ac:dyDescent="0.2">
      <c r="B2970" s="173"/>
      <c r="C2970" s="694">
        <v>1</v>
      </c>
      <c r="D2970" s="695" t="s">
        <v>3903</v>
      </c>
      <c r="E2970" s="695">
        <v>4</v>
      </c>
      <c r="F2970" s="695" t="s">
        <v>5967</v>
      </c>
      <c r="G2970" s="695">
        <v>1</v>
      </c>
      <c r="H2970" s="695" t="s">
        <v>5968</v>
      </c>
      <c r="I2970" s="695">
        <v>343</v>
      </c>
      <c r="J2970" s="695" t="s">
        <v>9032</v>
      </c>
      <c r="K2970" s="695" t="s">
        <v>3907</v>
      </c>
      <c r="L2970" s="696">
        <v>3</v>
      </c>
      <c r="M2970" s="170"/>
    </row>
    <row r="2971" spans="2:13" x14ac:dyDescent="0.2">
      <c r="B2971" s="173"/>
      <c r="C2971" s="694">
        <v>1</v>
      </c>
      <c r="D2971" s="695" t="s">
        <v>3903</v>
      </c>
      <c r="E2971" s="695">
        <v>4</v>
      </c>
      <c r="F2971" s="695" t="s">
        <v>5967</v>
      </c>
      <c r="G2971" s="695">
        <v>1</v>
      </c>
      <c r="H2971" s="695" t="s">
        <v>5968</v>
      </c>
      <c r="I2971" s="695">
        <v>344</v>
      </c>
      <c r="J2971" s="695" t="s">
        <v>8556</v>
      </c>
      <c r="K2971" s="695" t="s">
        <v>3907</v>
      </c>
      <c r="L2971" s="696">
        <v>51</v>
      </c>
      <c r="M2971" s="170"/>
    </row>
    <row r="2972" spans="2:13" x14ac:dyDescent="0.2">
      <c r="B2972" s="173"/>
      <c r="C2972" s="694">
        <v>1</v>
      </c>
      <c r="D2972" s="695" t="s">
        <v>3903</v>
      </c>
      <c r="E2972" s="695">
        <v>4</v>
      </c>
      <c r="F2972" s="695" t="s">
        <v>5967</v>
      </c>
      <c r="G2972" s="695">
        <v>1</v>
      </c>
      <c r="H2972" s="695" t="s">
        <v>5968</v>
      </c>
      <c r="I2972" s="695">
        <v>345</v>
      </c>
      <c r="J2972" s="695" t="s">
        <v>9033</v>
      </c>
      <c r="K2972" s="695" t="s">
        <v>3907</v>
      </c>
      <c r="L2972" s="696">
        <v>2</v>
      </c>
      <c r="M2972" s="170"/>
    </row>
    <row r="2973" spans="2:13" x14ac:dyDescent="0.2">
      <c r="B2973" s="173"/>
      <c r="C2973" s="694">
        <v>1</v>
      </c>
      <c r="D2973" s="695" t="s">
        <v>3903</v>
      </c>
      <c r="E2973" s="695">
        <v>4</v>
      </c>
      <c r="F2973" s="695" t="s">
        <v>5967</v>
      </c>
      <c r="G2973" s="695">
        <v>1</v>
      </c>
      <c r="H2973" s="695" t="s">
        <v>5968</v>
      </c>
      <c r="I2973" s="695">
        <v>346</v>
      </c>
      <c r="J2973" s="695" t="s">
        <v>9034</v>
      </c>
      <c r="K2973" s="695" t="s">
        <v>3907</v>
      </c>
      <c r="L2973" s="696">
        <v>3</v>
      </c>
      <c r="M2973" s="170"/>
    </row>
    <row r="2974" spans="2:13" x14ac:dyDescent="0.2">
      <c r="B2974" s="173"/>
      <c r="C2974" s="694">
        <v>1</v>
      </c>
      <c r="D2974" s="695" t="s">
        <v>3903</v>
      </c>
      <c r="E2974" s="695">
        <v>4</v>
      </c>
      <c r="F2974" s="695" t="s">
        <v>5967</v>
      </c>
      <c r="G2974" s="695">
        <v>1</v>
      </c>
      <c r="H2974" s="695" t="s">
        <v>5968</v>
      </c>
      <c r="I2974" s="695">
        <v>347</v>
      </c>
      <c r="J2974" s="695" t="s">
        <v>9035</v>
      </c>
      <c r="K2974" s="695" t="s">
        <v>3907</v>
      </c>
      <c r="L2974" s="696">
        <v>3</v>
      </c>
      <c r="M2974" s="170"/>
    </row>
    <row r="2975" spans="2:13" x14ac:dyDescent="0.2">
      <c r="B2975" s="173"/>
      <c r="C2975" s="694">
        <v>1</v>
      </c>
      <c r="D2975" s="695" t="s">
        <v>3903</v>
      </c>
      <c r="E2975" s="695">
        <v>4</v>
      </c>
      <c r="F2975" s="695" t="s">
        <v>5967</v>
      </c>
      <c r="G2975" s="695">
        <v>1</v>
      </c>
      <c r="H2975" s="695" t="s">
        <v>5968</v>
      </c>
      <c r="I2975" s="695">
        <v>348</v>
      </c>
      <c r="J2975" s="695" t="s">
        <v>9036</v>
      </c>
      <c r="K2975" s="695" t="s">
        <v>3907</v>
      </c>
      <c r="L2975" s="696">
        <v>2</v>
      </c>
      <c r="M2975" s="170"/>
    </row>
    <row r="2976" spans="2:13" x14ac:dyDescent="0.2">
      <c r="B2976" s="173"/>
      <c r="C2976" s="694">
        <v>1</v>
      </c>
      <c r="D2976" s="695" t="s">
        <v>3903</v>
      </c>
      <c r="E2976" s="695">
        <v>4</v>
      </c>
      <c r="F2976" s="695" t="s">
        <v>5967</v>
      </c>
      <c r="G2976" s="695">
        <v>1</v>
      </c>
      <c r="H2976" s="695" t="s">
        <v>5968</v>
      </c>
      <c r="I2976" s="695">
        <v>349</v>
      </c>
      <c r="J2976" s="695" t="s">
        <v>9037</v>
      </c>
      <c r="K2976" s="695" t="s">
        <v>3907</v>
      </c>
      <c r="L2976" s="696">
        <v>1</v>
      </c>
      <c r="M2976" s="170"/>
    </row>
    <row r="2977" spans="2:13" x14ac:dyDescent="0.2">
      <c r="B2977" s="173"/>
      <c r="C2977" s="694">
        <v>1</v>
      </c>
      <c r="D2977" s="695" t="s">
        <v>3903</v>
      </c>
      <c r="E2977" s="695">
        <v>4</v>
      </c>
      <c r="F2977" s="695" t="s">
        <v>5967</v>
      </c>
      <c r="G2977" s="695">
        <v>1</v>
      </c>
      <c r="H2977" s="695" t="s">
        <v>5968</v>
      </c>
      <c r="I2977" s="695">
        <v>350</v>
      </c>
      <c r="J2977" s="695" t="s">
        <v>9038</v>
      </c>
      <c r="K2977" s="695" t="s">
        <v>3907</v>
      </c>
      <c r="L2977" s="696">
        <v>1</v>
      </c>
      <c r="M2977" s="170"/>
    </row>
    <row r="2978" spans="2:13" x14ac:dyDescent="0.2">
      <c r="B2978" s="173"/>
      <c r="C2978" s="694">
        <v>1</v>
      </c>
      <c r="D2978" s="695" t="s">
        <v>3903</v>
      </c>
      <c r="E2978" s="695">
        <v>4</v>
      </c>
      <c r="F2978" s="695" t="s">
        <v>5967</v>
      </c>
      <c r="G2978" s="695">
        <v>1</v>
      </c>
      <c r="H2978" s="695" t="s">
        <v>5968</v>
      </c>
      <c r="I2978" s="695">
        <v>351</v>
      </c>
      <c r="J2978" s="695" t="s">
        <v>9039</v>
      </c>
      <c r="K2978" s="695" t="s">
        <v>3907</v>
      </c>
      <c r="L2978" s="696">
        <v>7</v>
      </c>
      <c r="M2978" s="170"/>
    </row>
    <row r="2979" spans="2:13" x14ac:dyDescent="0.2">
      <c r="B2979" s="173"/>
      <c r="C2979" s="694">
        <v>1</v>
      </c>
      <c r="D2979" s="695" t="s">
        <v>3903</v>
      </c>
      <c r="E2979" s="695">
        <v>4</v>
      </c>
      <c r="F2979" s="695" t="s">
        <v>5967</v>
      </c>
      <c r="G2979" s="695">
        <v>1</v>
      </c>
      <c r="H2979" s="695" t="s">
        <v>5968</v>
      </c>
      <c r="I2979" s="695">
        <v>352</v>
      </c>
      <c r="J2979" s="695" t="s">
        <v>9040</v>
      </c>
      <c r="K2979" s="695" t="s">
        <v>3907</v>
      </c>
      <c r="L2979" s="696">
        <v>1</v>
      </c>
      <c r="M2979" s="170"/>
    </row>
    <row r="2980" spans="2:13" x14ac:dyDescent="0.2">
      <c r="B2980" s="173"/>
      <c r="C2980" s="694">
        <v>1</v>
      </c>
      <c r="D2980" s="695" t="s">
        <v>3903</v>
      </c>
      <c r="E2980" s="695">
        <v>4</v>
      </c>
      <c r="F2980" s="695" t="s">
        <v>5967</v>
      </c>
      <c r="G2980" s="695">
        <v>1</v>
      </c>
      <c r="H2980" s="695" t="s">
        <v>5968</v>
      </c>
      <c r="I2980" s="695">
        <v>353</v>
      </c>
      <c r="J2980" s="695" t="s">
        <v>6027</v>
      </c>
      <c r="K2980" s="695" t="s">
        <v>8544</v>
      </c>
      <c r="L2980" s="696">
        <v>0</v>
      </c>
      <c r="M2980" s="170"/>
    </row>
    <row r="2981" spans="2:13" x14ac:dyDescent="0.2">
      <c r="B2981" s="173"/>
      <c r="C2981" s="694">
        <v>1</v>
      </c>
      <c r="D2981" s="695" t="s">
        <v>3903</v>
      </c>
      <c r="E2981" s="695">
        <v>4</v>
      </c>
      <c r="F2981" s="695" t="s">
        <v>5967</v>
      </c>
      <c r="G2981" s="695">
        <v>1</v>
      </c>
      <c r="H2981" s="695" t="s">
        <v>5968</v>
      </c>
      <c r="I2981" s="695">
        <v>354</v>
      </c>
      <c r="J2981" s="695" t="s">
        <v>9041</v>
      </c>
      <c r="K2981" s="695" t="s">
        <v>3907</v>
      </c>
      <c r="L2981" s="696">
        <v>7</v>
      </c>
      <c r="M2981" s="170"/>
    </row>
    <row r="2982" spans="2:13" x14ac:dyDescent="0.2">
      <c r="B2982" s="173"/>
      <c r="C2982" s="694">
        <v>1</v>
      </c>
      <c r="D2982" s="695" t="s">
        <v>3903</v>
      </c>
      <c r="E2982" s="695">
        <v>4</v>
      </c>
      <c r="F2982" s="695" t="s">
        <v>5967</v>
      </c>
      <c r="G2982" s="695">
        <v>1</v>
      </c>
      <c r="H2982" s="695" t="s">
        <v>5968</v>
      </c>
      <c r="I2982" s="695">
        <v>355</v>
      </c>
      <c r="J2982" s="695" t="s">
        <v>9042</v>
      </c>
      <c r="K2982" s="695" t="s">
        <v>3907</v>
      </c>
      <c r="L2982" s="696">
        <v>13</v>
      </c>
      <c r="M2982" s="170"/>
    </row>
    <row r="2983" spans="2:13" x14ac:dyDescent="0.2">
      <c r="B2983" s="173"/>
      <c r="C2983" s="694">
        <v>1</v>
      </c>
      <c r="D2983" s="695" t="s">
        <v>3903</v>
      </c>
      <c r="E2983" s="695">
        <v>4</v>
      </c>
      <c r="F2983" s="695" t="s">
        <v>5967</v>
      </c>
      <c r="G2983" s="695">
        <v>1</v>
      </c>
      <c r="H2983" s="695" t="s">
        <v>5968</v>
      </c>
      <c r="I2983" s="695">
        <v>356</v>
      </c>
      <c r="J2983" s="695" t="s">
        <v>9043</v>
      </c>
      <c r="K2983" s="695" t="s">
        <v>3907</v>
      </c>
      <c r="L2983" s="696">
        <v>9</v>
      </c>
      <c r="M2983" s="170"/>
    </row>
    <row r="2984" spans="2:13" x14ac:dyDescent="0.2">
      <c r="B2984" s="173"/>
      <c r="C2984" s="694">
        <v>1</v>
      </c>
      <c r="D2984" s="695" t="s">
        <v>3903</v>
      </c>
      <c r="E2984" s="695">
        <v>4</v>
      </c>
      <c r="F2984" s="695" t="s">
        <v>5967</v>
      </c>
      <c r="G2984" s="695">
        <v>1</v>
      </c>
      <c r="H2984" s="695" t="s">
        <v>5968</v>
      </c>
      <c r="I2984" s="695">
        <v>357</v>
      </c>
      <c r="J2984" s="695" t="s">
        <v>9044</v>
      </c>
      <c r="K2984" s="695" t="s">
        <v>3907</v>
      </c>
      <c r="L2984" s="696">
        <v>19</v>
      </c>
      <c r="M2984" s="170"/>
    </row>
    <row r="2985" spans="2:13" x14ac:dyDescent="0.2">
      <c r="B2985" s="173"/>
      <c r="C2985" s="694">
        <v>1</v>
      </c>
      <c r="D2985" s="695" t="s">
        <v>3903</v>
      </c>
      <c r="E2985" s="695">
        <v>4</v>
      </c>
      <c r="F2985" s="695" t="s">
        <v>5967</v>
      </c>
      <c r="G2985" s="695">
        <v>1</v>
      </c>
      <c r="H2985" s="695" t="s">
        <v>5968</v>
      </c>
      <c r="I2985" s="695">
        <v>358</v>
      </c>
      <c r="J2985" s="695" t="s">
        <v>9045</v>
      </c>
      <c r="K2985" s="695" t="s">
        <v>3907</v>
      </c>
      <c r="L2985" s="696">
        <v>2</v>
      </c>
      <c r="M2985" s="170"/>
    </row>
    <row r="2986" spans="2:13" x14ac:dyDescent="0.2">
      <c r="B2986" s="173"/>
      <c r="C2986" s="694">
        <v>1</v>
      </c>
      <c r="D2986" s="695" t="s">
        <v>3903</v>
      </c>
      <c r="E2986" s="695">
        <v>4</v>
      </c>
      <c r="F2986" s="695" t="s">
        <v>5967</v>
      </c>
      <c r="G2986" s="695">
        <v>1</v>
      </c>
      <c r="H2986" s="695" t="s">
        <v>5968</v>
      </c>
      <c r="I2986" s="695">
        <v>359</v>
      </c>
      <c r="J2986" s="695" t="s">
        <v>9046</v>
      </c>
      <c r="K2986" s="695" t="s">
        <v>3907</v>
      </c>
      <c r="L2986" s="696">
        <v>1</v>
      </c>
      <c r="M2986" s="170"/>
    </row>
    <row r="2987" spans="2:13" x14ac:dyDescent="0.2">
      <c r="B2987" s="173"/>
      <c r="C2987" s="694">
        <v>1</v>
      </c>
      <c r="D2987" s="695" t="s">
        <v>3903</v>
      </c>
      <c r="E2987" s="695">
        <v>4</v>
      </c>
      <c r="F2987" s="695" t="s">
        <v>5967</v>
      </c>
      <c r="G2987" s="695">
        <v>1</v>
      </c>
      <c r="H2987" s="695" t="s">
        <v>5968</v>
      </c>
      <c r="I2987" s="695">
        <v>360</v>
      </c>
      <c r="J2987" s="695" t="s">
        <v>9047</v>
      </c>
      <c r="K2987" s="695" t="s">
        <v>3907</v>
      </c>
      <c r="L2987" s="696">
        <v>7</v>
      </c>
      <c r="M2987" s="170"/>
    </row>
    <row r="2988" spans="2:13" x14ac:dyDescent="0.2">
      <c r="B2988" s="173"/>
      <c r="C2988" s="694">
        <v>1</v>
      </c>
      <c r="D2988" s="695" t="s">
        <v>3903</v>
      </c>
      <c r="E2988" s="695">
        <v>4</v>
      </c>
      <c r="F2988" s="695" t="s">
        <v>5967</v>
      </c>
      <c r="G2988" s="695">
        <v>1</v>
      </c>
      <c r="H2988" s="695" t="s">
        <v>5968</v>
      </c>
      <c r="I2988" s="695">
        <v>361</v>
      </c>
      <c r="J2988" s="695" t="s">
        <v>9048</v>
      </c>
      <c r="K2988" s="695" t="s">
        <v>3907</v>
      </c>
      <c r="L2988" s="696">
        <v>2</v>
      </c>
      <c r="M2988" s="170"/>
    </row>
    <row r="2989" spans="2:13" x14ac:dyDescent="0.2">
      <c r="B2989" s="173"/>
      <c r="C2989" s="694">
        <v>1</v>
      </c>
      <c r="D2989" s="695" t="s">
        <v>3903</v>
      </c>
      <c r="E2989" s="695">
        <v>4</v>
      </c>
      <c r="F2989" s="695" t="s">
        <v>5967</v>
      </c>
      <c r="G2989" s="695">
        <v>1</v>
      </c>
      <c r="H2989" s="695" t="s">
        <v>5968</v>
      </c>
      <c r="I2989" s="695">
        <v>362</v>
      </c>
      <c r="J2989" s="695" t="s">
        <v>9049</v>
      </c>
      <c r="K2989" s="695" t="s">
        <v>3907</v>
      </c>
      <c r="L2989" s="696">
        <v>1</v>
      </c>
      <c r="M2989" s="170"/>
    </row>
    <row r="2990" spans="2:13" x14ac:dyDescent="0.2">
      <c r="B2990" s="173"/>
      <c r="C2990" s="694">
        <v>1</v>
      </c>
      <c r="D2990" s="695" t="s">
        <v>3903</v>
      </c>
      <c r="E2990" s="695">
        <v>4</v>
      </c>
      <c r="F2990" s="695" t="s">
        <v>5967</v>
      </c>
      <c r="G2990" s="695">
        <v>1</v>
      </c>
      <c r="H2990" s="695" t="s">
        <v>5968</v>
      </c>
      <c r="I2990" s="695">
        <v>363</v>
      </c>
      <c r="J2990" s="695" t="s">
        <v>9050</v>
      </c>
      <c r="K2990" s="695" t="s">
        <v>3907</v>
      </c>
      <c r="L2990" s="696">
        <v>1</v>
      </c>
      <c r="M2990" s="170"/>
    </row>
    <row r="2991" spans="2:13" x14ac:dyDescent="0.2">
      <c r="B2991" s="173"/>
      <c r="C2991" s="694">
        <v>1</v>
      </c>
      <c r="D2991" s="695" t="s">
        <v>3903</v>
      </c>
      <c r="E2991" s="695">
        <v>4</v>
      </c>
      <c r="F2991" s="695" t="s">
        <v>5967</v>
      </c>
      <c r="G2991" s="695">
        <v>1</v>
      </c>
      <c r="H2991" s="695" t="s">
        <v>5968</v>
      </c>
      <c r="I2991" s="695">
        <v>364</v>
      </c>
      <c r="J2991" s="695" t="s">
        <v>9051</v>
      </c>
      <c r="K2991" s="695" t="s">
        <v>3907</v>
      </c>
      <c r="L2991" s="696">
        <v>1</v>
      </c>
      <c r="M2991" s="170"/>
    </row>
    <row r="2992" spans="2:13" x14ac:dyDescent="0.2">
      <c r="B2992" s="173"/>
      <c r="C2992" s="694">
        <v>1</v>
      </c>
      <c r="D2992" s="695" t="s">
        <v>3903</v>
      </c>
      <c r="E2992" s="695">
        <v>4</v>
      </c>
      <c r="F2992" s="695" t="s">
        <v>5967</v>
      </c>
      <c r="G2992" s="695">
        <v>1</v>
      </c>
      <c r="H2992" s="695" t="s">
        <v>5968</v>
      </c>
      <c r="I2992" s="695">
        <v>365</v>
      </c>
      <c r="J2992" s="695" t="s">
        <v>9052</v>
      </c>
      <c r="K2992" s="695" t="s">
        <v>3907</v>
      </c>
      <c r="L2992" s="696">
        <v>13</v>
      </c>
      <c r="M2992" s="170"/>
    </row>
    <row r="2993" spans="2:13" x14ac:dyDescent="0.2">
      <c r="B2993" s="173"/>
      <c r="C2993" s="694">
        <v>1</v>
      </c>
      <c r="D2993" s="695" t="s">
        <v>3903</v>
      </c>
      <c r="E2993" s="695">
        <v>4</v>
      </c>
      <c r="F2993" s="695" t="s">
        <v>5967</v>
      </c>
      <c r="G2993" s="695">
        <v>1</v>
      </c>
      <c r="H2993" s="695" t="s">
        <v>5968</v>
      </c>
      <c r="I2993" s="695">
        <v>366</v>
      </c>
      <c r="J2993" s="695" t="s">
        <v>9053</v>
      </c>
      <c r="K2993" s="695" t="s">
        <v>3907</v>
      </c>
      <c r="L2993" s="696">
        <v>7</v>
      </c>
      <c r="M2993" s="170"/>
    </row>
    <row r="2994" spans="2:13" x14ac:dyDescent="0.2">
      <c r="B2994" s="173"/>
      <c r="C2994" s="694">
        <v>1</v>
      </c>
      <c r="D2994" s="695" t="s">
        <v>3903</v>
      </c>
      <c r="E2994" s="695">
        <v>4</v>
      </c>
      <c r="F2994" s="695" t="s">
        <v>5967</v>
      </c>
      <c r="G2994" s="695">
        <v>1</v>
      </c>
      <c r="H2994" s="695" t="s">
        <v>5968</v>
      </c>
      <c r="I2994" s="695">
        <v>368</v>
      </c>
      <c r="J2994" s="695" t="s">
        <v>9054</v>
      </c>
      <c r="K2994" s="695" t="s">
        <v>3907</v>
      </c>
      <c r="L2994" s="696">
        <v>9</v>
      </c>
      <c r="M2994" s="170"/>
    </row>
    <row r="2995" spans="2:13" x14ac:dyDescent="0.2">
      <c r="B2995" s="173"/>
      <c r="C2995" s="694">
        <v>1</v>
      </c>
      <c r="D2995" s="695" t="s">
        <v>3903</v>
      </c>
      <c r="E2995" s="695">
        <v>4</v>
      </c>
      <c r="F2995" s="695" t="s">
        <v>5967</v>
      </c>
      <c r="G2995" s="695">
        <v>1</v>
      </c>
      <c r="H2995" s="695" t="s">
        <v>5968</v>
      </c>
      <c r="I2995" s="695">
        <v>369</v>
      </c>
      <c r="J2995" s="695" t="s">
        <v>9055</v>
      </c>
      <c r="K2995" s="695" t="s">
        <v>3907</v>
      </c>
      <c r="L2995" s="696">
        <v>3</v>
      </c>
      <c r="M2995" s="170"/>
    </row>
    <row r="2996" spans="2:13" x14ac:dyDescent="0.2">
      <c r="B2996" s="173"/>
      <c r="C2996" s="694">
        <v>1</v>
      </c>
      <c r="D2996" s="695" t="s">
        <v>3903</v>
      </c>
      <c r="E2996" s="695">
        <v>4</v>
      </c>
      <c r="F2996" s="695" t="s">
        <v>5967</v>
      </c>
      <c r="G2996" s="695">
        <v>1</v>
      </c>
      <c r="H2996" s="695" t="s">
        <v>5968</v>
      </c>
      <c r="I2996" s="695">
        <v>370</v>
      </c>
      <c r="J2996" s="695" t="s">
        <v>9056</v>
      </c>
      <c r="K2996" s="695" t="s">
        <v>3907</v>
      </c>
      <c r="L2996" s="696">
        <v>6</v>
      </c>
      <c r="M2996" s="170"/>
    </row>
    <row r="2997" spans="2:13" x14ac:dyDescent="0.2">
      <c r="B2997" s="173"/>
      <c r="C2997" s="694">
        <v>1</v>
      </c>
      <c r="D2997" s="695" t="s">
        <v>3903</v>
      </c>
      <c r="E2997" s="695">
        <v>4</v>
      </c>
      <c r="F2997" s="695" t="s">
        <v>5967</v>
      </c>
      <c r="G2997" s="695">
        <v>1</v>
      </c>
      <c r="H2997" s="695" t="s">
        <v>5968</v>
      </c>
      <c r="I2997" s="695">
        <v>371</v>
      </c>
      <c r="J2997" s="695" t="s">
        <v>9057</v>
      </c>
      <c r="K2997" s="695" t="s">
        <v>3907</v>
      </c>
      <c r="L2997" s="696">
        <v>30</v>
      </c>
      <c r="M2997" s="170"/>
    </row>
    <row r="2998" spans="2:13" x14ac:dyDescent="0.2">
      <c r="B2998" s="173"/>
      <c r="C2998" s="694">
        <v>1</v>
      </c>
      <c r="D2998" s="695" t="s">
        <v>3903</v>
      </c>
      <c r="E2998" s="695">
        <v>4</v>
      </c>
      <c r="F2998" s="695" t="s">
        <v>5967</v>
      </c>
      <c r="G2998" s="695">
        <v>1</v>
      </c>
      <c r="H2998" s="695" t="s">
        <v>5968</v>
      </c>
      <c r="I2998" s="695">
        <v>372</v>
      </c>
      <c r="J2998" s="695" t="s">
        <v>9058</v>
      </c>
      <c r="K2998" s="695" t="s">
        <v>3907</v>
      </c>
      <c r="L2998" s="696">
        <v>12</v>
      </c>
      <c r="M2998" s="170"/>
    </row>
    <row r="2999" spans="2:13" x14ac:dyDescent="0.2">
      <c r="B2999" s="173"/>
      <c r="C2999" s="694">
        <v>1</v>
      </c>
      <c r="D2999" s="695" t="s">
        <v>3903</v>
      </c>
      <c r="E2999" s="695">
        <v>4</v>
      </c>
      <c r="F2999" s="695" t="s">
        <v>5967</v>
      </c>
      <c r="G2999" s="695">
        <v>1</v>
      </c>
      <c r="H2999" s="695" t="s">
        <v>5968</v>
      </c>
      <c r="I2999" s="695">
        <v>373</v>
      </c>
      <c r="J2999" s="695" t="s">
        <v>9059</v>
      </c>
      <c r="K2999" s="695" t="s">
        <v>3907</v>
      </c>
      <c r="L2999" s="696">
        <v>133</v>
      </c>
      <c r="M2999" s="170"/>
    </row>
    <row r="3000" spans="2:13" x14ac:dyDescent="0.2">
      <c r="B3000" s="173"/>
      <c r="C3000" s="694">
        <v>1</v>
      </c>
      <c r="D3000" s="695" t="s">
        <v>3903</v>
      </c>
      <c r="E3000" s="695">
        <v>4</v>
      </c>
      <c r="F3000" s="695" t="s">
        <v>5967</v>
      </c>
      <c r="G3000" s="695">
        <v>1</v>
      </c>
      <c r="H3000" s="695" t="s">
        <v>5968</v>
      </c>
      <c r="I3000" s="695">
        <v>374</v>
      </c>
      <c r="J3000" s="695" t="s">
        <v>9060</v>
      </c>
      <c r="K3000" s="695" t="s">
        <v>3907</v>
      </c>
      <c r="L3000" s="696">
        <v>10</v>
      </c>
      <c r="M3000" s="170"/>
    </row>
    <row r="3001" spans="2:13" x14ac:dyDescent="0.2">
      <c r="B3001" s="173"/>
      <c r="C3001" s="694">
        <v>1</v>
      </c>
      <c r="D3001" s="695" t="s">
        <v>3903</v>
      </c>
      <c r="E3001" s="695">
        <v>4</v>
      </c>
      <c r="F3001" s="695" t="s">
        <v>5967</v>
      </c>
      <c r="G3001" s="695">
        <v>1</v>
      </c>
      <c r="H3001" s="695" t="s">
        <v>5968</v>
      </c>
      <c r="I3001" s="695">
        <v>375</v>
      </c>
      <c r="J3001" s="695" t="s">
        <v>9061</v>
      </c>
      <c r="K3001" s="695" t="s">
        <v>3907</v>
      </c>
      <c r="L3001" s="696">
        <v>2</v>
      </c>
      <c r="M3001" s="170"/>
    </row>
    <row r="3002" spans="2:13" x14ac:dyDescent="0.2">
      <c r="B3002" s="173"/>
      <c r="C3002" s="694">
        <v>1</v>
      </c>
      <c r="D3002" s="695" t="s">
        <v>3903</v>
      </c>
      <c r="E3002" s="695">
        <v>4</v>
      </c>
      <c r="F3002" s="695" t="s">
        <v>5967</v>
      </c>
      <c r="G3002" s="695">
        <v>1</v>
      </c>
      <c r="H3002" s="695" t="s">
        <v>5968</v>
      </c>
      <c r="I3002" s="695">
        <v>376</v>
      </c>
      <c r="J3002" s="695" t="s">
        <v>9062</v>
      </c>
      <c r="K3002" s="695" t="s">
        <v>3907</v>
      </c>
      <c r="L3002" s="696">
        <v>14</v>
      </c>
      <c r="M3002" s="170"/>
    </row>
    <row r="3003" spans="2:13" x14ac:dyDescent="0.2">
      <c r="B3003" s="173"/>
      <c r="C3003" s="694">
        <v>1</v>
      </c>
      <c r="D3003" s="695" t="s">
        <v>3903</v>
      </c>
      <c r="E3003" s="695">
        <v>4</v>
      </c>
      <c r="F3003" s="695" t="s">
        <v>5967</v>
      </c>
      <c r="G3003" s="695">
        <v>1</v>
      </c>
      <c r="H3003" s="695" t="s">
        <v>5968</v>
      </c>
      <c r="I3003" s="695">
        <v>377</v>
      </c>
      <c r="J3003" s="695" t="s">
        <v>6888</v>
      </c>
      <c r="K3003" s="695" t="s">
        <v>3907</v>
      </c>
      <c r="L3003" s="696">
        <v>9</v>
      </c>
      <c r="M3003" s="170"/>
    </row>
    <row r="3004" spans="2:13" x14ac:dyDescent="0.2">
      <c r="B3004" s="173"/>
      <c r="C3004" s="694">
        <v>1</v>
      </c>
      <c r="D3004" s="695" t="s">
        <v>3903</v>
      </c>
      <c r="E3004" s="695">
        <v>4</v>
      </c>
      <c r="F3004" s="695" t="s">
        <v>5967</v>
      </c>
      <c r="G3004" s="695">
        <v>1</v>
      </c>
      <c r="H3004" s="695" t="s">
        <v>5968</v>
      </c>
      <c r="I3004" s="695">
        <v>378</v>
      </c>
      <c r="J3004" s="695" t="s">
        <v>9063</v>
      </c>
      <c r="K3004" s="695" t="s">
        <v>3907</v>
      </c>
      <c r="L3004" s="696">
        <v>6</v>
      </c>
      <c r="M3004" s="170"/>
    </row>
    <row r="3005" spans="2:13" x14ac:dyDescent="0.2">
      <c r="B3005" s="173"/>
      <c r="C3005" s="694">
        <v>1</v>
      </c>
      <c r="D3005" s="695" t="s">
        <v>3903</v>
      </c>
      <c r="E3005" s="695">
        <v>4</v>
      </c>
      <c r="F3005" s="695" t="s">
        <v>5967</v>
      </c>
      <c r="G3005" s="695">
        <v>1</v>
      </c>
      <c r="H3005" s="695" t="s">
        <v>5968</v>
      </c>
      <c r="I3005" s="695">
        <v>379</v>
      </c>
      <c r="J3005" s="695" t="s">
        <v>9064</v>
      </c>
      <c r="K3005" s="695" t="s">
        <v>3907</v>
      </c>
      <c r="L3005" s="696">
        <v>4</v>
      </c>
      <c r="M3005" s="170"/>
    </row>
    <row r="3006" spans="2:13" x14ac:dyDescent="0.2">
      <c r="B3006" s="173"/>
      <c r="C3006" s="694">
        <v>1</v>
      </c>
      <c r="D3006" s="695" t="s">
        <v>3903</v>
      </c>
      <c r="E3006" s="695">
        <v>4</v>
      </c>
      <c r="F3006" s="695" t="s">
        <v>5967</v>
      </c>
      <c r="G3006" s="695">
        <v>1</v>
      </c>
      <c r="H3006" s="695" t="s">
        <v>5968</v>
      </c>
      <c r="I3006" s="695">
        <v>380</v>
      </c>
      <c r="J3006" s="695" t="s">
        <v>9065</v>
      </c>
      <c r="K3006" s="695" t="s">
        <v>4117</v>
      </c>
      <c r="L3006" s="696">
        <v>5</v>
      </c>
      <c r="M3006" s="170"/>
    </row>
    <row r="3007" spans="2:13" x14ac:dyDescent="0.2">
      <c r="B3007" s="173"/>
      <c r="C3007" s="694">
        <v>1</v>
      </c>
      <c r="D3007" s="695" t="s">
        <v>3903</v>
      </c>
      <c r="E3007" s="695">
        <v>4</v>
      </c>
      <c r="F3007" s="695" t="s">
        <v>5967</v>
      </c>
      <c r="G3007" s="695">
        <v>1</v>
      </c>
      <c r="H3007" s="695" t="s">
        <v>5968</v>
      </c>
      <c r="I3007" s="695">
        <v>381</v>
      </c>
      <c r="J3007" s="695" t="s">
        <v>9066</v>
      </c>
      <c r="K3007" s="695" t="s">
        <v>3907</v>
      </c>
      <c r="L3007" s="696">
        <v>4</v>
      </c>
      <c r="M3007" s="170"/>
    </row>
    <row r="3008" spans="2:13" x14ac:dyDescent="0.2">
      <c r="B3008" s="173"/>
      <c r="C3008" s="694">
        <v>1</v>
      </c>
      <c r="D3008" s="695" t="s">
        <v>3903</v>
      </c>
      <c r="E3008" s="695">
        <v>4</v>
      </c>
      <c r="F3008" s="695" t="s">
        <v>5967</v>
      </c>
      <c r="G3008" s="695">
        <v>1</v>
      </c>
      <c r="H3008" s="695" t="s">
        <v>5968</v>
      </c>
      <c r="I3008" s="695">
        <v>382</v>
      </c>
      <c r="J3008" s="695" t="s">
        <v>9067</v>
      </c>
      <c r="K3008" s="695" t="s">
        <v>3907</v>
      </c>
      <c r="L3008" s="696">
        <v>1</v>
      </c>
      <c r="M3008" s="170"/>
    </row>
    <row r="3009" spans="2:13" x14ac:dyDescent="0.2">
      <c r="B3009" s="173"/>
      <c r="C3009" s="694">
        <v>1</v>
      </c>
      <c r="D3009" s="695" t="s">
        <v>3903</v>
      </c>
      <c r="E3009" s="695">
        <v>4</v>
      </c>
      <c r="F3009" s="695" t="s">
        <v>5967</v>
      </c>
      <c r="G3009" s="695">
        <v>1</v>
      </c>
      <c r="H3009" s="695" t="s">
        <v>5968</v>
      </c>
      <c r="I3009" s="695">
        <v>383</v>
      </c>
      <c r="J3009" s="695" t="s">
        <v>9068</v>
      </c>
      <c r="K3009" s="695" t="s">
        <v>3907</v>
      </c>
      <c r="L3009" s="696">
        <v>7</v>
      </c>
      <c r="M3009" s="170"/>
    </row>
    <row r="3010" spans="2:13" x14ac:dyDescent="0.2">
      <c r="B3010" s="173"/>
      <c r="C3010" s="694">
        <v>1</v>
      </c>
      <c r="D3010" s="695" t="s">
        <v>3903</v>
      </c>
      <c r="E3010" s="695">
        <v>4</v>
      </c>
      <c r="F3010" s="695" t="s">
        <v>5967</v>
      </c>
      <c r="G3010" s="695">
        <v>1</v>
      </c>
      <c r="H3010" s="695" t="s">
        <v>5968</v>
      </c>
      <c r="I3010" s="695">
        <v>384</v>
      </c>
      <c r="J3010" s="695" t="s">
        <v>9069</v>
      </c>
      <c r="K3010" s="695" t="s">
        <v>3907</v>
      </c>
      <c r="L3010" s="696">
        <v>1</v>
      </c>
      <c r="M3010" s="170"/>
    </row>
    <row r="3011" spans="2:13" x14ac:dyDescent="0.2">
      <c r="B3011" s="173"/>
      <c r="C3011" s="694">
        <v>1</v>
      </c>
      <c r="D3011" s="695" t="s">
        <v>3903</v>
      </c>
      <c r="E3011" s="695">
        <v>4</v>
      </c>
      <c r="F3011" s="695" t="s">
        <v>5967</v>
      </c>
      <c r="G3011" s="695">
        <v>1</v>
      </c>
      <c r="H3011" s="695" t="s">
        <v>5968</v>
      </c>
      <c r="I3011" s="695">
        <v>385</v>
      </c>
      <c r="J3011" s="695" t="s">
        <v>9070</v>
      </c>
      <c r="K3011" s="695" t="s">
        <v>3907</v>
      </c>
      <c r="L3011" s="696">
        <v>19</v>
      </c>
      <c r="M3011" s="170"/>
    </row>
    <row r="3012" spans="2:13" x14ac:dyDescent="0.2">
      <c r="B3012" s="173"/>
      <c r="C3012" s="694">
        <v>1</v>
      </c>
      <c r="D3012" s="695" t="s">
        <v>3903</v>
      </c>
      <c r="E3012" s="695">
        <v>4</v>
      </c>
      <c r="F3012" s="695" t="s">
        <v>5967</v>
      </c>
      <c r="G3012" s="695">
        <v>1</v>
      </c>
      <c r="H3012" s="695" t="s">
        <v>5968</v>
      </c>
      <c r="I3012" s="695">
        <v>386</v>
      </c>
      <c r="J3012" s="695" t="s">
        <v>9071</v>
      </c>
      <c r="K3012" s="695" t="s">
        <v>3907</v>
      </c>
      <c r="L3012" s="696">
        <v>9</v>
      </c>
      <c r="M3012" s="170"/>
    </row>
    <row r="3013" spans="2:13" x14ac:dyDescent="0.2">
      <c r="B3013" s="173"/>
      <c r="C3013" s="694">
        <v>1</v>
      </c>
      <c r="D3013" s="695" t="s">
        <v>3903</v>
      </c>
      <c r="E3013" s="695">
        <v>4</v>
      </c>
      <c r="F3013" s="695" t="s">
        <v>5967</v>
      </c>
      <c r="G3013" s="695">
        <v>1</v>
      </c>
      <c r="H3013" s="695" t="s">
        <v>5968</v>
      </c>
      <c r="I3013" s="695">
        <v>387</v>
      </c>
      <c r="J3013" s="695" t="s">
        <v>9072</v>
      </c>
      <c r="K3013" s="695" t="s">
        <v>3907</v>
      </c>
      <c r="L3013" s="696">
        <v>1</v>
      </c>
      <c r="M3013" s="170"/>
    </row>
    <row r="3014" spans="2:13" x14ac:dyDescent="0.2">
      <c r="B3014" s="173"/>
      <c r="C3014" s="694">
        <v>1</v>
      </c>
      <c r="D3014" s="695" t="s">
        <v>3903</v>
      </c>
      <c r="E3014" s="695">
        <v>4</v>
      </c>
      <c r="F3014" s="695" t="s">
        <v>5967</v>
      </c>
      <c r="G3014" s="695">
        <v>1</v>
      </c>
      <c r="H3014" s="695" t="s">
        <v>5968</v>
      </c>
      <c r="I3014" s="695">
        <v>388</v>
      </c>
      <c r="J3014" s="695" t="s">
        <v>9073</v>
      </c>
      <c r="K3014" s="695" t="s">
        <v>3907</v>
      </c>
      <c r="L3014" s="696">
        <v>1</v>
      </c>
      <c r="M3014" s="170"/>
    </row>
    <row r="3015" spans="2:13" x14ac:dyDescent="0.2">
      <c r="B3015" s="173"/>
      <c r="C3015" s="694">
        <v>1</v>
      </c>
      <c r="D3015" s="695" t="s">
        <v>3903</v>
      </c>
      <c r="E3015" s="695">
        <v>4</v>
      </c>
      <c r="F3015" s="695" t="s">
        <v>5967</v>
      </c>
      <c r="G3015" s="695">
        <v>1</v>
      </c>
      <c r="H3015" s="695" t="s">
        <v>5968</v>
      </c>
      <c r="I3015" s="695">
        <v>389</v>
      </c>
      <c r="J3015" s="695" t="s">
        <v>9074</v>
      </c>
      <c r="K3015" s="695" t="s">
        <v>3907</v>
      </c>
      <c r="L3015" s="696">
        <v>0</v>
      </c>
      <c r="M3015" s="170"/>
    </row>
    <row r="3016" spans="2:13" x14ac:dyDescent="0.2">
      <c r="B3016" s="173"/>
      <c r="C3016" s="694">
        <v>1</v>
      </c>
      <c r="D3016" s="695" t="s">
        <v>3903</v>
      </c>
      <c r="E3016" s="695">
        <v>4</v>
      </c>
      <c r="F3016" s="695" t="s">
        <v>5967</v>
      </c>
      <c r="G3016" s="695">
        <v>1</v>
      </c>
      <c r="H3016" s="695" t="s">
        <v>5968</v>
      </c>
      <c r="I3016" s="695">
        <v>390</v>
      </c>
      <c r="J3016" s="695" t="s">
        <v>9075</v>
      </c>
      <c r="K3016" s="695" t="s">
        <v>3907</v>
      </c>
      <c r="L3016" s="696">
        <v>5</v>
      </c>
      <c r="M3016" s="170"/>
    </row>
    <row r="3017" spans="2:13" x14ac:dyDescent="0.2">
      <c r="B3017" s="173"/>
      <c r="C3017" s="694">
        <v>1</v>
      </c>
      <c r="D3017" s="695" t="s">
        <v>3903</v>
      </c>
      <c r="E3017" s="695">
        <v>4</v>
      </c>
      <c r="F3017" s="695" t="s">
        <v>5967</v>
      </c>
      <c r="G3017" s="695">
        <v>1</v>
      </c>
      <c r="H3017" s="695" t="s">
        <v>5968</v>
      </c>
      <c r="I3017" s="695">
        <v>391</v>
      </c>
      <c r="J3017" s="695" t="s">
        <v>9076</v>
      </c>
      <c r="K3017" s="695" t="s">
        <v>3907</v>
      </c>
      <c r="L3017" s="696">
        <v>1</v>
      </c>
      <c r="M3017" s="170"/>
    </row>
    <row r="3018" spans="2:13" x14ac:dyDescent="0.2">
      <c r="B3018" s="173"/>
      <c r="C3018" s="694">
        <v>1</v>
      </c>
      <c r="D3018" s="695" t="s">
        <v>3903</v>
      </c>
      <c r="E3018" s="695">
        <v>4</v>
      </c>
      <c r="F3018" s="695" t="s">
        <v>5967</v>
      </c>
      <c r="G3018" s="695">
        <v>1</v>
      </c>
      <c r="H3018" s="695" t="s">
        <v>5968</v>
      </c>
      <c r="I3018" s="695">
        <v>392</v>
      </c>
      <c r="J3018" s="695" t="s">
        <v>9077</v>
      </c>
      <c r="K3018" s="695" t="s">
        <v>3907</v>
      </c>
      <c r="L3018" s="696">
        <v>6</v>
      </c>
      <c r="M3018" s="170"/>
    </row>
    <row r="3019" spans="2:13" x14ac:dyDescent="0.2">
      <c r="B3019" s="173"/>
      <c r="C3019" s="694">
        <v>1</v>
      </c>
      <c r="D3019" s="695" t="s">
        <v>3903</v>
      </c>
      <c r="E3019" s="695">
        <v>4</v>
      </c>
      <c r="F3019" s="695" t="s">
        <v>5967</v>
      </c>
      <c r="G3019" s="695">
        <v>1</v>
      </c>
      <c r="H3019" s="695" t="s">
        <v>5968</v>
      </c>
      <c r="I3019" s="695">
        <v>394</v>
      </c>
      <c r="J3019" s="695" t="s">
        <v>9078</v>
      </c>
      <c r="K3019" s="695" t="s">
        <v>3907</v>
      </c>
      <c r="L3019" s="696">
        <v>1</v>
      </c>
      <c r="M3019" s="170"/>
    </row>
    <row r="3020" spans="2:13" x14ac:dyDescent="0.2">
      <c r="B3020" s="173"/>
      <c r="C3020" s="694">
        <v>1</v>
      </c>
      <c r="D3020" s="695" t="s">
        <v>3903</v>
      </c>
      <c r="E3020" s="695">
        <v>4</v>
      </c>
      <c r="F3020" s="695" t="s">
        <v>5967</v>
      </c>
      <c r="G3020" s="695">
        <v>1</v>
      </c>
      <c r="H3020" s="695" t="s">
        <v>5968</v>
      </c>
      <c r="I3020" s="695">
        <v>395</v>
      </c>
      <c r="J3020" s="695" t="s">
        <v>9079</v>
      </c>
      <c r="K3020" s="695" t="s">
        <v>3907</v>
      </c>
      <c r="L3020" s="696">
        <v>3</v>
      </c>
      <c r="M3020" s="170"/>
    </row>
    <row r="3021" spans="2:13" x14ac:dyDescent="0.2">
      <c r="B3021" s="173"/>
      <c r="C3021" s="694">
        <v>1</v>
      </c>
      <c r="D3021" s="695" t="s">
        <v>3903</v>
      </c>
      <c r="E3021" s="695">
        <v>4</v>
      </c>
      <c r="F3021" s="695" t="s">
        <v>5967</v>
      </c>
      <c r="G3021" s="695">
        <v>1</v>
      </c>
      <c r="H3021" s="695" t="s">
        <v>5968</v>
      </c>
      <c r="I3021" s="695">
        <v>396</v>
      </c>
      <c r="J3021" s="695" t="s">
        <v>9080</v>
      </c>
      <c r="K3021" s="695" t="s">
        <v>3985</v>
      </c>
      <c r="L3021" s="696">
        <v>0</v>
      </c>
      <c r="M3021" s="170"/>
    </row>
    <row r="3022" spans="2:13" x14ac:dyDescent="0.2">
      <c r="B3022" s="173"/>
      <c r="C3022" s="694">
        <v>1</v>
      </c>
      <c r="D3022" s="695" t="s">
        <v>3903</v>
      </c>
      <c r="E3022" s="695">
        <v>4</v>
      </c>
      <c r="F3022" s="695" t="s">
        <v>5967</v>
      </c>
      <c r="G3022" s="695">
        <v>1</v>
      </c>
      <c r="H3022" s="695" t="s">
        <v>5968</v>
      </c>
      <c r="I3022" s="695">
        <v>397</v>
      </c>
      <c r="J3022" s="695" t="s">
        <v>9081</v>
      </c>
      <c r="K3022" s="695" t="s">
        <v>8544</v>
      </c>
      <c r="L3022" s="696">
        <v>3</v>
      </c>
      <c r="M3022" s="170"/>
    </row>
    <row r="3023" spans="2:13" x14ac:dyDescent="0.2">
      <c r="B3023" s="173"/>
      <c r="C3023" s="694">
        <v>1</v>
      </c>
      <c r="D3023" s="695" t="s">
        <v>3903</v>
      </c>
      <c r="E3023" s="695">
        <v>4</v>
      </c>
      <c r="F3023" s="695" t="s">
        <v>5967</v>
      </c>
      <c r="G3023" s="695">
        <v>1</v>
      </c>
      <c r="H3023" s="695" t="s">
        <v>5968</v>
      </c>
      <c r="I3023" s="695">
        <v>398</v>
      </c>
      <c r="J3023" s="695" t="s">
        <v>9082</v>
      </c>
      <c r="K3023" s="695" t="s">
        <v>8544</v>
      </c>
      <c r="L3023" s="696">
        <v>3</v>
      </c>
      <c r="M3023" s="170"/>
    </row>
    <row r="3024" spans="2:13" x14ac:dyDescent="0.2">
      <c r="B3024" s="173"/>
      <c r="C3024" s="694">
        <v>1</v>
      </c>
      <c r="D3024" s="695" t="s">
        <v>3903</v>
      </c>
      <c r="E3024" s="695">
        <v>4</v>
      </c>
      <c r="F3024" s="695" t="s">
        <v>5967</v>
      </c>
      <c r="G3024" s="695">
        <v>1</v>
      </c>
      <c r="H3024" s="695" t="s">
        <v>5968</v>
      </c>
      <c r="I3024" s="695">
        <v>399</v>
      </c>
      <c r="J3024" s="695" t="s">
        <v>9083</v>
      </c>
      <c r="K3024" s="695" t="s">
        <v>8544</v>
      </c>
      <c r="L3024" s="696">
        <v>1</v>
      </c>
      <c r="M3024" s="170"/>
    </row>
    <row r="3025" spans="2:13" x14ac:dyDescent="0.2">
      <c r="B3025" s="173"/>
      <c r="C3025" s="694">
        <v>1</v>
      </c>
      <c r="D3025" s="695" t="s">
        <v>3903</v>
      </c>
      <c r="E3025" s="695">
        <v>4</v>
      </c>
      <c r="F3025" s="695" t="s">
        <v>5967</v>
      </c>
      <c r="G3025" s="695">
        <v>1</v>
      </c>
      <c r="H3025" s="695" t="s">
        <v>5968</v>
      </c>
      <c r="I3025" s="695">
        <v>400</v>
      </c>
      <c r="J3025" s="695" t="s">
        <v>9051</v>
      </c>
      <c r="K3025" s="695" t="s">
        <v>8544</v>
      </c>
      <c r="L3025" s="696">
        <v>1</v>
      </c>
      <c r="M3025" s="170"/>
    </row>
    <row r="3026" spans="2:13" x14ac:dyDescent="0.2">
      <c r="B3026" s="173"/>
      <c r="C3026" s="694">
        <v>1</v>
      </c>
      <c r="D3026" s="695" t="s">
        <v>3903</v>
      </c>
      <c r="E3026" s="695">
        <v>4</v>
      </c>
      <c r="F3026" s="695" t="s">
        <v>5967</v>
      </c>
      <c r="G3026" s="695">
        <v>1</v>
      </c>
      <c r="H3026" s="695" t="s">
        <v>5968</v>
      </c>
      <c r="I3026" s="695">
        <v>401</v>
      </c>
      <c r="J3026" s="695" t="s">
        <v>9084</v>
      </c>
      <c r="K3026" s="695" t="s">
        <v>8544</v>
      </c>
      <c r="L3026" s="696">
        <v>1</v>
      </c>
      <c r="M3026" s="170"/>
    </row>
    <row r="3027" spans="2:13" x14ac:dyDescent="0.2">
      <c r="B3027" s="173"/>
      <c r="C3027" s="694">
        <v>1</v>
      </c>
      <c r="D3027" s="695" t="s">
        <v>3903</v>
      </c>
      <c r="E3027" s="695">
        <v>4</v>
      </c>
      <c r="F3027" s="695" t="s">
        <v>5967</v>
      </c>
      <c r="G3027" s="695">
        <v>1</v>
      </c>
      <c r="H3027" s="695" t="s">
        <v>5968</v>
      </c>
      <c r="I3027" s="695">
        <v>402</v>
      </c>
      <c r="J3027" s="695" t="s">
        <v>9085</v>
      </c>
      <c r="K3027" s="695" t="s">
        <v>8544</v>
      </c>
      <c r="L3027" s="696">
        <v>0</v>
      </c>
      <c r="M3027" s="170"/>
    </row>
    <row r="3028" spans="2:13" x14ac:dyDescent="0.2">
      <c r="B3028" s="173"/>
      <c r="C3028" s="694">
        <v>1</v>
      </c>
      <c r="D3028" s="695" t="s">
        <v>3903</v>
      </c>
      <c r="E3028" s="695">
        <v>4</v>
      </c>
      <c r="F3028" s="695" t="s">
        <v>5967</v>
      </c>
      <c r="G3028" s="695">
        <v>1</v>
      </c>
      <c r="H3028" s="695" t="s">
        <v>5968</v>
      </c>
      <c r="I3028" s="695">
        <v>403</v>
      </c>
      <c r="J3028" s="695" t="s">
        <v>9086</v>
      </c>
      <c r="K3028" s="695" t="s">
        <v>8544</v>
      </c>
      <c r="L3028" s="696">
        <v>1</v>
      </c>
      <c r="M3028" s="170"/>
    </row>
    <row r="3029" spans="2:13" x14ac:dyDescent="0.2">
      <c r="B3029" s="173"/>
      <c r="C3029" s="694">
        <v>1</v>
      </c>
      <c r="D3029" s="695" t="s">
        <v>3903</v>
      </c>
      <c r="E3029" s="695">
        <v>4</v>
      </c>
      <c r="F3029" s="695" t="s">
        <v>5967</v>
      </c>
      <c r="G3029" s="695">
        <v>1</v>
      </c>
      <c r="H3029" s="695" t="s">
        <v>5968</v>
      </c>
      <c r="I3029" s="695">
        <v>404</v>
      </c>
      <c r="J3029" s="695" t="s">
        <v>5980</v>
      </c>
      <c r="K3029" s="695" t="s">
        <v>8544</v>
      </c>
      <c r="L3029" s="696">
        <v>2</v>
      </c>
      <c r="M3029" s="170"/>
    </row>
    <row r="3030" spans="2:13" x14ac:dyDescent="0.2">
      <c r="B3030" s="173"/>
      <c r="C3030" s="694">
        <v>1</v>
      </c>
      <c r="D3030" s="695" t="s">
        <v>3903</v>
      </c>
      <c r="E3030" s="695">
        <v>4</v>
      </c>
      <c r="F3030" s="695" t="s">
        <v>5967</v>
      </c>
      <c r="G3030" s="695">
        <v>1</v>
      </c>
      <c r="H3030" s="695" t="s">
        <v>5968</v>
      </c>
      <c r="I3030" s="695">
        <v>405</v>
      </c>
      <c r="J3030" s="695" t="s">
        <v>9087</v>
      </c>
      <c r="K3030" s="695" t="s">
        <v>8544</v>
      </c>
      <c r="L3030" s="696">
        <v>4</v>
      </c>
      <c r="M3030" s="170"/>
    </row>
    <row r="3031" spans="2:13" x14ac:dyDescent="0.2">
      <c r="B3031" s="173"/>
      <c r="C3031" s="694">
        <v>1</v>
      </c>
      <c r="D3031" s="695" t="s">
        <v>3903</v>
      </c>
      <c r="E3031" s="695">
        <v>4</v>
      </c>
      <c r="F3031" s="695" t="s">
        <v>5967</v>
      </c>
      <c r="G3031" s="695">
        <v>1</v>
      </c>
      <c r="H3031" s="695" t="s">
        <v>5968</v>
      </c>
      <c r="I3031" s="695">
        <v>406</v>
      </c>
      <c r="J3031" s="695" t="s">
        <v>9088</v>
      </c>
      <c r="K3031" s="695" t="s">
        <v>8544</v>
      </c>
      <c r="L3031" s="696">
        <v>1</v>
      </c>
      <c r="M3031" s="170"/>
    </row>
    <row r="3032" spans="2:13" x14ac:dyDescent="0.2">
      <c r="B3032" s="173"/>
      <c r="C3032" s="694">
        <v>1</v>
      </c>
      <c r="D3032" s="695" t="s">
        <v>3903</v>
      </c>
      <c r="E3032" s="695">
        <v>4</v>
      </c>
      <c r="F3032" s="695" t="s">
        <v>5967</v>
      </c>
      <c r="G3032" s="695">
        <v>1</v>
      </c>
      <c r="H3032" s="695" t="s">
        <v>5968</v>
      </c>
      <c r="I3032" s="695">
        <v>407</v>
      </c>
      <c r="J3032" s="695" t="s">
        <v>9089</v>
      </c>
      <c r="K3032" s="695" t="s">
        <v>3985</v>
      </c>
      <c r="L3032" s="696">
        <v>0</v>
      </c>
      <c r="M3032" s="170"/>
    </row>
    <row r="3033" spans="2:13" x14ac:dyDescent="0.2">
      <c r="B3033" s="173"/>
      <c r="C3033" s="694">
        <v>1</v>
      </c>
      <c r="D3033" s="695" t="s">
        <v>3903</v>
      </c>
      <c r="E3033" s="695">
        <v>4</v>
      </c>
      <c r="F3033" s="695" t="s">
        <v>5967</v>
      </c>
      <c r="G3033" s="695">
        <v>1</v>
      </c>
      <c r="H3033" s="695" t="s">
        <v>5968</v>
      </c>
      <c r="I3033" s="695">
        <v>408</v>
      </c>
      <c r="J3033" s="695" t="s">
        <v>9090</v>
      </c>
      <c r="K3033" s="695" t="s">
        <v>3985</v>
      </c>
      <c r="L3033" s="696">
        <v>0</v>
      </c>
      <c r="M3033" s="170"/>
    </row>
    <row r="3034" spans="2:13" x14ac:dyDescent="0.2">
      <c r="B3034" s="173"/>
      <c r="C3034" s="694">
        <v>1</v>
      </c>
      <c r="D3034" s="695" t="s">
        <v>3903</v>
      </c>
      <c r="E3034" s="695">
        <v>4</v>
      </c>
      <c r="F3034" s="695" t="s">
        <v>5967</v>
      </c>
      <c r="G3034" s="695">
        <v>1</v>
      </c>
      <c r="H3034" s="695" t="s">
        <v>5968</v>
      </c>
      <c r="I3034" s="695">
        <v>409</v>
      </c>
      <c r="J3034" s="695" t="s">
        <v>9091</v>
      </c>
      <c r="K3034" s="695" t="s">
        <v>8544</v>
      </c>
      <c r="L3034" s="696">
        <v>1</v>
      </c>
      <c r="M3034" s="170"/>
    </row>
    <row r="3035" spans="2:13" x14ac:dyDescent="0.2">
      <c r="B3035" s="173"/>
      <c r="C3035" s="694">
        <v>1</v>
      </c>
      <c r="D3035" s="695" t="s">
        <v>3903</v>
      </c>
      <c r="E3035" s="695">
        <v>4</v>
      </c>
      <c r="F3035" s="695" t="s">
        <v>5967</v>
      </c>
      <c r="G3035" s="695">
        <v>1</v>
      </c>
      <c r="H3035" s="695" t="s">
        <v>5968</v>
      </c>
      <c r="I3035" s="695">
        <v>410</v>
      </c>
      <c r="J3035" s="695" t="s">
        <v>9092</v>
      </c>
      <c r="K3035" s="695" t="s">
        <v>8544</v>
      </c>
      <c r="L3035" s="696">
        <v>1</v>
      </c>
      <c r="M3035" s="170"/>
    </row>
    <row r="3036" spans="2:13" x14ac:dyDescent="0.2">
      <c r="B3036" s="173"/>
      <c r="C3036" s="694">
        <v>1</v>
      </c>
      <c r="D3036" s="695" t="s">
        <v>3903</v>
      </c>
      <c r="E3036" s="695">
        <v>4</v>
      </c>
      <c r="F3036" s="695" t="s">
        <v>5967</v>
      </c>
      <c r="G3036" s="695">
        <v>1</v>
      </c>
      <c r="H3036" s="695" t="s">
        <v>5968</v>
      </c>
      <c r="I3036" s="695">
        <v>411</v>
      </c>
      <c r="J3036" s="695" t="s">
        <v>9093</v>
      </c>
      <c r="K3036" s="695" t="s">
        <v>8544</v>
      </c>
      <c r="L3036" s="696">
        <v>2</v>
      </c>
      <c r="M3036" s="170"/>
    </row>
    <row r="3037" spans="2:13" x14ac:dyDescent="0.2">
      <c r="B3037" s="173"/>
      <c r="C3037" s="694">
        <v>1</v>
      </c>
      <c r="D3037" s="695" t="s">
        <v>3903</v>
      </c>
      <c r="E3037" s="695">
        <v>4</v>
      </c>
      <c r="F3037" s="695" t="s">
        <v>5967</v>
      </c>
      <c r="G3037" s="695">
        <v>1</v>
      </c>
      <c r="H3037" s="695" t="s">
        <v>5968</v>
      </c>
      <c r="I3037" s="695">
        <v>412</v>
      </c>
      <c r="J3037" s="695" t="s">
        <v>9094</v>
      </c>
      <c r="K3037" s="695" t="s">
        <v>3985</v>
      </c>
      <c r="L3037" s="696">
        <v>1</v>
      </c>
      <c r="M3037" s="170"/>
    </row>
    <row r="3038" spans="2:13" x14ac:dyDescent="0.2">
      <c r="B3038" s="173"/>
      <c r="C3038" s="694">
        <v>1</v>
      </c>
      <c r="D3038" s="695" t="s">
        <v>3903</v>
      </c>
      <c r="E3038" s="695">
        <v>4</v>
      </c>
      <c r="F3038" s="695" t="s">
        <v>5967</v>
      </c>
      <c r="G3038" s="695">
        <v>1</v>
      </c>
      <c r="H3038" s="695" t="s">
        <v>5968</v>
      </c>
      <c r="I3038" s="695">
        <v>413</v>
      </c>
      <c r="J3038" s="695" t="s">
        <v>9095</v>
      </c>
      <c r="K3038" s="695" t="s">
        <v>8544</v>
      </c>
      <c r="L3038" s="696">
        <v>3</v>
      </c>
      <c r="M3038" s="170"/>
    </row>
    <row r="3039" spans="2:13" x14ac:dyDescent="0.2">
      <c r="B3039" s="173"/>
      <c r="C3039" s="694">
        <v>1</v>
      </c>
      <c r="D3039" s="695" t="s">
        <v>3903</v>
      </c>
      <c r="E3039" s="695">
        <v>4</v>
      </c>
      <c r="F3039" s="695" t="s">
        <v>5967</v>
      </c>
      <c r="G3039" s="695">
        <v>1</v>
      </c>
      <c r="H3039" s="695" t="s">
        <v>5968</v>
      </c>
      <c r="I3039" s="695">
        <v>414</v>
      </c>
      <c r="J3039" s="695" t="s">
        <v>9096</v>
      </c>
      <c r="K3039" s="695" t="s">
        <v>8544</v>
      </c>
      <c r="L3039" s="696">
        <v>2</v>
      </c>
      <c r="M3039" s="170"/>
    </row>
    <row r="3040" spans="2:13" x14ac:dyDescent="0.2">
      <c r="B3040" s="173"/>
      <c r="C3040" s="694">
        <v>1</v>
      </c>
      <c r="D3040" s="695" t="s">
        <v>3903</v>
      </c>
      <c r="E3040" s="695">
        <v>4</v>
      </c>
      <c r="F3040" s="695" t="s">
        <v>5967</v>
      </c>
      <c r="G3040" s="695">
        <v>1</v>
      </c>
      <c r="H3040" s="695" t="s">
        <v>5968</v>
      </c>
      <c r="I3040" s="695">
        <v>415</v>
      </c>
      <c r="J3040" s="695" t="s">
        <v>9097</v>
      </c>
      <c r="K3040" s="695" t="s">
        <v>8544</v>
      </c>
      <c r="L3040" s="696">
        <v>2</v>
      </c>
      <c r="M3040" s="170"/>
    </row>
    <row r="3041" spans="2:13" x14ac:dyDescent="0.2">
      <c r="B3041" s="173"/>
      <c r="C3041" s="694">
        <v>1</v>
      </c>
      <c r="D3041" s="695" t="s">
        <v>3903</v>
      </c>
      <c r="E3041" s="695">
        <v>4</v>
      </c>
      <c r="F3041" s="695" t="s">
        <v>5967</v>
      </c>
      <c r="G3041" s="695">
        <v>1</v>
      </c>
      <c r="H3041" s="695" t="s">
        <v>5968</v>
      </c>
      <c r="I3041" s="695">
        <v>416</v>
      </c>
      <c r="J3041" s="695" t="s">
        <v>9098</v>
      </c>
      <c r="K3041" s="695" t="s">
        <v>3907</v>
      </c>
      <c r="L3041" s="696">
        <v>1</v>
      </c>
      <c r="M3041" s="170"/>
    </row>
    <row r="3042" spans="2:13" x14ac:dyDescent="0.2">
      <c r="B3042" s="173"/>
      <c r="C3042" s="694">
        <v>1</v>
      </c>
      <c r="D3042" s="695" t="s">
        <v>3903</v>
      </c>
      <c r="E3042" s="695">
        <v>4</v>
      </c>
      <c r="F3042" s="695" t="s">
        <v>5967</v>
      </c>
      <c r="G3042" s="695">
        <v>1</v>
      </c>
      <c r="H3042" s="695" t="s">
        <v>5968</v>
      </c>
      <c r="I3042" s="695">
        <v>417</v>
      </c>
      <c r="J3042" s="695" t="s">
        <v>9099</v>
      </c>
      <c r="K3042" s="695" t="s">
        <v>8544</v>
      </c>
      <c r="L3042" s="696">
        <v>8</v>
      </c>
      <c r="M3042" s="170"/>
    </row>
    <row r="3043" spans="2:13" x14ac:dyDescent="0.2">
      <c r="B3043" s="173"/>
      <c r="C3043" s="694">
        <v>1</v>
      </c>
      <c r="D3043" s="695" t="s">
        <v>3903</v>
      </c>
      <c r="E3043" s="695">
        <v>4</v>
      </c>
      <c r="F3043" s="695" t="s">
        <v>5967</v>
      </c>
      <c r="G3043" s="695">
        <v>1</v>
      </c>
      <c r="H3043" s="695" t="s">
        <v>5968</v>
      </c>
      <c r="I3043" s="695">
        <v>418</v>
      </c>
      <c r="J3043" s="695" t="s">
        <v>9100</v>
      </c>
      <c r="K3043" s="695" t="s">
        <v>3907</v>
      </c>
      <c r="L3043" s="696">
        <v>1</v>
      </c>
      <c r="M3043" s="170"/>
    </row>
    <row r="3044" spans="2:13" x14ac:dyDescent="0.2">
      <c r="B3044" s="173"/>
      <c r="C3044" s="694">
        <v>1</v>
      </c>
      <c r="D3044" s="695" t="s">
        <v>3903</v>
      </c>
      <c r="E3044" s="695">
        <v>4</v>
      </c>
      <c r="F3044" s="695" t="s">
        <v>5967</v>
      </c>
      <c r="G3044" s="695">
        <v>1</v>
      </c>
      <c r="H3044" s="695" t="s">
        <v>5968</v>
      </c>
      <c r="I3044" s="695">
        <v>419</v>
      </c>
      <c r="J3044" s="695" t="s">
        <v>9101</v>
      </c>
      <c r="K3044" s="695" t="s">
        <v>3907</v>
      </c>
      <c r="L3044" s="696">
        <v>1</v>
      </c>
      <c r="M3044" s="170"/>
    </row>
    <row r="3045" spans="2:13" x14ac:dyDescent="0.2">
      <c r="B3045" s="173"/>
      <c r="C3045" s="694">
        <v>1</v>
      </c>
      <c r="D3045" s="695" t="s">
        <v>3903</v>
      </c>
      <c r="E3045" s="695">
        <v>4</v>
      </c>
      <c r="F3045" s="695" t="s">
        <v>5967</v>
      </c>
      <c r="G3045" s="695">
        <v>1</v>
      </c>
      <c r="H3045" s="695" t="s">
        <v>5968</v>
      </c>
      <c r="I3045" s="695">
        <v>420</v>
      </c>
      <c r="J3045" s="695" t="s">
        <v>9102</v>
      </c>
      <c r="K3045" s="695" t="s">
        <v>3907</v>
      </c>
      <c r="L3045" s="696">
        <v>1</v>
      </c>
      <c r="M3045" s="170"/>
    </row>
    <row r="3046" spans="2:13" x14ac:dyDescent="0.2">
      <c r="B3046" s="173"/>
      <c r="C3046" s="694">
        <v>1</v>
      </c>
      <c r="D3046" s="695" t="s">
        <v>3903</v>
      </c>
      <c r="E3046" s="695">
        <v>4</v>
      </c>
      <c r="F3046" s="695" t="s">
        <v>5967</v>
      </c>
      <c r="G3046" s="695">
        <v>1</v>
      </c>
      <c r="H3046" s="695" t="s">
        <v>5968</v>
      </c>
      <c r="I3046" s="695">
        <v>421</v>
      </c>
      <c r="J3046" s="695" t="s">
        <v>9103</v>
      </c>
      <c r="K3046" s="695" t="s">
        <v>3907</v>
      </c>
      <c r="L3046" s="696">
        <v>0</v>
      </c>
      <c r="M3046" s="170"/>
    </row>
    <row r="3047" spans="2:13" x14ac:dyDescent="0.2">
      <c r="B3047" s="173"/>
      <c r="C3047" s="694">
        <v>1</v>
      </c>
      <c r="D3047" s="695" t="s">
        <v>3903</v>
      </c>
      <c r="E3047" s="695">
        <v>4</v>
      </c>
      <c r="F3047" s="695" t="s">
        <v>5967</v>
      </c>
      <c r="G3047" s="695">
        <v>1</v>
      </c>
      <c r="H3047" s="695" t="s">
        <v>5968</v>
      </c>
      <c r="I3047" s="695">
        <v>422</v>
      </c>
      <c r="J3047" s="695" t="s">
        <v>9104</v>
      </c>
      <c r="K3047" s="695" t="s">
        <v>8544</v>
      </c>
      <c r="L3047" s="696">
        <v>1</v>
      </c>
      <c r="M3047" s="170"/>
    </row>
    <row r="3048" spans="2:13" x14ac:dyDescent="0.2">
      <c r="B3048" s="173"/>
      <c r="C3048" s="694">
        <v>1</v>
      </c>
      <c r="D3048" s="695" t="s">
        <v>3903</v>
      </c>
      <c r="E3048" s="695">
        <v>4</v>
      </c>
      <c r="F3048" s="695" t="s">
        <v>5967</v>
      </c>
      <c r="G3048" s="695">
        <v>1</v>
      </c>
      <c r="H3048" s="695" t="s">
        <v>5968</v>
      </c>
      <c r="I3048" s="695">
        <v>423</v>
      </c>
      <c r="J3048" s="695" t="s">
        <v>9105</v>
      </c>
      <c r="K3048" s="695" t="s">
        <v>4057</v>
      </c>
      <c r="L3048" s="696">
        <v>2</v>
      </c>
      <c r="M3048" s="170"/>
    </row>
    <row r="3049" spans="2:13" x14ac:dyDescent="0.2">
      <c r="B3049" s="173"/>
      <c r="C3049" s="694">
        <v>1</v>
      </c>
      <c r="D3049" s="695" t="s">
        <v>3903</v>
      </c>
      <c r="E3049" s="695">
        <v>4</v>
      </c>
      <c r="F3049" s="695" t="s">
        <v>5967</v>
      </c>
      <c r="G3049" s="695">
        <v>1</v>
      </c>
      <c r="H3049" s="695" t="s">
        <v>5968</v>
      </c>
      <c r="I3049" s="695">
        <v>424</v>
      </c>
      <c r="J3049" s="695" t="s">
        <v>9106</v>
      </c>
      <c r="K3049" s="695" t="s">
        <v>8544</v>
      </c>
      <c r="L3049" s="696">
        <v>1</v>
      </c>
      <c r="M3049" s="170"/>
    </row>
    <row r="3050" spans="2:13" x14ac:dyDescent="0.2">
      <c r="B3050" s="173"/>
      <c r="C3050" s="694">
        <v>1</v>
      </c>
      <c r="D3050" s="695" t="s">
        <v>3903</v>
      </c>
      <c r="E3050" s="695">
        <v>4</v>
      </c>
      <c r="F3050" s="695" t="s">
        <v>5967</v>
      </c>
      <c r="G3050" s="695">
        <v>1</v>
      </c>
      <c r="H3050" s="695" t="s">
        <v>5968</v>
      </c>
      <c r="I3050" s="695">
        <v>425</v>
      </c>
      <c r="J3050" s="695" t="s">
        <v>9107</v>
      </c>
      <c r="K3050" s="695" t="s">
        <v>8544</v>
      </c>
      <c r="L3050" s="696">
        <v>1</v>
      </c>
      <c r="M3050" s="170"/>
    </row>
    <row r="3051" spans="2:13" x14ac:dyDescent="0.2">
      <c r="B3051" s="173"/>
      <c r="C3051" s="694">
        <v>1</v>
      </c>
      <c r="D3051" s="695" t="s">
        <v>3903</v>
      </c>
      <c r="E3051" s="695">
        <v>4</v>
      </c>
      <c r="F3051" s="695" t="s">
        <v>5967</v>
      </c>
      <c r="G3051" s="695">
        <v>1</v>
      </c>
      <c r="H3051" s="695" t="s">
        <v>5968</v>
      </c>
      <c r="I3051" s="695">
        <v>426</v>
      </c>
      <c r="J3051" s="695" t="s">
        <v>9108</v>
      </c>
      <c r="K3051" s="695" t="s">
        <v>8544</v>
      </c>
      <c r="L3051" s="696">
        <v>2</v>
      </c>
      <c r="M3051" s="170"/>
    </row>
    <row r="3052" spans="2:13" x14ac:dyDescent="0.2">
      <c r="B3052" s="173"/>
      <c r="C3052" s="694">
        <v>1</v>
      </c>
      <c r="D3052" s="695" t="s">
        <v>3903</v>
      </c>
      <c r="E3052" s="695">
        <v>4</v>
      </c>
      <c r="F3052" s="695" t="s">
        <v>5967</v>
      </c>
      <c r="G3052" s="695">
        <v>1</v>
      </c>
      <c r="H3052" s="695" t="s">
        <v>5968</v>
      </c>
      <c r="I3052" s="695">
        <v>427</v>
      </c>
      <c r="J3052" s="695" t="s">
        <v>9109</v>
      </c>
      <c r="K3052" s="695" t="s">
        <v>8544</v>
      </c>
      <c r="L3052" s="696">
        <v>1</v>
      </c>
      <c r="M3052" s="170"/>
    </row>
    <row r="3053" spans="2:13" x14ac:dyDescent="0.2">
      <c r="B3053" s="173"/>
      <c r="C3053" s="694">
        <v>1</v>
      </c>
      <c r="D3053" s="695" t="s">
        <v>3903</v>
      </c>
      <c r="E3053" s="695">
        <v>4</v>
      </c>
      <c r="F3053" s="695" t="s">
        <v>5967</v>
      </c>
      <c r="G3053" s="695">
        <v>1</v>
      </c>
      <c r="H3053" s="695" t="s">
        <v>5968</v>
      </c>
      <c r="I3053" s="695">
        <v>428</v>
      </c>
      <c r="J3053" s="695" t="s">
        <v>9110</v>
      </c>
      <c r="K3053" s="695" t="s">
        <v>4057</v>
      </c>
      <c r="L3053" s="696">
        <v>0</v>
      </c>
      <c r="M3053" s="170"/>
    </row>
    <row r="3054" spans="2:13" x14ac:dyDescent="0.2">
      <c r="B3054" s="173"/>
      <c r="C3054" s="694">
        <v>1</v>
      </c>
      <c r="D3054" s="695" t="s">
        <v>3903</v>
      </c>
      <c r="E3054" s="695">
        <v>4</v>
      </c>
      <c r="F3054" s="695" t="s">
        <v>5967</v>
      </c>
      <c r="G3054" s="695">
        <v>1</v>
      </c>
      <c r="H3054" s="695" t="s">
        <v>5968</v>
      </c>
      <c r="I3054" s="695">
        <v>429</v>
      </c>
      <c r="J3054" s="695" t="s">
        <v>9111</v>
      </c>
      <c r="K3054" s="695" t="s">
        <v>8544</v>
      </c>
      <c r="L3054" s="696">
        <v>0</v>
      </c>
      <c r="M3054" s="170"/>
    </row>
    <row r="3055" spans="2:13" x14ac:dyDescent="0.2">
      <c r="B3055" s="173"/>
      <c r="C3055" s="694">
        <v>1</v>
      </c>
      <c r="D3055" s="695" t="s">
        <v>3903</v>
      </c>
      <c r="E3055" s="695">
        <v>4</v>
      </c>
      <c r="F3055" s="695" t="s">
        <v>5967</v>
      </c>
      <c r="G3055" s="695">
        <v>1</v>
      </c>
      <c r="H3055" s="695" t="s">
        <v>5968</v>
      </c>
      <c r="I3055" s="695">
        <v>430</v>
      </c>
      <c r="J3055" s="695" t="s">
        <v>9112</v>
      </c>
      <c r="K3055" s="695" t="s">
        <v>3985</v>
      </c>
      <c r="L3055" s="696">
        <v>1</v>
      </c>
      <c r="M3055" s="170"/>
    </row>
    <row r="3056" spans="2:13" x14ac:dyDescent="0.2">
      <c r="B3056" s="173"/>
      <c r="C3056" s="694">
        <v>1</v>
      </c>
      <c r="D3056" s="695" t="s">
        <v>3903</v>
      </c>
      <c r="E3056" s="695">
        <v>4</v>
      </c>
      <c r="F3056" s="695" t="s">
        <v>5967</v>
      </c>
      <c r="G3056" s="695">
        <v>1</v>
      </c>
      <c r="H3056" s="695" t="s">
        <v>5968</v>
      </c>
      <c r="I3056" s="695">
        <v>431</v>
      </c>
      <c r="J3056" s="695" t="s">
        <v>9113</v>
      </c>
      <c r="K3056" s="695" t="s">
        <v>3907</v>
      </c>
      <c r="L3056" s="696">
        <v>1</v>
      </c>
      <c r="M3056" s="170"/>
    </row>
    <row r="3057" spans="2:13" x14ac:dyDescent="0.2">
      <c r="B3057" s="173"/>
      <c r="C3057" s="694">
        <v>1</v>
      </c>
      <c r="D3057" s="695" t="s">
        <v>3903</v>
      </c>
      <c r="E3057" s="695">
        <v>4</v>
      </c>
      <c r="F3057" s="695" t="s">
        <v>5967</v>
      </c>
      <c r="G3057" s="695">
        <v>1</v>
      </c>
      <c r="H3057" s="695" t="s">
        <v>5968</v>
      </c>
      <c r="I3057" s="695">
        <v>432</v>
      </c>
      <c r="J3057" s="695" t="s">
        <v>9114</v>
      </c>
      <c r="K3057" s="695" t="s">
        <v>3907</v>
      </c>
      <c r="L3057" s="696">
        <v>1</v>
      </c>
      <c r="M3057" s="170"/>
    </row>
    <row r="3058" spans="2:13" x14ac:dyDescent="0.2">
      <c r="B3058" s="173"/>
      <c r="C3058" s="694">
        <v>1</v>
      </c>
      <c r="D3058" s="695" t="s">
        <v>3903</v>
      </c>
      <c r="E3058" s="695">
        <v>4</v>
      </c>
      <c r="F3058" s="695" t="s">
        <v>5967</v>
      </c>
      <c r="G3058" s="695">
        <v>1</v>
      </c>
      <c r="H3058" s="695" t="s">
        <v>5968</v>
      </c>
      <c r="I3058" s="695">
        <v>433</v>
      </c>
      <c r="J3058" s="695" t="s">
        <v>9115</v>
      </c>
      <c r="K3058" s="695" t="s">
        <v>8544</v>
      </c>
      <c r="L3058" s="696">
        <v>1</v>
      </c>
      <c r="M3058" s="170"/>
    </row>
    <row r="3059" spans="2:13" x14ac:dyDescent="0.2">
      <c r="B3059" s="173"/>
      <c r="C3059" s="694">
        <v>1</v>
      </c>
      <c r="D3059" s="695" t="s">
        <v>3903</v>
      </c>
      <c r="E3059" s="695">
        <v>4</v>
      </c>
      <c r="F3059" s="695" t="s">
        <v>5967</v>
      </c>
      <c r="G3059" s="695">
        <v>1</v>
      </c>
      <c r="H3059" s="695" t="s">
        <v>5968</v>
      </c>
      <c r="I3059" s="695">
        <v>434</v>
      </c>
      <c r="J3059" s="695" t="s">
        <v>9116</v>
      </c>
      <c r="K3059" s="695" t="s">
        <v>8544</v>
      </c>
      <c r="L3059" s="696">
        <v>1</v>
      </c>
      <c r="M3059" s="170"/>
    </row>
    <row r="3060" spans="2:13" x14ac:dyDescent="0.2">
      <c r="B3060" s="173"/>
      <c r="C3060" s="694">
        <v>1</v>
      </c>
      <c r="D3060" s="695" t="s">
        <v>3903</v>
      </c>
      <c r="E3060" s="695">
        <v>4</v>
      </c>
      <c r="F3060" s="695" t="s">
        <v>5967</v>
      </c>
      <c r="G3060" s="695">
        <v>1</v>
      </c>
      <c r="H3060" s="695" t="s">
        <v>5968</v>
      </c>
      <c r="I3060" s="695">
        <v>435</v>
      </c>
      <c r="J3060" s="695" t="s">
        <v>9117</v>
      </c>
      <c r="K3060" s="695" t="s">
        <v>8544</v>
      </c>
      <c r="L3060" s="696">
        <v>1</v>
      </c>
      <c r="M3060" s="170"/>
    </row>
    <row r="3061" spans="2:13" x14ac:dyDescent="0.2">
      <c r="B3061" s="173"/>
      <c r="C3061" s="694">
        <v>1</v>
      </c>
      <c r="D3061" s="695" t="s">
        <v>3903</v>
      </c>
      <c r="E3061" s="695">
        <v>4</v>
      </c>
      <c r="F3061" s="695" t="s">
        <v>5967</v>
      </c>
      <c r="G3061" s="695">
        <v>1</v>
      </c>
      <c r="H3061" s="695" t="s">
        <v>5968</v>
      </c>
      <c r="I3061" s="695">
        <v>436</v>
      </c>
      <c r="J3061" s="695" t="s">
        <v>9118</v>
      </c>
      <c r="K3061" s="695" t="s">
        <v>8544</v>
      </c>
      <c r="L3061" s="696">
        <v>0</v>
      </c>
      <c r="M3061" s="170"/>
    </row>
    <row r="3062" spans="2:13" x14ac:dyDescent="0.2">
      <c r="B3062" s="173"/>
      <c r="C3062" s="694">
        <v>1</v>
      </c>
      <c r="D3062" s="695" t="s">
        <v>3903</v>
      </c>
      <c r="E3062" s="695">
        <v>4</v>
      </c>
      <c r="F3062" s="695" t="s">
        <v>5967</v>
      </c>
      <c r="G3062" s="695">
        <v>1</v>
      </c>
      <c r="H3062" s="695" t="s">
        <v>5968</v>
      </c>
      <c r="I3062" s="695">
        <v>437</v>
      </c>
      <c r="J3062" s="695" t="s">
        <v>9119</v>
      </c>
      <c r="K3062" s="695" t="s">
        <v>8544</v>
      </c>
      <c r="L3062" s="696">
        <v>0</v>
      </c>
      <c r="M3062" s="170"/>
    </row>
    <row r="3063" spans="2:13" x14ac:dyDescent="0.2">
      <c r="B3063" s="173"/>
      <c r="C3063" s="694">
        <v>1</v>
      </c>
      <c r="D3063" s="695" t="s">
        <v>3903</v>
      </c>
      <c r="E3063" s="695">
        <v>4</v>
      </c>
      <c r="F3063" s="695" t="s">
        <v>5967</v>
      </c>
      <c r="G3063" s="695">
        <v>1</v>
      </c>
      <c r="H3063" s="695" t="s">
        <v>5968</v>
      </c>
      <c r="I3063" s="695">
        <v>438</v>
      </c>
      <c r="J3063" s="695" t="s">
        <v>9120</v>
      </c>
      <c r="K3063" s="695" t="s">
        <v>8544</v>
      </c>
      <c r="L3063" s="696">
        <v>0</v>
      </c>
      <c r="M3063" s="170"/>
    </row>
    <row r="3064" spans="2:13" x14ac:dyDescent="0.2">
      <c r="B3064" s="173"/>
      <c r="C3064" s="694">
        <v>1</v>
      </c>
      <c r="D3064" s="695" t="s">
        <v>3903</v>
      </c>
      <c r="E3064" s="695">
        <v>4</v>
      </c>
      <c r="F3064" s="695" t="s">
        <v>5967</v>
      </c>
      <c r="G3064" s="695">
        <v>2</v>
      </c>
      <c r="H3064" s="695" t="s">
        <v>6298</v>
      </c>
      <c r="I3064" s="695">
        <v>1</v>
      </c>
      <c r="J3064" s="695" t="s">
        <v>6299</v>
      </c>
      <c r="K3064" s="695" t="s">
        <v>3907</v>
      </c>
      <c r="L3064" s="696">
        <v>1330</v>
      </c>
      <c r="M3064" s="170"/>
    </row>
    <row r="3065" spans="2:13" x14ac:dyDescent="0.2">
      <c r="B3065" s="173"/>
      <c r="C3065" s="694">
        <v>1</v>
      </c>
      <c r="D3065" s="695" t="s">
        <v>3903</v>
      </c>
      <c r="E3065" s="695">
        <v>4</v>
      </c>
      <c r="F3065" s="695" t="s">
        <v>5967</v>
      </c>
      <c r="G3065" s="695">
        <v>2</v>
      </c>
      <c r="H3065" s="695" t="s">
        <v>6298</v>
      </c>
      <c r="I3065" s="695">
        <v>2</v>
      </c>
      <c r="J3065" s="695" t="s">
        <v>6300</v>
      </c>
      <c r="K3065" s="695" t="s">
        <v>3907</v>
      </c>
      <c r="L3065" s="696">
        <v>13</v>
      </c>
      <c r="M3065" s="170"/>
    </row>
    <row r="3066" spans="2:13" x14ac:dyDescent="0.2">
      <c r="B3066" s="173"/>
      <c r="C3066" s="694">
        <v>1</v>
      </c>
      <c r="D3066" s="695" t="s">
        <v>3903</v>
      </c>
      <c r="E3066" s="695">
        <v>4</v>
      </c>
      <c r="F3066" s="695" t="s">
        <v>5967</v>
      </c>
      <c r="G3066" s="695">
        <v>2</v>
      </c>
      <c r="H3066" s="695" t="s">
        <v>6298</v>
      </c>
      <c r="I3066" s="695">
        <v>3</v>
      </c>
      <c r="J3066" s="695" t="s">
        <v>6301</v>
      </c>
      <c r="K3066" s="695" t="s">
        <v>3907</v>
      </c>
      <c r="L3066" s="696">
        <v>4</v>
      </c>
      <c r="M3066" s="170"/>
    </row>
    <row r="3067" spans="2:13" x14ac:dyDescent="0.2">
      <c r="B3067" s="173"/>
      <c r="C3067" s="694">
        <v>1</v>
      </c>
      <c r="D3067" s="695" t="s">
        <v>3903</v>
      </c>
      <c r="E3067" s="695">
        <v>4</v>
      </c>
      <c r="F3067" s="695" t="s">
        <v>5967</v>
      </c>
      <c r="G3067" s="695">
        <v>2</v>
      </c>
      <c r="H3067" s="695" t="s">
        <v>6298</v>
      </c>
      <c r="I3067" s="695">
        <v>4</v>
      </c>
      <c r="J3067" s="695" t="s">
        <v>6302</v>
      </c>
      <c r="K3067" s="695" t="s">
        <v>3907</v>
      </c>
      <c r="L3067" s="696">
        <v>0</v>
      </c>
      <c r="M3067" s="170"/>
    </row>
    <row r="3068" spans="2:13" x14ac:dyDescent="0.2">
      <c r="B3068" s="173"/>
      <c r="C3068" s="694">
        <v>1</v>
      </c>
      <c r="D3068" s="695" t="s">
        <v>3903</v>
      </c>
      <c r="E3068" s="695">
        <v>4</v>
      </c>
      <c r="F3068" s="695" t="s">
        <v>5967</v>
      </c>
      <c r="G3068" s="695">
        <v>2</v>
      </c>
      <c r="H3068" s="695" t="s">
        <v>6298</v>
      </c>
      <c r="I3068" s="695">
        <v>5</v>
      </c>
      <c r="J3068" s="695" t="s">
        <v>6303</v>
      </c>
      <c r="K3068" s="695" t="s">
        <v>3907</v>
      </c>
      <c r="L3068" s="696">
        <v>2</v>
      </c>
      <c r="M3068" s="170"/>
    </row>
    <row r="3069" spans="2:13" x14ac:dyDescent="0.2">
      <c r="B3069" s="173"/>
      <c r="C3069" s="694">
        <v>1</v>
      </c>
      <c r="D3069" s="695" t="s">
        <v>3903</v>
      </c>
      <c r="E3069" s="695">
        <v>4</v>
      </c>
      <c r="F3069" s="695" t="s">
        <v>5967</v>
      </c>
      <c r="G3069" s="695">
        <v>2</v>
      </c>
      <c r="H3069" s="695" t="s">
        <v>6298</v>
      </c>
      <c r="I3069" s="695">
        <v>6</v>
      </c>
      <c r="J3069" s="695" t="s">
        <v>6304</v>
      </c>
      <c r="K3069" s="695" t="s">
        <v>3907</v>
      </c>
      <c r="L3069" s="696">
        <v>16</v>
      </c>
      <c r="M3069" s="170"/>
    </row>
    <row r="3070" spans="2:13" x14ac:dyDescent="0.2">
      <c r="B3070" s="173"/>
      <c r="C3070" s="694">
        <v>1</v>
      </c>
      <c r="D3070" s="695" t="s">
        <v>3903</v>
      </c>
      <c r="E3070" s="695">
        <v>4</v>
      </c>
      <c r="F3070" s="695" t="s">
        <v>5967</v>
      </c>
      <c r="G3070" s="695">
        <v>2</v>
      </c>
      <c r="H3070" s="695" t="s">
        <v>6298</v>
      </c>
      <c r="I3070" s="695">
        <v>8</v>
      </c>
      <c r="J3070" s="695" t="s">
        <v>6305</v>
      </c>
      <c r="K3070" s="695" t="s">
        <v>3907</v>
      </c>
      <c r="L3070" s="696">
        <v>0</v>
      </c>
      <c r="M3070" s="170"/>
    </row>
    <row r="3071" spans="2:13" x14ac:dyDescent="0.2">
      <c r="B3071" s="173"/>
      <c r="C3071" s="694">
        <v>1</v>
      </c>
      <c r="D3071" s="695" t="s">
        <v>3903</v>
      </c>
      <c r="E3071" s="695">
        <v>4</v>
      </c>
      <c r="F3071" s="695" t="s">
        <v>5967</v>
      </c>
      <c r="G3071" s="695">
        <v>2</v>
      </c>
      <c r="H3071" s="695" t="s">
        <v>6298</v>
      </c>
      <c r="I3071" s="695">
        <v>9</v>
      </c>
      <c r="J3071" s="695" t="s">
        <v>6306</v>
      </c>
      <c r="K3071" s="695" t="s">
        <v>3907</v>
      </c>
      <c r="L3071" s="696">
        <v>5</v>
      </c>
      <c r="M3071" s="170"/>
    </row>
    <row r="3072" spans="2:13" x14ac:dyDescent="0.2">
      <c r="B3072" s="173"/>
      <c r="C3072" s="694">
        <v>1</v>
      </c>
      <c r="D3072" s="695" t="s">
        <v>3903</v>
      </c>
      <c r="E3072" s="695">
        <v>4</v>
      </c>
      <c r="F3072" s="695" t="s">
        <v>5967</v>
      </c>
      <c r="G3072" s="695">
        <v>2</v>
      </c>
      <c r="H3072" s="695" t="s">
        <v>6298</v>
      </c>
      <c r="I3072" s="695">
        <v>10</v>
      </c>
      <c r="J3072" s="695" t="s">
        <v>6307</v>
      </c>
      <c r="K3072" s="695" t="s">
        <v>3907</v>
      </c>
      <c r="L3072" s="696">
        <v>1</v>
      </c>
      <c r="M3072" s="170"/>
    </row>
    <row r="3073" spans="2:13" x14ac:dyDescent="0.2">
      <c r="B3073" s="173"/>
      <c r="C3073" s="694">
        <v>1</v>
      </c>
      <c r="D3073" s="695" t="s">
        <v>3903</v>
      </c>
      <c r="E3073" s="695">
        <v>4</v>
      </c>
      <c r="F3073" s="695" t="s">
        <v>5967</v>
      </c>
      <c r="G3073" s="695">
        <v>2</v>
      </c>
      <c r="H3073" s="695" t="s">
        <v>6298</v>
      </c>
      <c r="I3073" s="695">
        <v>11</v>
      </c>
      <c r="J3073" s="695" t="s">
        <v>6308</v>
      </c>
      <c r="K3073" s="695" t="s">
        <v>3907</v>
      </c>
      <c r="L3073" s="696">
        <v>36</v>
      </c>
      <c r="M3073" s="170"/>
    </row>
    <row r="3074" spans="2:13" x14ac:dyDescent="0.2">
      <c r="B3074" s="173"/>
      <c r="C3074" s="694">
        <v>1</v>
      </c>
      <c r="D3074" s="695" t="s">
        <v>3903</v>
      </c>
      <c r="E3074" s="695">
        <v>4</v>
      </c>
      <c r="F3074" s="695" t="s">
        <v>5967</v>
      </c>
      <c r="G3074" s="695">
        <v>2</v>
      </c>
      <c r="H3074" s="695" t="s">
        <v>6298</v>
      </c>
      <c r="I3074" s="695">
        <v>12</v>
      </c>
      <c r="J3074" s="695" t="s">
        <v>6309</v>
      </c>
      <c r="K3074" s="695" t="s">
        <v>3907</v>
      </c>
      <c r="L3074" s="696">
        <v>18</v>
      </c>
      <c r="M3074" s="170"/>
    </row>
    <row r="3075" spans="2:13" x14ac:dyDescent="0.2">
      <c r="B3075" s="173"/>
      <c r="C3075" s="694">
        <v>1</v>
      </c>
      <c r="D3075" s="695" t="s">
        <v>3903</v>
      </c>
      <c r="E3075" s="695">
        <v>4</v>
      </c>
      <c r="F3075" s="695" t="s">
        <v>5967</v>
      </c>
      <c r="G3075" s="695">
        <v>2</v>
      </c>
      <c r="H3075" s="695" t="s">
        <v>6298</v>
      </c>
      <c r="I3075" s="695">
        <v>13</v>
      </c>
      <c r="J3075" s="695" t="s">
        <v>6310</v>
      </c>
      <c r="K3075" s="695" t="s">
        <v>3907</v>
      </c>
      <c r="L3075" s="696">
        <v>6</v>
      </c>
      <c r="M3075" s="170"/>
    </row>
    <row r="3076" spans="2:13" x14ac:dyDescent="0.2">
      <c r="B3076" s="173"/>
      <c r="C3076" s="694">
        <v>1</v>
      </c>
      <c r="D3076" s="695" t="s">
        <v>3903</v>
      </c>
      <c r="E3076" s="695">
        <v>4</v>
      </c>
      <c r="F3076" s="695" t="s">
        <v>5967</v>
      </c>
      <c r="G3076" s="695">
        <v>2</v>
      </c>
      <c r="H3076" s="695" t="s">
        <v>6298</v>
      </c>
      <c r="I3076" s="695">
        <v>14</v>
      </c>
      <c r="J3076" s="695" t="s">
        <v>6311</v>
      </c>
      <c r="K3076" s="695" t="s">
        <v>3907</v>
      </c>
      <c r="L3076" s="696">
        <v>36</v>
      </c>
      <c r="M3076" s="170"/>
    </row>
    <row r="3077" spans="2:13" x14ac:dyDescent="0.2">
      <c r="B3077" s="173"/>
      <c r="C3077" s="694">
        <v>1</v>
      </c>
      <c r="D3077" s="695" t="s">
        <v>3903</v>
      </c>
      <c r="E3077" s="695">
        <v>4</v>
      </c>
      <c r="F3077" s="695" t="s">
        <v>5967</v>
      </c>
      <c r="G3077" s="695">
        <v>2</v>
      </c>
      <c r="H3077" s="695" t="s">
        <v>6298</v>
      </c>
      <c r="I3077" s="695">
        <v>15</v>
      </c>
      <c r="J3077" s="695" t="s">
        <v>6312</v>
      </c>
      <c r="K3077" s="695" t="s">
        <v>3907</v>
      </c>
      <c r="L3077" s="696">
        <v>2308</v>
      </c>
      <c r="M3077" s="170"/>
    </row>
    <row r="3078" spans="2:13" x14ac:dyDescent="0.2">
      <c r="B3078" s="173"/>
      <c r="C3078" s="694">
        <v>1</v>
      </c>
      <c r="D3078" s="695" t="s">
        <v>3903</v>
      </c>
      <c r="E3078" s="695">
        <v>4</v>
      </c>
      <c r="F3078" s="695" t="s">
        <v>5967</v>
      </c>
      <c r="G3078" s="695">
        <v>2</v>
      </c>
      <c r="H3078" s="695" t="s">
        <v>6298</v>
      </c>
      <c r="I3078" s="695">
        <v>16</v>
      </c>
      <c r="J3078" s="695" t="s">
        <v>6313</v>
      </c>
      <c r="K3078" s="695" t="s">
        <v>3907</v>
      </c>
      <c r="L3078" s="696">
        <v>17</v>
      </c>
      <c r="M3078" s="170"/>
    </row>
    <row r="3079" spans="2:13" x14ac:dyDescent="0.2">
      <c r="B3079" s="173"/>
      <c r="C3079" s="694">
        <v>1</v>
      </c>
      <c r="D3079" s="695" t="s">
        <v>3903</v>
      </c>
      <c r="E3079" s="695">
        <v>4</v>
      </c>
      <c r="F3079" s="695" t="s">
        <v>5967</v>
      </c>
      <c r="G3079" s="695">
        <v>2</v>
      </c>
      <c r="H3079" s="695" t="s">
        <v>6298</v>
      </c>
      <c r="I3079" s="695">
        <v>17</v>
      </c>
      <c r="J3079" s="695" t="s">
        <v>6314</v>
      </c>
      <c r="K3079" s="695" t="s">
        <v>3907</v>
      </c>
      <c r="L3079" s="696">
        <v>6</v>
      </c>
      <c r="M3079" s="170"/>
    </row>
    <row r="3080" spans="2:13" x14ac:dyDescent="0.2">
      <c r="B3080" s="173"/>
      <c r="C3080" s="694">
        <v>1</v>
      </c>
      <c r="D3080" s="695" t="s">
        <v>3903</v>
      </c>
      <c r="E3080" s="695">
        <v>4</v>
      </c>
      <c r="F3080" s="695" t="s">
        <v>5967</v>
      </c>
      <c r="G3080" s="695">
        <v>2</v>
      </c>
      <c r="H3080" s="695" t="s">
        <v>6298</v>
      </c>
      <c r="I3080" s="695">
        <v>18</v>
      </c>
      <c r="J3080" s="695" t="s">
        <v>6315</v>
      </c>
      <c r="K3080" s="695" t="s">
        <v>3907</v>
      </c>
      <c r="L3080" s="696">
        <v>0</v>
      </c>
      <c r="M3080" s="170"/>
    </row>
    <row r="3081" spans="2:13" x14ac:dyDescent="0.2">
      <c r="B3081" s="173"/>
      <c r="C3081" s="694">
        <v>1</v>
      </c>
      <c r="D3081" s="695" t="s">
        <v>3903</v>
      </c>
      <c r="E3081" s="695">
        <v>4</v>
      </c>
      <c r="F3081" s="695" t="s">
        <v>5967</v>
      </c>
      <c r="G3081" s="695">
        <v>2</v>
      </c>
      <c r="H3081" s="695" t="s">
        <v>6298</v>
      </c>
      <c r="I3081" s="695">
        <v>19</v>
      </c>
      <c r="J3081" s="695" t="s">
        <v>6316</v>
      </c>
      <c r="K3081" s="695" t="s">
        <v>8544</v>
      </c>
      <c r="L3081" s="696">
        <v>8</v>
      </c>
      <c r="M3081" s="170"/>
    </row>
    <row r="3082" spans="2:13" x14ac:dyDescent="0.2">
      <c r="B3082" s="173"/>
      <c r="C3082" s="694">
        <v>1</v>
      </c>
      <c r="D3082" s="695" t="s">
        <v>3903</v>
      </c>
      <c r="E3082" s="695">
        <v>4</v>
      </c>
      <c r="F3082" s="695" t="s">
        <v>5967</v>
      </c>
      <c r="G3082" s="695">
        <v>2</v>
      </c>
      <c r="H3082" s="695" t="s">
        <v>6298</v>
      </c>
      <c r="I3082" s="695">
        <v>20</v>
      </c>
      <c r="J3082" s="695" t="s">
        <v>6317</v>
      </c>
      <c r="K3082" s="695" t="s">
        <v>3985</v>
      </c>
      <c r="L3082" s="696">
        <v>0</v>
      </c>
      <c r="M3082" s="170"/>
    </row>
    <row r="3083" spans="2:13" x14ac:dyDescent="0.2">
      <c r="B3083" s="173"/>
      <c r="C3083" s="694">
        <v>1</v>
      </c>
      <c r="D3083" s="695" t="s">
        <v>3903</v>
      </c>
      <c r="E3083" s="695">
        <v>4</v>
      </c>
      <c r="F3083" s="695" t="s">
        <v>5967</v>
      </c>
      <c r="G3083" s="695">
        <v>2</v>
      </c>
      <c r="H3083" s="695" t="s">
        <v>6298</v>
      </c>
      <c r="I3083" s="695">
        <v>21</v>
      </c>
      <c r="J3083" s="695" t="s">
        <v>6318</v>
      </c>
      <c r="K3083" s="695" t="s">
        <v>3907</v>
      </c>
      <c r="L3083" s="696">
        <v>4</v>
      </c>
      <c r="M3083" s="170"/>
    </row>
    <row r="3084" spans="2:13" x14ac:dyDescent="0.2">
      <c r="B3084" s="173"/>
      <c r="C3084" s="694">
        <v>1</v>
      </c>
      <c r="D3084" s="695" t="s">
        <v>3903</v>
      </c>
      <c r="E3084" s="695">
        <v>4</v>
      </c>
      <c r="F3084" s="695" t="s">
        <v>5967</v>
      </c>
      <c r="G3084" s="695">
        <v>2</v>
      </c>
      <c r="H3084" s="695" t="s">
        <v>6298</v>
      </c>
      <c r="I3084" s="695">
        <v>22</v>
      </c>
      <c r="J3084" s="695" t="s">
        <v>6319</v>
      </c>
      <c r="K3084" s="695" t="s">
        <v>8544</v>
      </c>
      <c r="L3084" s="696">
        <v>21</v>
      </c>
      <c r="M3084" s="170"/>
    </row>
    <row r="3085" spans="2:13" x14ac:dyDescent="0.2">
      <c r="B3085" s="173"/>
      <c r="C3085" s="694">
        <v>1</v>
      </c>
      <c r="D3085" s="695" t="s">
        <v>3903</v>
      </c>
      <c r="E3085" s="695">
        <v>4</v>
      </c>
      <c r="F3085" s="695" t="s">
        <v>5967</v>
      </c>
      <c r="G3085" s="695">
        <v>2</v>
      </c>
      <c r="H3085" s="695" t="s">
        <v>6298</v>
      </c>
      <c r="I3085" s="695">
        <v>23</v>
      </c>
      <c r="J3085" s="695" t="s">
        <v>6320</v>
      </c>
      <c r="K3085" s="695" t="s">
        <v>8544</v>
      </c>
      <c r="L3085" s="696">
        <v>21</v>
      </c>
      <c r="M3085" s="170"/>
    </row>
    <row r="3086" spans="2:13" x14ac:dyDescent="0.2">
      <c r="B3086" s="173"/>
      <c r="C3086" s="694">
        <v>1</v>
      </c>
      <c r="D3086" s="695" t="s">
        <v>3903</v>
      </c>
      <c r="E3086" s="695">
        <v>4</v>
      </c>
      <c r="F3086" s="695" t="s">
        <v>5967</v>
      </c>
      <c r="G3086" s="695">
        <v>2</v>
      </c>
      <c r="H3086" s="695" t="s">
        <v>6298</v>
      </c>
      <c r="I3086" s="695">
        <v>24</v>
      </c>
      <c r="J3086" s="695" t="s">
        <v>6321</v>
      </c>
      <c r="K3086" s="695" t="s">
        <v>8544</v>
      </c>
      <c r="L3086" s="696">
        <v>22</v>
      </c>
      <c r="M3086" s="170"/>
    </row>
    <row r="3087" spans="2:13" x14ac:dyDescent="0.2">
      <c r="B3087" s="173"/>
      <c r="C3087" s="694">
        <v>1</v>
      </c>
      <c r="D3087" s="695" t="s">
        <v>3903</v>
      </c>
      <c r="E3087" s="695">
        <v>4</v>
      </c>
      <c r="F3087" s="695" t="s">
        <v>5967</v>
      </c>
      <c r="G3087" s="695">
        <v>2</v>
      </c>
      <c r="H3087" s="695" t="s">
        <v>6298</v>
      </c>
      <c r="I3087" s="695">
        <v>25</v>
      </c>
      <c r="J3087" s="695" t="s">
        <v>6312</v>
      </c>
      <c r="K3087" s="695" t="s">
        <v>8544</v>
      </c>
      <c r="L3087" s="696">
        <v>133</v>
      </c>
      <c r="M3087" s="170"/>
    </row>
    <row r="3088" spans="2:13" x14ac:dyDescent="0.2">
      <c r="B3088" s="173"/>
      <c r="C3088" s="694">
        <v>1</v>
      </c>
      <c r="D3088" s="695" t="s">
        <v>3903</v>
      </c>
      <c r="E3088" s="695">
        <v>4</v>
      </c>
      <c r="F3088" s="695" t="s">
        <v>5967</v>
      </c>
      <c r="G3088" s="695">
        <v>2</v>
      </c>
      <c r="H3088" s="695" t="s">
        <v>6298</v>
      </c>
      <c r="I3088" s="695">
        <v>26</v>
      </c>
      <c r="J3088" s="695" t="s">
        <v>6322</v>
      </c>
      <c r="K3088" s="695" t="s">
        <v>8544</v>
      </c>
      <c r="L3088" s="696">
        <v>3</v>
      </c>
      <c r="M3088" s="170"/>
    </row>
    <row r="3089" spans="2:13" x14ac:dyDescent="0.2">
      <c r="B3089" s="173"/>
      <c r="C3089" s="694">
        <v>1</v>
      </c>
      <c r="D3089" s="695" t="s">
        <v>3903</v>
      </c>
      <c r="E3089" s="695">
        <v>4</v>
      </c>
      <c r="F3089" s="695" t="s">
        <v>5967</v>
      </c>
      <c r="G3089" s="695">
        <v>2</v>
      </c>
      <c r="H3089" s="695" t="s">
        <v>6298</v>
      </c>
      <c r="I3089" s="695">
        <v>27</v>
      </c>
      <c r="J3089" s="695" t="s">
        <v>6323</v>
      </c>
      <c r="K3089" s="695" t="s">
        <v>8544</v>
      </c>
      <c r="L3089" s="696">
        <v>12</v>
      </c>
      <c r="M3089" s="170"/>
    </row>
    <row r="3090" spans="2:13" x14ac:dyDescent="0.2">
      <c r="B3090" s="173"/>
      <c r="C3090" s="694">
        <v>1</v>
      </c>
      <c r="D3090" s="695" t="s">
        <v>3903</v>
      </c>
      <c r="E3090" s="695">
        <v>4</v>
      </c>
      <c r="F3090" s="695" t="s">
        <v>5967</v>
      </c>
      <c r="G3090" s="695">
        <v>2</v>
      </c>
      <c r="H3090" s="695" t="s">
        <v>6298</v>
      </c>
      <c r="I3090" s="695">
        <v>28</v>
      </c>
      <c r="J3090" s="695" t="s">
        <v>6324</v>
      </c>
      <c r="K3090" s="695" t="s">
        <v>8544</v>
      </c>
      <c r="L3090" s="696">
        <v>10</v>
      </c>
      <c r="M3090" s="170"/>
    </row>
    <row r="3091" spans="2:13" x14ac:dyDescent="0.2">
      <c r="B3091" s="173"/>
      <c r="C3091" s="694">
        <v>1</v>
      </c>
      <c r="D3091" s="695" t="s">
        <v>3903</v>
      </c>
      <c r="E3091" s="695">
        <v>4</v>
      </c>
      <c r="F3091" s="695" t="s">
        <v>5967</v>
      </c>
      <c r="G3091" s="695">
        <v>2</v>
      </c>
      <c r="H3091" s="695" t="s">
        <v>6298</v>
      </c>
      <c r="I3091" s="695">
        <v>29</v>
      </c>
      <c r="J3091" s="695" t="s">
        <v>6299</v>
      </c>
      <c r="K3091" s="695" t="s">
        <v>8544</v>
      </c>
      <c r="L3091" s="696">
        <v>61</v>
      </c>
      <c r="M3091" s="170"/>
    </row>
    <row r="3092" spans="2:13" x14ac:dyDescent="0.2">
      <c r="B3092" s="173"/>
      <c r="C3092" s="694">
        <v>1</v>
      </c>
      <c r="D3092" s="695" t="s">
        <v>3903</v>
      </c>
      <c r="E3092" s="695">
        <v>4</v>
      </c>
      <c r="F3092" s="695" t="s">
        <v>5967</v>
      </c>
      <c r="G3092" s="695">
        <v>2</v>
      </c>
      <c r="H3092" s="695" t="s">
        <v>6298</v>
      </c>
      <c r="I3092" s="695">
        <v>30</v>
      </c>
      <c r="J3092" s="695" t="s">
        <v>6325</v>
      </c>
      <c r="K3092" s="695" t="s">
        <v>8544</v>
      </c>
      <c r="L3092" s="696">
        <v>24</v>
      </c>
      <c r="M3092" s="170"/>
    </row>
    <row r="3093" spans="2:13" x14ac:dyDescent="0.2">
      <c r="B3093" s="173"/>
      <c r="C3093" s="694">
        <v>1</v>
      </c>
      <c r="D3093" s="695" t="s">
        <v>3903</v>
      </c>
      <c r="E3093" s="695">
        <v>4</v>
      </c>
      <c r="F3093" s="695" t="s">
        <v>5967</v>
      </c>
      <c r="G3093" s="695">
        <v>2</v>
      </c>
      <c r="H3093" s="695" t="s">
        <v>6298</v>
      </c>
      <c r="I3093" s="695">
        <v>31</v>
      </c>
      <c r="J3093" s="695" t="s">
        <v>6326</v>
      </c>
      <c r="K3093" s="695" t="s">
        <v>3907</v>
      </c>
      <c r="L3093" s="696">
        <v>35</v>
      </c>
      <c r="M3093" s="170"/>
    </row>
    <row r="3094" spans="2:13" x14ac:dyDescent="0.2">
      <c r="B3094" s="173"/>
      <c r="C3094" s="694">
        <v>1</v>
      </c>
      <c r="D3094" s="695" t="s">
        <v>3903</v>
      </c>
      <c r="E3094" s="695">
        <v>4</v>
      </c>
      <c r="F3094" s="695" t="s">
        <v>5967</v>
      </c>
      <c r="G3094" s="695">
        <v>2</v>
      </c>
      <c r="H3094" s="695" t="s">
        <v>6298</v>
      </c>
      <c r="I3094" s="695">
        <v>32</v>
      </c>
      <c r="J3094" s="695" t="s">
        <v>6327</v>
      </c>
      <c r="K3094" s="695" t="s">
        <v>8544</v>
      </c>
      <c r="L3094" s="696">
        <v>26</v>
      </c>
      <c r="M3094" s="170"/>
    </row>
    <row r="3095" spans="2:13" x14ac:dyDescent="0.2">
      <c r="B3095" s="173"/>
      <c r="C3095" s="694">
        <v>1</v>
      </c>
      <c r="D3095" s="695" t="s">
        <v>3903</v>
      </c>
      <c r="E3095" s="695">
        <v>4</v>
      </c>
      <c r="F3095" s="695" t="s">
        <v>5967</v>
      </c>
      <c r="G3095" s="695">
        <v>2</v>
      </c>
      <c r="H3095" s="695" t="s">
        <v>6298</v>
      </c>
      <c r="I3095" s="695">
        <v>33</v>
      </c>
      <c r="J3095" s="695" t="s">
        <v>6328</v>
      </c>
      <c r="K3095" s="695" t="s">
        <v>8544</v>
      </c>
      <c r="L3095" s="696">
        <v>6</v>
      </c>
      <c r="M3095" s="170"/>
    </row>
    <row r="3096" spans="2:13" x14ac:dyDescent="0.2">
      <c r="B3096" s="173"/>
      <c r="C3096" s="694">
        <v>1</v>
      </c>
      <c r="D3096" s="695" t="s">
        <v>3903</v>
      </c>
      <c r="E3096" s="695">
        <v>4</v>
      </c>
      <c r="F3096" s="695" t="s">
        <v>5967</v>
      </c>
      <c r="G3096" s="695">
        <v>2</v>
      </c>
      <c r="H3096" s="695" t="s">
        <v>6298</v>
      </c>
      <c r="I3096" s="695">
        <v>34</v>
      </c>
      <c r="J3096" s="695" t="s">
        <v>6329</v>
      </c>
      <c r="K3096" s="695" t="s">
        <v>3907</v>
      </c>
      <c r="L3096" s="696">
        <v>4</v>
      </c>
      <c r="M3096" s="170"/>
    </row>
    <row r="3097" spans="2:13" x14ac:dyDescent="0.2">
      <c r="B3097" s="173"/>
      <c r="C3097" s="694">
        <v>1</v>
      </c>
      <c r="D3097" s="695" t="s">
        <v>3903</v>
      </c>
      <c r="E3097" s="695">
        <v>4</v>
      </c>
      <c r="F3097" s="695" t="s">
        <v>5967</v>
      </c>
      <c r="G3097" s="695">
        <v>2</v>
      </c>
      <c r="H3097" s="695" t="s">
        <v>6298</v>
      </c>
      <c r="I3097" s="695">
        <v>35</v>
      </c>
      <c r="J3097" s="695" t="s">
        <v>6330</v>
      </c>
      <c r="K3097" s="695" t="s">
        <v>8544</v>
      </c>
      <c r="L3097" s="696">
        <v>16</v>
      </c>
      <c r="M3097" s="170"/>
    </row>
    <row r="3098" spans="2:13" x14ac:dyDescent="0.2">
      <c r="B3098" s="173"/>
      <c r="C3098" s="694">
        <v>1</v>
      </c>
      <c r="D3098" s="695" t="s">
        <v>3903</v>
      </c>
      <c r="E3098" s="695">
        <v>4</v>
      </c>
      <c r="F3098" s="695" t="s">
        <v>5967</v>
      </c>
      <c r="G3098" s="695">
        <v>2</v>
      </c>
      <c r="H3098" s="695" t="s">
        <v>6298</v>
      </c>
      <c r="I3098" s="695">
        <v>36</v>
      </c>
      <c r="J3098" s="695" t="s">
        <v>6331</v>
      </c>
      <c r="K3098" s="695" t="s">
        <v>8544</v>
      </c>
      <c r="L3098" s="696">
        <v>8</v>
      </c>
      <c r="M3098" s="170"/>
    </row>
    <row r="3099" spans="2:13" x14ac:dyDescent="0.2">
      <c r="B3099" s="173"/>
      <c r="C3099" s="694">
        <v>1</v>
      </c>
      <c r="D3099" s="695" t="s">
        <v>3903</v>
      </c>
      <c r="E3099" s="695">
        <v>4</v>
      </c>
      <c r="F3099" s="695" t="s">
        <v>5967</v>
      </c>
      <c r="G3099" s="695">
        <v>2</v>
      </c>
      <c r="H3099" s="695" t="s">
        <v>6298</v>
      </c>
      <c r="I3099" s="695">
        <v>37</v>
      </c>
      <c r="J3099" s="695" t="s">
        <v>6332</v>
      </c>
      <c r="K3099" s="695" t="s">
        <v>8544</v>
      </c>
      <c r="L3099" s="696">
        <v>4</v>
      </c>
      <c r="M3099" s="170"/>
    </row>
    <row r="3100" spans="2:13" x14ac:dyDescent="0.2">
      <c r="B3100" s="173"/>
      <c r="C3100" s="694">
        <v>1</v>
      </c>
      <c r="D3100" s="695" t="s">
        <v>3903</v>
      </c>
      <c r="E3100" s="695">
        <v>4</v>
      </c>
      <c r="F3100" s="695" t="s">
        <v>5967</v>
      </c>
      <c r="G3100" s="695">
        <v>2</v>
      </c>
      <c r="H3100" s="695" t="s">
        <v>6298</v>
      </c>
      <c r="I3100" s="695">
        <v>38</v>
      </c>
      <c r="J3100" s="695" t="s">
        <v>6333</v>
      </c>
      <c r="K3100" s="695" t="s">
        <v>8544</v>
      </c>
      <c r="L3100" s="696">
        <v>2</v>
      </c>
      <c r="M3100" s="170"/>
    </row>
    <row r="3101" spans="2:13" x14ac:dyDescent="0.2">
      <c r="B3101" s="173"/>
      <c r="C3101" s="694">
        <v>1</v>
      </c>
      <c r="D3101" s="695" t="s">
        <v>3903</v>
      </c>
      <c r="E3101" s="695">
        <v>4</v>
      </c>
      <c r="F3101" s="695" t="s">
        <v>5967</v>
      </c>
      <c r="G3101" s="695">
        <v>2</v>
      </c>
      <c r="H3101" s="695" t="s">
        <v>6298</v>
      </c>
      <c r="I3101" s="695">
        <v>39</v>
      </c>
      <c r="J3101" s="695" t="s">
        <v>6334</v>
      </c>
      <c r="K3101" s="695" t="s">
        <v>8544</v>
      </c>
      <c r="L3101" s="696">
        <v>2</v>
      </c>
      <c r="M3101" s="170"/>
    </row>
    <row r="3102" spans="2:13" x14ac:dyDescent="0.2">
      <c r="B3102" s="173"/>
      <c r="C3102" s="694">
        <v>1</v>
      </c>
      <c r="D3102" s="695" t="s">
        <v>3903</v>
      </c>
      <c r="E3102" s="695">
        <v>4</v>
      </c>
      <c r="F3102" s="695" t="s">
        <v>5967</v>
      </c>
      <c r="G3102" s="695">
        <v>2</v>
      </c>
      <c r="H3102" s="695" t="s">
        <v>6298</v>
      </c>
      <c r="I3102" s="695">
        <v>40</v>
      </c>
      <c r="J3102" s="695" t="s">
        <v>6335</v>
      </c>
      <c r="K3102" s="695" t="s">
        <v>8544</v>
      </c>
      <c r="L3102" s="696">
        <v>11</v>
      </c>
      <c r="M3102" s="170"/>
    </row>
    <row r="3103" spans="2:13" x14ac:dyDescent="0.2">
      <c r="B3103" s="173"/>
      <c r="C3103" s="694">
        <v>1</v>
      </c>
      <c r="D3103" s="695" t="s">
        <v>3903</v>
      </c>
      <c r="E3103" s="695">
        <v>4</v>
      </c>
      <c r="F3103" s="695" t="s">
        <v>5967</v>
      </c>
      <c r="G3103" s="695">
        <v>2</v>
      </c>
      <c r="H3103" s="695" t="s">
        <v>6298</v>
      </c>
      <c r="I3103" s="695">
        <v>41</v>
      </c>
      <c r="J3103" s="695" t="s">
        <v>6336</v>
      </c>
      <c r="K3103" s="695" t="s">
        <v>3907</v>
      </c>
      <c r="L3103" s="696">
        <v>5</v>
      </c>
      <c r="M3103" s="170"/>
    </row>
    <row r="3104" spans="2:13" x14ac:dyDescent="0.2">
      <c r="B3104" s="173"/>
      <c r="C3104" s="694">
        <v>1</v>
      </c>
      <c r="D3104" s="695" t="s">
        <v>3903</v>
      </c>
      <c r="E3104" s="695">
        <v>4</v>
      </c>
      <c r="F3104" s="695" t="s">
        <v>5967</v>
      </c>
      <c r="G3104" s="695">
        <v>2</v>
      </c>
      <c r="H3104" s="695" t="s">
        <v>6298</v>
      </c>
      <c r="I3104" s="695">
        <v>42</v>
      </c>
      <c r="J3104" s="695" t="s">
        <v>6337</v>
      </c>
      <c r="K3104" s="695" t="s">
        <v>3985</v>
      </c>
      <c r="L3104" s="696">
        <v>0</v>
      </c>
      <c r="M3104" s="170"/>
    </row>
    <row r="3105" spans="2:13" x14ac:dyDescent="0.2">
      <c r="B3105" s="173"/>
      <c r="C3105" s="694">
        <v>1</v>
      </c>
      <c r="D3105" s="695" t="s">
        <v>3903</v>
      </c>
      <c r="E3105" s="695">
        <v>4</v>
      </c>
      <c r="F3105" s="695" t="s">
        <v>5967</v>
      </c>
      <c r="G3105" s="695">
        <v>2</v>
      </c>
      <c r="H3105" s="695" t="s">
        <v>6298</v>
      </c>
      <c r="I3105" s="695">
        <v>43</v>
      </c>
      <c r="J3105" s="695" t="s">
        <v>6338</v>
      </c>
      <c r="K3105" s="695" t="s">
        <v>3907</v>
      </c>
      <c r="L3105" s="696">
        <v>1</v>
      </c>
      <c r="M3105" s="170"/>
    </row>
    <row r="3106" spans="2:13" x14ac:dyDescent="0.2">
      <c r="B3106" s="173"/>
      <c r="C3106" s="694">
        <v>1</v>
      </c>
      <c r="D3106" s="695" t="s">
        <v>3903</v>
      </c>
      <c r="E3106" s="695">
        <v>4</v>
      </c>
      <c r="F3106" s="695" t="s">
        <v>5967</v>
      </c>
      <c r="G3106" s="695">
        <v>2</v>
      </c>
      <c r="H3106" s="695" t="s">
        <v>6298</v>
      </c>
      <c r="I3106" s="695">
        <v>44</v>
      </c>
      <c r="J3106" s="695" t="s">
        <v>6339</v>
      </c>
      <c r="K3106" s="695" t="s">
        <v>8544</v>
      </c>
      <c r="L3106" s="696">
        <v>3</v>
      </c>
      <c r="M3106" s="170"/>
    </row>
    <row r="3107" spans="2:13" x14ac:dyDescent="0.2">
      <c r="B3107" s="173"/>
      <c r="C3107" s="694">
        <v>1</v>
      </c>
      <c r="D3107" s="695" t="s">
        <v>3903</v>
      </c>
      <c r="E3107" s="695">
        <v>4</v>
      </c>
      <c r="F3107" s="695" t="s">
        <v>5967</v>
      </c>
      <c r="G3107" s="695">
        <v>2</v>
      </c>
      <c r="H3107" s="695" t="s">
        <v>6298</v>
      </c>
      <c r="I3107" s="695">
        <v>45</v>
      </c>
      <c r="J3107" s="695" t="s">
        <v>6340</v>
      </c>
      <c r="K3107" s="695" t="s">
        <v>8544</v>
      </c>
      <c r="L3107" s="696">
        <v>2</v>
      </c>
      <c r="M3107" s="170"/>
    </row>
    <row r="3108" spans="2:13" x14ac:dyDescent="0.2">
      <c r="B3108" s="173"/>
      <c r="C3108" s="694">
        <v>1</v>
      </c>
      <c r="D3108" s="695" t="s">
        <v>3903</v>
      </c>
      <c r="E3108" s="695">
        <v>4</v>
      </c>
      <c r="F3108" s="695" t="s">
        <v>5967</v>
      </c>
      <c r="G3108" s="695">
        <v>2</v>
      </c>
      <c r="H3108" s="695" t="s">
        <v>6298</v>
      </c>
      <c r="I3108" s="695">
        <v>46</v>
      </c>
      <c r="J3108" s="695" t="s">
        <v>6341</v>
      </c>
      <c r="K3108" s="695" t="s">
        <v>8544</v>
      </c>
      <c r="L3108" s="696">
        <v>6</v>
      </c>
      <c r="M3108" s="170"/>
    </row>
    <row r="3109" spans="2:13" x14ac:dyDescent="0.2">
      <c r="B3109" s="173"/>
      <c r="C3109" s="694">
        <v>1</v>
      </c>
      <c r="D3109" s="695" t="s">
        <v>3903</v>
      </c>
      <c r="E3109" s="695">
        <v>4</v>
      </c>
      <c r="F3109" s="695" t="s">
        <v>5967</v>
      </c>
      <c r="G3109" s="695">
        <v>2</v>
      </c>
      <c r="H3109" s="695" t="s">
        <v>6298</v>
      </c>
      <c r="I3109" s="695">
        <v>47</v>
      </c>
      <c r="J3109" s="695" t="s">
        <v>6342</v>
      </c>
      <c r="K3109" s="695" t="s">
        <v>8544</v>
      </c>
      <c r="L3109" s="696">
        <v>35</v>
      </c>
      <c r="M3109" s="170"/>
    </row>
    <row r="3110" spans="2:13" x14ac:dyDescent="0.2">
      <c r="B3110" s="173"/>
      <c r="C3110" s="694">
        <v>1</v>
      </c>
      <c r="D3110" s="695" t="s">
        <v>3903</v>
      </c>
      <c r="E3110" s="695">
        <v>4</v>
      </c>
      <c r="F3110" s="695" t="s">
        <v>5967</v>
      </c>
      <c r="G3110" s="695">
        <v>2</v>
      </c>
      <c r="H3110" s="695" t="s">
        <v>6298</v>
      </c>
      <c r="I3110" s="695">
        <v>48</v>
      </c>
      <c r="J3110" s="695" t="s">
        <v>6343</v>
      </c>
      <c r="K3110" s="695" t="s">
        <v>8544</v>
      </c>
      <c r="L3110" s="696">
        <v>8</v>
      </c>
      <c r="M3110" s="170"/>
    </row>
    <row r="3111" spans="2:13" x14ac:dyDescent="0.2">
      <c r="B3111" s="173"/>
      <c r="C3111" s="694">
        <v>1</v>
      </c>
      <c r="D3111" s="695" t="s">
        <v>3903</v>
      </c>
      <c r="E3111" s="695">
        <v>4</v>
      </c>
      <c r="F3111" s="695" t="s">
        <v>5967</v>
      </c>
      <c r="G3111" s="695">
        <v>2</v>
      </c>
      <c r="H3111" s="695" t="s">
        <v>6298</v>
      </c>
      <c r="I3111" s="695">
        <v>49</v>
      </c>
      <c r="J3111" s="695" t="s">
        <v>6344</v>
      </c>
      <c r="K3111" s="695" t="s">
        <v>8544</v>
      </c>
      <c r="L3111" s="696">
        <v>3</v>
      </c>
      <c r="M3111" s="170"/>
    </row>
    <row r="3112" spans="2:13" x14ac:dyDescent="0.2">
      <c r="B3112" s="173"/>
      <c r="C3112" s="694">
        <v>1</v>
      </c>
      <c r="D3112" s="695" t="s">
        <v>3903</v>
      </c>
      <c r="E3112" s="695">
        <v>4</v>
      </c>
      <c r="F3112" s="695" t="s">
        <v>5967</v>
      </c>
      <c r="G3112" s="695">
        <v>2</v>
      </c>
      <c r="H3112" s="695" t="s">
        <v>6298</v>
      </c>
      <c r="I3112" s="695">
        <v>50</v>
      </c>
      <c r="J3112" s="695" t="s">
        <v>6345</v>
      </c>
      <c r="K3112" s="695" t="s">
        <v>8544</v>
      </c>
      <c r="L3112" s="696">
        <v>12</v>
      </c>
      <c r="M3112" s="170"/>
    </row>
    <row r="3113" spans="2:13" x14ac:dyDescent="0.2">
      <c r="B3113" s="173"/>
      <c r="C3113" s="694">
        <v>1</v>
      </c>
      <c r="D3113" s="695" t="s">
        <v>3903</v>
      </c>
      <c r="E3113" s="695">
        <v>4</v>
      </c>
      <c r="F3113" s="695" t="s">
        <v>5967</v>
      </c>
      <c r="G3113" s="695">
        <v>2</v>
      </c>
      <c r="H3113" s="695" t="s">
        <v>6298</v>
      </c>
      <c r="I3113" s="695">
        <v>51</v>
      </c>
      <c r="J3113" s="695" t="s">
        <v>6346</v>
      </c>
      <c r="K3113" s="695" t="s">
        <v>8544</v>
      </c>
      <c r="L3113" s="696">
        <v>1</v>
      </c>
      <c r="M3113" s="170"/>
    </row>
    <row r="3114" spans="2:13" x14ac:dyDescent="0.2">
      <c r="B3114" s="173"/>
      <c r="C3114" s="694">
        <v>1</v>
      </c>
      <c r="D3114" s="695" t="s">
        <v>3903</v>
      </c>
      <c r="E3114" s="695">
        <v>4</v>
      </c>
      <c r="F3114" s="695" t="s">
        <v>5967</v>
      </c>
      <c r="G3114" s="695">
        <v>2</v>
      </c>
      <c r="H3114" s="695" t="s">
        <v>6298</v>
      </c>
      <c r="I3114" s="695">
        <v>52</v>
      </c>
      <c r="J3114" s="695" t="s">
        <v>6347</v>
      </c>
      <c r="K3114" s="695" t="s">
        <v>8544</v>
      </c>
      <c r="L3114" s="696">
        <v>5</v>
      </c>
      <c r="M3114" s="170"/>
    </row>
    <row r="3115" spans="2:13" x14ac:dyDescent="0.2">
      <c r="B3115" s="173"/>
      <c r="C3115" s="694">
        <v>1</v>
      </c>
      <c r="D3115" s="695" t="s">
        <v>3903</v>
      </c>
      <c r="E3115" s="695">
        <v>4</v>
      </c>
      <c r="F3115" s="695" t="s">
        <v>5967</v>
      </c>
      <c r="G3115" s="695">
        <v>2</v>
      </c>
      <c r="H3115" s="695" t="s">
        <v>6298</v>
      </c>
      <c r="I3115" s="695">
        <v>53</v>
      </c>
      <c r="J3115" s="695" t="s">
        <v>6348</v>
      </c>
      <c r="K3115" s="695" t="s">
        <v>8544</v>
      </c>
      <c r="L3115" s="696">
        <v>9</v>
      </c>
      <c r="M3115" s="170"/>
    </row>
    <row r="3116" spans="2:13" x14ac:dyDescent="0.2">
      <c r="B3116" s="173"/>
      <c r="C3116" s="694">
        <v>1</v>
      </c>
      <c r="D3116" s="695" t="s">
        <v>3903</v>
      </c>
      <c r="E3116" s="695">
        <v>4</v>
      </c>
      <c r="F3116" s="695" t="s">
        <v>5967</v>
      </c>
      <c r="G3116" s="695">
        <v>2</v>
      </c>
      <c r="H3116" s="695" t="s">
        <v>6298</v>
      </c>
      <c r="I3116" s="695">
        <v>54</v>
      </c>
      <c r="J3116" s="695" t="s">
        <v>6349</v>
      </c>
      <c r="K3116" s="695" t="s">
        <v>3907</v>
      </c>
      <c r="L3116" s="696">
        <v>8</v>
      </c>
      <c r="M3116" s="170"/>
    </row>
    <row r="3117" spans="2:13" x14ac:dyDescent="0.2">
      <c r="B3117" s="173"/>
      <c r="C3117" s="694">
        <v>1</v>
      </c>
      <c r="D3117" s="695" t="s">
        <v>3903</v>
      </c>
      <c r="E3117" s="695">
        <v>4</v>
      </c>
      <c r="F3117" s="695" t="s">
        <v>5967</v>
      </c>
      <c r="G3117" s="695">
        <v>2</v>
      </c>
      <c r="H3117" s="695" t="s">
        <v>6298</v>
      </c>
      <c r="I3117" s="695">
        <v>55</v>
      </c>
      <c r="J3117" s="695" t="s">
        <v>6350</v>
      </c>
      <c r="K3117" s="695" t="s">
        <v>3907</v>
      </c>
      <c r="L3117" s="696">
        <v>39</v>
      </c>
      <c r="M3117" s="170"/>
    </row>
    <row r="3118" spans="2:13" x14ac:dyDescent="0.2">
      <c r="B3118" s="173"/>
      <c r="C3118" s="694">
        <v>1</v>
      </c>
      <c r="D3118" s="695" t="s">
        <v>3903</v>
      </c>
      <c r="E3118" s="695">
        <v>4</v>
      </c>
      <c r="F3118" s="695" t="s">
        <v>5967</v>
      </c>
      <c r="G3118" s="695">
        <v>2</v>
      </c>
      <c r="H3118" s="695" t="s">
        <v>6298</v>
      </c>
      <c r="I3118" s="695">
        <v>56</v>
      </c>
      <c r="J3118" s="695" t="s">
        <v>6351</v>
      </c>
      <c r="K3118" s="695" t="s">
        <v>3907</v>
      </c>
      <c r="L3118" s="696">
        <v>3</v>
      </c>
      <c r="M3118" s="170"/>
    </row>
    <row r="3119" spans="2:13" x14ac:dyDescent="0.2">
      <c r="B3119" s="173"/>
      <c r="C3119" s="694">
        <v>1</v>
      </c>
      <c r="D3119" s="695" t="s">
        <v>3903</v>
      </c>
      <c r="E3119" s="695">
        <v>4</v>
      </c>
      <c r="F3119" s="695" t="s">
        <v>5967</v>
      </c>
      <c r="G3119" s="695">
        <v>2</v>
      </c>
      <c r="H3119" s="695" t="s">
        <v>6298</v>
      </c>
      <c r="I3119" s="695">
        <v>57</v>
      </c>
      <c r="J3119" s="695" t="s">
        <v>6352</v>
      </c>
      <c r="K3119" s="695" t="s">
        <v>3907</v>
      </c>
      <c r="L3119" s="696">
        <v>2</v>
      </c>
      <c r="M3119" s="170"/>
    </row>
    <row r="3120" spans="2:13" x14ac:dyDescent="0.2">
      <c r="B3120" s="173"/>
      <c r="C3120" s="694">
        <v>1</v>
      </c>
      <c r="D3120" s="695" t="s">
        <v>3903</v>
      </c>
      <c r="E3120" s="695">
        <v>4</v>
      </c>
      <c r="F3120" s="695" t="s">
        <v>5967</v>
      </c>
      <c r="G3120" s="695">
        <v>2</v>
      </c>
      <c r="H3120" s="695" t="s">
        <v>6298</v>
      </c>
      <c r="I3120" s="695">
        <v>58</v>
      </c>
      <c r="J3120" s="695" t="s">
        <v>6353</v>
      </c>
      <c r="K3120" s="695" t="s">
        <v>3907</v>
      </c>
      <c r="L3120" s="696">
        <v>1</v>
      </c>
      <c r="M3120" s="170"/>
    </row>
    <row r="3121" spans="2:13" x14ac:dyDescent="0.2">
      <c r="B3121" s="173"/>
      <c r="C3121" s="694">
        <v>1</v>
      </c>
      <c r="D3121" s="695" t="s">
        <v>3903</v>
      </c>
      <c r="E3121" s="695">
        <v>4</v>
      </c>
      <c r="F3121" s="695" t="s">
        <v>5967</v>
      </c>
      <c r="G3121" s="695">
        <v>2</v>
      </c>
      <c r="H3121" s="695" t="s">
        <v>6298</v>
      </c>
      <c r="I3121" s="695">
        <v>59</v>
      </c>
      <c r="J3121" s="695" t="s">
        <v>6354</v>
      </c>
      <c r="K3121" s="695" t="s">
        <v>3907</v>
      </c>
      <c r="L3121" s="696">
        <v>6</v>
      </c>
      <c r="M3121" s="170"/>
    </row>
    <row r="3122" spans="2:13" x14ac:dyDescent="0.2">
      <c r="B3122" s="173"/>
      <c r="C3122" s="694">
        <v>1</v>
      </c>
      <c r="D3122" s="695" t="s">
        <v>3903</v>
      </c>
      <c r="E3122" s="695">
        <v>4</v>
      </c>
      <c r="F3122" s="695" t="s">
        <v>5967</v>
      </c>
      <c r="G3122" s="695">
        <v>2</v>
      </c>
      <c r="H3122" s="695" t="s">
        <v>6298</v>
      </c>
      <c r="I3122" s="695">
        <v>60</v>
      </c>
      <c r="J3122" s="695" t="s">
        <v>6355</v>
      </c>
      <c r="K3122" s="695" t="s">
        <v>3907</v>
      </c>
      <c r="L3122" s="696">
        <v>3</v>
      </c>
      <c r="M3122" s="170"/>
    </row>
    <row r="3123" spans="2:13" x14ac:dyDescent="0.2">
      <c r="B3123" s="173"/>
      <c r="C3123" s="694">
        <v>1</v>
      </c>
      <c r="D3123" s="695" t="s">
        <v>3903</v>
      </c>
      <c r="E3123" s="695">
        <v>4</v>
      </c>
      <c r="F3123" s="695" t="s">
        <v>5967</v>
      </c>
      <c r="G3123" s="695">
        <v>2</v>
      </c>
      <c r="H3123" s="695" t="s">
        <v>6298</v>
      </c>
      <c r="I3123" s="695">
        <v>61</v>
      </c>
      <c r="J3123" s="695" t="s">
        <v>6356</v>
      </c>
      <c r="K3123" s="695" t="s">
        <v>3907</v>
      </c>
      <c r="L3123" s="696">
        <v>10</v>
      </c>
      <c r="M3123" s="170"/>
    </row>
    <row r="3124" spans="2:13" x14ac:dyDescent="0.2">
      <c r="B3124" s="173"/>
      <c r="C3124" s="694">
        <v>1</v>
      </c>
      <c r="D3124" s="695" t="s">
        <v>3903</v>
      </c>
      <c r="E3124" s="695">
        <v>4</v>
      </c>
      <c r="F3124" s="695" t="s">
        <v>5967</v>
      </c>
      <c r="G3124" s="695">
        <v>2</v>
      </c>
      <c r="H3124" s="695" t="s">
        <v>6298</v>
      </c>
      <c r="I3124" s="695">
        <v>62</v>
      </c>
      <c r="J3124" s="695" t="s">
        <v>6357</v>
      </c>
      <c r="K3124" s="695" t="s">
        <v>3907</v>
      </c>
      <c r="L3124" s="696">
        <v>5</v>
      </c>
      <c r="M3124" s="170"/>
    </row>
    <row r="3125" spans="2:13" x14ac:dyDescent="0.2">
      <c r="B3125" s="173"/>
      <c r="C3125" s="694">
        <v>1</v>
      </c>
      <c r="D3125" s="695" t="s">
        <v>3903</v>
      </c>
      <c r="E3125" s="695">
        <v>4</v>
      </c>
      <c r="F3125" s="695" t="s">
        <v>5967</v>
      </c>
      <c r="G3125" s="695">
        <v>2</v>
      </c>
      <c r="H3125" s="695" t="s">
        <v>6298</v>
      </c>
      <c r="I3125" s="695">
        <v>63</v>
      </c>
      <c r="J3125" s="695" t="s">
        <v>6358</v>
      </c>
      <c r="K3125" s="695" t="s">
        <v>3907</v>
      </c>
      <c r="L3125" s="696">
        <v>2</v>
      </c>
      <c r="M3125" s="170"/>
    </row>
    <row r="3126" spans="2:13" x14ac:dyDescent="0.2">
      <c r="B3126" s="173"/>
      <c r="C3126" s="694">
        <v>1</v>
      </c>
      <c r="D3126" s="695" t="s">
        <v>3903</v>
      </c>
      <c r="E3126" s="695">
        <v>4</v>
      </c>
      <c r="F3126" s="695" t="s">
        <v>5967</v>
      </c>
      <c r="G3126" s="695">
        <v>2</v>
      </c>
      <c r="H3126" s="695" t="s">
        <v>6298</v>
      </c>
      <c r="I3126" s="695">
        <v>64</v>
      </c>
      <c r="J3126" s="695" t="s">
        <v>6359</v>
      </c>
      <c r="K3126" s="695" t="s">
        <v>3907</v>
      </c>
      <c r="L3126" s="696">
        <v>1</v>
      </c>
      <c r="M3126" s="170"/>
    </row>
    <row r="3127" spans="2:13" x14ac:dyDescent="0.2">
      <c r="B3127" s="173"/>
      <c r="C3127" s="694">
        <v>1</v>
      </c>
      <c r="D3127" s="695" t="s">
        <v>3903</v>
      </c>
      <c r="E3127" s="695">
        <v>4</v>
      </c>
      <c r="F3127" s="695" t="s">
        <v>5967</v>
      </c>
      <c r="G3127" s="695">
        <v>2</v>
      </c>
      <c r="H3127" s="695" t="s">
        <v>6298</v>
      </c>
      <c r="I3127" s="695">
        <v>65</v>
      </c>
      <c r="J3127" s="695" t="s">
        <v>6360</v>
      </c>
      <c r="K3127" s="695" t="s">
        <v>3907</v>
      </c>
      <c r="L3127" s="696">
        <v>5</v>
      </c>
      <c r="M3127" s="170"/>
    </row>
    <row r="3128" spans="2:13" x14ac:dyDescent="0.2">
      <c r="B3128" s="173"/>
      <c r="C3128" s="694">
        <v>1</v>
      </c>
      <c r="D3128" s="695" t="s">
        <v>3903</v>
      </c>
      <c r="E3128" s="695">
        <v>4</v>
      </c>
      <c r="F3128" s="695" t="s">
        <v>5967</v>
      </c>
      <c r="G3128" s="695">
        <v>2</v>
      </c>
      <c r="H3128" s="695" t="s">
        <v>6298</v>
      </c>
      <c r="I3128" s="695">
        <v>66</v>
      </c>
      <c r="J3128" s="695" t="s">
        <v>6361</v>
      </c>
      <c r="K3128" s="695" t="s">
        <v>3907</v>
      </c>
      <c r="L3128" s="696">
        <v>3</v>
      </c>
      <c r="M3128" s="170"/>
    </row>
    <row r="3129" spans="2:13" x14ac:dyDescent="0.2">
      <c r="B3129" s="173"/>
      <c r="C3129" s="694">
        <v>1</v>
      </c>
      <c r="D3129" s="695" t="s">
        <v>3903</v>
      </c>
      <c r="E3129" s="695">
        <v>4</v>
      </c>
      <c r="F3129" s="695" t="s">
        <v>5967</v>
      </c>
      <c r="G3129" s="695">
        <v>2</v>
      </c>
      <c r="H3129" s="695" t="s">
        <v>6298</v>
      </c>
      <c r="I3129" s="695">
        <v>67</v>
      </c>
      <c r="J3129" s="695" t="s">
        <v>9121</v>
      </c>
      <c r="K3129" s="695" t="s">
        <v>3907</v>
      </c>
      <c r="L3129" s="696">
        <v>1</v>
      </c>
      <c r="M3129" s="170"/>
    </row>
    <row r="3130" spans="2:13" x14ac:dyDescent="0.2">
      <c r="B3130" s="173"/>
      <c r="C3130" s="694">
        <v>1</v>
      </c>
      <c r="D3130" s="695" t="s">
        <v>3903</v>
      </c>
      <c r="E3130" s="695">
        <v>4</v>
      </c>
      <c r="F3130" s="695" t="s">
        <v>5967</v>
      </c>
      <c r="G3130" s="695">
        <v>2</v>
      </c>
      <c r="H3130" s="695" t="s">
        <v>6298</v>
      </c>
      <c r="I3130" s="695">
        <v>68</v>
      </c>
      <c r="J3130" s="695" t="s">
        <v>9122</v>
      </c>
      <c r="K3130" s="695" t="s">
        <v>3907</v>
      </c>
      <c r="L3130" s="696">
        <v>1</v>
      </c>
      <c r="M3130" s="170"/>
    </row>
    <row r="3131" spans="2:13" x14ac:dyDescent="0.2">
      <c r="B3131" s="173"/>
      <c r="C3131" s="694">
        <v>1</v>
      </c>
      <c r="D3131" s="695" t="s">
        <v>3903</v>
      </c>
      <c r="E3131" s="695">
        <v>4</v>
      </c>
      <c r="F3131" s="695" t="s">
        <v>5967</v>
      </c>
      <c r="G3131" s="695">
        <v>2</v>
      </c>
      <c r="H3131" s="695" t="s">
        <v>6298</v>
      </c>
      <c r="I3131" s="695">
        <v>69</v>
      </c>
      <c r="J3131" s="695" t="s">
        <v>9123</v>
      </c>
      <c r="K3131" s="695" t="s">
        <v>3907</v>
      </c>
      <c r="L3131" s="696">
        <v>4</v>
      </c>
      <c r="M3131" s="170"/>
    </row>
    <row r="3132" spans="2:13" x14ac:dyDescent="0.2">
      <c r="B3132" s="173"/>
      <c r="C3132" s="694">
        <v>1</v>
      </c>
      <c r="D3132" s="695" t="s">
        <v>3903</v>
      </c>
      <c r="E3132" s="695">
        <v>4</v>
      </c>
      <c r="F3132" s="695" t="s">
        <v>5967</v>
      </c>
      <c r="G3132" s="695">
        <v>2</v>
      </c>
      <c r="H3132" s="695" t="s">
        <v>6298</v>
      </c>
      <c r="I3132" s="695">
        <v>70</v>
      </c>
      <c r="J3132" s="695" t="s">
        <v>9124</v>
      </c>
      <c r="K3132" s="695" t="s">
        <v>3907</v>
      </c>
      <c r="L3132" s="696">
        <v>3</v>
      </c>
      <c r="M3132" s="170"/>
    </row>
    <row r="3133" spans="2:13" x14ac:dyDescent="0.2">
      <c r="B3133" s="173"/>
      <c r="C3133" s="694">
        <v>1</v>
      </c>
      <c r="D3133" s="695" t="s">
        <v>3903</v>
      </c>
      <c r="E3133" s="695">
        <v>4</v>
      </c>
      <c r="F3133" s="695" t="s">
        <v>5967</v>
      </c>
      <c r="G3133" s="695">
        <v>2</v>
      </c>
      <c r="H3133" s="695" t="s">
        <v>6298</v>
      </c>
      <c r="I3133" s="695">
        <v>71</v>
      </c>
      <c r="J3133" s="695" t="s">
        <v>9125</v>
      </c>
      <c r="K3133" s="695" t="s">
        <v>3907</v>
      </c>
      <c r="L3133" s="696">
        <v>1</v>
      </c>
      <c r="M3133" s="170"/>
    </row>
    <row r="3134" spans="2:13" x14ac:dyDescent="0.2">
      <c r="B3134" s="173"/>
      <c r="C3134" s="694">
        <v>1</v>
      </c>
      <c r="D3134" s="695" t="s">
        <v>3903</v>
      </c>
      <c r="E3134" s="695">
        <v>4</v>
      </c>
      <c r="F3134" s="695" t="s">
        <v>5967</v>
      </c>
      <c r="G3134" s="695">
        <v>2</v>
      </c>
      <c r="H3134" s="695" t="s">
        <v>6298</v>
      </c>
      <c r="I3134" s="695">
        <v>72</v>
      </c>
      <c r="J3134" s="695" t="s">
        <v>9126</v>
      </c>
      <c r="K3134" s="695" t="s">
        <v>3907</v>
      </c>
      <c r="L3134" s="696">
        <v>1</v>
      </c>
      <c r="M3134" s="170"/>
    </row>
    <row r="3135" spans="2:13" x14ac:dyDescent="0.2">
      <c r="B3135" s="173"/>
      <c r="C3135" s="694">
        <v>1</v>
      </c>
      <c r="D3135" s="695" t="s">
        <v>3903</v>
      </c>
      <c r="E3135" s="695">
        <v>4</v>
      </c>
      <c r="F3135" s="695" t="s">
        <v>5967</v>
      </c>
      <c r="G3135" s="695">
        <v>2</v>
      </c>
      <c r="H3135" s="695" t="s">
        <v>6298</v>
      </c>
      <c r="I3135" s="695">
        <v>73</v>
      </c>
      <c r="J3135" s="695" t="s">
        <v>9127</v>
      </c>
      <c r="K3135" s="695" t="s">
        <v>8544</v>
      </c>
      <c r="L3135" s="696">
        <v>1</v>
      </c>
      <c r="M3135" s="170"/>
    </row>
    <row r="3136" spans="2:13" x14ac:dyDescent="0.2">
      <c r="B3136" s="173"/>
      <c r="C3136" s="694">
        <v>1</v>
      </c>
      <c r="D3136" s="695" t="s">
        <v>3903</v>
      </c>
      <c r="E3136" s="695">
        <v>4</v>
      </c>
      <c r="F3136" s="695" t="s">
        <v>5967</v>
      </c>
      <c r="G3136" s="695">
        <v>2</v>
      </c>
      <c r="H3136" s="695" t="s">
        <v>6298</v>
      </c>
      <c r="I3136" s="695">
        <v>74</v>
      </c>
      <c r="J3136" s="695" t="s">
        <v>9128</v>
      </c>
      <c r="K3136" s="695" t="s">
        <v>8544</v>
      </c>
      <c r="L3136" s="696">
        <v>2</v>
      </c>
      <c r="M3136" s="170"/>
    </row>
    <row r="3137" spans="2:13" x14ac:dyDescent="0.2">
      <c r="B3137" s="173"/>
      <c r="C3137" s="694">
        <v>1</v>
      </c>
      <c r="D3137" s="695" t="s">
        <v>3903</v>
      </c>
      <c r="E3137" s="695">
        <v>4</v>
      </c>
      <c r="F3137" s="695" t="s">
        <v>5967</v>
      </c>
      <c r="G3137" s="695">
        <v>2</v>
      </c>
      <c r="H3137" s="695" t="s">
        <v>6298</v>
      </c>
      <c r="I3137" s="695">
        <v>75</v>
      </c>
      <c r="J3137" s="695" t="s">
        <v>9129</v>
      </c>
      <c r="K3137" s="695" t="s">
        <v>8544</v>
      </c>
      <c r="L3137" s="696">
        <v>6</v>
      </c>
      <c r="M3137" s="170"/>
    </row>
    <row r="3138" spans="2:13" x14ac:dyDescent="0.2">
      <c r="B3138" s="173"/>
      <c r="C3138" s="694">
        <v>1</v>
      </c>
      <c r="D3138" s="695" t="s">
        <v>3903</v>
      </c>
      <c r="E3138" s="695">
        <v>4</v>
      </c>
      <c r="F3138" s="695" t="s">
        <v>5967</v>
      </c>
      <c r="G3138" s="695">
        <v>2</v>
      </c>
      <c r="H3138" s="695" t="s">
        <v>6298</v>
      </c>
      <c r="I3138" s="695">
        <v>76</v>
      </c>
      <c r="J3138" s="695" t="s">
        <v>9130</v>
      </c>
      <c r="K3138" s="695" t="s">
        <v>8544</v>
      </c>
      <c r="L3138" s="696">
        <v>2</v>
      </c>
      <c r="M3138" s="170"/>
    </row>
    <row r="3139" spans="2:13" x14ac:dyDescent="0.2">
      <c r="B3139" s="173"/>
      <c r="C3139" s="694">
        <v>1</v>
      </c>
      <c r="D3139" s="695" t="s">
        <v>3903</v>
      </c>
      <c r="E3139" s="695">
        <v>4</v>
      </c>
      <c r="F3139" s="695" t="s">
        <v>5967</v>
      </c>
      <c r="G3139" s="695">
        <v>2</v>
      </c>
      <c r="H3139" s="695" t="s">
        <v>6298</v>
      </c>
      <c r="I3139" s="695">
        <v>77</v>
      </c>
      <c r="J3139" s="695" t="s">
        <v>9131</v>
      </c>
      <c r="K3139" s="695" t="s">
        <v>8544</v>
      </c>
      <c r="L3139" s="696">
        <v>2</v>
      </c>
      <c r="M3139" s="170"/>
    </row>
    <row r="3140" spans="2:13" x14ac:dyDescent="0.2">
      <c r="B3140" s="173"/>
      <c r="C3140" s="694">
        <v>1</v>
      </c>
      <c r="D3140" s="695" t="s">
        <v>3903</v>
      </c>
      <c r="E3140" s="695">
        <v>4</v>
      </c>
      <c r="F3140" s="695" t="s">
        <v>5967</v>
      </c>
      <c r="G3140" s="695">
        <v>2</v>
      </c>
      <c r="H3140" s="695" t="s">
        <v>6298</v>
      </c>
      <c r="I3140" s="695">
        <v>78</v>
      </c>
      <c r="J3140" s="695" t="s">
        <v>9132</v>
      </c>
      <c r="K3140" s="695" t="s">
        <v>3907</v>
      </c>
      <c r="L3140" s="696">
        <v>1</v>
      </c>
      <c r="M3140" s="170"/>
    </row>
    <row r="3141" spans="2:13" x14ac:dyDescent="0.2">
      <c r="B3141" s="173"/>
      <c r="C3141" s="694">
        <v>1</v>
      </c>
      <c r="D3141" s="695" t="s">
        <v>3903</v>
      </c>
      <c r="E3141" s="695">
        <v>4</v>
      </c>
      <c r="F3141" s="695" t="s">
        <v>5967</v>
      </c>
      <c r="G3141" s="695">
        <v>2</v>
      </c>
      <c r="H3141" s="695" t="s">
        <v>6298</v>
      </c>
      <c r="I3141" s="695">
        <v>79</v>
      </c>
      <c r="J3141" s="695" t="s">
        <v>9133</v>
      </c>
      <c r="K3141" s="695" t="s">
        <v>3907</v>
      </c>
      <c r="L3141" s="696">
        <v>1</v>
      </c>
      <c r="M3141" s="170"/>
    </row>
    <row r="3142" spans="2:13" x14ac:dyDescent="0.2">
      <c r="B3142" s="173"/>
      <c r="C3142" s="694">
        <v>1</v>
      </c>
      <c r="D3142" s="695" t="s">
        <v>3903</v>
      </c>
      <c r="E3142" s="695">
        <v>4</v>
      </c>
      <c r="F3142" s="695" t="s">
        <v>5967</v>
      </c>
      <c r="G3142" s="695">
        <v>2</v>
      </c>
      <c r="H3142" s="695" t="s">
        <v>6298</v>
      </c>
      <c r="I3142" s="695">
        <v>80</v>
      </c>
      <c r="J3142" s="695" t="s">
        <v>9134</v>
      </c>
      <c r="K3142" s="695" t="s">
        <v>8544</v>
      </c>
      <c r="L3142" s="696">
        <v>1</v>
      </c>
      <c r="M3142" s="170"/>
    </row>
    <row r="3143" spans="2:13" x14ac:dyDescent="0.2">
      <c r="B3143" s="173"/>
      <c r="C3143" s="694">
        <v>1</v>
      </c>
      <c r="D3143" s="695" t="s">
        <v>3903</v>
      </c>
      <c r="E3143" s="695">
        <v>4</v>
      </c>
      <c r="F3143" s="695" t="s">
        <v>5967</v>
      </c>
      <c r="G3143" s="695">
        <v>2</v>
      </c>
      <c r="H3143" s="695" t="s">
        <v>6298</v>
      </c>
      <c r="I3143" s="695">
        <v>81</v>
      </c>
      <c r="J3143" s="695" t="s">
        <v>9135</v>
      </c>
      <c r="K3143" s="695" t="s">
        <v>3907</v>
      </c>
      <c r="L3143" s="696">
        <v>1</v>
      </c>
      <c r="M3143" s="170"/>
    </row>
    <row r="3144" spans="2:13" x14ac:dyDescent="0.2">
      <c r="B3144" s="173"/>
      <c r="C3144" s="694">
        <v>1</v>
      </c>
      <c r="D3144" s="695" t="s">
        <v>3903</v>
      </c>
      <c r="E3144" s="695">
        <v>4</v>
      </c>
      <c r="F3144" s="695" t="s">
        <v>5967</v>
      </c>
      <c r="G3144" s="695">
        <v>2</v>
      </c>
      <c r="H3144" s="695" t="s">
        <v>6298</v>
      </c>
      <c r="I3144" s="695">
        <v>82</v>
      </c>
      <c r="J3144" s="695" t="s">
        <v>9135</v>
      </c>
      <c r="K3144" s="695" t="s">
        <v>3907</v>
      </c>
      <c r="L3144" s="696">
        <v>0</v>
      </c>
      <c r="M3144" s="170"/>
    </row>
    <row r="3145" spans="2:13" x14ac:dyDescent="0.2">
      <c r="B3145" s="173"/>
      <c r="C3145" s="694">
        <v>1</v>
      </c>
      <c r="D3145" s="695" t="s">
        <v>3903</v>
      </c>
      <c r="E3145" s="695">
        <v>4</v>
      </c>
      <c r="F3145" s="695" t="s">
        <v>5967</v>
      </c>
      <c r="G3145" s="695">
        <v>2</v>
      </c>
      <c r="H3145" s="695" t="s">
        <v>6298</v>
      </c>
      <c r="I3145" s="695">
        <v>83</v>
      </c>
      <c r="J3145" s="695" t="s">
        <v>9136</v>
      </c>
      <c r="K3145" s="695" t="s">
        <v>8544</v>
      </c>
      <c r="L3145" s="696">
        <v>0</v>
      </c>
      <c r="M3145" s="170"/>
    </row>
    <row r="3146" spans="2:13" x14ac:dyDescent="0.2">
      <c r="B3146" s="173"/>
      <c r="C3146" s="694">
        <v>1</v>
      </c>
      <c r="D3146" s="695" t="s">
        <v>3903</v>
      </c>
      <c r="E3146" s="695">
        <v>4</v>
      </c>
      <c r="F3146" s="695" t="s">
        <v>5967</v>
      </c>
      <c r="G3146" s="695">
        <v>2</v>
      </c>
      <c r="H3146" s="695" t="s">
        <v>6298</v>
      </c>
      <c r="I3146" s="695">
        <v>84</v>
      </c>
      <c r="J3146" s="695" t="s">
        <v>9137</v>
      </c>
      <c r="K3146" s="695" t="s">
        <v>8544</v>
      </c>
      <c r="L3146" s="696">
        <v>1</v>
      </c>
      <c r="M3146" s="170"/>
    </row>
    <row r="3147" spans="2:13" x14ac:dyDescent="0.2">
      <c r="B3147" s="173"/>
      <c r="C3147" s="694">
        <v>1</v>
      </c>
      <c r="D3147" s="695" t="s">
        <v>3903</v>
      </c>
      <c r="E3147" s="695">
        <v>4</v>
      </c>
      <c r="F3147" s="695" t="s">
        <v>5967</v>
      </c>
      <c r="G3147" s="695">
        <v>2</v>
      </c>
      <c r="H3147" s="695" t="s">
        <v>6298</v>
      </c>
      <c r="I3147" s="695">
        <v>85</v>
      </c>
      <c r="J3147" s="695" t="s">
        <v>9138</v>
      </c>
      <c r="K3147" s="695" t="s">
        <v>8544</v>
      </c>
      <c r="L3147" s="696">
        <v>1</v>
      </c>
      <c r="M3147" s="170"/>
    </row>
    <row r="3148" spans="2:13" x14ac:dyDescent="0.2">
      <c r="B3148" s="173"/>
      <c r="C3148" s="694">
        <v>1</v>
      </c>
      <c r="D3148" s="695" t="s">
        <v>3903</v>
      </c>
      <c r="E3148" s="695">
        <v>4</v>
      </c>
      <c r="F3148" s="695" t="s">
        <v>5967</v>
      </c>
      <c r="G3148" s="695">
        <v>2</v>
      </c>
      <c r="H3148" s="695" t="s">
        <v>6298</v>
      </c>
      <c r="I3148" s="695">
        <v>86</v>
      </c>
      <c r="J3148" s="695" t="s">
        <v>9139</v>
      </c>
      <c r="K3148" s="695" t="s">
        <v>8544</v>
      </c>
      <c r="L3148" s="696">
        <v>1</v>
      </c>
      <c r="M3148" s="170"/>
    </row>
    <row r="3149" spans="2:13" x14ac:dyDescent="0.2">
      <c r="B3149" s="173"/>
      <c r="C3149" s="694">
        <v>1</v>
      </c>
      <c r="D3149" s="695" t="s">
        <v>3903</v>
      </c>
      <c r="E3149" s="695">
        <v>4</v>
      </c>
      <c r="F3149" s="695" t="s">
        <v>5967</v>
      </c>
      <c r="G3149" s="695">
        <v>3</v>
      </c>
      <c r="H3149" s="695" t="s">
        <v>6362</v>
      </c>
      <c r="I3149" s="695">
        <v>1</v>
      </c>
      <c r="J3149" s="695" t="s">
        <v>6363</v>
      </c>
      <c r="K3149" s="695" t="s">
        <v>3907</v>
      </c>
      <c r="L3149" s="696">
        <v>1288</v>
      </c>
      <c r="M3149" s="170"/>
    </row>
    <row r="3150" spans="2:13" x14ac:dyDescent="0.2">
      <c r="B3150" s="173"/>
      <c r="C3150" s="694">
        <v>1</v>
      </c>
      <c r="D3150" s="695" t="s">
        <v>3903</v>
      </c>
      <c r="E3150" s="695">
        <v>4</v>
      </c>
      <c r="F3150" s="695" t="s">
        <v>5967</v>
      </c>
      <c r="G3150" s="695">
        <v>3</v>
      </c>
      <c r="H3150" s="695" t="s">
        <v>6362</v>
      </c>
      <c r="I3150" s="695">
        <v>2</v>
      </c>
      <c r="J3150" s="695" t="s">
        <v>6364</v>
      </c>
      <c r="K3150" s="695" t="s">
        <v>3907</v>
      </c>
      <c r="L3150" s="696">
        <v>2</v>
      </c>
      <c r="M3150" s="170"/>
    </row>
    <row r="3151" spans="2:13" x14ac:dyDescent="0.2">
      <c r="B3151" s="173"/>
      <c r="C3151" s="694">
        <v>1</v>
      </c>
      <c r="D3151" s="695" t="s">
        <v>3903</v>
      </c>
      <c r="E3151" s="695">
        <v>4</v>
      </c>
      <c r="F3151" s="695" t="s">
        <v>5967</v>
      </c>
      <c r="G3151" s="695">
        <v>3</v>
      </c>
      <c r="H3151" s="695" t="s">
        <v>6362</v>
      </c>
      <c r="I3151" s="695">
        <v>3</v>
      </c>
      <c r="J3151" s="695" t="s">
        <v>6365</v>
      </c>
      <c r="K3151" s="695" t="s">
        <v>3907</v>
      </c>
      <c r="L3151" s="696">
        <v>2</v>
      </c>
      <c r="M3151" s="170"/>
    </row>
    <row r="3152" spans="2:13" x14ac:dyDescent="0.2">
      <c r="B3152" s="173"/>
      <c r="C3152" s="694">
        <v>1</v>
      </c>
      <c r="D3152" s="695" t="s">
        <v>3903</v>
      </c>
      <c r="E3152" s="695">
        <v>4</v>
      </c>
      <c r="F3152" s="695" t="s">
        <v>5967</v>
      </c>
      <c r="G3152" s="695">
        <v>3</v>
      </c>
      <c r="H3152" s="695" t="s">
        <v>6362</v>
      </c>
      <c r="I3152" s="695">
        <v>4</v>
      </c>
      <c r="J3152" s="695" t="s">
        <v>6366</v>
      </c>
      <c r="K3152" s="695" t="s">
        <v>3907</v>
      </c>
      <c r="L3152" s="696">
        <v>132</v>
      </c>
      <c r="M3152" s="170"/>
    </row>
    <row r="3153" spans="2:13" x14ac:dyDescent="0.2">
      <c r="B3153" s="173"/>
      <c r="C3153" s="694">
        <v>1</v>
      </c>
      <c r="D3153" s="695" t="s">
        <v>3903</v>
      </c>
      <c r="E3153" s="695">
        <v>4</v>
      </c>
      <c r="F3153" s="695" t="s">
        <v>5967</v>
      </c>
      <c r="G3153" s="695">
        <v>3</v>
      </c>
      <c r="H3153" s="695" t="s">
        <v>6362</v>
      </c>
      <c r="I3153" s="695">
        <v>5</v>
      </c>
      <c r="J3153" s="695" t="s">
        <v>6367</v>
      </c>
      <c r="K3153" s="695" t="s">
        <v>3907</v>
      </c>
      <c r="L3153" s="696">
        <v>0</v>
      </c>
      <c r="M3153" s="170"/>
    </row>
    <row r="3154" spans="2:13" x14ac:dyDescent="0.2">
      <c r="B3154" s="173"/>
      <c r="C3154" s="694">
        <v>1</v>
      </c>
      <c r="D3154" s="695" t="s">
        <v>3903</v>
      </c>
      <c r="E3154" s="695">
        <v>4</v>
      </c>
      <c r="F3154" s="695" t="s">
        <v>5967</v>
      </c>
      <c r="G3154" s="695">
        <v>3</v>
      </c>
      <c r="H3154" s="695" t="s">
        <v>6362</v>
      </c>
      <c r="I3154" s="695">
        <v>6</v>
      </c>
      <c r="J3154" s="695" t="s">
        <v>6368</v>
      </c>
      <c r="K3154" s="695" t="s">
        <v>3907</v>
      </c>
      <c r="L3154" s="696">
        <v>0</v>
      </c>
      <c r="M3154" s="170"/>
    </row>
    <row r="3155" spans="2:13" x14ac:dyDescent="0.2">
      <c r="B3155" s="173"/>
      <c r="C3155" s="694">
        <v>1</v>
      </c>
      <c r="D3155" s="695" t="s">
        <v>3903</v>
      </c>
      <c r="E3155" s="695">
        <v>4</v>
      </c>
      <c r="F3155" s="695" t="s">
        <v>5967</v>
      </c>
      <c r="G3155" s="695">
        <v>3</v>
      </c>
      <c r="H3155" s="695" t="s">
        <v>6362</v>
      </c>
      <c r="I3155" s="695">
        <v>7</v>
      </c>
      <c r="J3155" s="695" t="s">
        <v>6369</v>
      </c>
      <c r="K3155" s="695" t="s">
        <v>3907</v>
      </c>
      <c r="L3155" s="696">
        <v>0</v>
      </c>
      <c r="M3155" s="170"/>
    </row>
    <row r="3156" spans="2:13" x14ac:dyDescent="0.2">
      <c r="B3156" s="173"/>
      <c r="C3156" s="694">
        <v>1</v>
      </c>
      <c r="D3156" s="695" t="s">
        <v>3903</v>
      </c>
      <c r="E3156" s="695">
        <v>4</v>
      </c>
      <c r="F3156" s="695" t="s">
        <v>5967</v>
      </c>
      <c r="G3156" s="695">
        <v>3</v>
      </c>
      <c r="H3156" s="695" t="s">
        <v>6362</v>
      </c>
      <c r="I3156" s="695">
        <v>8</v>
      </c>
      <c r="J3156" s="695" t="s">
        <v>6370</v>
      </c>
      <c r="K3156" s="695" t="s">
        <v>3907</v>
      </c>
      <c r="L3156" s="696">
        <v>63</v>
      </c>
      <c r="M3156" s="170"/>
    </row>
    <row r="3157" spans="2:13" x14ac:dyDescent="0.2">
      <c r="B3157" s="173"/>
      <c r="C3157" s="694">
        <v>1</v>
      </c>
      <c r="D3157" s="695" t="s">
        <v>3903</v>
      </c>
      <c r="E3157" s="695">
        <v>4</v>
      </c>
      <c r="F3157" s="695" t="s">
        <v>5967</v>
      </c>
      <c r="G3157" s="695">
        <v>3</v>
      </c>
      <c r="H3157" s="695" t="s">
        <v>6362</v>
      </c>
      <c r="I3157" s="695">
        <v>9</v>
      </c>
      <c r="J3157" s="695" t="s">
        <v>6371</v>
      </c>
      <c r="K3157" s="695" t="s">
        <v>3907</v>
      </c>
      <c r="L3157" s="696">
        <v>2</v>
      </c>
      <c r="M3157" s="170"/>
    </row>
    <row r="3158" spans="2:13" x14ac:dyDescent="0.2">
      <c r="B3158" s="173"/>
      <c r="C3158" s="694">
        <v>1</v>
      </c>
      <c r="D3158" s="695" t="s">
        <v>3903</v>
      </c>
      <c r="E3158" s="695">
        <v>4</v>
      </c>
      <c r="F3158" s="695" t="s">
        <v>5967</v>
      </c>
      <c r="G3158" s="695">
        <v>3</v>
      </c>
      <c r="H3158" s="695" t="s">
        <v>6362</v>
      </c>
      <c r="I3158" s="695">
        <v>10</v>
      </c>
      <c r="J3158" s="695" t="s">
        <v>6372</v>
      </c>
      <c r="K3158" s="695" t="s">
        <v>3907</v>
      </c>
      <c r="L3158" s="696">
        <v>1</v>
      </c>
      <c r="M3158" s="170"/>
    </row>
    <row r="3159" spans="2:13" x14ac:dyDescent="0.2">
      <c r="B3159" s="173"/>
      <c r="C3159" s="694">
        <v>1</v>
      </c>
      <c r="D3159" s="695" t="s">
        <v>3903</v>
      </c>
      <c r="E3159" s="695">
        <v>4</v>
      </c>
      <c r="F3159" s="695" t="s">
        <v>5967</v>
      </c>
      <c r="G3159" s="695">
        <v>3</v>
      </c>
      <c r="H3159" s="695" t="s">
        <v>6362</v>
      </c>
      <c r="I3159" s="695">
        <v>11</v>
      </c>
      <c r="J3159" s="695" t="s">
        <v>6373</v>
      </c>
      <c r="K3159" s="695" t="s">
        <v>3907</v>
      </c>
      <c r="L3159" s="696">
        <v>1</v>
      </c>
      <c r="M3159" s="170"/>
    </row>
    <row r="3160" spans="2:13" x14ac:dyDescent="0.2">
      <c r="B3160" s="173"/>
      <c r="C3160" s="694">
        <v>1</v>
      </c>
      <c r="D3160" s="695" t="s">
        <v>3903</v>
      </c>
      <c r="E3160" s="695">
        <v>4</v>
      </c>
      <c r="F3160" s="695" t="s">
        <v>5967</v>
      </c>
      <c r="G3160" s="695">
        <v>3</v>
      </c>
      <c r="H3160" s="695" t="s">
        <v>6362</v>
      </c>
      <c r="I3160" s="695">
        <v>12</v>
      </c>
      <c r="J3160" s="695" t="s">
        <v>6374</v>
      </c>
      <c r="K3160" s="695" t="s">
        <v>3907</v>
      </c>
      <c r="L3160" s="696">
        <v>47</v>
      </c>
      <c r="M3160" s="170"/>
    </row>
    <row r="3161" spans="2:13" x14ac:dyDescent="0.2">
      <c r="B3161" s="173"/>
      <c r="C3161" s="694">
        <v>1</v>
      </c>
      <c r="D3161" s="695" t="s">
        <v>3903</v>
      </c>
      <c r="E3161" s="695">
        <v>4</v>
      </c>
      <c r="F3161" s="695" t="s">
        <v>5967</v>
      </c>
      <c r="G3161" s="695">
        <v>3</v>
      </c>
      <c r="H3161" s="695" t="s">
        <v>6362</v>
      </c>
      <c r="I3161" s="695">
        <v>13</v>
      </c>
      <c r="J3161" s="695" t="s">
        <v>6375</v>
      </c>
      <c r="K3161" s="695" t="s">
        <v>3907</v>
      </c>
      <c r="L3161" s="696">
        <v>1</v>
      </c>
      <c r="M3161" s="170"/>
    </row>
    <row r="3162" spans="2:13" x14ac:dyDescent="0.2">
      <c r="B3162" s="173"/>
      <c r="C3162" s="694">
        <v>1</v>
      </c>
      <c r="D3162" s="695" t="s">
        <v>3903</v>
      </c>
      <c r="E3162" s="695">
        <v>4</v>
      </c>
      <c r="F3162" s="695" t="s">
        <v>5967</v>
      </c>
      <c r="G3162" s="695">
        <v>3</v>
      </c>
      <c r="H3162" s="695" t="s">
        <v>6362</v>
      </c>
      <c r="I3162" s="695">
        <v>14</v>
      </c>
      <c r="J3162" s="695" t="s">
        <v>6376</v>
      </c>
      <c r="K3162" s="695" t="s">
        <v>3907</v>
      </c>
      <c r="L3162" s="696">
        <v>58</v>
      </c>
      <c r="M3162" s="170"/>
    </row>
    <row r="3163" spans="2:13" x14ac:dyDescent="0.2">
      <c r="B3163" s="173"/>
      <c r="C3163" s="694">
        <v>1</v>
      </c>
      <c r="D3163" s="695" t="s">
        <v>3903</v>
      </c>
      <c r="E3163" s="695">
        <v>4</v>
      </c>
      <c r="F3163" s="695" t="s">
        <v>5967</v>
      </c>
      <c r="G3163" s="695">
        <v>3</v>
      </c>
      <c r="H3163" s="695" t="s">
        <v>6362</v>
      </c>
      <c r="I3163" s="695">
        <v>15</v>
      </c>
      <c r="J3163" s="695" t="s">
        <v>6377</v>
      </c>
      <c r="K3163" s="695" t="s">
        <v>3907</v>
      </c>
      <c r="L3163" s="696">
        <v>40</v>
      </c>
      <c r="M3163" s="170"/>
    </row>
    <row r="3164" spans="2:13" x14ac:dyDescent="0.2">
      <c r="B3164" s="173"/>
      <c r="C3164" s="694">
        <v>1</v>
      </c>
      <c r="D3164" s="695" t="s">
        <v>3903</v>
      </c>
      <c r="E3164" s="695">
        <v>4</v>
      </c>
      <c r="F3164" s="695" t="s">
        <v>5967</v>
      </c>
      <c r="G3164" s="695">
        <v>3</v>
      </c>
      <c r="H3164" s="695" t="s">
        <v>6362</v>
      </c>
      <c r="I3164" s="695">
        <v>16</v>
      </c>
      <c r="J3164" s="695" t="s">
        <v>6378</v>
      </c>
      <c r="K3164" s="695" t="s">
        <v>8544</v>
      </c>
      <c r="L3164" s="696">
        <v>4</v>
      </c>
      <c r="M3164" s="170"/>
    </row>
    <row r="3165" spans="2:13" x14ac:dyDescent="0.2">
      <c r="B3165" s="173"/>
      <c r="C3165" s="694">
        <v>1</v>
      </c>
      <c r="D3165" s="695" t="s">
        <v>3903</v>
      </c>
      <c r="E3165" s="695">
        <v>4</v>
      </c>
      <c r="F3165" s="695" t="s">
        <v>5967</v>
      </c>
      <c r="G3165" s="695">
        <v>3</v>
      </c>
      <c r="H3165" s="695" t="s">
        <v>6362</v>
      </c>
      <c r="I3165" s="695">
        <v>17</v>
      </c>
      <c r="J3165" s="695" t="s">
        <v>6379</v>
      </c>
      <c r="K3165" s="695" t="s">
        <v>8544</v>
      </c>
      <c r="L3165" s="696">
        <v>6</v>
      </c>
      <c r="M3165" s="170"/>
    </row>
    <row r="3166" spans="2:13" x14ac:dyDescent="0.2">
      <c r="B3166" s="173"/>
      <c r="C3166" s="694">
        <v>1</v>
      </c>
      <c r="D3166" s="695" t="s">
        <v>3903</v>
      </c>
      <c r="E3166" s="695">
        <v>4</v>
      </c>
      <c r="F3166" s="695" t="s">
        <v>5967</v>
      </c>
      <c r="G3166" s="695">
        <v>3</v>
      </c>
      <c r="H3166" s="695" t="s">
        <v>6362</v>
      </c>
      <c r="I3166" s="695">
        <v>18</v>
      </c>
      <c r="J3166" s="695" t="s">
        <v>6380</v>
      </c>
      <c r="K3166" s="695" t="s">
        <v>8544</v>
      </c>
      <c r="L3166" s="696">
        <v>0</v>
      </c>
      <c r="M3166" s="170"/>
    </row>
    <row r="3167" spans="2:13" x14ac:dyDescent="0.2">
      <c r="B3167" s="173"/>
      <c r="C3167" s="694">
        <v>1</v>
      </c>
      <c r="D3167" s="695" t="s">
        <v>3903</v>
      </c>
      <c r="E3167" s="695">
        <v>4</v>
      </c>
      <c r="F3167" s="695" t="s">
        <v>5967</v>
      </c>
      <c r="G3167" s="695">
        <v>3</v>
      </c>
      <c r="H3167" s="695" t="s">
        <v>6362</v>
      </c>
      <c r="I3167" s="695">
        <v>19</v>
      </c>
      <c r="J3167" s="695" t="s">
        <v>6381</v>
      </c>
      <c r="K3167" s="695" t="s">
        <v>8544</v>
      </c>
      <c r="L3167" s="696">
        <v>3</v>
      </c>
      <c r="M3167" s="170"/>
    </row>
    <row r="3168" spans="2:13" x14ac:dyDescent="0.2">
      <c r="B3168" s="173"/>
      <c r="C3168" s="694">
        <v>1</v>
      </c>
      <c r="D3168" s="695" t="s">
        <v>3903</v>
      </c>
      <c r="E3168" s="695">
        <v>4</v>
      </c>
      <c r="F3168" s="695" t="s">
        <v>5967</v>
      </c>
      <c r="G3168" s="695">
        <v>3</v>
      </c>
      <c r="H3168" s="695" t="s">
        <v>6362</v>
      </c>
      <c r="I3168" s="695">
        <v>20</v>
      </c>
      <c r="J3168" s="695" t="s">
        <v>6382</v>
      </c>
      <c r="K3168" s="695" t="s">
        <v>3907</v>
      </c>
      <c r="L3168" s="696">
        <v>17</v>
      </c>
      <c r="M3168" s="170"/>
    </row>
    <row r="3169" spans="2:13" x14ac:dyDescent="0.2">
      <c r="B3169" s="173"/>
      <c r="C3169" s="694">
        <v>1</v>
      </c>
      <c r="D3169" s="695" t="s">
        <v>3903</v>
      </c>
      <c r="E3169" s="695">
        <v>4</v>
      </c>
      <c r="F3169" s="695" t="s">
        <v>5967</v>
      </c>
      <c r="G3169" s="695">
        <v>3</v>
      </c>
      <c r="H3169" s="695" t="s">
        <v>6362</v>
      </c>
      <c r="I3169" s="695">
        <v>21</v>
      </c>
      <c r="J3169" s="695" t="s">
        <v>6383</v>
      </c>
      <c r="K3169" s="695" t="s">
        <v>4057</v>
      </c>
      <c r="L3169" s="696">
        <v>31</v>
      </c>
      <c r="M3169" s="170"/>
    </row>
    <row r="3170" spans="2:13" x14ac:dyDescent="0.2">
      <c r="B3170" s="173"/>
      <c r="C3170" s="694">
        <v>1</v>
      </c>
      <c r="D3170" s="695" t="s">
        <v>3903</v>
      </c>
      <c r="E3170" s="695">
        <v>4</v>
      </c>
      <c r="F3170" s="695" t="s">
        <v>5967</v>
      </c>
      <c r="G3170" s="695">
        <v>3</v>
      </c>
      <c r="H3170" s="695" t="s">
        <v>6362</v>
      </c>
      <c r="I3170" s="695">
        <v>22</v>
      </c>
      <c r="J3170" s="695" t="s">
        <v>6382</v>
      </c>
      <c r="K3170" s="695" t="s">
        <v>3907</v>
      </c>
      <c r="L3170" s="696">
        <v>8</v>
      </c>
      <c r="M3170" s="170"/>
    </row>
    <row r="3171" spans="2:13" x14ac:dyDescent="0.2">
      <c r="B3171" s="173"/>
      <c r="C3171" s="694">
        <v>1</v>
      </c>
      <c r="D3171" s="695" t="s">
        <v>3903</v>
      </c>
      <c r="E3171" s="695">
        <v>4</v>
      </c>
      <c r="F3171" s="695" t="s">
        <v>5967</v>
      </c>
      <c r="G3171" s="695">
        <v>3</v>
      </c>
      <c r="H3171" s="695" t="s">
        <v>6362</v>
      </c>
      <c r="I3171" s="695">
        <v>23</v>
      </c>
      <c r="J3171" s="695" t="s">
        <v>6384</v>
      </c>
      <c r="K3171" s="695" t="s">
        <v>8544</v>
      </c>
      <c r="L3171" s="696">
        <v>20</v>
      </c>
      <c r="M3171" s="170"/>
    </row>
    <row r="3172" spans="2:13" x14ac:dyDescent="0.2">
      <c r="B3172" s="173"/>
      <c r="C3172" s="694">
        <v>1</v>
      </c>
      <c r="D3172" s="695" t="s">
        <v>3903</v>
      </c>
      <c r="E3172" s="695">
        <v>4</v>
      </c>
      <c r="F3172" s="695" t="s">
        <v>5967</v>
      </c>
      <c r="G3172" s="695">
        <v>3</v>
      </c>
      <c r="H3172" s="695" t="s">
        <v>6362</v>
      </c>
      <c r="I3172" s="695">
        <v>24</v>
      </c>
      <c r="J3172" s="695" t="s">
        <v>6385</v>
      </c>
      <c r="K3172" s="695" t="s">
        <v>8544</v>
      </c>
      <c r="L3172" s="696">
        <v>3</v>
      </c>
      <c r="M3172" s="170"/>
    </row>
    <row r="3173" spans="2:13" x14ac:dyDescent="0.2">
      <c r="B3173" s="173"/>
      <c r="C3173" s="694">
        <v>1</v>
      </c>
      <c r="D3173" s="695" t="s">
        <v>3903</v>
      </c>
      <c r="E3173" s="695">
        <v>4</v>
      </c>
      <c r="F3173" s="695" t="s">
        <v>5967</v>
      </c>
      <c r="G3173" s="695">
        <v>3</v>
      </c>
      <c r="H3173" s="695" t="s">
        <v>6362</v>
      </c>
      <c r="I3173" s="695">
        <v>25</v>
      </c>
      <c r="J3173" s="695" t="s">
        <v>6386</v>
      </c>
      <c r="K3173" s="695" t="s">
        <v>8544</v>
      </c>
      <c r="L3173" s="696">
        <v>13</v>
      </c>
      <c r="M3173" s="170"/>
    </row>
    <row r="3174" spans="2:13" x14ac:dyDescent="0.2">
      <c r="B3174" s="173"/>
      <c r="C3174" s="694">
        <v>1</v>
      </c>
      <c r="D3174" s="695" t="s">
        <v>3903</v>
      </c>
      <c r="E3174" s="695">
        <v>4</v>
      </c>
      <c r="F3174" s="695" t="s">
        <v>5967</v>
      </c>
      <c r="G3174" s="695">
        <v>3</v>
      </c>
      <c r="H3174" s="695" t="s">
        <v>6362</v>
      </c>
      <c r="I3174" s="695">
        <v>26</v>
      </c>
      <c r="J3174" s="695" t="s">
        <v>6387</v>
      </c>
      <c r="K3174" s="695" t="s">
        <v>3907</v>
      </c>
      <c r="L3174" s="696">
        <v>44</v>
      </c>
      <c r="M3174" s="170"/>
    </row>
    <row r="3175" spans="2:13" x14ac:dyDescent="0.2">
      <c r="B3175" s="173"/>
      <c r="C3175" s="694">
        <v>1</v>
      </c>
      <c r="D3175" s="695" t="s">
        <v>3903</v>
      </c>
      <c r="E3175" s="695">
        <v>4</v>
      </c>
      <c r="F3175" s="695" t="s">
        <v>5967</v>
      </c>
      <c r="G3175" s="695">
        <v>3</v>
      </c>
      <c r="H3175" s="695" t="s">
        <v>6362</v>
      </c>
      <c r="I3175" s="695">
        <v>27</v>
      </c>
      <c r="J3175" s="695" t="s">
        <v>6388</v>
      </c>
      <c r="K3175" s="695" t="s">
        <v>8544</v>
      </c>
      <c r="L3175" s="696">
        <v>4</v>
      </c>
      <c r="M3175" s="170"/>
    </row>
    <row r="3176" spans="2:13" x14ac:dyDescent="0.2">
      <c r="B3176" s="173"/>
      <c r="C3176" s="694">
        <v>1</v>
      </c>
      <c r="D3176" s="695" t="s">
        <v>3903</v>
      </c>
      <c r="E3176" s="695">
        <v>4</v>
      </c>
      <c r="F3176" s="695" t="s">
        <v>5967</v>
      </c>
      <c r="G3176" s="695">
        <v>3</v>
      </c>
      <c r="H3176" s="695" t="s">
        <v>6362</v>
      </c>
      <c r="I3176" s="695">
        <v>28</v>
      </c>
      <c r="J3176" s="695" t="s">
        <v>6386</v>
      </c>
      <c r="K3176" s="695" t="s">
        <v>8544</v>
      </c>
      <c r="L3176" s="696">
        <v>3</v>
      </c>
      <c r="M3176" s="170"/>
    </row>
    <row r="3177" spans="2:13" x14ac:dyDescent="0.2">
      <c r="B3177" s="173"/>
      <c r="C3177" s="694">
        <v>1</v>
      </c>
      <c r="D3177" s="695" t="s">
        <v>3903</v>
      </c>
      <c r="E3177" s="695">
        <v>4</v>
      </c>
      <c r="F3177" s="695" t="s">
        <v>5967</v>
      </c>
      <c r="G3177" s="695">
        <v>3</v>
      </c>
      <c r="H3177" s="695" t="s">
        <v>6362</v>
      </c>
      <c r="I3177" s="695">
        <v>29</v>
      </c>
      <c r="J3177" s="695" t="s">
        <v>6389</v>
      </c>
      <c r="K3177" s="695" t="s">
        <v>8544</v>
      </c>
      <c r="L3177" s="696">
        <v>3</v>
      </c>
      <c r="M3177" s="170"/>
    </row>
    <row r="3178" spans="2:13" x14ac:dyDescent="0.2">
      <c r="B3178" s="173"/>
      <c r="C3178" s="694">
        <v>1</v>
      </c>
      <c r="D3178" s="695" t="s">
        <v>3903</v>
      </c>
      <c r="E3178" s="695">
        <v>4</v>
      </c>
      <c r="F3178" s="695" t="s">
        <v>5967</v>
      </c>
      <c r="G3178" s="695">
        <v>3</v>
      </c>
      <c r="H3178" s="695" t="s">
        <v>6362</v>
      </c>
      <c r="I3178" s="695">
        <v>30</v>
      </c>
      <c r="J3178" s="695" t="s">
        <v>6390</v>
      </c>
      <c r="K3178" s="695" t="s">
        <v>8544</v>
      </c>
      <c r="L3178" s="696">
        <v>0</v>
      </c>
      <c r="M3178" s="170"/>
    </row>
    <row r="3179" spans="2:13" x14ac:dyDescent="0.2">
      <c r="B3179" s="173"/>
      <c r="C3179" s="694">
        <v>1</v>
      </c>
      <c r="D3179" s="695" t="s">
        <v>3903</v>
      </c>
      <c r="E3179" s="695">
        <v>4</v>
      </c>
      <c r="F3179" s="695" t="s">
        <v>5967</v>
      </c>
      <c r="G3179" s="695">
        <v>3</v>
      </c>
      <c r="H3179" s="695" t="s">
        <v>6362</v>
      </c>
      <c r="I3179" s="695">
        <v>31</v>
      </c>
      <c r="J3179" s="695" t="s">
        <v>6391</v>
      </c>
      <c r="K3179" s="695" t="s">
        <v>8544</v>
      </c>
      <c r="L3179" s="696">
        <v>10</v>
      </c>
      <c r="M3179" s="170"/>
    </row>
    <row r="3180" spans="2:13" x14ac:dyDescent="0.2">
      <c r="B3180" s="173"/>
      <c r="C3180" s="694">
        <v>1</v>
      </c>
      <c r="D3180" s="695" t="s">
        <v>3903</v>
      </c>
      <c r="E3180" s="695">
        <v>4</v>
      </c>
      <c r="F3180" s="695" t="s">
        <v>5967</v>
      </c>
      <c r="G3180" s="695">
        <v>3</v>
      </c>
      <c r="H3180" s="695" t="s">
        <v>6362</v>
      </c>
      <c r="I3180" s="695">
        <v>32</v>
      </c>
      <c r="J3180" s="695" t="s">
        <v>6392</v>
      </c>
      <c r="K3180" s="695" t="s">
        <v>8544</v>
      </c>
      <c r="L3180" s="696">
        <v>34</v>
      </c>
      <c r="M3180" s="170"/>
    </row>
    <row r="3181" spans="2:13" x14ac:dyDescent="0.2">
      <c r="B3181" s="173"/>
      <c r="C3181" s="694">
        <v>1</v>
      </c>
      <c r="D3181" s="695" t="s">
        <v>3903</v>
      </c>
      <c r="E3181" s="695">
        <v>4</v>
      </c>
      <c r="F3181" s="695" t="s">
        <v>5967</v>
      </c>
      <c r="G3181" s="695">
        <v>3</v>
      </c>
      <c r="H3181" s="695" t="s">
        <v>6362</v>
      </c>
      <c r="I3181" s="695">
        <v>33</v>
      </c>
      <c r="J3181" s="695" t="s">
        <v>6390</v>
      </c>
      <c r="K3181" s="695" t="s">
        <v>8544</v>
      </c>
      <c r="L3181" s="696">
        <v>5</v>
      </c>
      <c r="M3181" s="170"/>
    </row>
    <row r="3182" spans="2:13" x14ac:dyDescent="0.2">
      <c r="B3182" s="173"/>
      <c r="C3182" s="694">
        <v>1</v>
      </c>
      <c r="D3182" s="695" t="s">
        <v>3903</v>
      </c>
      <c r="E3182" s="695">
        <v>4</v>
      </c>
      <c r="F3182" s="695" t="s">
        <v>5967</v>
      </c>
      <c r="G3182" s="695">
        <v>3</v>
      </c>
      <c r="H3182" s="695" t="s">
        <v>6362</v>
      </c>
      <c r="I3182" s="695">
        <v>34</v>
      </c>
      <c r="J3182" s="695" t="s">
        <v>6393</v>
      </c>
      <c r="K3182" s="695" t="s">
        <v>3907</v>
      </c>
      <c r="L3182" s="696">
        <v>10</v>
      </c>
      <c r="M3182" s="170"/>
    </row>
    <row r="3183" spans="2:13" x14ac:dyDescent="0.2">
      <c r="B3183" s="173"/>
      <c r="C3183" s="694">
        <v>1</v>
      </c>
      <c r="D3183" s="695" t="s">
        <v>3903</v>
      </c>
      <c r="E3183" s="695">
        <v>4</v>
      </c>
      <c r="F3183" s="695" t="s">
        <v>5967</v>
      </c>
      <c r="G3183" s="695">
        <v>3</v>
      </c>
      <c r="H3183" s="695" t="s">
        <v>6362</v>
      </c>
      <c r="I3183" s="695">
        <v>35</v>
      </c>
      <c r="J3183" s="695" t="s">
        <v>6394</v>
      </c>
      <c r="K3183" s="695" t="s">
        <v>3907</v>
      </c>
      <c r="L3183" s="696">
        <v>2</v>
      </c>
      <c r="M3183" s="170"/>
    </row>
    <row r="3184" spans="2:13" x14ac:dyDescent="0.2">
      <c r="B3184" s="173"/>
      <c r="C3184" s="694">
        <v>1</v>
      </c>
      <c r="D3184" s="695" t="s">
        <v>3903</v>
      </c>
      <c r="E3184" s="695">
        <v>4</v>
      </c>
      <c r="F3184" s="695" t="s">
        <v>5967</v>
      </c>
      <c r="G3184" s="695">
        <v>3</v>
      </c>
      <c r="H3184" s="695" t="s">
        <v>6362</v>
      </c>
      <c r="I3184" s="695">
        <v>36</v>
      </c>
      <c r="J3184" s="695" t="s">
        <v>6395</v>
      </c>
      <c r="K3184" s="695" t="s">
        <v>3907</v>
      </c>
      <c r="L3184" s="696">
        <v>3</v>
      </c>
      <c r="M3184" s="170"/>
    </row>
    <row r="3185" spans="2:13" x14ac:dyDescent="0.2">
      <c r="B3185" s="173"/>
      <c r="C3185" s="694">
        <v>1</v>
      </c>
      <c r="D3185" s="695" t="s">
        <v>3903</v>
      </c>
      <c r="E3185" s="695">
        <v>4</v>
      </c>
      <c r="F3185" s="695" t="s">
        <v>5967</v>
      </c>
      <c r="G3185" s="695">
        <v>3</v>
      </c>
      <c r="H3185" s="695" t="s">
        <v>6362</v>
      </c>
      <c r="I3185" s="695">
        <v>37</v>
      </c>
      <c r="J3185" s="695" t="s">
        <v>6396</v>
      </c>
      <c r="K3185" s="695" t="s">
        <v>3907</v>
      </c>
      <c r="L3185" s="696">
        <v>2</v>
      </c>
      <c r="M3185" s="170"/>
    </row>
    <row r="3186" spans="2:13" x14ac:dyDescent="0.2">
      <c r="B3186" s="173"/>
      <c r="C3186" s="694">
        <v>1</v>
      </c>
      <c r="D3186" s="695" t="s">
        <v>3903</v>
      </c>
      <c r="E3186" s="695">
        <v>4</v>
      </c>
      <c r="F3186" s="695" t="s">
        <v>5967</v>
      </c>
      <c r="G3186" s="695">
        <v>3</v>
      </c>
      <c r="H3186" s="695" t="s">
        <v>6362</v>
      </c>
      <c r="I3186" s="695">
        <v>38</v>
      </c>
      <c r="J3186" s="695" t="s">
        <v>6397</v>
      </c>
      <c r="K3186" s="695" t="s">
        <v>3907</v>
      </c>
      <c r="L3186" s="696">
        <v>9</v>
      </c>
      <c r="M3186" s="170"/>
    </row>
    <row r="3187" spans="2:13" x14ac:dyDescent="0.2">
      <c r="B3187" s="173"/>
      <c r="C3187" s="694">
        <v>1</v>
      </c>
      <c r="D3187" s="695" t="s">
        <v>3903</v>
      </c>
      <c r="E3187" s="695">
        <v>4</v>
      </c>
      <c r="F3187" s="695" t="s">
        <v>5967</v>
      </c>
      <c r="G3187" s="695">
        <v>3</v>
      </c>
      <c r="H3187" s="695" t="s">
        <v>6362</v>
      </c>
      <c r="I3187" s="695">
        <v>39</v>
      </c>
      <c r="J3187" s="695" t="s">
        <v>6398</v>
      </c>
      <c r="K3187" s="695" t="s">
        <v>3907</v>
      </c>
      <c r="L3187" s="696">
        <v>1</v>
      </c>
      <c r="M3187" s="170"/>
    </row>
    <row r="3188" spans="2:13" x14ac:dyDescent="0.2">
      <c r="B3188" s="173"/>
      <c r="C3188" s="694">
        <v>1</v>
      </c>
      <c r="D3188" s="695" t="s">
        <v>3903</v>
      </c>
      <c r="E3188" s="695">
        <v>4</v>
      </c>
      <c r="F3188" s="695" t="s">
        <v>5967</v>
      </c>
      <c r="G3188" s="695">
        <v>3</v>
      </c>
      <c r="H3188" s="695" t="s">
        <v>6362</v>
      </c>
      <c r="I3188" s="695">
        <v>40</v>
      </c>
      <c r="J3188" s="695" t="s">
        <v>6399</v>
      </c>
      <c r="K3188" s="695" t="s">
        <v>3907</v>
      </c>
      <c r="L3188" s="696">
        <v>18</v>
      </c>
      <c r="M3188" s="170"/>
    </row>
    <row r="3189" spans="2:13" x14ac:dyDescent="0.2">
      <c r="B3189" s="173"/>
      <c r="C3189" s="694">
        <v>1</v>
      </c>
      <c r="D3189" s="695" t="s">
        <v>3903</v>
      </c>
      <c r="E3189" s="695">
        <v>4</v>
      </c>
      <c r="F3189" s="695" t="s">
        <v>5967</v>
      </c>
      <c r="G3189" s="695">
        <v>3</v>
      </c>
      <c r="H3189" s="695" t="s">
        <v>6362</v>
      </c>
      <c r="I3189" s="695">
        <v>41</v>
      </c>
      <c r="J3189" s="695" t="s">
        <v>6400</v>
      </c>
      <c r="K3189" s="695" t="s">
        <v>3907</v>
      </c>
      <c r="L3189" s="696">
        <v>1</v>
      </c>
      <c r="M3189" s="170"/>
    </row>
    <row r="3190" spans="2:13" x14ac:dyDescent="0.2">
      <c r="B3190" s="173"/>
      <c r="C3190" s="694">
        <v>1</v>
      </c>
      <c r="D3190" s="695" t="s">
        <v>3903</v>
      </c>
      <c r="E3190" s="695">
        <v>4</v>
      </c>
      <c r="F3190" s="695" t="s">
        <v>5967</v>
      </c>
      <c r="G3190" s="695">
        <v>3</v>
      </c>
      <c r="H3190" s="695" t="s">
        <v>6362</v>
      </c>
      <c r="I3190" s="695">
        <v>42</v>
      </c>
      <c r="J3190" s="695" t="s">
        <v>6401</v>
      </c>
      <c r="K3190" s="695" t="s">
        <v>3907</v>
      </c>
      <c r="L3190" s="696">
        <v>2</v>
      </c>
      <c r="M3190" s="170"/>
    </row>
    <row r="3191" spans="2:13" x14ac:dyDescent="0.2">
      <c r="B3191" s="173"/>
      <c r="C3191" s="694">
        <v>1</v>
      </c>
      <c r="D3191" s="695" t="s">
        <v>3903</v>
      </c>
      <c r="E3191" s="695">
        <v>4</v>
      </c>
      <c r="F3191" s="695" t="s">
        <v>5967</v>
      </c>
      <c r="G3191" s="695">
        <v>3</v>
      </c>
      <c r="H3191" s="695" t="s">
        <v>6362</v>
      </c>
      <c r="I3191" s="695">
        <v>43</v>
      </c>
      <c r="J3191" s="695" t="s">
        <v>6391</v>
      </c>
      <c r="K3191" s="695" t="s">
        <v>3907</v>
      </c>
      <c r="L3191" s="696">
        <v>1</v>
      </c>
      <c r="M3191" s="170"/>
    </row>
    <row r="3192" spans="2:13" x14ac:dyDescent="0.2">
      <c r="B3192" s="173"/>
      <c r="C3192" s="694">
        <v>1</v>
      </c>
      <c r="D3192" s="695" t="s">
        <v>3903</v>
      </c>
      <c r="E3192" s="695">
        <v>4</v>
      </c>
      <c r="F3192" s="695" t="s">
        <v>5967</v>
      </c>
      <c r="G3192" s="695">
        <v>3</v>
      </c>
      <c r="H3192" s="695" t="s">
        <v>6362</v>
      </c>
      <c r="I3192" s="695">
        <v>44</v>
      </c>
      <c r="J3192" s="695" t="s">
        <v>6402</v>
      </c>
      <c r="K3192" s="695" t="s">
        <v>3907</v>
      </c>
      <c r="L3192" s="696">
        <v>1</v>
      </c>
      <c r="M3192" s="170"/>
    </row>
    <row r="3193" spans="2:13" x14ac:dyDescent="0.2">
      <c r="B3193" s="173"/>
      <c r="C3193" s="694">
        <v>1</v>
      </c>
      <c r="D3193" s="695" t="s">
        <v>3903</v>
      </c>
      <c r="E3193" s="695">
        <v>4</v>
      </c>
      <c r="F3193" s="695" t="s">
        <v>5967</v>
      </c>
      <c r="G3193" s="695">
        <v>3</v>
      </c>
      <c r="H3193" s="695" t="s">
        <v>6362</v>
      </c>
      <c r="I3193" s="695">
        <v>45</v>
      </c>
      <c r="J3193" s="695" t="s">
        <v>6403</v>
      </c>
      <c r="K3193" s="695" t="s">
        <v>3907</v>
      </c>
      <c r="L3193" s="696">
        <v>3</v>
      </c>
      <c r="M3193" s="170"/>
    </row>
    <row r="3194" spans="2:13" x14ac:dyDescent="0.2">
      <c r="B3194" s="173"/>
      <c r="C3194" s="694">
        <v>1</v>
      </c>
      <c r="D3194" s="695" t="s">
        <v>3903</v>
      </c>
      <c r="E3194" s="695">
        <v>4</v>
      </c>
      <c r="F3194" s="695" t="s">
        <v>5967</v>
      </c>
      <c r="G3194" s="695">
        <v>3</v>
      </c>
      <c r="H3194" s="695" t="s">
        <v>6362</v>
      </c>
      <c r="I3194" s="695">
        <v>46</v>
      </c>
      <c r="J3194" s="695" t="s">
        <v>9140</v>
      </c>
      <c r="K3194" s="695" t="s">
        <v>3907</v>
      </c>
      <c r="L3194" s="696">
        <v>3</v>
      </c>
      <c r="M3194" s="170"/>
    </row>
    <row r="3195" spans="2:13" x14ac:dyDescent="0.2">
      <c r="B3195" s="173"/>
      <c r="C3195" s="694">
        <v>1</v>
      </c>
      <c r="D3195" s="695" t="s">
        <v>3903</v>
      </c>
      <c r="E3195" s="695">
        <v>4</v>
      </c>
      <c r="F3195" s="695" t="s">
        <v>5967</v>
      </c>
      <c r="G3195" s="695">
        <v>3</v>
      </c>
      <c r="H3195" s="695" t="s">
        <v>6362</v>
      </c>
      <c r="I3195" s="695">
        <v>47</v>
      </c>
      <c r="J3195" s="695" t="s">
        <v>9141</v>
      </c>
      <c r="K3195" s="695" t="s">
        <v>8544</v>
      </c>
      <c r="L3195" s="696">
        <v>5</v>
      </c>
      <c r="M3195" s="170"/>
    </row>
    <row r="3196" spans="2:13" x14ac:dyDescent="0.2">
      <c r="B3196" s="173"/>
      <c r="C3196" s="694">
        <v>1</v>
      </c>
      <c r="D3196" s="695" t="s">
        <v>3903</v>
      </c>
      <c r="E3196" s="695">
        <v>4</v>
      </c>
      <c r="F3196" s="695" t="s">
        <v>5967</v>
      </c>
      <c r="G3196" s="695">
        <v>3</v>
      </c>
      <c r="H3196" s="695" t="s">
        <v>6362</v>
      </c>
      <c r="I3196" s="695">
        <v>48</v>
      </c>
      <c r="J3196" s="695" t="s">
        <v>9142</v>
      </c>
      <c r="K3196" s="695" t="s">
        <v>3907</v>
      </c>
      <c r="L3196" s="696">
        <v>3</v>
      </c>
      <c r="M3196" s="170"/>
    </row>
    <row r="3197" spans="2:13" x14ac:dyDescent="0.2">
      <c r="B3197" s="173"/>
      <c r="C3197" s="694">
        <v>1</v>
      </c>
      <c r="D3197" s="695" t="s">
        <v>3903</v>
      </c>
      <c r="E3197" s="695">
        <v>4</v>
      </c>
      <c r="F3197" s="695" t="s">
        <v>5967</v>
      </c>
      <c r="G3197" s="695">
        <v>3</v>
      </c>
      <c r="H3197" s="695" t="s">
        <v>6362</v>
      </c>
      <c r="I3197" s="695">
        <v>49</v>
      </c>
      <c r="J3197" s="695" t="s">
        <v>9143</v>
      </c>
      <c r="K3197" s="695" t="s">
        <v>3907</v>
      </c>
      <c r="L3197" s="696">
        <v>2</v>
      </c>
      <c r="M3197" s="170"/>
    </row>
    <row r="3198" spans="2:13" x14ac:dyDescent="0.2">
      <c r="B3198" s="173"/>
      <c r="C3198" s="694">
        <v>1</v>
      </c>
      <c r="D3198" s="695" t="s">
        <v>3903</v>
      </c>
      <c r="E3198" s="695">
        <v>4</v>
      </c>
      <c r="F3198" s="695" t="s">
        <v>5967</v>
      </c>
      <c r="G3198" s="695">
        <v>3</v>
      </c>
      <c r="H3198" s="695" t="s">
        <v>6362</v>
      </c>
      <c r="I3198" s="695">
        <v>50</v>
      </c>
      <c r="J3198" s="695" t="s">
        <v>9144</v>
      </c>
      <c r="K3198" s="695" t="s">
        <v>8544</v>
      </c>
      <c r="L3198" s="696">
        <v>6</v>
      </c>
      <c r="M3198" s="170"/>
    </row>
    <row r="3199" spans="2:13" x14ac:dyDescent="0.2">
      <c r="B3199" s="173"/>
      <c r="C3199" s="694">
        <v>1</v>
      </c>
      <c r="D3199" s="695" t="s">
        <v>3903</v>
      </c>
      <c r="E3199" s="695">
        <v>4</v>
      </c>
      <c r="F3199" s="695" t="s">
        <v>5967</v>
      </c>
      <c r="G3199" s="695">
        <v>3</v>
      </c>
      <c r="H3199" s="695" t="s">
        <v>6362</v>
      </c>
      <c r="I3199" s="695">
        <v>51</v>
      </c>
      <c r="J3199" s="695" t="s">
        <v>9145</v>
      </c>
      <c r="K3199" s="695" t="s">
        <v>8544</v>
      </c>
      <c r="L3199" s="696">
        <v>1</v>
      </c>
      <c r="M3199" s="170"/>
    </row>
    <row r="3200" spans="2:13" x14ac:dyDescent="0.2">
      <c r="B3200" s="173"/>
      <c r="C3200" s="694">
        <v>1</v>
      </c>
      <c r="D3200" s="695" t="s">
        <v>3903</v>
      </c>
      <c r="E3200" s="695">
        <v>4</v>
      </c>
      <c r="F3200" s="695" t="s">
        <v>5967</v>
      </c>
      <c r="G3200" s="695">
        <v>4</v>
      </c>
      <c r="H3200" s="695" t="s">
        <v>6404</v>
      </c>
      <c r="I3200" s="695">
        <v>1</v>
      </c>
      <c r="J3200" s="695" t="s">
        <v>6405</v>
      </c>
      <c r="K3200" s="695" t="s">
        <v>3907</v>
      </c>
      <c r="L3200" s="696">
        <v>1113</v>
      </c>
      <c r="M3200" s="170"/>
    </row>
    <row r="3201" spans="2:13" x14ac:dyDescent="0.2">
      <c r="B3201" s="173"/>
      <c r="C3201" s="694">
        <v>1</v>
      </c>
      <c r="D3201" s="695" t="s">
        <v>3903</v>
      </c>
      <c r="E3201" s="695">
        <v>4</v>
      </c>
      <c r="F3201" s="695" t="s">
        <v>5967</v>
      </c>
      <c r="G3201" s="695">
        <v>4</v>
      </c>
      <c r="H3201" s="695" t="s">
        <v>6404</v>
      </c>
      <c r="I3201" s="695">
        <v>2</v>
      </c>
      <c r="J3201" s="695" t="s">
        <v>6406</v>
      </c>
      <c r="K3201" s="695" t="s">
        <v>3907</v>
      </c>
      <c r="L3201" s="696">
        <v>0</v>
      </c>
      <c r="M3201" s="170"/>
    </row>
    <row r="3202" spans="2:13" x14ac:dyDescent="0.2">
      <c r="B3202" s="173"/>
      <c r="C3202" s="694">
        <v>1</v>
      </c>
      <c r="D3202" s="695" t="s">
        <v>3903</v>
      </c>
      <c r="E3202" s="695">
        <v>4</v>
      </c>
      <c r="F3202" s="695" t="s">
        <v>5967</v>
      </c>
      <c r="G3202" s="695">
        <v>4</v>
      </c>
      <c r="H3202" s="695" t="s">
        <v>6404</v>
      </c>
      <c r="I3202" s="695">
        <v>3</v>
      </c>
      <c r="J3202" s="695" t="s">
        <v>6407</v>
      </c>
      <c r="K3202" s="695" t="s">
        <v>3907</v>
      </c>
      <c r="L3202" s="696">
        <v>5</v>
      </c>
      <c r="M3202" s="170"/>
    </row>
    <row r="3203" spans="2:13" x14ac:dyDescent="0.2">
      <c r="B3203" s="173"/>
      <c r="C3203" s="694">
        <v>1</v>
      </c>
      <c r="D3203" s="695" t="s">
        <v>3903</v>
      </c>
      <c r="E3203" s="695">
        <v>4</v>
      </c>
      <c r="F3203" s="695" t="s">
        <v>5967</v>
      </c>
      <c r="G3203" s="695">
        <v>4</v>
      </c>
      <c r="H3203" s="695" t="s">
        <v>6404</v>
      </c>
      <c r="I3203" s="695">
        <v>4</v>
      </c>
      <c r="J3203" s="695" t="s">
        <v>6408</v>
      </c>
      <c r="K3203" s="695" t="s">
        <v>3907</v>
      </c>
      <c r="L3203" s="696">
        <v>1</v>
      </c>
      <c r="M3203" s="170"/>
    </row>
    <row r="3204" spans="2:13" x14ac:dyDescent="0.2">
      <c r="B3204" s="173"/>
      <c r="C3204" s="694">
        <v>1</v>
      </c>
      <c r="D3204" s="695" t="s">
        <v>3903</v>
      </c>
      <c r="E3204" s="695">
        <v>4</v>
      </c>
      <c r="F3204" s="695" t="s">
        <v>5967</v>
      </c>
      <c r="G3204" s="695">
        <v>4</v>
      </c>
      <c r="H3204" s="695" t="s">
        <v>6404</v>
      </c>
      <c r="I3204" s="695">
        <v>5</v>
      </c>
      <c r="J3204" s="695" t="s">
        <v>4915</v>
      </c>
      <c r="K3204" s="695" t="s">
        <v>3907</v>
      </c>
      <c r="L3204" s="696">
        <v>31</v>
      </c>
      <c r="M3204" s="170"/>
    </row>
    <row r="3205" spans="2:13" x14ac:dyDescent="0.2">
      <c r="B3205" s="173"/>
      <c r="C3205" s="694">
        <v>1</v>
      </c>
      <c r="D3205" s="695" t="s">
        <v>3903</v>
      </c>
      <c r="E3205" s="695">
        <v>4</v>
      </c>
      <c r="F3205" s="695" t="s">
        <v>5967</v>
      </c>
      <c r="G3205" s="695">
        <v>4</v>
      </c>
      <c r="H3205" s="695" t="s">
        <v>6404</v>
      </c>
      <c r="I3205" s="695">
        <v>6</v>
      </c>
      <c r="J3205" s="695" t="s">
        <v>6409</v>
      </c>
      <c r="K3205" s="695" t="s">
        <v>3907</v>
      </c>
      <c r="L3205" s="696">
        <v>0</v>
      </c>
      <c r="M3205" s="170"/>
    </row>
    <row r="3206" spans="2:13" x14ac:dyDescent="0.2">
      <c r="B3206" s="173"/>
      <c r="C3206" s="694">
        <v>1</v>
      </c>
      <c r="D3206" s="695" t="s">
        <v>3903</v>
      </c>
      <c r="E3206" s="695">
        <v>4</v>
      </c>
      <c r="F3206" s="695" t="s">
        <v>5967</v>
      </c>
      <c r="G3206" s="695">
        <v>4</v>
      </c>
      <c r="H3206" s="695" t="s">
        <v>6404</v>
      </c>
      <c r="I3206" s="695">
        <v>7</v>
      </c>
      <c r="J3206" s="695" t="s">
        <v>6410</v>
      </c>
      <c r="K3206" s="695" t="s">
        <v>3907</v>
      </c>
      <c r="L3206" s="696">
        <v>0</v>
      </c>
      <c r="M3206" s="170"/>
    </row>
    <row r="3207" spans="2:13" x14ac:dyDescent="0.2">
      <c r="B3207" s="173"/>
      <c r="C3207" s="694">
        <v>1</v>
      </c>
      <c r="D3207" s="695" t="s">
        <v>3903</v>
      </c>
      <c r="E3207" s="695">
        <v>4</v>
      </c>
      <c r="F3207" s="695" t="s">
        <v>5967</v>
      </c>
      <c r="G3207" s="695">
        <v>4</v>
      </c>
      <c r="H3207" s="695" t="s">
        <v>6404</v>
      </c>
      <c r="I3207" s="695">
        <v>8</v>
      </c>
      <c r="J3207" s="695" t="s">
        <v>6411</v>
      </c>
      <c r="K3207" s="695" t="s">
        <v>3907</v>
      </c>
      <c r="L3207" s="696">
        <v>0</v>
      </c>
      <c r="M3207" s="170"/>
    </row>
    <row r="3208" spans="2:13" x14ac:dyDescent="0.2">
      <c r="B3208" s="173"/>
      <c r="C3208" s="694">
        <v>1</v>
      </c>
      <c r="D3208" s="695" t="s">
        <v>3903</v>
      </c>
      <c r="E3208" s="695">
        <v>4</v>
      </c>
      <c r="F3208" s="695" t="s">
        <v>5967</v>
      </c>
      <c r="G3208" s="695">
        <v>4</v>
      </c>
      <c r="H3208" s="695" t="s">
        <v>6404</v>
      </c>
      <c r="I3208" s="695">
        <v>9</v>
      </c>
      <c r="J3208" s="695" t="s">
        <v>6412</v>
      </c>
      <c r="K3208" s="695" t="s">
        <v>3907</v>
      </c>
      <c r="L3208" s="696">
        <v>4</v>
      </c>
      <c r="M3208" s="170"/>
    </row>
    <row r="3209" spans="2:13" x14ac:dyDescent="0.2">
      <c r="B3209" s="173"/>
      <c r="C3209" s="694">
        <v>1</v>
      </c>
      <c r="D3209" s="695" t="s">
        <v>3903</v>
      </c>
      <c r="E3209" s="695">
        <v>4</v>
      </c>
      <c r="F3209" s="695" t="s">
        <v>5967</v>
      </c>
      <c r="G3209" s="695">
        <v>4</v>
      </c>
      <c r="H3209" s="695" t="s">
        <v>6404</v>
      </c>
      <c r="I3209" s="695">
        <v>10</v>
      </c>
      <c r="J3209" s="695" t="s">
        <v>6413</v>
      </c>
      <c r="K3209" s="695" t="s">
        <v>3907</v>
      </c>
      <c r="L3209" s="696">
        <v>2</v>
      </c>
      <c r="M3209" s="170"/>
    </row>
    <row r="3210" spans="2:13" x14ac:dyDescent="0.2">
      <c r="B3210" s="173"/>
      <c r="C3210" s="694">
        <v>1</v>
      </c>
      <c r="D3210" s="695" t="s">
        <v>3903</v>
      </c>
      <c r="E3210" s="695">
        <v>4</v>
      </c>
      <c r="F3210" s="695" t="s">
        <v>5967</v>
      </c>
      <c r="G3210" s="695">
        <v>4</v>
      </c>
      <c r="H3210" s="695" t="s">
        <v>6404</v>
      </c>
      <c r="I3210" s="695">
        <v>11</v>
      </c>
      <c r="J3210" s="695" t="s">
        <v>6414</v>
      </c>
      <c r="K3210" s="695" t="s">
        <v>3907</v>
      </c>
      <c r="L3210" s="696">
        <v>2</v>
      </c>
      <c r="M3210" s="170"/>
    </row>
    <row r="3211" spans="2:13" x14ac:dyDescent="0.2">
      <c r="B3211" s="173"/>
      <c r="C3211" s="694">
        <v>1</v>
      </c>
      <c r="D3211" s="695" t="s">
        <v>3903</v>
      </c>
      <c r="E3211" s="695">
        <v>4</v>
      </c>
      <c r="F3211" s="695" t="s">
        <v>5967</v>
      </c>
      <c r="G3211" s="695">
        <v>4</v>
      </c>
      <c r="H3211" s="695" t="s">
        <v>6404</v>
      </c>
      <c r="I3211" s="695">
        <v>12</v>
      </c>
      <c r="J3211" s="695" t="s">
        <v>6415</v>
      </c>
      <c r="K3211" s="695" t="s">
        <v>3907</v>
      </c>
      <c r="L3211" s="696">
        <v>3</v>
      </c>
      <c r="M3211" s="170"/>
    </row>
    <row r="3212" spans="2:13" x14ac:dyDescent="0.2">
      <c r="B3212" s="173"/>
      <c r="C3212" s="694">
        <v>1</v>
      </c>
      <c r="D3212" s="695" t="s">
        <v>3903</v>
      </c>
      <c r="E3212" s="695">
        <v>4</v>
      </c>
      <c r="F3212" s="695" t="s">
        <v>5967</v>
      </c>
      <c r="G3212" s="695">
        <v>4</v>
      </c>
      <c r="H3212" s="695" t="s">
        <v>6404</v>
      </c>
      <c r="I3212" s="695">
        <v>13</v>
      </c>
      <c r="J3212" s="695" t="s">
        <v>6022</v>
      </c>
      <c r="K3212" s="695" t="s">
        <v>3985</v>
      </c>
      <c r="L3212" s="696">
        <v>4</v>
      </c>
      <c r="M3212" s="170"/>
    </row>
    <row r="3213" spans="2:13" x14ac:dyDescent="0.2">
      <c r="B3213" s="173"/>
      <c r="C3213" s="694">
        <v>1</v>
      </c>
      <c r="D3213" s="695" t="s">
        <v>3903</v>
      </c>
      <c r="E3213" s="695">
        <v>4</v>
      </c>
      <c r="F3213" s="695" t="s">
        <v>5967</v>
      </c>
      <c r="G3213" s="695">
        <v>4</v>
      </c>
      <c r="H3213" s="695" t="s">
        <v>6404</v>
      </c>
      <c r="I3213" s="695">
        <v>14</v>
      </c>
      <c r="J3213" s="695" t="s">
        <v>6416</v>
      </c>
      <c r="K3213" s="695" t="s">
        <v>8544</v>
      </c>
      <c r="L3213" s="696">
        <v>0</v>
      </c>
      <c r="M3213" s="170"/>
    </row>
    <row r="3214" spans="2:13" x14ac:dyDescent="0.2">
      <c r="B3214" s="173"/>
      <c r="C3214" s="694">
        <v>1</v>
      </c>
      <c r="D3214" s="695" t="s">
        <v>3903</v>
      </c>
      <c r="E3214" s="695">
        <v>4</v>
      </c>
      <c r="F3214" s="695" t="s">
        <v>5967</v>
      </c>
      <c r="G3214" s="695">
        <v>4</v>
      </c>
      <c r="H3214" s="695" t="s">
        <v>6404</v>
      </c>
      <c r="I3214" s="695">
        <v>15</v>
      </c>
      <c r="J3214" s="695" t="s">
        <v>6417</v>
      </c>
      <c r="K3214" s="695" t="s">
        <v>8544</v>
      </c>
      <c r="L3214" s="696">
        <v>8</v>
      </c>
      <c r="M3214" s="170"/>
    </row>
    <row r="3215" spans="2:13" x14ac:dyDescent="0.2">
      <c r="B3215" s="173"/>
      <c r="C3215" s="694">
        <v>1</v>
      </c>
      <c r="D3215" s="695" t="s">
        <v>3903</v>
      </c>
      <c r="E3215" s="695">
        <v>4</v>
      </c>
      <c r="F3215" s="695" t="s">
        <v>5967</v>
      </c>
      <c r="G3215" s="695">
        <v>4</v>
      </c>
      <c r="H3215" s="695" t="s">
        <v>6404</v>
      </c>
      <c r="I3215" s="695">
        <v>16</v>
      </c>
      <c r="J3215" s="695" t="s">
        <v>6418</v>
      </c>
      <c r="K3215" s="695" t="s">
        <v>8544</v>
      </c>
      <c r="L3215" s="696">
        <v>0</v>
      </c>
      <c r="M3215" s="170"/>
    </row>
    <row r="3216" spans="2:13" x14ac:dyDescent="0.2">
      <c r="B3216" s="173"/>
      <c r="C3216" s="694">
        <v>1</v>
      </c>
      <c r="D3216" s="695" t="s">
        <v>3903</v>
      </c>
      <c r="E3216" s="695">
        <v>4</v>
      </c>
      <c r="F3216" s="695" t="s">
        <v>5967</v>
      </c>
      <c r="G3216" s="695">
        <v>4</v>
      </c>
      <c r="H3216" s="695" t="s">
        <v>6404</v>
      </c>
      <c r="I3216" s="695">
        <v>17</v>
      </c>
      <c r="J3216" s="695" t="s">
        <v>6419</v>
      </c>
      <c r="K3216" s="695" t="s">
        <v>3985</v>
      </c>
      <c r="L3216" s="696">
        <v>17</v>
      </c>
      <c r="M3216" s="170"/>
    </row>
    <row r="3217" spans="2:13" x14ac:dyDescent="0.2">
      <c r="B3217" s="173"/>
      <c r="C3217" s="694">
        <v>1</v>
      </c>
      <c r="D3217" s="695" t="s">
        <v>3903</v>
      </c>
      <c r="E3217" s="695">
        <v>4</v>
      </c>
      <c r="F3217" s="695" t="s">
        <v>5967</v>
      </c>
      <c r="G3217" s="695">
        <v>4</v>
      </c>
      <c r="H3217" s="695" t="s">
        <v>6404</v>
      </c>
      <c r="I3217" s="695">
        <v>18</v>
      </c>
      <c r="J3217" s="695" t="s">
        <v>6420</v>
      </c>
      <c r="K3217" s="695" t="s">
        <v>8544</v>
      </c>
      <c r="L3217" s="696">
        <v>5</v>
      </c>
      <c r="M3217" s="170"/>
    </row>
    <row r="3218" spans="2:13" x14ac:dyDescent="0.2">
      <c r="B3218" s="173"/>
      <c r="C3218" s="694">
        <v>1</v>
      </c>
      <c r="D3218" s="695" t="s">
        <v>3903</v>
      </c>
      <c r="E3218" s="695">
        <v>4</v>
      </c>
      <c r="F3218" s="695" t="s">
        <v>5967</v>
      </c>
      <c r="G3218" s="695">
        <v>4</v>
      </c>
      <c r="H3218" s="695" t="s">
        <v>6404</v>
      </c>
      <c r="I3218" s="695">
        <v>19</v>
      </c>
      <c r="J3218" s="695" t="s">
        <v>6421</v>
      </c>
      <c r="K3218" s="695" t="s">
        <v>8544</v>
      </c>
      <c r="L3218" s="696">
        <v>13</v>
      </c>
      <c r="M3218" s="170"/>
    </row>
    <row r="3219" spans="2:13" x14ac:dyDescent="0.2">
      <c r="B3219" s="173"/>
      <c r="C3219" s="694">
        <v>1</v>
      </c>
      <c r="D3219" s="695" t="s">
        <v>3903</v>
      </c>
      <c r="E3219" s="695">
        <v>4</v>
      </c>
      <c r="F3219" s="695" t="s">
        <v>5967</v>
      </c>
      <c r="G3219" s="695">
        <v>4</v>
      </c>
      <c r="H3219" s="695" t="s">
        <v>6404</v>
      </c>
      <c r="I3219" s="695">
        <v>20</v>
      </c>
      <c r="J3219" s="695" t="s">
        <v>6422</v>
      </c>
      <c r="K3219" s="695" t="s">
        <v>8544</v>
      </c>
      <c r="L3219" s="696">
        <v>82</v>
      </c>
      <c r="M3219" s="170"/>
    </row>
    <row r="3220" spans="2:13" x14ac:dyDescent="0.2">
      <c r="B3220" s="173"/>
      <c r="C3220" s="694">
        <v>1</v>
      </c>
      <c r="D3220" s="695" t="s">
        <v>3903</v>
      </c>
      <c r="E3220" s="695">
        <v>4</v>
      </c>
      <c r="F3220" s="695" t="s">
        <v>5967</v>
      </c>
      <c r="G3220" s="695">
        <v>4</v>
      </c>
      <c r="H3220" s="695" t="s">
        <v>6404</v>
      </c>
      <c r="I3220" s="695">
        <v>21</v>
      </c>
      <c r="J3220" s="695" t="s">
        <v>6423</v>
      </c>
      <c r="K3220" s="695" t="s">
        <v>8544</v>
      </c>
      <c r="L3220" s="696">
        <v>12</v>
      </c>
      <c r="M3220" s="170"/>
    </row>
    <row r="3221" spans="2:13" x14ac:dyDescent="0.2">
      <c r="B3221" s="173"/>
      <c r="C3221" s="694">
        <v>1</v>
      </c>
      <c r="D3221" s="695" t="s">
        <v>3903</v>
      </c>
      <c r="E3221" s="695">
        <v>4</v>
      </c>
      <c r="F3221" s="695" t="s">
        <v>5967</v>
      </c>
      <c r="G3221" s="695">
        <v>4</v>
      </c>
      <c r="H3221" s="695" t="s">
        <v>6404</v>
      </c>
      <c r="I3221" s="695">
        <v>22</v>
      </c>
      <c r="J3221" s="695" t="s">
        <v>6424</v>
      </c>
      <c r="K3221" s="695" t="s">
        <v>8544</v>
      </c>
      <c r="L3221" s="696">
        <v>10</v>
      </c>
      <c r="M3221" s="170"/>
    </row>
    <row r="3222" spans="2:13" x14ac:dyDescent="0.2">
      <c r="B3222" s="173"/>
      <c r="C3222" s="694">
        <v>1</v>
      </c>
      <c r="D3222" s="695" t="s">
        <v>3903</v>
      </c>
      <c r="E3222" s="695">
        <v>4</v>
      </c>
      <c r="F3222" s="695" t="s">
        <v>5967</v>
      </c>
      <c r="G3222" s="695">
        <v>4</v>
      </c>
      <c r="H3222" s="695" t="s">
        <v>6404</v>
      </c>
      <c r="I3222" s="695">
        <v>23</v>
      </c>
      <c r="J3222" s="695" t="s">
        <v>6425</v>
      </c>
      <c r="K3222" s="695" t="s">
        <v>8544</v>
      </c>
      <c r="L3222" s="696">
        <v>2</v>
      </c>
      <c r="M3222" s="170"/>
    </row>
    <row r="3223" spans="2:13" x14ac:dyDescent="0.2">
      <c r="B3223" s="173"/>
      <c r="C3223" s="694">
        <v>1</v>
      </c>
      <c r="D3223" s="695" t="s">
        <v>3903</v>
      </c>
      <c r="E3223" s="695">
        <v>4</v>
      </c>
      <c r="F3223" s="695" t="s">
        <v>5967</v>
      </c>
      <c r="G3223" s="695">
        <v>4</v>
      </c>
      <c r="H3223" s="695" t="s">
        <v>6404</v>
      </c>
      <c r="I3223" s="695">
        <v>24</v>
      </c>
      <c r="J3223" s="695" t="s">
        <v>6426</v>
      </c>
      <c r="K3223" s="695" t="s">
        <v>3907</v>
      </c>
      <c r="L3223" s="696">
        <v>24</v>
      </c>
      <c r="M3223" s="170"/>
    </row>
    <row r="3224" spans="2:13" x14ac:dyDescent="0.2">
      <c r="B3224" s="173"/>
      <c r="C3224" s="694">
        <v>1</v>
      </c>
      <c r="D3224" s="695" t="s">
        <v>3903</v>
      </c>
      <c r="E3224" s="695">
        <v>4</v>
      </c>
      <c r="F3224" s="695" t="s">
        <v>5967</v>
      </c>
      <c r="G3224" s="695">
        <v>4</v>
      </c>
      <c r="H3224" s="695" t="s">
        <v>6404</v>
      </c>
      <c r="I3224" s="695">
        <v>25</v>
      </c>
      <c r="J3224" s="695" t="s">
        <v>6427</v>
      </c>
      <c r="K3224" s="695" t="s">
        <v>8544</v>
      </c>
      <c r="L3224" s="696">
        <v>7</v>
      </c>
      <c r="M3224" s="170"/>
    </row>
    <row r="3225" spans="2:13" x14ac:dyDescent="0.2">
      <c r="B3225" s="173"/>
      <c r="C3225" s="694">
        <v>1</v>
      </c>
      <c r="D3225" s="695" t="s">
        <v>3903</v>
      </c>
      <c r="E3225" s="695">
        <v>4</v>
      </c>
      <c r="F3225" s="695" t="s">
        <v>5967</v>
      </c>
      <c r="G3225" s="695">
        <v>4</v>
      </c>
      <c r="H3225" s="695" t="s">
        <v>6404</v>
      </c>
      <c r="I3225" s="695">
        <v>26</v>
      </c>
      <c r="J3225" s="695" t="s">
        <v>6428</v>
      </c>
      <c r="K3225" s="695" t="s">
        <v>3907</v>
      </c>
      <c r="L3225" s="696">
        <v>8</v>
      </c>
      <c r="M3225" s="170"/>
    </row>
    <row r="3226" spans="2:13" x14ac:dyDescent="0.2">
      <c r="B3226" s="173"/>
      <c r="C3226" s="694">
        <v>1</v>
      </c>
      <c r="D3226" s="695" t="s">
        <v>3903</v>
      </c>
      <c r="E3226" s="695">
        <v>4</v>
      </c>
      <c r="F3226" s="695" t="s">
        <v>5967</v>
      </c>
      <c r="G3226" s="695">
        <v>4</v>
      </c>
      <c r="H3226" s="695" t="s">
        <v>6404</v>
      </c>
      <c r="I3226" s="695">
        <v>27</v>
      </c>
      <c r="J3226" s="695" t="s">
        <v>6429</v>
      </c>
      <c r="K3226" s="695" t="s">
        <v>8544</v>
      </c>
      <c r="L3226" s="696">
        <v>3</v>
      </c>
      <c r="M3226" s="170"/>
    </row>
    <row r="3227" spans="2:13" x14ac:dyDescent="0.2">
      <c r="B3227" s="173"/>
      <c r="C3227" s="694">
        <v>1</v>
      </c>
      <c r="D3227" s="695" t="s">
        <v>3903</v>
      </c>
      <c r="E3227" s="695">
        <v>4</v>
      </c>
      <c r="F3227" s="695" t="s">
        <v>5967</v>
      </c>
      <c r="G3227" s="695">
        <v>4</v>
      </c>
      <c r="H3227" s="695" t="s">
        <v>6404</v>
      </c>
      <c r="I3227" s="695">
        <v>28</v>
      </c>
      <c r="J3227" s="695" t="s">
        <v>6430</v>
      </c>
      <c r="K3227" s="695" t="s">
        <v>8544</v>
      </c>
      <c r="L3227" s="696">
        <v>4</v>
      </c>
      <c r="M3227" s="170"/>
    </row>
    <row r="3228" spans="2:13" x14ac:dyDescent="0.2">
      <c r="B3228" s="173"/>
      <c r="C3228" s="694">
        <v>1</v>
      </c>
      <c r="D3228" s="695" t="s">
        <v>3903</v>
      </c>
      <c r="E3228" s="695">
        <v>4</v>
      </c>
      <c r="F3228" s="695" t="s">
        <v>5967</v>
      </c>
      <c r="G3228" s="695">
        <v>4</v>
      </c>
      <c r="H3228" s="695" t="s">
        <v>6404</v>
      </c>
      <c r="I3228" s="695">
        <v>29</v>
      </c>
      <c r="J3228" s="695" t="s">
        <v>6431</v>
      </c>
      <c r="K3228" s="695" t="s">
        <v>8544</v>
      </c>
      <c r="L3228" s="696">
        <v>2</v>
      </c>
      <c r="M3228" s="170"/>
    </row>
    <row r="3229" spans="2:13" x14ac:dyDescent="0.2">
      <c r="B3229" s="173"/>
      <c r="C3229" s="694">
        <v>1</v>
      </c>
      <c r="D3229" s="695" t="s">
        <v>3903</v>
      </c>
      <c r="E3229" s="695">
        <v>4</v>
      </c>
      <c r="F3229" s="695" t="s">
        <v>5967</v>
      </c>
      <c r="G3229" s="695">
        <v>4</v>
      </c>
      <c r="H3229" s="695" t="s">
        <v>6404</v>
      </c>
      <c r="I3229" s="695">
        <v>30</v>
      </c>
      <c r="J3229" s="695" t="s">
        <v>6432</v>
      </c>
      <c r="K3229" s="695" t="s">
        <v>8544</v>
      </c>
      <c r="L3229" s="696">
        <v>0</v>
      </c>
      <c r="M3229" s="170"/>
    </row>
    <row r="3230" spans="2:13" x14ac:dyDescent="0.2">
      <c r="B3230" s="173"/>
      <c r="C3230" s="694">
        <v>1</v>
      </c>
      <c r="D3230" s="695" t="s">
        <v>3903</v>
      </c>
      <c r="E3230" s="695">
        <v>4</v>
      </c>
      <c r="F3230" s="695" t="s">
        <v>5967</v>
      </c>
      <c r="G3230" s="695">
        <v>4</v>
      </c>
      <c r="H3230" s="695" t="s">
        <v>6404</v>
      </c>
      <c r="I3230" s="695">
        <v>31</v>
      </c>
      <c r="J3230" s="695" t="s">
        <v>6432</v>
      </c>
      <c r="K3230" s="695" t="s">
        <v>8544</v>
      </c>
      <c r="L3230" s="696">
        <v>0</v>
      </c>
      <c r="M3230" s="170"/>
    </row>
    <row r="3231" spans="2:13" x14ac:dyDescent="0.2">
      <c r="B3231" s="173"/>
      <c r="C3231" s="694">
        <v>1</v>
      </c>
      <c r="D3231" s="695" t="s">
        <v>3903</v>
      </c>
      <c r="E3231" s="695">
        <v>4</v>
      </c>
      <c r="F3231" s="695" t="s">
        <v>5967</v>
      </c>
      <c r="G3231" s="695">
        <v>4</v>
      </c>
      <c r="H3231" s="695" t="s">
        <v>6404</v>
      </c>
      <c r="I3231" s="695">
        <v>32</v>
      </c>
      <c r="J3231" s="695" t="s">
        <v>6433</v>
      </c>
      <c r="K3231" s="695" t="s">
        <v>3907</v>
      </c>
      <c r="L3231" s="696">
        <v>2</v>
      </c>
      <c r="M3231" s="170"/>
    </row>
    <row r="3232" spans="2:13" x14ac:dyDescent="0.2">
      <c r="B3232" s="173"/>
      <c r="C3232" s="694">
        <v>1</v>
      </c>
      <c r="D3232" s="695" t="s">
        <v>3903</v>
      </c>
      <c r="E3232" s="695">
        <v>4</v>
      </c>
      <c r="F3232" s="695" t="s">
        <v>5967</v>
      </c>
      <c r="G3232" s="695">
        <v>4</v>
      </c>
      <c r="H3232" s="695" t="s">
        <v>6404</v>
      </c>
      <c r="I3232" s="695">
        <v>33</v>
      </c>
      <c r="J3232" s="695" t="s">
        <v>6434</v>
      </c>
      <c r="K3232" s="695" t="s">
        <v>3907</v>
      </c>
      <c r="L3232" s="696">
        <v>0</v>
      </c>
      <c r="M3232" s="170"/>
    </row>
    <row r="3233" spans="2:13" x14ac:dyDescent="0.2">
      <c r="B3233" s="173"/>
      <c r="C3233" s="694">
        <v>1</v>
      </c>
      <c r="D3233" s="695" t="s">
        <v>3903</v>
      </c>
      <c r="E3233" s="695">
        <v>4</v>
      </c>
      <c r="F3233" s="695" t="s">
        <v>5967</v>
      </c>
      <c r="G3233" s="695">
        <v>4</v>
      </c>
      <c r="H3233" s="695" t="s">
        <v>6404</v>
      </c>
      <c r="I3233" s="695">
        <v>34</v>
      </c>
      <c r="J3233" s="695" t="s">
        <v>6435</v>
      </c>
      <c r="K3233" s="695" t="s">
        <v>3907</v>
      </c>
      <c r="L3233" s="696">
        <v>4</v>
      </c>
      <c r="M3233" s="170"/>
    </row>
    <row r="3234" spans="2:13" x14ac:dyDescent="0.2">
      <c r="B3234" s="173"/>
      <c r="C3234" s="694">
        <v>1</v>
      </c>
      <c r="D3234" s="695" t="s">
        <v>3903</v>
      </c>
      <c r="E3234" s="695">
        <v>4</v>
      </c>
      <c r="F3234" s="695" t="s">
        <v>5967</v>
      </c>
      <c r="G3234" s="695">
        <v>4</v>
      </c>
      <c r="H3234" s="695" t="s">
        <v>6404</v>
      </c>
      <c r="I3234" s="695">
        <v>35</v>
      </c>
      <c r="J3234" s="695" t="s">
        <v>9146</v>
      </c>
      <c r="K3234" s="695" t="s">
        <v>3907</v>
      </c>
      <c r="L3234" s="696">
        <v>1</v>
      </c>
      <c r="M3234" s="170"/>
    </row>
    <row r="3235" spans="2:13" x14ac:dyDescent="0.2">
      <c r="B3235" s="173"/>
      <c r="C3235" s="694">
        <v>1</v>
      </c>
      <c r="D3235" s="695" t="s">
        <v>3903</v>
      </c>
      <c r="E3235" s="695">
        <v>4</v>
      </c>
      <c r="F3235" s="695" t="s">
        <v>5967</v>
      </c>
      <c r="G3235" s="695">
        <v>4</v>
      </c>
      <c r="H3235" s="695" t="s">
        <v>6404</v>
      </c>
      <c r="I3235" s="695">
        <v>36</v>
      </c>
      <c r="J3235" s="695" t="s">
        <v>9147</v>
      </c>
      <c r="K3235" s="695" t="s">
        <v>3985</v>
      </c>
      <c r="L3235" s="696">
        <v>0</v>
      </c>
      <c r="M3235" s="170"/>
    </row>
    <row r="3236" spans="2:13" x14ac:dyDescent="0.2">
      <c r="B3236" s="173"/>
      <c r="C3236" s="694">
        <v>1</v>
      </c>
      <c r="D3236" s="695" t="s">
        <v>3903</v>
      </c>
      <c r="E3236" s="695">
        <v>4</v>
      </c>
      <c r="F3236" s="695" t="s">
        <v>5967</v>
      </c>
      <c r="G3236" s="695">
        <v>4</v>
      </c>
      <c r="H3236" s="695" t="s">
        <v>6404</v>
      </c>
      <c r="I3236" s="695">
        <v>37</v>
      </c>
      <c r="J3236" s="695" t="s">
        <v>9148</v>
      </c>
      <c r="K3236" s="695" t="s">
        <v>8544</v>
      </c>
      <c r="L3236" s="696">
        <v>2</v>
      </c>
      <c r="M3236" s="170"/>
    </row>
    <row r="3237" spans="2:13" x14ac:dyDescent="0.2">
      <c r="B3237" s="173"/>
      <c r="C3237" s="694">
        <v>1</v>
      </c>
      <c r="D3237" s="695" t="s">
        <v>3903</v>
      </c>
      <c r="E3237" s="695">
        <v>5</v>
      </c>
      <c r="F3237" s="695" t="s">
        <v>6436</v>
      </c>
      <c r="G3237" s="695">
        <v>1</v>
      </c>
      <c r="H3237" s="695" t="s">
        <v>6437</v>
      </c>
      <c r="I3237" s="695">
        <v>1</v>
      </c>
      <c r="J3237" s="695" t="s">
        <v>6438</v>
      </c>
      <c r="K3237" s="695" t="s">
        <v>3907</v>
      </c>
      <c r="L3237" s="696">
        <v>1</v>
      </c>
      <c r="M3237" s="170"/>
    </row>
    <row r="3238" spans="2:13" x14ac:dyDescent="0.2">
      <c r="B3238" s="173"/>
      <c r="C3238" s="694">
        <v>1</v>
      </c>
      <c r="D3238" s="695" t="s">
        <v>3903</v>
      </c>
      <c r="E3238" s="695">
        <v>5</v>
      </c>
      <c r="F3238" s="695" t="s">
        <v>6436</v>
      </c>
      <c r="G3238" s="695">
        <v>1</v>
      </c>
      <c r="H3238" s="695" t="s">
        <v>6437</v>
      </c>
      <c r="I3238" s="695">
        <v>2</v>
      </c>
      <c r="J3238" s="695" t="s">
        <v>6439</v>
      </c>
      <c r="K3238" s="695" t="s">
        <v>3907</v>
      </c>
      <c r="L3238" s="696">
        <v>83</v>
      </c>
      <c r="M3238" s="170"/>
    </row>
    <row r="3239" spans="2:13" x14ac:dyDescent="0.2">
      <c r="B3239" s="173"/>
      <c r="C3239" s="694">
        <v>1</v>
      </c>
      <c r="D3239" s="695" t="s">
        <v>3903</v>
      </c>
      <c r="E3239" s="695">
        <v>5</v>
      </c>
      <c r="F3239" s="695" t="s">
        <v>6436</v>
      </c>
      <c r="G3239" s="695">
        <v>1</v>
      </c>
      <c r="H3239" s="695" t="s">
        <v>6437</v>
      </c>
      <c r="I3239" s="695">
        <v>3</v>
      </c>
      <c r="J3239" s="695" t="s">
        <v>6440</v>
      </c>
      <c r="K3239" s="695" t="s">
        <v>3907</v>
      </c>
      <c r="L3239" s="696">
        <v>288</v>
      </c>
      <c r="M3239" s="170"/>
    </row>
    <row r="3240" spans="2:13" x14ac:dyDescent="0.2">
      <c r="B3240" s="173"/>
      <c r="C3240" s="694">
        <v>1</v>
      </c>
      <c r="D3240" s="695" t="s">
        <v>3903</v>
      </c>
      <c r="E3240" s="695">
        <v>5</v>
      </c>
      <c r="F3240" s="695" t="s">
        <v>6436</v>
      </c>
      <c r="G3240" s="695">
        <v>1</v>
      </c>
      <c r="H3240" s="695" t="s">
        <v>6437</v>
      </c>
      <c r="I3240" s="695">
        <v>4</v>
      </c>
      <c r="J3240" s="695" t="s">
        <v>6441</v>
      </c>
      <c r="K3240" s="695" t="s">
        <v>3907</v>
      </c>
      <c r="L3240" s="696">
        <v>24</v>
      </c>
      <c r="M3240" s="170"/>
    </row>
    <row r="3241" spans="2:13" x14ac:dyDescent="0.2">
      <c r="B3241" s="173"/>
      <c r="C3241" s="694">
        <v>1</v>
      </c>
      <c r="D3241" s="695" t="s">
        <v>3903</v>
      </c>
      <c r="E3241" s="695">
        <v>5</v>
      </c>
      <c r="F3241" s="695" t="s">
        <v>6436</v>
      </c>
      <c r="G3241" s="695">
        <v>1</v>
      </c>
      <c r="H3241" s="695" t="s">
        <v>6437</v>
      </c>
      <c r="I3241" s="695">
        <v>5</v>
      </c>
      <c r="J3241" s="695" t="s">
        <v>6442</v>
      </c>
      <c r="K3241" s="695" t="s">
        <v>3907</v>
      </c>
      <c r="L3241" s="696">
        <v>4</v>
      </c>
      <c r="M3241" s="170"/>
    </row>
    <row r="3242" spans="2:13" x14ac:dyDescent="0.2">
      <c r="B3242" s="173"/>
      <c r="C3242" s="694">
        <v>1</v>
      </c>
      <c r="D3242" s="695" t="s">
        <v>3903</v>
      </c>
      <c r="E3242" s="695">
        <v>5</v>
      </c>
      <c r="F3242" s="695" t="s">
        <v>6436</v>
      </c>
      <c r="G3242" s="695">
        <v>1</v>
      </c>
      <c r="H3242" s="695" t="s">
        <v>6437</v>
      </c>
      <c r="I3242" s="695">
        <v>6</v>
      </c>
      <c r="J3242" s="695" t="s">
        <v>6443</v>
      </c>
      <c r="K3242" s="695" t="s">
        <v>3907</v>
      </c>
      <c r="L3242" s="696">
        <v>3</v>
      </c>
      <c r="M3242" s="170"/>
    </row>
    <row r="3243" spans="2:13" x14ac:dyDescent="0.2">
      <c r="B3243" s="173"/>
      <c r="C3243" s="694">
        <v>1</v>
      </c>
      <c r="D3243" s="695" t="s">
        <v>3903</v>
      </c>
      <c r="E3243" s="695">
        <v>5</v>
      </c>
      <c r="F3243" s="695" t="s">
        <v>6436</v>
      </c>
      <c r="G3243" s="695">
        <v>1</v>
      </c>
      <c r="H3243" s="695" t="s">
        <v>6437</v>
      </c>
      <c r="I3243" s="695">
        <v>7</v>
      </c>
      <c r="J3243" s="695" t="s">
        <v>6444</v>
      </c>
      <c r="K3243" s="695" t="s">
        <v>3907</v>
      </c>
      <c r="L3243" s="696">
        <v>1</v>
      </c>
      <c r="M3243" s="170"/>
    </row>
    <row r="3244" spans="2:13" x14ac:dyDescent="0.2">
      <c r="B3244" s="173"/>
      <c r="C3244" s="694">
        <v>1</v>
      </c>
      <c r="D3244" s="695" t="s">
        <v>3903</v>
      </c>
      <c r="E3244" s="695">
        <v>5</v>
      </c>
      <c r="F3244" s="695" t="s">
        <v>6436</v>
      </c>
      <c r="G3244" s="695">
        <v>1</v>
      </c>
      <c r="H3244" s="695" t="s">
        <v>6437</v>
      </c>
      <c r="I3244" s="695">
        <v>8</v>
      </c>
      <c r="J3244" s="695" t="s">
        <v>6445</v>
      </c>
      <c r="K3244" s="695" t="s">
        <v>3907</v>
      </c>
      <c r="L3244" s="696">
        <v>5</v>
      </c>
      <c r="M3244" s="170"/>
    </row>
    <row r="3245" spans="2:13" x14ac:dyDescent="0.2">
      <c r="B3245" s="173"/>
      <c r="C3245" s="694">
        <v>1</v>
      </c>
      <c r="D3245" s="695" t="s">
        <v>3903</v>
      </c>
      <c r="E3245" s="695">
        <v>5</v>
      </c>
      <c r="F3245" s="695" t="s">
        <v>6436</v>
      </c>
      <c r="G3245" s="695">
        <v>1</v>
      </c>
      <c r="H3245" s="695" t="s">
        <v>6437</v>
      </c>
      <c r="I3245" s="695">
        <v>9</v>
      </c>
      <c r="J3245" s="695" t="s">
        <v>6446</v>
      </c>
      <c r="K3245" s="695" t="s">
        <v>3907</v>
      </c>
      <c r="L3245" s="696">
        <v>204</v>
      </c>
      <c r="M3245" s="170"/>
    </row>
    <row r="3246" spans="2:13" x14ac:dyDescent="0.2">
      <c r="B3246" s="173"/>
      <c r="C3246" s="694">
        <v>1</v>
      </c>
      <c r="D3246" s="695" t="s">
        <v>3903</v>
      </c>
      <c r="E3246" s="695">
        <v>5</v>
      </c>
      <c r="F3246" s="695" t="s">
        <v>6436</v>
      </c>
      <c r="G3246" s="695">
        <v>1</v>
      </c>
      <c r="H3246" s="695" t="s">
        <v>6437</v>
      </c>
      <c r="I3246" s="695">
        <v>10</v>
      </c>
      <c r="J3246" s="695" t="s">
        <v>6447</v>
      </c>
      <c r="K3246" s="695" t="s">
        <v>3907</v>
      </c>
      <c r="L3246" s="696">
        <v>4</v>
      </c>
      <c r="M3246" s="170"/>
    </row>
    <row r="3247" spans="2:13" x14ac:dyDescent="0.2">
      <c r="B3247" s="173"/>
      <c r="C3247" s="694">
        <v>1</v>
      </c>
      <c r="D3247" s="695" t="s">
        <v>3903</v>
      </c>
      <c r="E3247" s="695">
        <v>5</v>
      </c>
      <c r="F3247" s="695" t="s">
        <v>6436</v>
      </c>
      <c r="G3247" s="695">
        <v>1</v>
      </c>
      <c r="H3247" s="695" t="s">
        <v>6437</v>
      </c>
      <c r="I3247" s="695">
        <v>11</v>
      </c>
      <c r="J3247" s="695" t="s">
        <v>6448</v>
      </c>
      <c r="K3247" s="695" t="s">
        <v>3907</v>
      </c>
      <c r="L3247" s="696">
        <v>368</v>
      </c>
      <c r="M3247" s="170"/>
    </row>
    <row r="3248" spans="2:13" x14ac:dyDescent="0.2">
      <c r="B3248" s="173"/>
      <c r="C3248" s="694">
        <v>1</v>
      </c>
      <c r="D3248" s="695" t="s">
        <v>3903</v>
      </c>
      <c r="E3248" s="695">
        <v>5</v>
      </c>
      <c r="F3248" s="695" t="s">
        <v>6436</v>
      </c>
      <c r="G3248" s="695">
        <v>1</v>
      </c>
      <c r="H3248" s="695" t="s">
        <v>6437</v>
      </c>
      <c r="I3248" s="695">
        <v>12</v>
      </c>
      <c r="J3248" s="695" t="s">
        <v>6449</v>
      </c>
      <c r="K3248" s="695" t="s">
        <v>3907</v>
      </c>
      <c r="L3248" s="696">
        <v>0</v>
      </c>
      <c r="M3248" s="170"/>
    </row>
    <row r="3249" spans="2:13" x14ac:dyDescent="0.2">
      <c r="B3249" s="173"/>
      <c r="C3249" s="694">
        <v>1</v>
      </c>
      <c r="D3249" s="695" t="s">
        <v>3903</v>
      </c>
      <c r="E3249" s="695">
        <v>5</v>
      </c>
      <c r="F3249" s="695" t="s">
        <v>6436</v>
      </c>
      <c r="G3249" s="695">
        <v>1</v>
      </c>
      <c r="H3249" s="695" t="s">
        <v>6437</v>
      </c>
      <c r="I3249" s="695">
        <v>13</v>
      </c>
      <c r="J3249" s="695" t="s">
        <v>6450</v>
      </c>
      <c r="K3249" s="695" t="s">
        <v>3907</v>
      </c>
      <c r="L3249" s="696">
        <v>63</v>
      </c>
      <c r="M3249" s="170"/>
    </row>
    <row r="3250" spans="2:13" x14ac:dyDescent="0.2">
      <c r="B3250" s="173"/>
      <c r="C3250" s="694">
        <v>1</v>
      </c>
      <c r="D3250" s="695" t="s">
        <v>3903</v>
      </c>
      <c r="E3250" s="695">
        <v>5</v>
      </c>
      <c r="F3250" s="695" t="s">
        <v>6436</v>
      </c>
      <c r="G3250" s="695">
        <v>1</v>
      </c>
      <c r="H3250" s="695" t="s">
        <v>6437</v>
      </c>
      <c r="I3250" s="695">
        <v>14</v>
      </c>
      <c r="J3250" s="695" t="s">
        <v>6451</v>
      </c>
      <c r="K3250" s="695" t="s">
        <v>8544</v>
      </c>
      <c r="L3250" s="696">
        <v>4</v>
      </c>
      <c r="M3250" s="170"/>
    </row>
    <row r="3251" spans="2:13" x14ac:dyDescent="0.2">
      <c r="B3251" s="173"/>
      <c r="C3251" s="694">
        <v>1</v>
      </c>
      <c r="D3251" s="695" t="s">
        <v>3903</v>
      </c>
      <c r="E3251" s="695">
        <v>5</v>
      </c>
      <c r="F3251" s="695" t="s">
        <v>6436</v>
      </c>
      <c r="G3251" s="695">
        <v>1</v>
      </c>
      <c r="H3251" s="695" t="s">
        <v>6437</v>
      </c>
      <c r="I3251" s="695">
        <v>15</v>
      </c>
      <c r="J3251" s="695" t="s">
        <v>6452</v>
      </c>
      <c r="K3251" s="695" t="s">
        <v>4057</v>
      </c>
      <c r="L3251" s="696">
        <v>22</v>
      </c>
      <c r="M3251" s="170"/>
    </row>
    <row r="3252" spans="2:13" x14ac:dyDescent="0.2">
      <c r="B3252" s="173"/>
      <c r="C3252" s="694">
        <v>1</v>
      </c>
      <c r="D3252" s="695" t="s">
        <v>3903</v>
      </c>
      <c r="E3252" s="695">
        <v>5</v>
      </c>
      <c r="F3252" s="695" t="s">
        <v>6436</v>
      </c>
      <c r="G3252" s="695">
        <v>1</v>
      </c>
      <c r="H3252" s="695" t="s">
        <v>6437</v>
      </c>
      <c r="I3252" s="695">
        <v>16</v>
      </c>
      <c r="J3252" s="695" t="s">
        <v>6453</v>
      </c>
      <c r="K3252" s="695" t="s">
        <v>3907</v>
      </c>
      <c r="L3252" s="696">
        <v>77</v>
      </c>
      <c r="M3252" s="170"/>
    </row>
    <row r="3253" spans="2:13" x14ac:dyDescent="0.2">
      <c r="B3253" s="173"/>
      <c r="C3253" s="694">
        <v>1</v>
      </c>
      <c r="D3253" s="695" t="s">
        <v>3903</v>
      </c>
      <c r="E3253" s="695">
        <v>5</v>
      </c>
      <c r="F3253" s="695" t="s">
        <v>6436</v>
      </c>
      <c r="G3253" s="695">
        <v>1</v>
      </c>
      <c r="H3253" s="695" t="s">
        <v>6437</v>
      </c>
      <c r="I3253" s="695">
        <v>17</v>
      </c>
      <c r="J3253" s="695" t="s">
        <v>6454</v>
      </c>
      <c r="K3253" s="695" t="s">
        <v>8544</v>
      </c>
      <c r="L3253" s="696">
        <v>25</v>
      </c>
      <c r="M3253" s="170"/>
    </row>
    <row r="3254" spans="2:13" x14ac:dyDescent="0.2">
      <c r="B3254" s="173"/>
      <c r="C3254" s="694">
        <v>1</v>
      </c>
      <c r="D3254" s="695" t="s">
        <v>3903</v>
      </c>
      <c r="E3254" s="695">
        <v>5</v>
      </c>
      <c r="F3254" s="695" t="s">
        <v>6436</v>
      </c>
      <c r="G3254" s="695">
        <v>1</v>
      </c>
      <c r="H3254" s="695" t="s">
        <v>6437</v>
      </c>
      <c r="I3254" s="695">
        <v>18</v>
      </c>
      <c r="J3254" s="695" t="s">
        <v>6455</v>
      </c>
      <c r="K3254" s="695" t="s">
        <v>4057</v>
      </c>
      <c r="L3254" s="696">
        <v>5</v>
      </c>
      <c r="M3254" s="170"/>
    </row>
    <row r="3255" spans="2:13" x14ac:dyDescent="0.2">
      <c r="B3255" s="173"/>
      <c r="C3255" s="694">
        <v>1</v>
      </c>
      <c r="D3255" s="695" t="s">
        <v>3903</v>
      </c>
      <c r="E3255" s="695">
        <v>5</v>
      </c>
      <c r="F3255" s="695" t="s">
        <v>6436</v>
      </c>
      <c r="G3255" s="695">
        <v>1</v>
      </c>
      <c r="H3255" s="695" t="s">
        <v>6437</v>
      </c>
      <c r="I3255" s="695">
        <v>19</v>
      </c>
      <c r="J3255" s="695" t="s">
        <v>6456</v>
      </c>
      <c r="K3255" s="695" t="s">
        <v>8544</v>
      </c>
      <c r="L3255" s="696">
        <v>5</v>
      </c>
      <c r="M3255" s="170"/>
    </row>
    <row r="3256" spans="2:13" x14ac:dyDescent="0.2">
      <c r="B3256" s="173"/>
      <c r="C3256" s="694">
        <v>1</v>
      </c>
      <c r="D3256" s="695" t="s">
        <v>3903</v>
      </c>
      <c r="E3256" s="695">
        <v>5</v>
      </c>
      <c r="F3256" s="695" t="s">
        <v>6436</v>
      </c>
      <c r="G3256" s="695">
        <v>1</v>
      </c>
      <c r="H3256" s="695" t="s">
        <v>6437</v>
      </c>
      <c r="I3256" s="695">
        <v>20</v>
      </c>
      <c r="J3256" s="695" t="s">
        <v>6439</v>
      </c>
      <c r="K3256" s="695" t="s">
        <v>8544</v>
      </c>
      <c r="L3256" s="696">
        <v>8</v>
      </c>
      <c r="M3256" s="170"/>
    </row>
    <row r="3257" spans="2:13" x14ac:dyDescent="0.2">
      <c r="B3257" s="173"/>
      <c r="C3257" s="694">
        <v>1</v>
      </c>
      <c r="D3257" s="695" t="s">
        <v>3903</v>
      </c>
      <c r="E3257" s="695">
        <v>5</v>
      </c>
      <c r="F3257" s="695" t="s">
        <v>6436</v>
      </c>
      <c r="G3257" s="695">
        <v>1</v>
      </c>
      <c r="H3257" s="695" t="s">
        <v>6437</v>
      </c>
      <c r="I3257" s="695">
        <v>21</v>
      </c>
      <c r="J3257" s="695" t="s">
        <v>6457</v>
      </c>
      <c r="K3257" s="695" t="s">
        <v>8544</v>
      </c>
      <c r="L3257" s="696">
        <v>11</v>
      </c>
      <c r="M3257" s="170"/>
    </row>
    <row r="3258" spans="2:13" x14ac:dyDescent="0.2">
      <c r="B3258" s="173"/>
      <c r="C3258" s="694">
        <v>1</v>
      </c>
      <c r="D3258" s="695" t="s">
        <v>3903</v>
      </c>
      <c r="E3258" s="695">
        <v>5</v>
      </c>
      <c r="F3258" s="695" t="s">
        <v>6436</v>
      </c>
      <c r="G3258" s="695">
        <v>1</v>
      </c>
      <c r="H3258" s="695" t="s">
        <v>6437</v>
      </c>
      <c r="I3258" s="695">
        <v>22</v>
      </c>
      <c r="J3258" s="695" t="s">
        <v>6458</v>
      </c>
      <c r="K3258" s="695" t="s">
        <v>8544</v>
      </c>
      <c r="L3258" s="696">
        <v>14</v>
      </c>
      <c r="M3258" s="170"/>
    </row>
    <row r="3259" spans="2:13" x14ac:dyDescent="0.2">
      <c r="B3259" s="173"/>
      <c r="C3259" s="694">
        <v>1</v>
      </c>
      <c r="D3259" s="695" t="s">
        <v>3903</v>
      </c>
      <c r="E3259" s="695">
        <v>5</v>
      </c>
      <c r="F3259" s="695" t="s">
        <v>6436</v>
      </c>
      <c r="G3259" s="695">
        <v>1</v>
      </c>
      <c r="H3259" s="695" t="s">
        <v>6437</v>
      </c>
      <c r="I3259" s="695">
        <v>23</v>
      </c>
      <c r="J3259" s="695" t="s">
        <v>6459</v>
      </c>
      <c r="K3259" s="695" t="s">
        <v>8544</v>
      </c>
      <c r="L3259" s="696">
        <v>14</v>
      </c>
      <c r="M3259" s="170"/>
    </row>
    <row r="3260" spans="2:13" x14ac:dyDescent="0.2">
      <c r="B3260" s="173"/>
      <c r="C3260" s="694">
        <v>1</v>
      </c>
      <c r="D3260" s="695" t="s">
        <v>3903</v>
      </c>
      <c r="E3260" s="695">
        <v>5</v>
      </c>
      <c r="F3260" s="695" t="s">
        <v>6436</v>
      </c>
      <c r="G3260" s="695">
        <v>1</v>
      </c>
      <c r="H3260" s="695" t="s">
        <v>6437</v>
      </c>
      <c r="I3260" s="695">
        <v>24</v>
      </c>
      <c r="J3260" s="695" t="s">
        <v>6460</v>
      </c>
      <c r="K3260" s="695" t="s">
        <v>8544</v>
      </c>
      <c r="L3260" s="696">
        <v>3</v>
      </c>
      <c r="M3260" s="170"/>
    </row>
    <row r="3261" spans="2:13" x14ac:dyDescent="0.2">
      <c r="B3261" s="173"/>
      <c r="C3261" s="694">
        <v>1</v>
      </c>
      <c r="D3261" s="695" t="s">
        <v>3903</v>
      </c>
      <c r="E3261" s="695">
        <v>5</v>
      </c>
      <c r="F3261" s="695" t="s">
        <v>6436</v>
      </c>
      <c r="G3261" s="695">
        <v>1</v>
      </c>
      <c r="H3261" s="695" t="s">
        <v>6437</v>
      </c>
      <c r="I3261" s="695">
        <v>25</v>
      </c>
      <c r="J3261" s="695" t="s">
        <v>6461</v>
      </c>
      <c r="K3261" s="695" t="s">
        <v>8544</v>
      </c>
      <c r="L3261" s="696">
        <v>7</v>
      </c>
      <c r="M3261" s="170"/>
    </row>
    <row r="3262" spans="2:13" x14ac:dyDescent="0.2">
      <c r="B3262" s="173"/>
      <c r="C3262" s="694">
        <v>1</v>
      </c>
      <c r="D3262" s="695" t="s">
        <v>3903</v>
      </c>
      <c r="E3262" s="695">
        <v>5</v>
      </c>
      <c r="F3262" s="695" t="s">
        <v>6436</v>
      </c>
      <c r="G3262" s="695">
        <v>1</v>
      </c>
      <c r="H3262" s="695" t="s">
        <v>6437</v>
      </c>
      <c r="I3262" s="695">
        <v>26</v>
      </c>
      <c r="J3262" s="695" t="s">
        <v>6462</v>
      </c>
      <c r="K3262" s="695" t="s">
        <v>4057</v>
      </c>
      <c r="L3262" s="696">
        <v>36</v>
      </c>
      <c r="M3262" s="170"/>
    </row>
    <row r="3263" spans="2:13" x14ac:dyDescent="0.2">
      <c r="B3263" s="173"/>
      <c r="C3263" s="694">
        <v>1</v>
      </c>
      <c r="D3263" s="695" t="s">
        <v>3903</v>
      </c>
      <c r="E3263" s="695">
        <v>5</v>
      </c>
      <c r="F3263" s="695" t="s">
        <v>6436</v>
      </c>
      <c r="G3263" s="695">
        <v>1</v>
      </c>
      <c r="H3263" s="695" t="s">
        <v>6437</v>
      </c>
      <c r="I3263" s="695">
        <v>27</v>
      </c>
      <c r="J3263" s="695" t="s">
        <v>6463</v>
      </c>
      <c r="K3263" s="695" t="s">
        <v>4057</v>
      </c>
      <c r="L3263" s="696">
        <v>74</v>
      </c>
      <c r="M3263" s="170"/>
    </row>
    <row r="3264" spans="2:13" x14ac:dyDescent="0.2">
      <c r="B3264" s="173"/>
      <c r="C3264" s="694">
        <v>1</v>
      </c>
      <c r="D3264" s="695" t="s">
        <v>3903</v>
      </c>
      <c r="E3264" s="695">
        <v>5</v>
      </c>
      <c r="F3264" s="695" t="s">
        <v>6436</v>
      </c>
      <c r="G3264" s="695">
        <v>1</v>
      </c>
      <c r="H3264" s="695" t="s">
        <v>6437</v>
      </c>
      <c r="I3264" s="695">
        <v>28</v>
      </c>
      <c r="J3264" s="695" t="s">
        <v>6464</v>
      </c>
      <c r="K3264" s="695" t="s">
        <v>3907</v>
      </c>
      <c r="L3264" s="696">
        <v>3</v>
      </c>
      <c r="M3264" s="170"/>
    </row>
    <row r="3265" spans="2:13" x14ac:dyDescent="0.2">
      <c r="B3265" s="173"/>
      <c r="C3265" s="694">
        <v>1</v>
      </c>
      <c r="D3265" s="695" t="s">
        <v>3903</v>
      </c>
      <c r="E3265" s="695">
        <v>5</v>
      </c>
      <c r="F3265" s="695" t="s">
        <v>6436</v>
      </c>
      <c r="G3265" s="695">
        <v>1</v>
      </c>
      <c r="H3265" s="695" t="s">
        <v>6437</v>
      </c>
      <c r="I3265" s="695">
        <v>29</v>
      </c>
      <c r="J3265" s="695" t="s">
        <v>6465</v>
      </c>
      <c r="K3265" s="695" t="s">
        <v>8544</v>
      </c>
      <c r="L3265" s="696">
        <v>4</v>
      </c>
      <c r="M3265" s="170"/>
    </row>
    <row r="3266" spans="2:13" x14ac:dyDescent="0.2">
      <c r="B3266" s="173"/>
      <c r="C3266" s="694">
        <v>1</v>
      </c>
      <c r="D3266" s="695" t="s">
        <v>3903</v>
      </c>
      <c r="E3266" s="695">
        <v>5</v>
      </c>
      <c r="F3266" s="695" t="s">
        <v>6436</v>
      </c>
      <c r="G3266" s="695">
        <v>1</v>
      </c>
      <c r="H3266" s="695" t="s">
        <v>6437</v>
      </c>
      <c r="I3266" s="695">
        <v>30</v>
      </c>
      <c r="J3266" s="695" t="s">
        <v>6466</v>
      </c>
      <c r="K3266" s="695" t="s">
        <v>8544</v>
      </c>
      <c r="L3266" s="696">
        <v>1</v>
      </c>
      <c r="M3266" s="170"/>
    </row>
    <row r="3267" spans="2:13" x14ac:dyDescent="0.2">
      <c r="B3267" s="173"/>
      <c r="C3267" s="694">
        <v>1</v>
      </c>
      <c r="D3267" s="695" t="s">
        <v>3903</v>
      </c>
      <c r="E3267" s="695">
        <v>5</v>
      </c>
      <c r="F3267" s="695" t="s">
        <v>6436</v>
      </c>
      <c r="G3267" s="695">
        <v>1</v>
      </c>
      <c r="H3267" s="695" t="s">
        <v>6437</v>
      </c>
      <c r="I3267" s="695">
        <v>31</v>
      </c>
      <c r="J3267" s="695" t="s">
        <v>6467</v>
      </c>
      <c r="K3267" s="695" t="s">
        <v>8544</v>
      </c>
      <c r="L3267" s="696">
        <v>4</v>
      </c>
      <c r="M3267" s="170"/>
    </row>
    <row r="3268" spans="2:13" x14ac:dyDescent="0.2">
      <c r="B3268" s="173"/>
      <c r="C3268" s="694">
        <v>1</v>
      </c>
      <c r="D3268" s="695" t="s">
        <v>3903</v>
      </c>
      <c r="E3268" s="695">
        <v>5</v>
      </c>
      <c r="F3268" s="695" t="s">
        <v>6436</v>
      </c>
      <c r="G3268" s="695">
        <v>1</v>
      </c>
      <c r="H3268" s="695" t="s">
        <v>6437</v>
      </c>
      <c r="I3268" s="695">
        <v>32</v>
      </c>
      <c r="J3268" s="695" t="s">
        <v>6468</v>
      </c>
      <c r="K3268" s="695" t="s">
        <v>3985</v>
      </c>
      <c r="L3268" s="696">
        <v>30</v>
      </c>
      <c r="M3268" s="170"/>
    </row>
    <row r="3269" spans="2:13" x14ac:dyDescent="0.2">
      <c r="B3269" s="173"/>
      <c r="C3269" s="694">
        <v>1</v>
      </c>
      <c r="D3269" s="695" t="s">
        <v>3903</v>
      </c>
      <c r="E3269" s="695">
        <v>5</v>
      </c>
      <c r="F3269" s="695" t="s">
        <v>6436</v>
      </c>
      <c r="G3269" s="695">
        <v>1</v>
      </c>
      <c r="H3269" s="695" t="s">
        <v>6437</v>
      </c>
      <c r="I3269" s="695">
        <v>33</v>
      </c>
      <c r="J3269" s="695" t="s">
        <v>6469</v>
      </c>
      <c r="K3269" s="695" t="s">
        <v>8544</v>
      </c>
      <c r="L3269" s="696">
        <v>11</v>
      </c>
      <c r="M3269" s="170"/>
    </row>
    <row r="3270" spans="2:13" x14ac:dyDescent="0.2">
      <c r="B3270" s="173"/>
      <c r="C3270" s="694">
        <v>1</v>
      </c>
      <c r="D3270" s="695" t="s">
        <v>3903</v>
      </c>
      <c r="E3270" s="695">
        <v>5</v>
      </c>
      <c r="F3270" s="695" t="s">
        <v>6436</v>
      </c>
      <c r="G3270" s="695">
        <v>1</v>
      </c>
      <c r="H3270" s="695" t="s">
        <v>6437</v>
      </c>
      <c r="I3270" s="695">
        <v>34</v>
      </c>
      <c r="J3270" s="695" t="s">
        <v>6470</v>
      </c>
      <c r="K3270" s="695" t="s">
        <v>8544</v>
      </c>
      <c r="L3270" s="696">
        <v>8</v>
      </c>
      <c r="M3270" s="170"/>
    </row>
    <row r="3271" spans="2:13" x14ac:dyDescent="0.2">
      <c r="B3271" s="173"/>
      <c r="C3271" s="694">
        <v>1</v>
      </c>
      <c r="D3271" s="695" t="s">
        <v>3903</v>
      </c>
      <c r="E3271" s="695">
        <v>5</v>
      </c>
      <c r="F3271" s="695" t="s">
        <v>6436</v>
      </c>
      <c r="G3271" s="695">
        <v>1</v>
      </c>
      <c r="H3271" s="695" t="s">
        <v>6437</v>
      </c>
      <c r="I3271" s="695">
        <v>35</v>
      </c>
      <c r="J3271" s="695" t="s">
        <v>6463</v>
      </c>
      <c r="K3271" s="695" t="s">
        <v>3985</v>
      </c>
      <c r="L3271" s="696">
        <v>34</v>
      </c>
      <c r="M3271" s="170"/>
    </row>
    <row r="3272" spans="2:13" x14ac:dyDescent="0.2">
      <c r="B3272" s="173"/>
      <c r="C3272" s="694">
        <v>1</v>
      </c>
      <c r="D3272" s="695" t="s">
        <v>3903</v>
      </c>
      <c r="E3272" s="695">
        <v>5</v>
      </c>
      <c r="F3272" s="695" t="s">
        <v>6436</v>
      </c>
      <c r="G3272" s="695">
        <v>1</v>
      </c>
      <c r="H3272" s="695" t="s">
        <v>6437</v>
      </c>
      <c r="I3272" s="695">
        <v>36</v>
      </c>
      <c r="J3272" s="695" t="s">
        <v>6471</v>
      </c>
      <c r="K3272" s="695" t="s">
        <v>8544</v>
      </c>
      <c r="L3272" s="696">
        <v>3</v>
      </c>
      <c r="M3272" s="170"/>
    </row>
    <row r="3273" spans="2:13" x14ac:dyDescent="0.2">
      <c r="B3273" s="173"/>
      <c r="C3273" s="694">
        <v>1</v>
      </c>
      <c r="D3273" s="695" t="s">
        <v>3903</v>
      </c>
      <c r="E3273" s="695">
        <v>5</v>
      </c>
      <c r="F3273" s="695" t="s">
        <v>6436</v>
      </c>
      <c r="G3273" s="695">
        <v>1</v>
      </c>
      <c r="H3273" s="695" t="s">
        <v>6437</v>
      </c>
      <c r="I3273" s="695">
        <v>37</v>
      </c>
      <c r="J3273" s="695" t="s">
        <v>6472</v>
      </c>
      <c r="K3273" s="695" t="s">
        <v>3907</v>
      </c>
      <c r="L3273" s="696">
        <v>1</v>
      </c>
      <c r="M3273" s="170"/>
    </row>
    <row r="3274" spans="2:13" x14ac:dyDescent="0.2">
      <c r="B3274" s="173"/>
      <c r="C3274" s="694">
        <v>1</v>
      </c>
      <c r="D3274" s="695" t="s">
        <v>3903</v>
      </c>
      <c r="E3274" s="695">
        <v>5</v>
      </c>
      <c r="F3274" s="695" t="s">
        <v>6436</v>
      </c>
      <c r="G3274" s="695">
        <v>1</v>
      </c>
      <c r="H3274" s="695" t="s">
        <v>6437</v>
      </c>
      <c r="I3274" s="695">
        <v>38</v>
      </c>
      <c r="J3274" s="695" t="s">
        <v>6473</v>
      </c>
      <c r="K3274" s="695" t="s">
        <v>3907</v>
      </c>
      <c r="L3274" s="696">
        <v>4</v>
      </c>
      <c r="M3274" s="170"/>
    </row>
    <row r="3275" spans="2:13" x14ac:dyDescent="0.2">
      <c r="B3275" s="173"/>
      <c r="C3275" s="694">
        <v>1</v>
      </c>
      <c r="D3275" s="695" t="s">
        <v>3903</v>
      </c>
      <c r="E3275" s="695">
        <v>5</v>
      </c>
      <c r="F3275" s="695" t="s">
        <v>6436</v>
      </c>
      <c r="G3275" s="695">
        <v>1</v>
      </c>
      <c r="H3275" s="695" t="s">
        <v>6437</v>
      </c>
      <c r="I3275" s="695">
        <v>39</v>
      </c>
      <c r="J3275" s="695" t="s">
        <v>6474</v>
      </c>
      <c r="K3275" s="695" t="s">
        <v>8544</v>
      </c>
      <c r="L3275" s="696">
        <v>0</v>
      </c>
      <c r="M3275" s="170"/>
    </row>
    <row r="3276" spans="2:13" x14ac:dyDescent="0.2">
      <c r="B3276" s="173"/>
      <c r="C3276" s="694">
        <v>1</v>
      </c>
      <c r="D3276" s="695" t="s">
        <v>3903</v>
      </c>
      <c r="E3276" s="695">
        <v>5</v>
      </c>
      <c r="F3276" s="695" t="s">
        <v>6436</v>
      </c>
      <c r="G3276" s="695">
        <v>1</v>
      </c>
      <c r="H3276" s="695" t="s">
        <v>6437</v>
      </c>
      <c r="I3276" s="695">
        <v>40</v>
      </c>
      <c r="J3276" s="695" t="s">
        <v>6475</v>
      </c>
      <c r="K3276" s="695" t="s">
        <v>3907</v>
      </c>
      <c r="L3276" s="696">
        <v>1</v>
      </c>
      <c r="M3276" s="170"/>
    </row>
    <row r="3277" spans="2:13" x14ac:dyDescent="0.2">
      <c r="B3277" s="173"/>
      <c r="C3277" s="694">
        <v>1</v>
      </c>
      <c r="D3277" s="695" t="s">
        <v>3903</v>
      </c>
      <c r="E3277" s="695">
        <v>5</v>
      </c>
      <c r="F3277" s="695" t="s">
        <v>6436</v>
      </c>
      <c r="G3277" s="695">
        <v>1</v>
      </c>
      <c r="H3277" s="695" t="s">
        <v>6437</v>
      </c>
      <c r="I3277" s="695">
        <v>41</v>
      </c>
      <c r="J3277" s="695" t="s">
        <v>6476</v>
      </c>
      <c r="K3277" s="695" t="s">
        <v>3907</v>
      </c>
      <c r="L3277" s="696">
        <v>14</v>
      </c>
      <c r="M3277" s="170"/>
    </row>
    <row r="3278" spans="2:13" x14ac:dyDescent="0.2">
      <c r="B3278" s="173"/>
      <c r="C3278" s="694">
        <v>1</v>
      </c>
      <c r="D3278" s="695" t="s">
        <v>3903</v>
      </c>
      <c r="E3278" s="695">
        <v>5</v>
      </c>
      <c r="F3278" s="695" t="s">
        <v>6436</v>
      </c>
      <c r="G3278" s="695">
        <v>1</v>
      </c>
      <c r="H3278" s="695" t="s">
        <v>6437</v>
      </c>
      <c r="I3278" s="695">
        <v>42</v>
      </c>
      <c r="J3278" s="695" t="s">
        <v>6477</v>
      </c>
      <c r="K3278" s="695" t="s">
        <v>3907</v>
      </c>
      <c r="L3278" s="696">
        <v>79</v>
      </c>
      <c r="M3278" s="170"/>
    </row>
    <row r="3279" spans="2:13" x14ac:dyDescent="0.2">
      <c r="B3279" s="173"/>
      <c r="C3279" s="694">
        <v>1</v>
      </c>
      <c r="D3279" s="695" t="s">
        <v>3903</v>
      </c>
      <c r="E3279" s="695">
        <v>5</v>
      </c>
      <c r="F3279" s="695" t="s">
        <v>6436</v>
      </c>
      <c r="G3279" s="695">
        <v>1</v>
      </c>
      <c r="H3279" s="695" t="s">
        <v>6437</v>
      </c>
      <c r="I3279" s="695">
        <v>43</v>
      </c>
      <c r="J3279" s="695" t="s">
        <v>6478</v>
      </c>
      <c r="K3279" s="695" t="s">
        <v>3907</v>
      </c>
      <c r="L3279" s="696">
        <v>1</v>
      </c>
      <c r="M3279" s="170"/>
    </row>
    <row r="3280" spans="2:13" x14ac:dyDescent="0.2">
      <c r="B3280" s="173"/>
      <c r="C3280" s="694">
        <v>1</v>
      </c>
      <c r="D3280" s="695" t="s">
        <v>3903</v>
      </c>
      <c r="E3280" s="695">
        <v>5</v>
      </c>
      <c r="F3280" s="695" t="s">
        <v>6436</v>
      </c>
      <c r="G3280" s="695">
        <v>1</v>
      </c>
      <c r="H3280" s="695" t="s">
        <v>6437</v>
      </c>
      <c r="I3280" s="695">
        <v>44</v>
      </c>
      <c r="J3280" s="695" t="s">
        <v>6479</v>
      </c>
      <c r="K3280" s="695" t="s">
        <v>3907</v>
      </c>
      <c r="L3280" s="696">
        <v>1</v>
      </c>
      <c r="M3280" s="170"/>
    </row>
    <row r="3281" spans="2:13" x14ac:dyDescent="0.2">
      <c r="B3281" s="173"/>
      <c r="C3281" s="694">
        <v>1</v>
      </c>
      <c r="D3281" s="695" t="s">
        <v>3903</v>
      </c>
      <c r="E3281" s="695">
        <v>5</v>
      </c>
      <c r="F3281" s="695" t="s">
        <v>6436</v>
      </c>
      <c r="G3281" s="695">
        <v>1</v>
      </c>
      <c r="H3281" s="695" t="s">
        <v>6437</v>
      </c>
      <c r="I3281" s="695">
        <v>45</v>
      </c>
      <c r="J3281" s="695" t="s">
        <v>6480</v>
      </c>
      <c r="K3281" s="695" t="s">
        <v>3907</v>
      </c>
      <c r="L3281" s="696">
        <v>5</v>
      </c>
      <c r="M3281" s="170"/>
    </row>
    <row r="3282" spans="2:13" x14ac:dyDescent="0.2">
      <c r="B3282" s="173"/>
      <c r="C3282" s="694">
        <v>1</v>
      </c>
      <c r="D3282" s="695" t="s">
        <v>3903</v>
      </c>
      <c r="E3282" s="695">
        <v>5</v>
      </c>
      <c r="F3282" s="695" t="s">
        <v>6436</v>
      </c>
      <c r="G3282" s="695">
        <v>1</v>
      </c>
      <c r="H3282" s="695" t="s">
        <v>6437</v>
      </c>
      <c r="I3282" s="695">
        <v>46</v>
      </c>
      <c r="J3282" s="695" t="s">
        <v>6481</v>
      </c>
      <c r="K3282" s="695" t="s">
        <v>3907</v>
      </c>
      <c r="L3282" s="696">
        <v>3</v>
      </c>
      <c r="M3282" s="170"/>
    </row>
    <row r="3283" spans="2:13" x14ac:dyDescent="0.2">
      <c r="B3283" s="173"/>
      <c r="C3283" s="694">
        <v>1</v>
      </c>
      <c r="D3283" s="695" t="s">
        <v>3903</v>
      </c>
      <c r="E3283" s="695">
        <v>5</v>
      </c>
      <c r="F3283" s="695" t="s">
        <v>6436</v>
      </c>
      <c r="G3283" s="695">
        <v>1</v>
      </c>
      <c r="H3283" s="695" t="s">
        <v>6437</v>
      </c>
      <c r="I3283" s="695">
        <v>47</v>
      </c>
      <c r="J3283" s="695" t="s">
        <v>6482</v>
      </c>
      <c r="K3283" s="695" t="s">
        <v>3907</v>
      </c>
      <c r="L3283" s="696">
        <v>1</v>
      </c>
      <c r="M3283" s="170"/>
    </row>
    <row r="3284" spans="2:13" x14ac:dyDescent="0.2">
      <c r="B3284" s="173"/>
      <c r="C3284" s="694">
        <v>1</v>
      </c>
      <c r="D3284" s="695" t="s">
        <v>3903</v>
      </c>
      <c r="E3284" s="695">
        <v>5</v>
      </c>
      <c r="F3284" s="695" t="s">
        <v>6436</v>
      </c>
      <c r="G3284" s="695">
        <v>1</v>
      </c>
      <c r="H3284" s="695" t="s">
        <v>6437</v>
      </c>
      <c r="I3284" s="695">
        <v>48</v>
      </c>
      <c r="J3284" s="695" t="s">
        <v>6483</v>
      </c>
      <c r="K3284" s="695" t="s">
        <v>3907</v>
      </c>
      <c r="L3284" s="696">
        <v>0</v>
      </c>
      <c r="M3284" s="170"/>
    </row>
    <row r="3285" spans="2:13" x14ac:dyDescent="0.2">
      <c r="B3285" s="173"/>
      <c r="C3285" s="694">
        <v>1</v>
      </c>
      <c r="D3285" s="695" t="s">
        <v>3903</v>
      </c>
      <c r="E3285" s="695">
        <v>5</v>
      </c>
      <c r="F3285" s="695" t="s">
        <v>6436</v>
      </c>
      <c r="G3285" s="695">
        <v>1</v>
      </c>
      <c r="H3285" s="695" t="s">
        <v>6437</v>
      </c>
      <c r="I3285" s="695">
        <v>49</v>
      </c>
      <c r="J3285" s="695" t="s">
        <v>6484</v>
      </c>
      <c r="K3285" s="695" t="s">
        <v>3907</v>
      </c>
      <c r="L3285" s="696">
        <v>1</v>
      </c>
      <c r="M3285" s="170"/>
    </row>
    <row r="3286" spans="2:13" x14ac:dyDescent="0.2">
      <c r="B3286" s="173"/>
      <c r="C3286" s="694">
        <v>1</v>
      </c>
      <c r="D3286" s="695" t="s">
        <v>3903</v>
      </c>
      <c r="E3286" s="695">
        <v>5</v>
      </c>
      <c r="F3286" s="695" t="s">
        <v>6436</v>
      </c>
      <c r="G3286" s="695">
        <v>1</v>
      </c>
      <c r="H3286" s="695" t="s">
        <v>6437</v>
      </c>
      <c r="I3286" s="695">
        <v>50</v>
      </c>
      <c r="J3286" s="695" t="s">
        <v>6485</v>
      </c>
      <c r="K3286" s="695" t="s">
        <v>3907</v>
      </c>
      <c r="L3286" s="696">
        <v>5</v>
      </c>
      <c r="M3286" s="170"/>
    </row>
    <row r="3287" spans="2:13" x14ac:dyDescent="0.2">
      <c r="B3287" s="173"/>
      <c r="C3287" s="694">
        <v>1</v>
      </c>
      <c r="D3287" s="695" t="s">
        <v>3903</v>
      </c>
      <c r="E3287" s="695">
        <v>5</v>
      </c>
      <c r="F3287" s="695" t="s">
        <v>6436</v>
      </c>
      <c r="G3287" s="695">
        <v>1</v>
      </c>
      <c r="H3287" s="695" t="s">
        <v>6437</v>
      </c>
      <c r="I3287" s="695">
        <v>51</v>
      </c>
      <c r="J3287" s="695" t="s">
        <v>6486</v>
      </c>
      <c r="K3287" s="695" t="s">
        <v>3907</v>
      </c>
      <c r="L3287" s="696">
        <v>1</v>
      </c>
      <c r="M3287" s="170"/>
    </row>
    <row r="3288" spans="2:13" x14ac:dyDescent="0.2">
      <c r="B3288" s="173"/>
      <c r="C3288" s="694">
        <v>1</v>
      </c>
      <c r="D3288" s="695" t="s">
        <v>3903</v>
      </c>
      <c r="E3288" s="695">
        <v>5</v>
      </c>
      <c r="F3288" s="695" t="s">
        <v>6436</v>
      </c>
      <c r="G3288" s="695">
        <v>1</v>
      </c>
      <c r="H3288" s="695" t="s">
        <v>6437</v>
      </c>
      <c r="I3288" s="695">
        <v>52</v>
      </c>
      <c r="J3288" s="695" t="s">
        <v>6487</v>
      </c>
      <c r="K3288" s="695" t="s">
        <v>3907</v>
      </c>
      <c r="L3288" s="696">
        <v>21</v>
      </c>
      <c r="M3288" s="170"/>
    </row>
    <row r="3289" spans="2:13" x14ac:dyDescent="0.2">
      <c r="B3289" s="173"/>
      <c r="C3289" s="694">
        <v>1</v>
      </c>
      <c r="D3289" s="695" t="s">
        <v>3903</v>
      </c>
      <c r="E3289" s="695">
        <v>5</v>
      </c>
      <c r="F3289" s="695" t="s">
        <v>6436</v>
      </c>
      <c r="G3289" s="695">
        <v>1</v>
      </c>
      <c r="H3289" s="695" t="s">
        <v>6437</v>
      </c>
      <c r="I3289" s="695">
        <v>53</v>
      </c>
      <c r="J3289" s="695" t="s">
        <v>6488</v>
      </c>
      <c r="K3289" s="695" t="s">
        <v>3907</v>
      </c>
      <c r="L3289" s="696">
        <v>23</v>
      </c>
      <c r="M3289" s="170"/>
    </row>
    <row r="3290" spans="2:13" x14ac:dyDescent="0.2">
      <c r="B3290" s="173"/>
      <c r="C3290" s="694">
        <v>1</v>
      </c>
      <c r="D3290" s="695" t="s">
        <v>3903</v>
      </c>
      <c r="E3290" s="695">
        <v>5</v>
      </c>
      <c r="F3290" s="695" t="s">
        <v>6436</v>
      </c>
      <c r="G3290" s="695">
        <v>1</v>
      </c>
      <c r="H3290" s="695" t="s">
        <v>6437</v>
      </c>
      <c r="I3290" s="695">
        <v>54</v>
      </c>
      <c r="J3290" s="695" t="s">
        <v>6489</v>
      </c>
      <c r="K3290" s="695" t="s">
        <v>3907</v>
      </c>
      <c r="L3290" s="696">
        <v>3</v>
      </c>
      <c r="M3290" s="170"/>
    </row>
    <row r="3291" spans="2:13" x14ac:dyDescent="0.2">
      <c r="B3291" s="173"/>
      <c r="C3291" s="694">
        <v>1</v>
      </c>
      <c r="D3291" s="695" t="s">
        <v>3903</v>
      </c>
      <c r="E3291" s="695">
        <v>5</v>
      </c>
      <c r="F3291" s="695" t="s">
        <v>6436</v>
      </c>
      <c r="G3291" s="695">
        <v>1</v>
      </c>
      <c r="H3291" s="695" t="s">
        <v>6437</v>
      </c>
      <c r="I3291" s="695">
        <v>55</v>
      </c>
      <c r="J3291" s="695" t="s">
        <v>6490</v>
      </c>
      <c r="K3291" s="695" t="s">
        <v>3907</v>
      </c>
      <c r="L3291" s="696">
        <v>3</v>
      </c>
      <c r="M3291" s="170"/>
    </row>
    <row r="3292" spans="2:13" x14ac:dyDescent="0.2">
      <c r="B3292" s="173"/>
      <c r="C3292" s="694">
        <v>1</v>
      </c>
      <c r="D3292" s="695" t="s">
        <v>3903</v>
      </c>
      <c r="E3292" s="695">
        <v>5</v>
      </c>
      <c r="F3292" s="695" t="s">
        <v>6436</v>
      </c>
      <c r="G3292" s="695">
        <v>1</v>
      </c>
      <c r="H3292" s="695" t="s">
        <v>6437</v>
      </c>
      <c r="I3292" s="695">
        <v>56</v>
      </c>
      <c r="J3292" s="695" t="s">
        <v>6491</v>
      </c>
      <c r="K3292" s="695" t="s">
        <v>3907</v>
      </c>
      <c r="L3292" s="696">
        <v>10</v>
      </c>
      <c r="M3292" s="170"/>
    </row>
    <row r="3293" spans="2:13" x14ac:dyDescent="0.2">
      <c r="B3293" s="173"/>
      <c r="C3293" s="694">
        <v>1</v>
      </c>
      <c r="D3293" s="695" t="s">
        <v>3903</v>
      </c>
      <c r="E3293" s="695">
        <v>5</v>
      </c>
      <c r="F3293" s="695" t="s">
        <v>6436</v>
      </c>
      <c r="G3293" s="695">
        <v>1</v>
      </c>
      <c r="H3293" s="695" t="s">
        <v>6437</v>
      </c>
      <c r="I3293" s="695">
        <v>57</v>
      </c>
      <c r="J3293" s="695" t="s">
        <v>6492</v>
      </c>
      <c r="K3293" s="695" t="s">
        <v>3907</v>
      </c>
      <c r="L3293" s="696">
        <v>1</v>
      </c>
      <c r="M3293" s="170"/>
    </row>
    <row r="3294" spans="2:13" x14ac:dyDescent="0.2">
      <c r="B3294" s="173"/>
      <c r="C3294" s="694">
        <v>1</v>
      </c>
      <c r="D3294" s="695" t="s">
        <v>3903</v>
      </c>
      <c r="E3294" s="695">
        <v>5</v>
      </c>
      <c r="F3294" s="695" t="s">
        <v>6436</v>
      </c>
      <c r="G3294" s="695">
        <v>1</v>
      </c>
      <c r="H3294" s="695" t="s">
        <v>6437</v>
      </c>
      <c r="I3294" s="695">
        <v>58</v>
      </c>
      <c r="J3294" s="695" t="s">
        <v>6493</v>
      </c>
      <c r="K3294" s="695" t="s">
        <v>3907</v>
      </c>
      <c r="L3294" s="696">
        <v>4</v>
      </c>
      <c r="M3294" s="170"/>
    </row>
    <row r="3295" spans="2:13" x14ac:dyDescent="0.2">
      <c r="B3295" s="173"/>
      <c r="C3295" s="694">
        <v>1</v>
      </c>
      <c r="D3295" s="695" t="s">
        <v>3903</v>
      </c>
      <c r="E3295" s="695">
        <v>5</v>
      </c>
      <c r="F3295" s="695" t="s">
        <v>6436</v>
      </c>
      <c r="G3295" s="695">
        <v>1</v>
      </c>
      <c r="H3295" s="695" t="s">
        <v>6437</v>
      </c>
      <c r="I3295" s="695">
        <v>59</v>
      </c>
      <c r="J3295" s="695" t="s">
        <v>6494</v>
      </c>
      <c r="K3295" s="695" t="s">
        <v>3907</v>
      </c>
      <c r="L3295" s="696">
        <v>2</v>
      </c>
      <c r="M3295" s="170"/>
    </row>
    <row r="3296" spans="2:13" x14ac:dyDescent="0.2">
      <c r="B3296" s="173"/>
      <c r="C3296" s="694">
        <v>1</v>
      </c>
      <c r="D3296" s="695" t="s">
        <v>3903</v>
      </c>
      <c r="E3296" s="695">
        <v>5</v>
      </c>
      <c r="F3296" s="695" t="s">
        <v>6436</v>
      </c>
      <c r="G3296" s="695">
        <v>1</v>
      </c>
      <c r="H3296" s="695" t="s">
        <v>6437</v>
      </c>
      <c r="I3296" s="695">
        <v>60</v>
      </c>
      <c r="J3296" s="695" t="s">
        <v>9149</v>
      </c>
      <c r="K3296" s="695" t="s">
        <v>3907</v>
      </c>
      <c r="L3296" s="696">
        <v>1</v>
      </c>
      <c r="M3296" s="170"/>
    </row>
    <row r="3297" spans="2:13" x14ac:dyDescent="0.2">
      <c r="B3297" s="173"/>
      <c r="C3297" s="694">
        <v>1</v>
      </c>
      <c r="D3297" s="695" t="s">
        <v>3903</v>
      </c>
      <c r="E3297" s="695">
        <v>5</v>
      </c>
      <c r="F3297" s="695" t="s">
        <v>6436</v>
      </c>
      <c r="G3297" s="695">
        <v>1</v>
      </c>
      <c r="H3297" s="695" t="s">
        <v>6437</v>
      </c>
      <c r="I3297" s="695">
        <v>61</v>
      </c>
      <c r="J3297" s="695" t="s">
        <v>9150</v>
      </c>
      <c r="K3297" s="695" t="s">
        <v>3907</v>
      </c>
      <c r="L3297" s="696">
        <v>1</v>
      </c>
      <c r="M3297" s="170"/>
    </row>
    <row r="3298" spans="2:13" x14ac:dyDescent="0.2">
      <c r="B3298" s="173"/>
      <c r="C3298" s="694">
        <v>1</v>
      </c>
      <c r="D3298" s="695" t="s">
        <v>3903</v>
      </c>
      <c r="E3298" s="695">
        <v>5</v>
      </c>
      <c r="F3298" s="695" t="s">
        <v>6436</v>
      </c>
      <c r="G3298" s="695">
        <v>1</v>
      </c>
      <c r="H3298" s="695" t="s">
        <v>6437</v>
      </c>
      <c r="I3298" s="695">
        <v>62</v>
      </c>
      <c r="J3298" s="695" t="s">
        <v>9151</v>
      </c>
      <c r="K3298" s="695" t="s">
        <v>3907</v>
      </c>
      <c r="L3298" s="696">
        <v>5</v>
      </c>
      <c r="M3298" s="170"/>
    </row>
    <row r="3299" spans="2:13" x14ac:dyDescent="0.2">
      <c r="B3299" s="173"/>
      <c r="C3299" s="694">
        <v>1</v>
      </c>
      <c r="D3299" s="695" t="s">
        <v>3903</v>
      </c>
      <c r="E3299" s="695">
        <v>5</v>
      </c>
      <c r="F3299" s="695" t="s">
        <v>6436</v>
      </c>
      <c r="G3299" s="695">
        <v>1</v>
      </c>
      <c r="H3299" s="695" t="s">
        <v>6437</v>
      </c>
      <c r="I3299" s="695">
        <v>63</v>
      </c>
      <c r="J3299" s="695" t="s">
        <v>9152</v>
      </c>
      <c r="K3299" s="695" t="s">
        <v>3907</v>
      </c>
      <c r="L3299" s="696">
        <v>2</v>
      </c>
      <c r="M3299" s="170"/>
    </row>
    <row r="3300" spans="2:13" x14ac:dyDescent="0.2">
      <c r="B3300" s="173"/>
      <c r="C3300" s="694">
        <v>1</v>
      </c>
      <c r="D3300" s="695" t="s">
        <v>3903</v>
      </c>
      <c r="E3300" s="695">
        <v>5</v>
      </c>
      <c r="F3300" s="695" t="s">
        <v>6436</v>
      </c>
      <c r="G3300" s="695">
        <v>1</v>
      </c>
      <c r="H3300" s="695" t="s">
        <v>6437</v>
      </c>
      <c r="I3300" s="695">
        <v>64</v>
      </c>
      <c r="J3300" s="695" t="s">
        <v>9153</v>
      </c>
      <c r="K3300" s="695" t="s">
        <v>3907</v>
      </c>
      <c r="L3300" s="696">
        <v>4</v>
      </c>
      <c r="M3300" s="170"/>
    </row>
    <row r="3301" spans="2:13" x14ac:dyDescent="0.2">
      <c r="B3301" s="173"/>
      <c r="C3301" s="694">
        <v>1</v>
      </c>
      <c r="D3301" s="695" t="s">
        <v>3903</v>
      </c>
      <c r="E3301" s="695">
        <v>5</v>
      </c>
      <c r="F3301" s="695" t="s">
        <v>6436</v>
      </c>
      <c r="G3301" s="695">
        <v>1</v>
      </c>
      <c r="H3301" s="695" t="s">
        <v>6437</v>
      </c>
      <c r="I3301" s="695">
        <v>65</v>
      </c>
      <c r="J3301" s="695" t="s">
        <v>9154</v>
      </c>
      <c r="K3301" s="695" t="s">
        <v>3907</v>
      </c>
      <c r="L3301" s="696">
        <v>1</v>
      </c>
      <c r="M3301" s="170"/>
    </row>
    <row r="3302" spans="2:13" x14ac:dyDescent="0.2">
      <c r="B3302" s="173"/>
      <c r="C3302" s="694">
        <v>1</v>
      </c>
      <c r="D3302" s="695" t="s">
        <v>3903</v>
      </c>
      <c r="E3302" s="695">
        <v>5</v>
      </c>
      <c r="F3302" s="695" t="s">
        <v>6436</v>
      </c>
      <c r="G3302" s="695">
        <v>1</v>
      </c>
      <c r="H3302" s="695" t="s">
        <v>6437</v>
      </c>
      <c r="I3302" s="695">
        <v>66</v>
      </c>
      <c r="J3302" s="695" t="s">
        <v>9155</v>
      </c>
      <c r="K3302" s="695" t="s">
        <v>3907</v>
      </c>
      <c r="L3302" s="696">
        <v>6</v>
      </c>
      <c r="M3302" s="170"/>
    </row>
    <row r="3303" spans="2:13" x14ac:dyDescent="0.2">
      <c r="B3303" s="173"/>
      <c r="C3303" s="694">
        <v>1</v>
      </c>
      <c r="D3303" s="695" t="s">
        <v>3903</v>
      </c>
      <c r="E3303" s="695">
        <v>5</v>
      </c>
      <c r="F3303" s="695" t="s">
        <v>6436</v>
      </c>
      <c r="G3303" s="695">
        <v>1</v>
      </c>
      <c r="H3303" s="695" t="s">
        <v>6437</v>
      </c>
      <c r="I3303" s="695">
        <v>67</v>
      </c>
      <c r="J3303" s="695" t="s">
        <v>9156</v>
      </c>
      <c r="K3303" s="695" t="s">
        <v>3907</v>
      </c>
      <c r="L3303" s="696">
        <v>3</v>
      </c>
      <c r="M3303" s="170"/>
    </row>
    <row r="3304" spans="2:13" x14ac:dyDescent="0.2">
      <c r="B3304" s="173"/>
      <c r="C3304" s="694">
        <v>1</v>
      </c>
      <c r="D3304" s="695" t="s">
        <v>3903</v>
      </c>
      <c r="E3304" s="695">
        <v>5</v>
      </c>
      <c r="F3304" s="695" t="s">
        <v>6436</v>
      </c>
      <c r="G3304" s="695">
        <v>1</v>
      </c>
      <c r="H3304" s="695" t="s">
        <v>6437</v>
      </c>
      <c r="I3304" s="695">
        <v>68</v>
      </c>
      <c r="J3304" s="695" t="s">
        <v>9157</v>
      </c>
      <c r="K3304" s="695" t="s">
        <v>3907</v>
      </c>
      <c r="L3304" s="696">
        <v>5</v>
      </c>
      <c r="M3304" s="170"/>
    </row>
    <row r="3305" spans="2:13" x14ac:dyDescent="0.2">
      <c r="B3305" s="173"/>
      <c r="C3305" s="694">
        <v>1</v>
      </c>
      <c r="D3305" s="695" t="s">
        <v>3903</v>
      </c>
      <c r="E3305" s="695">
        <v>5</v>
      </c>
      <c r="F3305" s="695" t="s">
        <v>6436</v>
      </c>
      <c r="G3305" s="695">
        <v>1</v>
      </c>
      <c r="H3305" s="695" t="s">
        <v>6437</v>
      </c>
      <c r="I3305" s="695">
        <v>69</v>
      </c>
      <c r="J3305" s="695" t="s">
        <v>4633</v>
      </c>
      <c r="K3305" s="695" t="s">
        <v>3907</v>
      </c>
      <c r="L3305" s="696">
        <v>25</v>
      </c>
      <c r="M3305" s="170"/>
    </row>
    <row r="3306" spans="2:13" x14ac:dyDescent="0.2">
      <c r="B3306" s="173"/>
      <c r="C3306" s="694">
        <v>1</v>
      </c>
      <c r="D3306" s="695" t="s">
        <v>3903</v>
      </c>
      <c r="E3306" s="695">
        <v>5</v>
      </c>
      <c r="F3306" s="695" t="s">
        <v>6436</v>
      </c>
      <c r="G3306" s="695">
        <v>1</v>
      </c>
      <c r="H3306" s="695" t="s">
        <v>6437</v>
      </c>
      <c r="I3306" s="695">
        <v>70</v>
      </c>
      <c r="J3306" s="695" t="s">
        <v>9158</v>
      </c>
      <c r="K3306" s="695" t="s">
        <v>3907</v>
      </c>
      <c r="L3306" s="696">
        <v>1</v>
      </c>
      <c r="M3306" s="170"/>
    </row>
    <row r="3307" spans="2:13" x14ac:dyDescent="0.2">
      <c r="B3307" s="173"/>
      <c r="C3307" s="694">
        <v>1</v>
      </c>
      <c r="D3307" s="695" t="s">
        <v>3903</v>
      </c>
      <c r="E3307" s="695">
        <v>5</v>
      </c>
      <c r="F3307" s="695" t="s">
        <v>6436</v>
      </c>
      <c r="G3307" s="695">
        <v>1</v>
      </c>
      <c r="H3307" s="695" t="s">
        <v>6437</v>
      </c>
      <c r="I3307" s="695">
        <v>71</v>
      </c>
      <c r="J3307" s="695" t="s">
        <v>9159</v>
      </c>
      <c r="K3307" s="695" t="s">
        <v>3907</v>
      </c>
      <c r="L3307" s="696">
        <v>7</v>
      </c>
      <c r="M3307" s="170"/>
    </row>
    <row r="3308" spans="2:13" x14ac:dyDescent="0.2">
      <c r="B3308" s="173"/>
      <c r="C3308" s="694">
        <v>1</v>
      </c>
      <c r="D3308" s="695" t="s">
        <v>3903</v>
      </c>
      <c r="E3308" s="695">
        <v>5</v>
      </c>
      <c r="F3308" s="695" t="s">
        <v>6436</v>
      </c>
      <c r="G3308" s="695">
        <v>1</v>
      </c>
      <c r="H3308" s="695" t="s">
        <v>6437</v>
      </c>
      <c r="I3308" s="695">
        <v>72</v>
      </c>
      <c r="J3308" s="695" t="s">
        <v>9160</v>
      </c>
      <c r="K3308" s="695" t="s">
        <v>8544</v>
      </c>
      <c r="L3308" s="696">
        <v>7</v>
      </c>
      <c r="M3308" s="170"/>
    </row>
    <row r="3309" spans="2:13" x14ac:dyDescent="0.2">
      <c r="B3309" s="173"/>
      <c r="C3309" s="694">
        <v>1</v>
      </c>
      <c r="D3309" s="695" t="s">
        <v>3903</v>
      </c>
      <c r="E3309" s="695">
        <v>5</v>
      </c>
      <c r="F3309" s="695" t="s">
        <v>6436</v>
      </c>
      <c r="G3309" s="695">
        <v>1</v>
      </c>
      <c r="H3309" s="695" t="s">
        <v>6437</v>
      </c>
      <c r="I3309" s="695">
        <v>73</v>
      </c>
      <c r="J3309" s="695" t="s">
        <v>9161</v>
      </c>
      <c r="K3309" s="695" t="s">
        <v>3907</v>
      </c>
      <c r="L3309" s="696">
        <v>7</v>
      </c>
      <c r="M3309" s="170"/>
    </row>
    <row r="3310" spans="2:13" x14ac:dyDescent="0.2">
      <c r="B3310" s="173"/>
      <c r="C3310" s="694">
        <v>1</v>
      </c>
      <c r="D3310" s="695" t="s">
        <v>3903</v>
      </c>
      <c r="E3310" s="695">
        <v>5</v>
      </c>
      <c r="F3310" s="695" t="s">
        <v>6436</v>
      </c>
      <c r="G3310" s="695">
        <v>2</v>
      </c>
      <c r="H3310" s="695" t="s">
        <v>6495</v>
      </c>
      <c r="I3310" s="695">
        <v>1</v>
      </c>
      <c r="J3310" s="695" t="s">
        <v>6496</v>
      </c>
      <c r="K3310" s="695" t="s">
        <v>3907</v>
      </c>
      <c r="L3310" s="696">
        <v>566</v>
      </c>
      <c r="M3310" s="170"/>
    </row>
    <row r="3311" spans="2:13" x14ac:dyDescent="0.2">
      <c r="B3311" s="173"/>
      <c r="C3311" s="694">
        <v>1</v>
      </c>
      <c r="D3311" s="695" t="s">
        <v>3903</v>
      </c>
      <c r="E3311" s="695">
        <v>5</v>
      </c>
      <c r="F3311" s="695" t="s">
        <v>6436</v>
      </c>
      <c r="G3311" s="695">
        <v>2</v>
      </c>
      <c r="H3311" s="695" t="s">
        <v>6495</v>
      </c>
      <c r="I3311" s="695">
        <v>2</v>
      </c>
      <c r="J3311" s="695" t="s">
        <v>4909</v>
      </c>
      <c r="K3311" s="695" t="s">
        <v>3907</v>
      </c>
      <c r="L3311" s="696">
        <v>1</v>
      </c>
      <c r="M3311" s="170"/>
    </row>
    <row r="3312" spans="2:13" x14ac:dyDescent="0.2">
      <c r="B3312" s="173"/>
      <c r="C3312" s="694">
        <v>1</v>
      </c>
      <c r="D3312" s="695" t="s">
        <v>3903</v>
      </c>
      <c r="E3312" s="695">
        <v>5</v>
      </c>
      <c r="F3312" s="695" t="s">
        <v>6436</v>
      </c>
      <c r="G3312" s="695">
        <v>2</v>
      </c>
      <c r="H3312" s="695" t="s">
        <v>6495</v>
      </c>
      <c r="I3312" s="695">
        <v>3</v>
      </c>
      <c r="J3312" s="695" t="s">
        <v>6497</v>
      </c>
      <c r="K3312" s="695" t="s">
        <v>3907</v>
      </c>
      <c r="L3312" s="696">
        <v>312</v>
      </c>
      <c r="M3312" s="170"/>
    </row>
    <row r="3313" spans="2:13" x14ac:dyDescent="0.2">
      <c r="B3313" s="173"/>
      <c r="C3313" s="694">
        <v>1</v>
      </c>
      <c r="D3313" s="695" t="s">
        <v>3903</v>
      </c>
      <c r="E3313" s="695">
        <v>5</v>
      </c>
      <c r="F3313" s="695" t="s">
        <v>6436</v>
      </c>
      <c r="G3313" s="695">
        <v>2</v>
      </c>
      <c r="H3313" s="695" t="s">
        <v>6495</v>
      </c>
      <c r="I3313" s="695">
        <v>4</v>
      </c>
      <c r="J3313" s="695" t="s">
        <v>6498</v>
      </c>
      <c r="K3313" s="695" t="s">
        <v>3907</v>
      </c>
      <c r="L3313" s="696">
        <v>20</v>
      </c>
      <c r="M3313" s="170"/>
    </row>
    <row r="3314" spans="2:13" x14ac:dyDescent="0.2">
      <c r="B3314" s="173"/>
      <c r="C3314" s="694">
        <v>1</v>
      </c>
      <c r="D3314" s="695" t="s">
        <v>3903</v>
      </c>
      <c r="E3314" s="695">
        <v>5</v>
      </c>
      <c r="F3314" s="695" t="s">
        <v>6436</v>
      </c>
      <c r="G3314" s="695">
        <v>2</v>
      </c>
      <c r="H3314" s="695" t="s">
        <v>6495</v>
      </c>
      <c r="I3314" s="695">
        <v>5</v>
      </c>
      <c r="J3314" s="695" t="s">
        <v>6499</v>
      </c>
      <c r="K3314" s="695" t="s">
        <v>3907</v>
      </c>
      <c r="L3314" s="696">
        <v>7</v>
      </c>
      <c r="M3314" s="170"/>
    </row>
    <row r="3315" spans="2:13" x14ac:dyDescent="0.2">
      <c r="B3315" s="173"/>
      <c r="C3315" s="694">
        <v>1</v>
      </c>
      <c r="D3315" s="695" t="s">
        <v>3903</v>
      </c>
      <c r="E3315" s="695">
        <v>5</v>
      </c>
      <c r="F3315" s="695" t="s">
        <v>6436</v>
      </c>
      <c r="G3315" s="695">
        <v>2</v>
      </c>
      <c r="H3315" s="695" t="s">
        <v>6495</v>
      </c>
      <c r="I3315" s="695">
        <v>6</v>
      </c>
      <c r="J3315" s="695" t="s">
        <v>6500</v>
      </c>
      <c r="K3315" s="695" t="s">
        <v>3907</v>
      </c>
      <c r="L3315" s="696">
        <v>4</v>
      </c>
      <c r="M3315" s="170"/>
    </row>
    <row r="3316" spans="2:13" x14ac:dyDescent="0.2">
      <c r="B3316" s="173"/>
      <c r="C3316" s="694">
        <v>1</v>
      </c>
      <c r="D3316" s="695" t="s">
        <v>3903</v>
      </c>
      <c r="E3316" s="695">
        <v>5</v>
      </c>
      <c r="F3316" s="695" t="s">
        <v>6436</v>
      </c>
      <c r="G3316" s="695">
        <v>2</v>
      </c>
      <c r="H3316" s="695" t="s">
        <v>6495</v>
      </c>
      <c r="I3316" s="695">
        <v>7</v>
      </c>
      <c r="J3316" s="695" t="s">
        <v>6501</v>
      </c>
      <c r="K3316" s="695" t="s">
        <v>3907</v>
      </c>
      <c r="L3316" s="696">
        <v>1</v>
      </c>
      <c r="M3316" s="170"/>
    </row>
    <row r="3317" spans="2:13" x14ac:dyDescent="0.2">
      <c r="B3317" s="173"/>
      <c r="C3317" s="694">
        <v>1</v>
      </c>
      <c r="D3317" s="695" t="s">
        <v>3903</v>
      </c>
      <c r="E3317" s="695">
        <v>5</v>
      </c>
      <c r="F3317" s="695" t="s">
        <v>6436</v>
      </c>
      <c r="G3317" s="695">
        <v>2</v>
      </c>
      <c r="H3317" s="695" t="s">
        <v>6495</v>
      </c>
      <c r="I3317" s="695">
        <v>8</v>
      </c>
      <c r="J3317" s="695" t="s">
        <v>6502</v>
      </c>
      <c r="K3317" s="695" t="s">
        <v>3907</v>
      </c>
      <c r="L3317" s="696">
        <v>0</v>
      </c>
      <c r="M3317" s="170"/>
    </row>
    <row r="3318" spans="2:13" x14ac:dyDescent="0.2">
      <c r="B3318" s="173"/>
      <c r="C3318" s="694">
        <v>1</v>
      </c>
      <c r="D3318" s="695" t="s">
        <v>3903</v>
      </c>
      <c r="E3318" s="695">
        <v>5</v>
      </c>
      <c r="F3318" s="695" t="s">
        <v>6436</v>
      </c>
      <c r="G3318" s="695">
        <v>2</v>
      </c>
      <c r="H3318" s="695" t="s">
        <v>6495</v>
      </c>
      <c r="I3318" s="695">
        <v>9</v>
      </c>
      <c r="J3318" s="695" t="s">
        <v>6503</v>
      </c>
      <c r="K3318" s="695" t="s">
        <v>3907</v>
      </c>
      <c r="L3318" s="696">
        <v>0</v>
      </c>
      <c r="M3318" s="170"/>
    </row>
    <row r="3319" spans="2:13" x14ac:dyDescent="0.2">
      <c r="B3319" s="173"/>
      <c r="C3319" s="694">
        <v>1</v>
      </c>
      <c r="D3319" s="695" t="s">
        <v>3903</v>
      </c>
      <c r="E3319" s="695">
        <v>5</v>
      </c>
      <c r="F3319" s="695" t="s">
        <v>6436</v>
      </c>
      <c r="G3319" s="695">
        <v>2</v>
      </c>
      <c r="H3319" s="695" t="s">
        <v>6495</v>
      </c>
      <c r="I3319" s="695">
        <v>10</v>
      </c>
      <c r="J3319" s="695" t="s">
        <v>6504</v>
      </c>
      <c r="K3319" s="695" t="s">
        <v>3907</v>
      </c>
      <c r="L3319" s="696">
        <v>0</v>
      </c>
      <c r="M3319" s="170"/>
    </row>
    <row r="3320" spans="2:13" x14ac:dyDescent="0.2">
      <c r="B3320" s="173"/>
      <c r="C3320" s="694">
        <v>1</v>
      </c>
      <c r="D3320" s="695" t="s">
        <v>3903</v>
      </c>
      <c r="E3320" s="695">
        <v>5</v>
      </c>
      <c r="F3320" s="695" t="s">
        <v>6436</v>
      </c>
      <c r="G3320" s="695">
        <v>2</v>
      </c>
      <c r="H3320" s="695" t="s">
        <v>6495</v>
      </c>
      <c r="I3320" s="695">
        <v>11</v>
      </c>
      <c r="J3320" s="695" t="s">
        <v>6505</v>
      </c>
      <c r="K3320" s="695" t="s">
        <v>3907</v>
      </c>
      <c r="L3320" s="696">
        <v>0</v>
      </c>
      <c r="M3320" s="170"/>
    </row>
    <row r="3321" spans="2:13" x14ac:dyDescent="0.2">
      <c r="B3321" s="173"/>
      <c r="C3321" s="694">
        <v>1</v>
      </c>
      <c r="D3321" s="695" t="s">
        <v>3903</v>
      </c>
      <c r="E3321" s="695">
        <v>5</v>
      </c>
      <c r="F3321" s="695" t="s">
        <v>6436</v>
      </c>
      <c r="G3321" s="695">
        <v>2</v>
      </c>
      <c r="H3321" s="695" t="s">
        <v>6495</v>
      </c>
      <c r="I3321" s="695">
        <v>12</v>
      </c>
      <c r="J3321" s="695" t="s">
        <v>6506</v>
      </c>
      <c r="K3321" s="695" t="s">
        <v>3907</v>
      </c>
      <c r="L3321" s="696">
        <v>108</v>
      </c>
      <c r="M3321" s="170"/>
    </row>
    <row r="3322" spans="2:13" x14ac:dyDescent="0.2">
      <c r="B3322" s="173"/>
      <c r="C3322" s="694">
        <v>1</v>
      </c>
      <c r="D3322" s="695" t="s">
        <v>3903</v>
      </c>
      <c r="E3322" s="695">
        <v>5</v>
      </c>
      <c r="F3322" s="695" t="s">
        <v>6436</v>
      </c>
      <c r="G3322" s="695">
        <v>2</v>
      </c>
      <c r="H3322" s="695" t="s">
        <v>6495</v>
      </c>
      <c r="I3322" s="695">
        <v>13</v>
      </c>
      <c r="J3322" s="695" t="s">
        <v>6507</v>
      </c>
      <c r="K3322" s="695" t="s">
        <v>3907</v>
      </c>
      <c r="L3322" s="696">
        <v>5</v>
      </c>
      <c r="M3322" s="170"/>
    </row>
    <row r="3323" spans="2:13" x14ac:dyDescent="0.2">
      <c r="B3323" s="173"/>
      <c r="C3323" s="694">
        <v>1</v>
      </c>
      <c r="D3323" s="695" t="s">
        <v>3903</v>
      </c>
      <c r="E3323" s="695">
        <v>5</v>
      </c>
      <c r="F3323" s="695" t="s">
        <v>6436</v>
      </c>
      <c r="G3323" s="695">
        <v>2</v>
      </c>
      <c r="H3323" s="695" t="s">
        <v>6495</v>
      </c>
      <c r="I3323" s="695">
        <v>14</v>
      </c>
      <c r="J3323" s="695" t="s">
        <v>6508</v>
      </c>
      <c r="K3323" s="695" t="s">
        <v>3907</v>
      </c>
      <c r="L3323" s="696">
        <v>154</v>
      </c>
      <c r="M3323" s="170"/>
    </row>
    <row r="3324" spans="2:13" x14ac:dyDescent="0.2">
      <c r="B3324" s="173"/>
      <c r="C3324" s="694">
        <v>1</v>
      </c>
      <c r="D3324" s="695" t="s">
        <v>3903</v>
      </c>
      <c r="E3324" s="695">
        <v>5</v>
      </c>
      <c r="F3324" s="695" t="s">
        <v>6436</v>
      </c>
      <c r="G3324" s="695">
        <v>2</v>
      </c>
      <c r="H3324" s="695" t="s">
        <v>6495</v>
      </c>
      <c r="I3324" s="695">
        <v>15</v>
      </c>
      <c r="J3324" s="695" t="s">
        <v>6509</v>
      </c>
      <c r="K3324" s="695" t="s">
        <v>3907</v>
      </c>
      <c r="L3324" s="696">
        <v>3</v>
      </c>
      <c r="M3324" s="170"/>
    </row>
    <row r="3325" spans="2:13" x14ac:dyDescent="0.2">
      <c r="B3325" s="173"/>
      <c r="C3325" s="694">
        <v>1</v>
      </c>
      <c r="D3325" s="695" t="s">
        <v>3903</v>
      </c>
      <c r="E3325" s="695">
        <v>5</v>
      </c>
      <c r="F3325" s="695" t="s">
        <v>6436</v>
      </c>
      <c r="G3325" s="695">
        <v>2</v>
      </c>
      <c r="H3325" s="695" t="s">
        <v>6495</v>
      </c>
      <c r="I3325" s="695">
        <v>16</v>
      </c>
      <c r="J3325" s="695" t="s">
        <v>6510</v>
      </c>
      <c r="K3325" s="695" t="s">
        <v>3907</v>
      </c>
      <c r="L3325" s="696">
        <v>1240</v>
      </c>
      <c r="M3325" s="170"/>
    </row>
    <row r="3326" spans="2:13" x14ac:dyDescent="0.2">
      <c r="B3326" s="173"/>
      <c r="C3326" s="694">
        <v>1</v>
      </c>
      <c r="D3326" s="695" t="s">
        <v>3903</v>
      </c>
      <c r="E3326" s="695">
        <v>5</v>
      </c>
      <c r="F3326" s="695" t="s">
        <v>6436</v>
      </c>
      <c r="G3326" s="695">
        <v>2</v>
      </c>
      <c r="H3326" s="695" t="s">
        <v>6495</v>
      </c>
      <c r="I3326" s="695">
        <v>17</v>
      </c>
      <c r="J3326" s="695" t="s">
        <v>6442</v>
      </c>
      <c r="K3326" s="695" t="s">
        <v>3907</v>
      </c>
      <c r="L3326" s="696">
        <v>16</v>
      </c>
      <c r="M3326" s="170"/>
    </row>
    <row r="3327" spans="2:13" x14ac:dyDescent="0.2">
      <c r="B3327" s="173"/>
      <c r="C3327" s="694">
        <v>1</v>
      </c>
      <c r="D3327" s="695" t="s">
        <v>3903</v>
      </c>
      <c r="E3327" s="695">
        <v>5</v>
      </c>
      <c r="F3327" s="695" t="s">
        <v>6436</v>
      </c>
      <c r="G3327" s="695">
        <v>2</v>
      </c>
      <c r="H3327" s="695" t="s">
        <v>6495</v>
      </c>
      <c r="I3327" s="695">
        <v>18</v>
      </c>
      <c r="J3327" s="695" t="s">
        <v>6511</v>
      </c>
      <c r="K3327" s="695" t="s">
        <v>3907</v>
      </c>
      <c r="L3327" s="696">
        <v>135</v>
      </c>
      <c r="M3327" s="170"/>
    </row>
    <row r="3328" spans="2:13" x14ac:dyDescent="0.2">
      <c r="B3328" s="173"/>
      <c r="C3328" s="694">
        <v>1</v>
      </c>
      <c r="D3328" s="695" t="s">
        <v>3903</v>
      </c>
      <c r="E3328" s="695">
        <v>5</v>
      </c>
      <c r="F3328" s="695" t="s">
        <v>6436</v>
      </c>
      <c r="G3328" s="695">
        <v>2</v>
      </c>
      <c r="H3328" s="695" t="s">
        <v>6495</v>
      </c>
      <c r="I3328" s="695">
        <v>19</v>
      </c>
      <c r="J3328" s="695" t="s">
        <v>6512</v>
      </c>
      <c r="K3328" s="695" t="s">
        <v>3907</v>
      </c>
      <c r="L3328" s="696">
        <v>75</v>
      </c>
      <c r="M3328" s="170"/>
    </row>
    <row r="3329" spans="2:13" x14ac:dyDescent="0.2">
      <c r="B3329" s="173"/>
      <c r="C3329" s="694">
        <v>1</v>
      </c>
      <c r="D3329" s="695" t="s">
        <v>3903</v>
      </c>
      <c r="E3329" s="695">
        <v>5</v>
      </c>
      <c r="F3329" s="695" t="s">
        <v>6436</v>
      </c>
      <c r="G3329" s="695">
        <v>2</v>
      </c>
      <c r="H3329" s="695" t="s">
        <v>6495</v>
      </c>
      <c r="I3329" s="695">
        <v>20</v>
      </c>
      <c r="J3329" s="695" t="s">
        <v>6513</v>
      </c>
      <c r="K3329" s="695" t="s">
        <v>3907</v>
      </c>
      <c r="L3329" s="696">
        <v>3</v>
      </c>
      <c r="M3329" s="170"/>
    </row>
    <row r="3330" spans="2:13" x14ac:dyDescent="0.2">
      <c r="B3330" s="173"/>
      <c r="C3330" s="694">
        <v>1</v>
      </c>
      <c r="D3330" s="695" t="s">
        <v>3903</v>
      </c>
      <c r="E3330" s="695">
        <v>5</v>
      </c>
      <c r="F3330" s="695" t="s">
        <v>6436</v>
      </c>
      <c r="G3330" s="695">
        <v>2</v>
      </c>
      <c r="H3330" s="695" t="s">
        <v>6495</v>
      </c>
      <c r="I3330" s="695">
        <v>21</v>
      </c>
      <c r="J3330" s="695" t="s">
        <v>6514</v>
      </c>
      <c r="K3330" s="695" t="s">
        <v>3907</v>
      </c>
      <c r="L3330" s="696">
        <v>4</v>
      </c>
      <c r="M3330" s="170"/>
    </row>
    <row r="3331" spans="2:13" x14ac:dyDescent="0.2">
      <c r="B3331" s="173"/>
      <c r="C3331" s="694">
        <v>1</v>
      </c>
      <c r="D3331" s="695" t="s">
        <v>3903</v>
      </c>
      <c r="E3331" s="695">
        <v>5</v>
      </c>
      <c r="F3331" s="695" t="s">
        <v>6436</v>
      </c>
      <c r="G3331" s="695">
        <v>2</v>
      </c>
      <c r="H3331" s="695" t="s">
        <v>6495</v>
      </c>
      <c r="I3331" s="695">
        <v>22</v>
      </c>
      <c r="J3331" s="695" t="s">
        <v>6515</v>
      </c>
      <c r="K3331" s="695" t="s">
        <v>3907</v>
      </c>
      <c r="L3331" s="696">
        <v>14</v>
      </c>
      <c r="M3331" s="170"/>
    </row>
    <row r="3332" spans="2:13" x14ac:dyDescent="0.2">
      <c r="B3332" s="173"/>
      <c r="C3332" s="694">
        <v>1</v>
      </c>
      <c r="D3332" s="695" t="s">
        <v>3903</v>
      </c>
      <c r="E3332" s="695">
        <v>5</v>
      </c>
      <c r="F3332" s="695" t="s">
        <v>6436</v>
      </c>
      <c r="G3332" s="695">
        <v>2</v>
      </c>
      <c r="H3332" s="695" t="s">
        <v>6495</v>
      </c>
      <c r="I3332" s="695">
        <v>23</v>
      </c>
      <c r="J3332" s="695" t="s">
        <v>6516</v>
      </c>
      <c r="K3332" s="695" t="s">
        <v>3907</v>
      </c>
      <c r="L3332" s="696">
        <v>50</v>
      </c>
      <c r="M3332" s="170"/>
    </row>
    <row r="3333" spans="2:13" x14ac:dyDescent="0.2">
      <c r="B3333" s="173"/>
      <c r="C3333" s="694">
        <v>1</v>
      </c>
      <c r="D3333" s="695" t="s">
        <v>3903</v>
      </c>
      <c r="E3333" s="695">
        <v>5</v>
      </c>
      <c r="F3333" s="695" t="s">
        <v>6436</v>
      </c>
      <c r="G3333" s="695">
        <v>2</v>
      </c>
      <c r="H3333" s="695" t="s">
        <v>6495</v>
      </c>
      <c r="I3333" s="695">
        <v>24</v>
      </c>
      <c r="J3333" s="695" t="s">
        <v>6517</v>
      </c>
      <c r="K3333" s="695" t="s">
        <v>3907</v>
      </c>
      <c r="L3333" s="696">
        <v>65</v>
      </c>
      <c r="M3333" s="170"/>
    </row>
    <row r="3334" spans="2:13" x14ac:dyDescent="0.2">
      <c r="B3334" s="173"/>
      <c r="C3334" s="694">
        <v>1</v>
      </c>
      <c r="D3334" s="695" t="s">
        <v>3903</v>
      </c>
      <c r="E3334" s="695">
        <v>5</v>
      </c>
      <c r="F3334" s="695" t="s">
        <v>6436</v>
      </c>
      <c r="G3334" s="695">
        <v>2</v>
      </c>
      <c r="H3334" s="695" t="s">
        <v>6495</v>
      </c>
      <c r="I3334" s="695">
        <v>25</v>
      </c>
      <c r="J3334" s="695" t="s">
        <v>6518</v>
      </c>
      <c r="K3334" s="695" t="s">
        <v>3907</v>
      </c>
      <c r="L3334" s="696">
        <v>8</v>
      </c>
      <c r="M3334" s="170"/>
    </row>
    <row r="3335" spans="2:13" x14ac:dyDescent="0.2">
      <c r="B3335" s="173"/>
      <c r="C3335" s="694">
        <v>1</v>
      </c>
      <c r="D3335" s="695" t="s">
        <v>3903</v>
      </c>
      <c r="E3335" s="695">
        <v>5</v>
      </c>
      <c r="F3335" s="695" t="s">
        <v>6436</v>
      </c>
      <c r="G3335" s="695">
        <v>2</v>
      </c>
      <c r="H3335" s="695" t="s">
        <v>6495</v>
      </c>
      <c r="I3335" s="695">
        <v>26</v>
      </c>
      <c r="J3335" s="695" t="s">
        <v>6519</v>
      </c>
      <c r="K3335" s="695" t="s">
        <v>3907</v>
      </c>
      <c r="L3335" s="696">
        <v>209</v>
      </c>
      <c r="M3335" s="170"/>
    </row>
    <row r="3336" spans="2:13" x14ac:dyDescent="0.2">
      <c r="B3336" s="173"/>
      <c r="C3336" s="694">
        <v>1</v>
      </c>
      <c r="D3336" s="695" t="s">
        <v>3903</v>
      </c>
      <c r="E3336" s="695">
        <v>5</v>
      </c>
      <c r="F3336" s="695" t="s">
        <v>6436</v>
      </c>
      <c r="G3336" s="695">
        <v>2</v>
      </c>
      <c r="H3336" s="695" t="s">
        <v>6495</v>
      </c>
      <c r="I3336" s="695">
        <v>27</v>
      </c>
      <c r="J3336" s="695" t="s">
        <v>6520</v>
      </c>
      <c r="K3336" s="695" t="s">
        <v>3907</v>
      </c>
      <c r="L3336" s="696">
        <v>20</v>
      </c>
      <c r="M3336" s="170"/>
    </row>
    <row r="3337" spans="2:13" x14ac:dyDescent="0.2">
      <c r="B3337" s="173"/>
      <c r="C3337" s="694">
        <v>1</v>
      </c>
      <c r="D3337" s="695" t="s">
        <v>3903</v>
      </c>
      <c r="E3337" s="695">
        <v>5</v>
      </c>
      <c r="F3337" s="695" t="s">
        <v>6436</v>
      </c>
      <c r="G3337" s="695">
        <v>2</v>
      </c>
      <c r="H3337" s="695" t="s">
        <v>6495</v>
      </c>
      <c r="I3337" s="695">
        <v>28</v>
      </c>
      <c r="J3337" s="695" t="s">
        <v>6521</v>
      </c>
      <c r="K3337" s="695" t="s">
        <v>3907</v>
      </c>
      <c r="L3337" s="696">
        <v>30</v>
      </c>
      <c r="M3337" s="170"/>
    </row>
    <row r="3338" spans="2:13" x14ac:dyDescent="0.2">
      <c r="B3338" s="173"/>
      <c r="C3338" s="694">
        <v>1</v>
      </c>
      <c r="D3338" s="695" t="s">
        <v>3903</v>
      </c>
      <c r="E3338" s="695">
        <v>5</v>
      </c>
      <c r="F3338" s="695" t="s">
        <v>6436</v>
      </c>
      <c r="G3338" s="695">
        <v>2</v>
      </c>
      <c r="H3338" s="695" t="s">
        <v>6495</v>
      </c>
      <c r="I3338" s="695">
        <v>29</v>
      </c>
      <c r="J3338" s="695" t="s">
        <v>6522</v>
      </c>
      <c r="K3338" s="695" t="s">
        <v>3907</v>
      </c>
      <c r="L3338" s="696">
        <v>1</v>
      </c>
      <c r="M3338" s="170"/>
    </row>
    <row r="3339" spans="2:13" x14ac:dyDescent="0.2">
      <c r="B3339" s="173"/>
      <c r="C3339" s="694">
        <v>1</v>
      </c>
      <c r="D3339" s="695" t="s">
        <v>3903</v>
      </c>
      <c r="E3339" s="695">
        <v>5</v>
      </c>
      <c r="F3339" s="695" t="s">
        <v>6436</v>
      </c>
      <c r="G3339" s="695">
        <v>2</v>
      </c>
      <c r="H3339" s="695" t="s">
        <v>6495</v>
      </c>
      <c r="I3339" s="695">
        <v>30</v>
      </c>
      <c r="J3339" s="695" t="s">
        <v>6523</v>
      </c>
      <c r="K3339" s="695" t="s">
        <v>3907</v>
      </c>
      <c r="L3339" s="696">
        <v>178</v>
      </c>
      <c r="M3339" s="170"/>
    </row>
    <row r="3340" spans="2:13" x14ac:dyDescent="0.2">
      <c r="B3340" s="173"/>
      <c r="C3340" s="694">
        <v>1</v>
      </c>
      <c r="D3340" s="695" t="s">
        <v>3903</v>
      </c>
      <c r="E3340" s="695">
        <v>5</v>
      </c>
      <c r="F3340" s="695" t="s">
        <v>6436</v>
      </c>
      <c r="G3340" s="695">
        <v>2</v>
      </c>
      <c r="H3340" s="695" t="s">
        <v>6495</v>
      </c>
      <c r="I3340" s="695">
        <v>31</v>
      </c>
      <c r="J3340" s="695" t="s">
        <v>6524</v>
      </c>
      <c r="K3340" s="695" t="s">
        <v>3907</v>
      </c>
      <c r="L3340" s="696">
        <v>331</v>
      </c>
      <c r="M3340" s="170"/>
    </row>
    <row r="3341" spans="2:13" x14ac:dyDescent="0.2">
      <c r="B3341" s="173"/>
      <c r="C3341" s="694">
        <v>1</v>
      </c>
      <c r="D3341" s="695" t="s">
        <v>3903</v>
      </c>
      <c r="E3341" s="695">
        <v>5</v>
      </c>
      <c r="F3341" s="695" t="s">
        <v>6436</v>
      </c>
      <c r="G3341" s="695">
        <v>2</v>
      </c>
      <c r="H3341" s="695" t="s">
        <v>6495</v>
      </c>
      <c r="I3341" s="695">
        <v>32</v>
      </c>
      <c r="J3341" s="695" t="s">
        <v>6525</v>
      </c>
      <c r="K3341" s="695" t="s">
        <v>3907</v>
      </c>
      <c r="L3341" s="696">
        <v>253</v>
      </c>
      <c r="M3341" s="170"/>
    </row>
    <row r="3342" spans="2:13" x14ac:dyDescent="0.2">
      <c r="B3342" s="173"/>
      <c r="C3342" s="694">
        <v>1</v>
      </c>
      <c r="D3342" s="695" t="s">
        <v>3903</v>
      </c>
      <c r="E3342" s="695">
        <v>5</v>
      </c>
      <c r="F3342" s="695" t="s">
        <v>6436</v>
      </c>
      <c r="G3342" s="695">
        <v>2</v>
      </c>
      <c r="H3342" s="695" t="s">
        <v>6495</v>
      </c>
      <c r="I3342" s="695">
        <v>33</v>
      </c>
      <c r="J3342" s="695" t="s">
        <v>6526</v>
      </c>
      <c r="K3342" s="695" t="s">
        <v>3907</v>
      </c>
      <c r="L3342" s="696">
        <v>3</v>
      </c>
      <c r="M3342" s="170"/>
    </row>
    <row r="3343" spans="2:13" x14ac:dyDescent="0.2">
      <c r="B3343" s="173"/>
      <c r="C3343" s="694">
        <v>1</v>
      </c>
      <c r="D3343" s="695" t="s">
        <v>3903</v>
      </c>
      <c r="E3343" s="695">
        <v>5</v>
      </c>
      <c r="F3343" s="695" t="s">
        <v>6436</v>
      </c>
      <c r="G3343" s="695">
        <v>2</v>
      </c>
      <c r="H3343" s="695" t="s">
        <v>6495</v>
      </c>
      <c r="I3343" s="695">
        <v>34</v>
      </c>
      <c r="J3343" s="695" t="s">
        <v>6527</v>
      </c>
      <c r="K3343" s="695" t="s">
        <v>3907</v>
      </c>
      <c r="L3343" s="696">
        <v>99</v>
      </c>
      <c r="M3343" s="170"/>
    </row>
    <row r="3344" spans="2:13" x14ac:dyDescent="0.2">
      <c r="B3344" s="173"/>
      <c r="C3344" s="694">
        <v>1</v>
      </c>
      <c r="D3344" s="695" t="s">
        <v>3903</v>
      </c>
      <c r="E3344" s="695">
        <v>5</v>
      </c>
      <c r="F3344" s="695" t="s">
        <v>6436</v>
      </c>
      <c r="G3344" s="695">
        <v>2</v>
      </c>
      <c r="H3344" s="695" t="s">
        <v>6495</v>
      </c>
      <c r="I3344" s="695">
        <v>35</v>
      </c>
      <c r="J3344" s="695" t="s">
        <v>6528</v>
      </c>
      <c r="K3344" s="695" t="s">
        <v>3907</v>
      </c>
      <c r="L3344" s="696">
        <v>8</v>
      </c>
      <c r="M3344" s="170"/>
    </row>
    <row r="3345" spans="2:13" x14ac:dyDescent="0.2">
      <c r="B3345" s="173"/>
      <c r="C3345" s="694">
        <v>1</v>
      </c>
      <c r="D3345" s="695" t="s">
        <v>3903</v>
      </c>
      <c r="E3345" s="695">
        <v>5</v>
      </c>
      <c r="F3345" s="695" t="s">
        <v>6436</v>
      </c>
      <c r="G3345" s="695">
        <v>2</v>
      </c>
      <c r="H3345" s="695" t="s">
        <v>6495</v>
      </c>
      <c r="I3345" s="695">
        <v>36</v>
      </c>
      <c r="J3345" s="695" t="s">
        <v>6529</v>
      </c>
      <c r="K3345" s="695" t="s">
        <v>3907</v>
      </c>
      <c r="L3345" s="696">
        <v>134</v>
      </c>
      <c r="M3345" s="170"/>
    </row>
    <row r="3346" spans="2:13" x14ac:dyDescent="0.2">
      <c r="B3346" s="173"/>
      <c r="C3346" s="694">
        <v>1</v>
      </c>
      <c r="D3346" s="695" t="s">
        <v>3903</v>
      </c>
      <c r="E3346" s="695">
        <v>5</v>
      </c>
      <c r="F3346" s="695" t="s">
        <v>6436</v>
      </c>
      <c r="G3346" s="695">
        <v>2</v>
      </c>
      <c r="H3346" s="695" t="s">
        <v>6495</v>
      </c>
      <c r="I3346" s="695">
        <v>37</v>
      </c>
      <c r="J3346" s="695" t="s">
        <v>6530</v>
      </c>
      <c r="K3346" s="695" t="s">
        <v>3907</v>
      </c>
      <c r="L3346" s="696">
        <v>44</v>
      </c>
      <c r="M3346" s="170"/>
    </row>
    <row r="3347" spans="2:13" x14ac:dyDescent="0.2">
      <c r="B3347" s="173"/>
      <c r="C3347" s="694">
        <v>1</v>
      </c>
      <c r="D3347" s="695" t="s">
        <v>3903</v>
      </c>
      <c r="E3347" s="695">
        <v>5</v>
      </c>
      <c r="F3347" s="695" t="s">
        <v>6436</v>
      </c>
      <c r="G3347" s="695">
        <v>2</v>
      </c>
      <c r="H3347" s="695" t="s">
        <v>6495</v>
      </c>
      <c r="I3347" s="695">
        <v>38</v>
      </c>
      <c r="J3347" s="695" t="s">
        <v>4612</v>
      </c>
      <c r="K3347" s="695" t="s">
        <v>3907</v>
      </c>
      <c r="L3347" s="696">
        <v>19</v>
      </c>
      <c r="M3347" s="170"/>
    </row>
    <row r="3348" spans="2:13" x14ac:dyDescent="0.2">
      <c r="B3348" s="173"/>
      <c r="C3348" s="694">
        <v>1</v>
      </c>
      <c r="D3348" s="695" t="s">
        <v>3903</v>
      </c>
      <c r="E3348" s="695">
        <v>5</v>
      </c>
      <c r="F3348" s="695" t="s">
        <v>6436</v>
      </c>
      <c r="G3348" s="695">
        <v>2</v>
      </c>
      <c r="H3348" s="695" t="s">
        <v>6495</v>
      </c>
      <c r="I3348" s="695">
        <v>39</v>
      </c>
      <c r="J3348" s="695" t="s">
        <v>6531</v>
      </c>
      <c r="K3348" s="695" t="s">
        <v>3907</v>
      </c>
      <c r="L3348" s="696">
        <v>11</v>
      </c>
      <c r="M3348" s="170"/>
    </row>
    <row r="3349" spans="2:13" x14ac:dyDescent="0.2">
      <c r="B3349" s="173"/>
      <c r="C3349" s="694">
        <v>1</v>
      </c>
      <c r="D3349" s="695" t="s">
        <v>3903</v>
      </c>
      <c r="E3349" s="695">
        <v>5</v>
      </c>
      <c r="F3349" s="695" t="s">
        <v>6436</v>
      </c>
      <c r="G3349" s="695">
        <v>2</v>
      </c>
      <c r="H3349" s="695" t="s">
        <v>6495</v>
      </c>
      <c r="I3349" s="695">
        <v>40</v>
      </c>
      <c r="J3349" s="695" t="s">
        <v>6532</v>
      </c>
      <c r="K3349" s="695" t="s">
        <v>8544</v>
      </c>
      <c r="L3349" s="696">
        <v>3</v>
      </c>
      <c r="M3349" s="170"/>
    </row>
    <row r="3350" spans="2:13" x14ac:dyDescent="0.2">
      <c r="B3350" s="173"/>
      <c r="C3350" s="694">
        <v>1</v>
      </c>
      <c r="D3350" s="695" t="s">
        <v>3903</v>
      </c>
      <c r="E3350" s="695">
        <v>5</v>
      </c>
      <c r="F3350" s="695" t="s">
        <v>6436</v>
      </c>
      <c r="G3350" s="695">
        <v>2</v>
      </c>
      <c r="H3350" s="695" t="s">
        <v>6495</v>
      </c>
      <c r="I3350" s="695">
        <v>41</v>
      </c>
      <c r="J3350" s="695" t="s">
        <v>6533</v>
      </c>
      <c r="K3350" s="695" t="s">
        <v>8544</v>
      </c>
      <c r="L3350" s="696">
        <v>0</v>
      </c>
      <c r="M3350" s="170"/>
    </row>
    <row r="3351" spans="2:13" x14ac:dyDescent="0.2">
      <c r="B3351" s="173"/>
      <c r="C3351" s="694">
        <v>1</v>
      </c>
      <c r="D3351" s="695" t="s">
        <v>3903</v>
      </c>
      <c r="E3351" s="695">
        <v>5</v>
      </c>
      <c r="F3351" s="695" t="s">
        <v>6436</v>
      </c>
      <c r="G3351" s="695">
        <v>2</v>
      </c>
      <c r="H3351" s="695" t="s">
        <v>6495</v>
      </c>
      <c r="I3351" s="695">
        <v>42</v>
      </c>
      <c r="J3351" s="695" t="s">
        <v>6534</v>
      </c>
      <c r="K3351" s="695" t="s">
        <v>8544</v>
      </c>
      <c r="L3351" s="696">
        <v>2</v>
      </c>
      <c r="M3351" s="170"/>
    </row>
    <row r="3352" spans="2:13" x14ac:dyDescent="0.2">
      <c r="B3352" s="173"/>
      <c r="C3352" s="694">
        <v>1</v>
      </c>
      <c r="D3352" s="695" t="s">
        <v>3903</v>
      </c>
      <c r="E3352" s="695">
        <v>5</v>
      </c>
      <c r="F3352" s="695" t="s">
        <v>6436</v>
      </c>
      <c r="G3352" s="695">
        <v>2</v>
      </c>
      <c r="H3352" s="695" t="s">
        <v>6495</v>
      </c>
      <c r="I3352" s="695">
        <v>43</v>
      </c>
      <c r="J3352" s="695" t="s">
        <v>6535</v>
      </c>
      <c r="K3352" s="695" t="s">
        <v>3985</v>
      </c>
      <c r="L3352" s="696">
        <v>3</v>
      </c>
      <c r="M3352" s="170"/>
    </row>
    <row r="3353" spans="2:13" x14ac:dyDescent="0.2">
      <c r="B3353" s="173"/>
      <c r="C3353" s="694">
        <v>1</v>
      </c>
      <c r="D3353" s="695" t="s">
        <v>3903</v>
      </c>
      <c r="E3353" s="695">
        <v>5</v>
      </c>
      <c r="F3353" s="695" t="s">
        <v>6436</v>
      </c>
      <c r="G3353" s="695">
        <v>2</v>
      </c>
      <c r="H3353" s="695" t="s">
        <v>6495</v>
      </c>
      <c r="I3353" s="695">
        <v>44</v>
      </c>
      <c r="J3353" s="695" t="s">
        <v>6536</v>
      </c>
      <c r="K3353" s="695" t="s">
        <v>3907</v>
      </c>
      <c r="L3353" s="696">
        <v>60</v>
      </c>
      <c r="M3353" s="170"/>
    </row>
    <row r="3354" spans="2:13" x14ac:dyDescent="0.2">
      <c r="B3354" s="173"/>
      <c r="C3354" s="694">
        <v>1</v>
      </c>
      <c r="D3354" s="695" t="s">
        <v>3903</v>
      </c>
      <c r="E3354" s="695">
        <v>5</v>
      </c>
      <c r="F3354" s="695" t="s">
        <v>6436</v>
      </c>
      <c r="G3354" s="695">
        <v>2</v>
      </c>
      <c r="H3354" s="695" t="s">
        <v>6495</v>
      </c>
      <c r="I3354" s="695">
        <v>45</v>
      </c>
      <c r="J3354" s="695" t="s">
        <v>6537</v>
      </c>
      <c r="K3354" s="695" t="s">
        <v>3907</v>
      </c>
      <c r="L3354" s="696">
        <v>21</v>
      </c>
      <c r="M3354" s="170"/>
    </row>
    <row r="3355" spans="2:13" x14ac:dyDescent="0.2">
      <c r="B3355" s="173"/>
      <c r="C3355" s="694">
        <v>1</v>
      </c>
      <c r="D3355" s="695" t="s">
        <v>3903</v>
      </c>
      <c r="E3355" s="695">
        <v>5</v>
      </c>
      <c r="F3355" s="695" t="s">
        <v>6436</v>
      </c>
      <c r="G3355" s="695">
        <v>2</v>
      </c>
      <c r="H3355" s="695" t="s">
        <v>6495</v>
      </c>
      <c r="I3355" s="695">
        <v>46</v>
      </c>
      <c r="J3355" s="695" t="s">
        <v>6538</v>
      </c>
      <c r="K3355" s="695" t="s">
        <v>3907</v>
      </c>
      <c r="L3355" s="696">
        <v>24</v>
      </c>
      <c r="M3355" s="170"/>
    </row>
    <row r="3356" spans="2:13" x14ac:dyDescent="0.2">
      <c r="B3356" s="173"/>
      <c r="C3356" s="694">
        <v>1</v>
      </c>
      <c r="D3356" s="695" t="s">
        <v>3903</v>
      </c>
      <c r="E3356" s="695">
        <v>5</v>
      </c>
      <c r="F3356" s="695" t="s">
        <v>6436</v>
      </c>
      <c r="G3356" s="695">
        <v>2</v>
      </c>
      <c r="H3356" s="695" t="s">
        <v>6495</v>
      </c>
      <c r="I3356" s="695">
        <v>47</v>
      </c>
      <c r="J3356" s="695" t="s">
        <v>6539</v>
      </c>
      <c r="K3356" s="695" t="s">
        <v>8544</v>
      </c>
      <c r="L3356" s="696">
        <v>69</v>
      </c>
      <c r="M3356" s="170"/>
    </row>
    <row r="3357" spans="2:13" x14ac:dyDescent="0.2">
      <c r="B3357" s="173"/>
      <c r="C3357" s="694">
        <v>1</v>
      </c>
      <c r="D3357" s="695" t="s">
        <v>3903</v>
      </c>
      <c r="E3357" s="695">
        <v>5</v>
      </c>
      <c r="F3357" s="695" t="s">
        <v>6436</v>
      </c>
      <c r="G3357" s="695">
        <v>2</v>
      </c>
      <c r="H3357" s="695" t="s">
        <v>6495</v>
      </c>
      <c r="I3357" s="695">
        <v>48</v>
      </c>
      <c r="J3357" s="695" t="s">
        <v>6540</v>
      </c>
      <c r="K3357" s="695" t="s">
        <v>3907</v>
      </c>
      <c r="L3357" s="696">
        <v>62</v>
      </c>
      <c r="M3357" s="170"/>
    </row>
    <row r="3358" spans="2:13" x14ac:dyDescent="0.2">
      <c r="B3358" s="173"/>
      <c r="C3358" s="694">
        <v>1</v>
      </c>
      <c r="D3358" s="695" t="s">
        <v>3903</v>
      </c>
      <c r="E3358" s="695">
        <v>5</v>
      </c>
      <c r="F3358" s="695" t="s">
        <v>6436</v>
      </c>
      <c r="G3358" s="695">
        <v>2</v>
      </c>
      <c r="H3358" s="695" t="s">
        <v>6495</v>
      </c>
      <c r="I3358" s="695">
        <v>49</v>
      </c>
      <c r="J3358" s="695" t="s">
        <v>6541</v>
      </c>
      <c r="K3358" s="695" t="s">
        <v>8544</v>
      </c>
      <c r="L3358" s="696">
        <v>94</v>
      </c>
      <c r="M3358" s="170"/>
    </row>
    <row r="3359" spans="2:13" x14ac:dyDescent="0.2">
      <c r="B3359" s="173"/>
      <c r="C3359" s="694">
        <v>1</v>
      </c>
      <c r="D3359" s="695" t="s">
        <v>3903</v>
      </c>
      <c r="E3359" s="695">
        <v>5</v>
      </c>
      <c r="F3359" s="695" t="s">
        <v>6436</v>
      </c>
      <c r="G3359" s="695">
        <v>2</v>
      </c>
      <c r="H3359" s="695" t="s">
        <v>6495</v>
      </c>
      <c r="I3359" s="695">
        <v>50</v>
      </c>
      <c r="J3359" s="695" t="s">
        <v>6542</v>
      </c>
      <c r="K3359" s="695" t="s">
        <v>8544</v>
      </c>
      <c r="L3359" s="696">
        <v>0</v>
      </c>
      <c r="M3359" s="170"/>
    </row>
    <row r="3360" spans="2:13" x14ac:dyDescent="0.2">
      <c r="B3360" s="173"/>
      <c r="C3360" s="694">
        <v>1</v>
      </c>
      <c r="D3360" s="695" t="s">
        <v>3903</v>
      </c>
      <c r="E3360" s="695">
        <v>5</v>
      </c>
      <c r="F3360" s="695" t="s">
        <v>6436</v>
      </c>
      <c r="G3360" s="695">
        <v>2</v>
      </c>
      <c r="H3360" s="695" t="s">
        <v>6495</v>
      </c>
      <c r="I3360" s="695">
        <v>51</v>
      </c>
      <c r="J3360" s="695" t="s">
        <v>6543</v>
      </c>
      <c r="K3360" s="695" t="s">
        <v>8544</v>
      </c>
      <c r="L3360" s="696">
        <v>39</v>
      </c>
      <c r="M3360" s="170"/>
    </row>
    <row r="3361" spans="2:13" x14ac:dyDescent="0.2">
      <c r="B3361" s="173"/>
      <c r="C3361" s="694">
        <v>1</v>
      </c>
      <c r="D3361" s="695" t="s">
        <v>3903</v>
      </c>
      <c r="E3361" s="695">
        <v>5</v>
      </c>
      <c r="F3361" s="695" t="s">
        <v>6436</v>
      </c>
      <c r="G3361" s="695">
        <v>2</v>
      </c>
      <c r="H3361" s="695" t="s">
        <v>6495</v>
      </c>
      <c r="I3361" s="695">
        <v>52</v>
      </c>
      <c r="J3361" s="695" t="s">
        <v>6544</v>
      </c>
      <c r="K3361" s="695" t="s">
        <v>8544</v>
      </c>
      <c r="L3361" s="696">
        <v>22</v>
      </c>
      <c r="M3361" s="170"/>
    </row>
    <row r="3362" spans="2:13" x14ac:dyDescent="0.2">
      <c r="B3362" s="173"/>
      <c r="C3362" s="694">
        <v>1</v>
      </c>
      <c r="D3362" s="695" t="s">
        <v>3903</v>
      </c>
      <c r="E3362" s="695">
        <v>5</v>
      </c>
      <c r="F3362" s="695" t="s">
        <v>6436</v>
      </c>
      <c r="G3362" s="695">
        <v>2</v>
      </c>
      <c r="H3362" s="695" t="s">
        <v>6495</v>
      </c>
      <c r="I3362" s="695">
        <v>53</v>
      </c>
      <c r="J3362" s="695" t="s">
        <v>6545</v>
      </c>
      <c r="K3362" s="695" t="s">
        <v>8544</v>
      </c>
      <c r="L3362" s="696">
        <v>88</v>
      </c>
      <c r="M3362" s="170"/>
    </row>
    <row r="3363" spans="2:13" x14ac:dyDescent="0.2">
      <c r="B3363" s="173"/>
      <c r="C3363" s="694">
        <v>1</v>
      </c>
      <c r="D3363" s="695" t="s">
        <v>3903</v>
      </c>
      <c r="E3363" s="695">
        <v>5</v>
      </c>
      <c r="F3363" s="695" t="s">
        <v>6436</v>
      </c>
      <c r="G3363" s="695">
        <v>2</v>
      </c>
      <c r="H3363" s="695" t="s">
        <v>6495</v>
      </c>
      <c r="I3363" s="695">
        <v>54</v>
      </c>
      <c r="J3363" s="695" t="s">
        <v>6546</v>
      </c>
      <c r="K3363" s="695" t="s">
        <v>8544</v>
      </c>
      <c r="L3363" s="696">
        <v>28</v>
      </c>
      <c r="M3363" s="170"/>
    </row>
    <row r="3364" spans="2:13" x14ac:dyDescent="0.2">
      <c r="B3364" s="173"/>
      <c r="C3364" s="694">
        <v>1</v>
      </c>
      <c r="D3364" s="695" t="s">
        <v>3903</v>
      </c>
      <c r="E3364" s="695">
        <v>5</v>
      </c>
      <c r="F3364" s="695" t="s">
        <v>6436</v>
      </c>
      <c r="G3364" s="695">
        <v>2</v>
      </c>
      <c r="H3364" s="695" t="s">
        <v>6495</v>
      </c>
      <c r="I3364" s="695">
        <v>55</v>
      </c>
      <c r="J3364" s="695" t="s">
        <v>6541</v>
      </c>
      <c r="K3364" s="695" t="s">
        <v>8544</v>
      </c>
      <c r="L3364" s="696">
        <v>26</v>
      </c>
      <c r="M3364" s="170"/>
    </row>
    <row r="3365" spans="2:13" x14ac:dyDescent="0.2">
      <c r="B3365" s="173"/>
      <c r="C3365" s="694">
        <v>1</v>
      </c>
      <c r="D3365" s="695" t="s">
        <v>3903</v>
      </c>
      <c r="E3365" s="695">
        <v>5</v>
      </c>
      <c r="F3365" s="695" t="s">
        <v>6436</v>
      </c>
      <c r="G3365" s="695">
        <v>2</v>
      </c>
      <c r="H3365" s="695" t="s">
        <v>6495</v>
      </c>
      <c r="I3365" s="695">
        <v>56</v>
      </c>
      <c r="J3365" s="695" t="s">
        <v>6543</v>
      </c>
      <c r="K3365" s="695" t="s">
        <v>8544</v>
      </c>
      <c r="L3365" s="696">
        <v>9</v>
      </c>
      <c r="M3365" s="170"/>
    </row>
    <row r="3366" spans="2:13" x14ac:dyDescent="0.2">
      <c r="B3366" s="173"/>
      <c r="C3366" s="694">
        <v>1</v>
      </c>
      <c r="D3366" s="695" t="s">
        <v>3903</v>
      </c>
      <c r="E3366" s="695">
        <v>5</v>
      </c>
      <c r="F3366" s="695" t="s">
        <v>6436</v>
      </c>
      <c r="G3366" s="695">
        <v>2</v>
      </c>
      <c r="H3366" s="695" t="s">
        <v>6495</v>
      </c>
      <c r="I3366" s="695">
        <v>57</v>
      </c>
      <c r="J3366" s="695" t="s">
        <v>6547</v>
      </c>
      <c r="K3366" s="695" t="s">
        <v>8544</v>
      </c>
      <c r="L3366" s="696">
        <v>1</v>
      </c>
      <c r="M3366" s="170"/>
    </row>
    <row r="3367" spans="2:13" x14ac:dyDescent="0.2">
      <c r="B3367" s="173"/>
      <c r="C3367" s="694">
        <v>1</v>
      </c>
      <c r="D3367" s="695" t="s">
        <v>3903</v>
      </c>
      <c r="E3367" s="695">
        <v>5</v>
      </c>
      <c r="F3367" s="695" t="s">
        <v>6436</v>
      </c>
      <c r="G3367" s="695">
        <v>2</v>
      </c>
      <c r="H3367" s="695" t="s">
        <v>6495</v>
      </c>
      <c r="I3367" s="695">
        <v>58</v>
      </c>
      <c r="J3367" s="695" t="s">
        <v>6548</v>
      </c>
      <c r="K3367" s="695" t="s">
        <v>8544</v>
      </c>
      <c r="L3367" s="696">
        <v>4</v>
      </c>
      <c r="M3367" s="170"/>
    </row>
    <row r="3368" spans="2:13" x14ac:dyDescent="0.2">
      <c r="B3368" s="173"/>
      <c r="C3368" s="694">
        <v>1</v>
      </c>
      <c r="D3368" s="695" t="s">
        <v>3903</v>
      </c>
      <c r="E3368" s="695">
        <v>5</v>
      </c>
      <c r="F3368" s="695" t="s">
        <v>6436</v>
      </c>
      <c r="G3368" s="695">
        <v>2</v>
      </c>
      <c r="H3368" s="695" t="s">
        <v>6495</v>
      </c>
      <c r="I3368" s="695">
        <v>59</v>
      </c>
      <c r="J3368" s="695" t="s">
        <v>6549</v>
      </c>
      <c r="K3368" s="695" t="s">
        <v>8544</v>
      </c>
      <c r="L3368" s="696">
        <v>58</v>
      </c>
      <c r="M3368" s="170"/>
    </row>
    <row r="3369" spans="2:13" x14ac:dyDescent="0.2">
      <c r="B3369" s="173"/>
      <c r="C3369" s="694">
        <v>1</v>
      </c>
      <c r="D3369" s="695" t="s">
        <v>3903</v>
      </c>
      <c r="E3369" s="695">
        <v>5</v>
      </c>
      <c r="F3369" s="695" t="s">
        <v>6436</v>
      </c>
      <c r="G3369" s="695">
        <v>2</v>
      </c>
      <c r="H3369" s="695" t="s">
        <v>6495</v>
      </c>
      <c r="I3369" s="695">
        <v>60</v>
      </c>
      <c r="J3369" s="695" t="s">
        <v>6550</v>
      </c>
      <c r="K3369" s="695" t="s">
        <v>8544</v>
      </c>
      <c r="L3369" s="696">
        <v>31</v>
      </c>
      <c r="M3369" s="170"/>
    </row>
    <row r="3370" spans="2:13" x14ac:dyDescent="0.2">
      <c r="B3370" s="173"/>
      <c r="C3370" s="694">
        <v>1</v>
      </c>
      <c r="D3370" s="695" t="s">
        <v>3903</v>
      </c>
      <c r="E3370" s="695">
        <v>5</v>
      </c>
      <c r="F3370" s="695" t="s">
        <v>6436</v>
      </c>
      <c r="G3370" s="695">
        <v>2</v>
      </c>
      <c r="H3370" s="695" t="s">
        <v>6495</v>
      </c>
      <c r="I3370" s="695">
        <v>61</v>
      </c>
      <c r="J3370" s="695" t="s">
        <v>6551</v>
      </c>
      <c r="K3370" s="695" t="s">
        <v>3985</v>
      </c>
      <c r="L3370" s="696">
        <v>4</v>
      </c>
      <c r="M3370" s="170"/>
    </row>
    <row r="3371" spans="2:13" x14ac:dyDescent="0.2">
      <c r="B3371" s="173"/>
      <c r="C3371" s="694">
        <v>1</v>
      </c>
      <c r="D3371" s="695" t="s">
        <v>3903</v>
      </c>
      <c r="E3371" s="695">
        <v>5</v>
      </c>
      <c r="F3371" s="695" t="s">
        <v>6436</v>
      </c>
      <c r="G3371" s="695">
        <v>2</v>
      </c>
      <c r="H3371" s="695" t="s">
        <v>6495</v>
      </c>
      <c r="I3371" s="695">
        <v>62</v>
      </c>
      <c r="J3371" s="695" t="s">
        <v>6552</v>
      </c>
      <c r="K3371" s="695" t="s">
        <v>8544</v>
      </c>
      <c r="L3371" s="696">
        <v>2</v>
      </c>
      <c r="M3371" s="170"/>
    </row>
    <row r="3372" spans="2:13" x14ac:dyDescent="0.2">
      <c r="B3372" s="173"/>
      <c r="C3372" s="694">
        <v>1</v>
      </c>
      <c r="D3372" s="695" t="s">
        <v>3903</v>
      </c>
      <c r="E3372" s="695">
        <v>5</v>
      </c>
      <c r="F3372" s="695" t="s">
        <v>6436</v>
      </c>
      <c r="G3372" s="695">
        <v>2</v>
      </c>
      <c r="H3372" s="695" t="s">
        <v>6495</v>
      </c>
      <c r="I3372" s="695">
        <v>63</v>
      </c>
      <c r="J3372" s="695" t="s">
        <v>6553</v>
      </c>
      <c r="K3372" s="695" t="s">
        <v>3907</v>
      </c>
      <c r="L3372" s="696">
        <v>227</v>
      </c>
      <c r="M3372" s="170"/>
    </row>
    <row r="3373" spans="2:13" x14ac:dyDescent="0.2">
      <c r="B3373" s="173"/>
      <c r="C3373" s="694">
        <v>1</v>
      </c>
      <c r="D3373" s="695" t="s">
        <v>3903</v>
      </c>
      <c r="E3373" s="695">
        <v>5</v>
      </c>
      <c r="F3373" s="695" t="s">
        <v>6436</v>
      </c>
      <c r="G3373" s="695">
        <v>2</v>
      </c>
      <c r="H3373" s="695" t="s">
        <v>6495</v>
      </c>
      <c r="I3373" s="695">
        <v>64</v>
      </c>
      <c r="J3373" s="695" t="s">
        <v>6554</v>
      </c>
      <c r="K3373" s="695" t="s">
        <v>8544</v>
      </c>
      <c r="L3373" s="696">
        <v>1</v>
      </c>
      <c r="M3373" s="170"/>
    </row>
    <row r="3374" spans="2:13" x14ac:dyDescent="0.2">
      <c r="B3374" s="173"/>
      <c r="C3374" s="694">
        <v>1</v>
      </c>
      <c r="D3374" s="695" t="s">
        <v>3903</v>
      </c>
      <c r="E3374" s="695">
        <v>5</v>
      </c>
      <c r="F3374" s="695" t="s">
        <v>6436</v>
      </c>
      <c r="G3374" s="695">
        <v>2</v>
      </c>
      <c r="H3374" s="695" t="s">
        <v>6495</v>
      </c>
      <c r="I3374" s="695">
        <v>65</v>
      </c>
      <c r="J3374" s="695" t="s">
        <v>6555</v>
      </c>
      <c r="K3374" s="695" t="s">
        <v>3907</v>
      </c>
      <c r="L3374" s="696">
        <v>5</v>
      </c>
      <c r="M3374" s="170"/>
    </row>
    <row r="3375" spans="2:13" x14ac:dyDescent="0.2">
      <c r="B3375" s="173"/>
      <c r="C3375" s="694">
        <v>1</v>
      </c>
      <c r="D3375" s="695" t="s">
        <v>3903</v>
      </c>
      <c r="E3375" s="695">
        <v>5</v>
      </c>
      <c r="F3375" s="695" t="s">
        <v>6436</v>
      </c>
      <c r="G3375" s="695">
        <v>2</v>
      </c>
      <c r="H3375" s="695" t="s">
        <v>6495</v>
      </c>
      <c r="I3375" s="695">
        <v>66</v>
      </c>
      <c r="J3375" s="695" t="s">
        <v>6556</v>
      </c>
      <c r="K3375" s="695" t="s">
        <v>3907</v>
      </c>
      <c r="L3375" s="696">
        <v>21</v>
      </c>
      <c r="M3375" s="170"/>
    </row>
    <row r="3376" spans="2:13" x14ac:dyDescent="0.2">
      <c r="B3376" s="173"/>
      <c r="C3376" s="694">
        <v>1</v>
      </c>
      <c r="D3376" s="695" t="s">
        <v>3903</v>
      </c>
      <c r="E3376" s="695">
        <v>5</v>
      </c>
      <c r="F3376" s="695" t="s">
        <v>6436</v>
      </c>
      <c r="G3376" s="695">
        <v>2</v>
      </c>
      <c r="H3376" s="695" t="s">
        <v>6495</v>
      </c>
      <c r="I3376" s="695">
        <v>67</v>
      </c>
      <c r="J3376" s="695" t="s">
        <v>6557</v>
      </c>
      <c r="K3376" s="695" t="s">
        <v>3907</v>
      </c>
      <c r="L3376" s="696">
        <v>16</v>
      </c>
      <c r="M3376" s="170"/>
    </row>
    <row r="3377" spans="2:13" x14ac:dyDescent="0.2">
      <c r="B3377" s="173"/>
      <c r="C3377" s="694">
        <v>1</v>
      </c>
      <c r="D3377" s="695" t="s">
        <v>3903</v>
      </c>
      <c r="E3377" s="695">
        <v>5</v>
      </c>
      <c r="F3377" s="695" t="s">
        <v>6436</v>
      </c>
      <c r="G3377" s="695">
        <v>2</v>
      </c>
      <c r="H3377" s="695" t="s">
        <v>6495</v>
      </c>
      <c r="I3377" s="695">
        <v>68</v>
      </c>
      <c r="J3377" s="695" t="s">
        <v>6558</v>
      </c>
      <c r="K3377" s="695" t="s">
        <v>3985</v>
      </c>
      <c r="L3377" s="696">
        <v>6</v>
      </c>
      <c r="M3377" s="170"/>
    </row>
    <row r="3378" spans="2:13" x14ac:dyDescent="0.2">
      <c r="B3378" s="173"/>
      <c r="C3378" s="694">
        <v>1</v>
      </c>
      <c r="D3378" s="695" t="s">
        <v>3903</v>
      </c>
      <c r="E3378" s="695">
        <v>5</v>
      </c>
      <c r="F3378" s="695" t="s">
        <v>6436</v>
      </c>
      <c r="G3378" s="695">
        <v>2</v>
      </c>
      <c r="H3378" s="695" t="s">
        <v>6495</v>
      </c>
      <c r="I3378" s="695">
        <v>69</v>
      </c>
      <c r="J3378" s="695" t="s">
        <v>6559</v>
      </c>
      <c r="K3378" s="695" t="s">
        <v>3907</v>
      </c>
      <c r="L3378" s="696">
        <v>19</v>
      </c>
      <c r="M3378" s="170"/>
    </row>
    <row r="3379" spans="2:13" x14ac:dyDescent="0.2">
      <c r="B3379" s="173"/>
      <c r="C3379" s="694">
        <v>1</v>
      </c>
      <c r="D3379" s="695" t="s">
        <v>3903</v>
      </c>
      <c r="E3379" s="695">
        <v>5</v>
      </c>
      <c r="F3379" s="695" t="s">
        <v>6436</v>
      </c>
      <c r="G3379" s="695">
        <v>2</v>
      </c>
      <c r="H3379" s="695" t="s">
        <v>6495</v>
      </c>
      <c r="I3379" s="695">
        <v>70</v>
      </c>
      <c r="J3379" s="695" t="s">
        <v>6560</v>
      </c>
      <c r="K3379" s="695" t="s">
        <v>3907</v>
      </c>
      <c r="L3379" s="696">
        <v>3</v>
      </c>
      <c r="M3379" s="170"/>
    </row>
    <row r="3380" spans="2:13" x14ac:dyDescent="0.2">
      <c r="B3380" s="173"/>
      <c r="C3380" s="694">
        <v>1</v>
      </c>
      <c r="D3380" s="695" t="s">
        <v>3903</v>
      </c>
      <c r="E3380" s="695">
        <v>5</v>
      </c>
      <c r="F3380" s="695" t="s">
        <v>6436</v>
      </c>
      <c r="G3380" s="695">
        <v>2</v>
      </c>
      <c r="H3380" s="695" t="s">
        <v>6495</v>
      </c>
      <c r="I3380" s="695">
        <v>71</v>
      </c>
      <c r="J3380" s="695" t="s">
        <v>6561</v>
      </c>
      <c r="K3380" s="695" t="s">
        <v>3907</v>
      </c>
      <c r="L3380" s="696">
        <v>52</v>
      </c>
      <c r="M3380" s="170"/>
    </row>
    <row r="3381" spans="2:13" x14ac:dyDescent="0.2">
      <c r="B3381" s="173"/>
      <c r="C3381" s="694">
        <v>1</v>
      </c>
      <c r="D3381" s="695" t="s">
        <v>3903</v>
      </c>
      <c r="E3381" s="695">
        <v>5</v>
      </c>
      <c r="F3381" s="695" t="s">
        <v>6436</v>
      </c>
      <c r="G3381" s="695">
        <v>2</v>
      </c>
      <c r="H3381" s="695" t="s">
        <v>6495</v>
      </c>
      <c r="I3381" s="695">
        <v>72</v>
      </c>
      <c r="J3381" s="695" t="s">
        <v>6562</v>
      </c>
      <c r="K3381" s="695" t="s">
        <v>8544</v>
      </c>
      <c r="L3381" s="696">
        <v>1</v>
      </c>
      <c r="M3381" s="170"/>
    </row>
    <row r="3382" spans="2:13" x14ac:dyDescent="0.2">
      <c r="B3382" s="173"/>
      <c r="C3382" s="694">
        <v>1</v>
      </c>
      <c r="D3382" s="695" t="s">
        <v>3903</v>
      </c>
      <c r="E3382" s="695">
        <v>5</v>
      </c>
      <c r="F3382" s="695" t="s">
        <v>6436</v>
      </c>
      <c r="G3382" s="695">
        <v>2</v>
      </c>
      <c r="H3382" s="695" t="s">
        <v>6495</v>
      </c>
      <c r="I3382" s="695">
        <v>73</v>
      </c>
      <c r="J3382" s="695" t="s">
        <v>6563</v>
      </c>
      <c r="K3382" s="695" t="s">
        <v>8544</v>
      </c>
      <c r="L3382" s="696">
        <v>4</v>
      </c>
      <c r="M3382" s="170"/>
    </row>
    <row r="3383" spans="2:13" x14ac:dyDescent="0.2">
      <c r="B3383" s="173"/>
      <c r="C3383" s="694">
        <v>1</v>
      </c>
      <c r="D3383" s="695" t="s">
        <v>3903</v>
      </c>
      <c r="E3383" s="695">
        <v>5</v>
      </c>
      <c r="F3383" s="695" t="s">
        <v>6436</v>
      </c>
      <c r="G3383" s="695">
        <v>2</v>
      </c>
      <c r="H3383" s="695" t="s">
        <v>6495</v>
      </c>
      <c r="I3383" s="695">
        <v>74</v>
      </c>
      <c r="J3383" s="695" t="s">
        <v>6564</v>
      </c>
      <c r="K3383" s="695" t="s">
        <v>3907</v>
      </c>
      <c r="L3383" s="696">
        <v>48</v>
      </c>
      <c r="M3383" s="170"/>
    </row>
    <row r="3384" spans="2:13" x14ac:dyDescent="0.2">
      <c r="B3384" s="173"/>
      <c r="C3384" s="694">
        <v>1</v>
      </c>
      <c r="D3384" s="695" t="s">
        <v>3903</v>
      </c>
      <c r="E3384" s="695">
        <v>5</v>
      </c>
      <c r="F3384" s="695" t="s">
        <v>6436</v>
      </c>
      <c r="G3384" s="695">
        <v>2</v>
      </c>
      <c r="H3384" s="695" t="s">
        <v>6495</v>
      </c>
      <c r="I3384" s="695">
        <v>75</v>
      </c>
      <c r="J3384" s="695" t="s">
        <v>6565</v>
      </c>
      <c r="K3384" s="695" t="s">
        <v>3907</v>
      </c>
      <c r="L3384" s="696">
        <v>10</v>
      </c>
      <c r="M3384" s="170"/>
    </row>
    <row r="3385" spans="2:13" x14ac:dyDescent="0.2">
      <c r="B3385" s="173"/>
      <c r="C3385" s="694">
        <v>1</v>
      </c>
      <c r="D3385" s="695" t="s">
        <v>3903</v>
      </c>
      <c r="E3385" s="695">
        <v>5</v>
      </c>
      <c r="F3385" s="695" t="s">
        <v>6436</v>
      </c>
      <c r="G3385" s="695">
        <v>2</v>
      </c>
      <c r="H3385" s="695" t="s">
        <v>6495</v>
      </c>
      <c r="I3385" s="695">
        <v>76</v>
      </c>
      <c r="J3385" s="695" t="s">
        <v>6566</v>
      </c>
      <c r="K3385" s="695" t="s">
        <v>3907</v>
      </c>
      <c r="L3385" s="696">
        <v>18</v>
      </c>
      <c r="M3385" s="170"/>
    </row>
    <row r="3386" spans="2:13" x14ac:dyDescent="0.2">
      <c r="B3386" s="173"/>
      <c r="C3386" s="694">
        <v>1</v>
      </c>
      <c r="D3386" s="695" t="s">
        <v>3903</v>
      </c>
      <c r="E3386" s="695">
        <v>5</v>
      </c>
      <c r="F3386" s="695" t="s">
        <v>6436</v>
      </c>
      <c r="G3386" s="695">
        <v>2</v>
      </c>
      <c r="H3386" s="695" t="s">
        <v>6495</v>
      </c>
      <c r="I3386" s="695">
        <v>77</v>
      </c>
      <c r="J3386" s="695" t="s">
        <v>6567</v>
      </c>
      <c r="K3386" s="695" t="s">
        <v>3907</v>
      </c>
      <c r="L3386" s="696">
        <v>5</v>
      </c>
      <c r="M3386" s="170"/>
    </row>
    <row r="3387" spans="2:13" x14ac:dyDescent="0.2">
      <c r="B3387" s="173"/>
      <c r="C3387" s="694">
        <v>1</v>
      </c>
      <c r="D3387" s="695" t="s">
        <v>3903</v>
      </c>
      <c r="E3387" s="695">
        <v>5</v>
      </c>
      <c r="F3387" s="695" t="s">
        <v>6436</v>
      </c>
      <c r="G3387" s="695">
        <v>2</v>
      </c>
      <c r="H3387" s="695" t="s">
        <v>6495</v>
      </c>
      <c r="I3387" s="695">
        <v>78</v>
      </c>
      <c r="J3387" s="695" t="s">
        <v>6568</v>
      </c>
      <c r="K3387" s="695" t="s">
        <v>3907</v>
      </c>
      <c r="L3387" s="696">
        <v>2</v>
      </c>
      <c r="M3387" s="170"/>
    </row>
    <row r="3388" spans="2:13" x14ac:dyDescent="0.2">
      <c r="B3388" s="173"/>
      <c r="C3388" s="694">
        <v>1</v>
      </c>
      <c r="D3388" s="695" t="s">
        <v>3903</v>
      </c>
      <c r="E3388" s="695">
        <v>5</v>
      </c>
      <c r="F3388" s="695" t="s">
        <v>6436</v>
      </c>
      <c r="G3388" s="695">
        <v>2</v>
      </c>
      <c r="H3388" s="695" t="s">
        <v>6495</v>
      </c>
      <c r="I3388" s="695">
        <v>79</v>
      </c>
      <c r="J3388" s="695" t="s">
        <v>6569</v>
      </c>
      <c r="K3388" s="695" t="s">
        <v>8544</v>
      </c>
      <c r="L3388" s="696">
        <v>1</v>
      </c>
      <c r="M3388" s="170"/>
    </row>
    <row r="3389" spans="2:13" x14ac:dyDescent="0.2">
      <c r="B3389" s="173"/>
      <c r="C3389" s="694">
        <v>1</v>
      </c>
      <c r="D3389" s="695" t="s">
        <v>3903</v>
      </c>
      <c r="E3389" s="695">
        <v>5</v>
      </c>
      <c r="F3389" s="695" t="s">
        <v>6436</v>
      </c>
      <c r="G3389" s="695">
        <v>2</v>
      </c>
      <c r="H3389" s="695" t="s">
        <v>6495</v>
      </c>
      <c r="I3389" s="695">
        <v>80</v>
      </c>
      <c r="J3389" s="695" t="s">
        <v>6570</v>
      </c>
      <c r="K3389" s="695" t="s">
        <v>8544</v>
      </c>
      <c r="L3389" s="696">
        <v>2</v>
      </c>
      <c r="M3389" s="170"/>
    </row>
    <row r="3390" spans="2:13" x14ac:dyDescent="0.2">
      <c r="B3390" s="173"/>
      <c r="C3390" s="694">
        <v>1</v>
      </c>
      <c r="D3390" s="695" t="s">
        <v>3903</v>
      </c>
      <c r="E3390" s="695">
        <v>5</v>
      </c>
      <c r="F3390" s="695" t="s">
        <v>6436</v>
      </c>
      <c r="G3390" s="695">
        <v>2</v>
      </c>
      <c r="H3390" s="695" t="s">
        <v>6495</v>
      </c>
      <c r="I3390" s="695">
        <v>81</v>
      </c>
      <c r="J3390" s="695" t="s">
        <v>6571</v>
      </c>
      <c r="K3390" s="695" t="s">
        <v>3907</v>
      </c>
      <c r="L3390" s="696">
        <v>8</v>
      </c>
      <c r="M3390" s="170"/>
    </row>
    <row r="3391" spans="2:13" x14ac:dyDescent="0.2">
      <c r="B3391" s="173"/>
      <c r="C3391" s="694">
        <v>1</v>
      </c>
      <c r="D3391" s="695" t="s">
        <v>3903</v>
      </c>
      <c r="E3391" s="695">
        <v>5</v>
      </c>
      <c r="F3391" s="695" t="s">
        <v>6436</v>
      </c>
      <c r="G3391" s="695">
        <v>2</v>
      </c>
      <c r="H3391" s="695" t="s">
        <v>6495</v>
      </c>
      <c r="I3391" s="695">
        <v>82</v>
      </c>
      <c r="J3391" s="695" t="s">
        <v>6071</v>
      </c>
      <c r="K3391" s="695" t="s">
        <v>3907</v>
      </c>
      <c r="L3391" s="696">
        <v>25</v>
      </c>
      <c r="M3391" s="170"/>
    </row>
    <row r="3392" spans="2:13" x14ac:dyDescent="0.2">
      <c r="B3392" s="173"/>
      <c r="C3392" s="694">
        <v>1</v>
      </c>
      <c r="D3392" s="695" t="s">
        <v>3903</v>
      </c>
      <c r="E3392" s="695">
        <v>5</v>
      </c>
      <c r="F3392" s="695" t="s">
        <v>6436</v>
      </c>
      <c r="G3392" s="695">
        <v>2</v>
      </c>
      <c r="H3392" s="695" t="s">
        <v>6495</v>
      </c>
      <c r="I3392" s="695">
        <v>83</v>
      </c>
      <c r="J3392" s="695" t="s">
        <v>6572</v>
      </c>
      <c r="K3392" s="695" t="s">
        <v>3907</v>
      </c>
      <c r="L3392" s="696">
        <v>3</v>
      </c>
      <c r="M3392" s="170"/>
    </row>
    <row r="3393" spans="2:13" x14ac:dyDescent="0.2">
      <c r="B3393" s="173"/>
      <c r="C3393" s="694">
        <v>1</v>
      </c>
      <c r="D3393" s="695" t="s">
        <v>3903</v>
      </c>
      <c r="E3393" s="695">
        <v>5</v>
      </c>
      <c r="F3393" s="695" t="s">
        <v>6436</v>
      </c>
      <c r="G3393" s="695">
        <v>2</v>
      </c>
      <c r="H3393" s="695" t="s">
        <v>6495</v>
      </c>
      <c r="I3393" s="695">
        <v>84</v>
      </c>
      <c r="J3393" s="695" t="s">
        <v>6573</v>
      </c>
      <c r="K3393" s="695" t="s">
        <v>3907</v>
      </c>
      <c r="L3393" s="696">
        <v>5</v>
      </c>
      <c r="M3393" s="170"/>
    </row>
    <row r="3394" spans="2:13" x14ac:dyDescent="0.2">
      <c r="B3394" s="173"/>
      <c r="C3394" s="694">
        <v>1</v>
      </c>
      <c r="D3394" s="695" t="s">
        <v>3903</v>
      </c>
      <c r="E3394" s="695">
        <v>5</v>
      </c>
      <c r="F3394" s="695" t="s">
        <v>6436</v>
      </c>
      <c r="G3394" s="695">
        <v>2</v>
      </c>
      <c r="H3394" s="695" t="s">
        <v>6495</v>
      </c>
      <c r="I3394" s="695">
        <v>85</v>
      </c>
      <c r="J3394" s="695" t="s">
        <v>6574</v>
      </c>
      <c r="K3394" s="695" t="s">
        <v>3907</v>
      </c>
      <c r="L3394" s="696">
        <v>10</v>
      </c>
      <c r="M3394" s="170"/>
    </row>
    <row r="3395" spans="2:13" x14ac:dyDescent="0.2">
      <c r="B3395" s="173"/>
      <c r="C3395" s="694">
        <v>1</v>
      </c>
      <c r="D3395" s="695" t="s">
        <v>3903</v>
      </c>
      <c r="E3395" s="695">
        <v>5</v>
      </c>
      <c r="F3395" s="695" t="s">
        <v>6436</v>
      </c>
      <c r="G3395" s="695">
        <v>2</v>
      </c>
      <c r="H3395" s="695" t="s">
        <v>6495</v>
      </c>
      <c r="I3395" s="695">
        <v>86</v>
      </c>
      <c r="J3395" s="695" t="s">
        <v>6575</v>
      </c>
      <c r="K3395" s="695" t="s">
        <v>3907</v>
      </c>
      <c r="L3395" s="696">
        <v>21</v>
      </c>
      <c r="M3395" s="170"/>
    </row>
    <row r="3396" spans="2:13" x14ac:dyDescent="0.2">
      <c r="B3396" s="173"/>
      <c r="C3396" s="694">
        <v>1</v>
      </c>
      <c r="D3396" s="695" t="s">
        <v>3903</v>
      </c>
      <c r="E3396" s="695">
        <v>5</v>
      </c>
      <c r="F3396" s="695" t="s">
        <v>6436</v>
      </c>
      <c r="G3396" s="695">
        <v>2</v>
      </c>
      <c r="H3396" s="695" t="s">
        <v>6495</v>
      </c>
      <c r="I3396" s="695">
        <v>87</v>
      </c>
      <c r="J3396" s="695" t="s">
        <v>6576</v>
      </c>
      <c r="K3396" s="695" t="s">
        <v>3907</v>
      </c>
      <c r="L3396" s="696">
        <v>0</v>
      </c>
      <c r="M3396" s="170"/>
    </row>
    <row r="3397" spans="2:13" x14ac:dyDescent="0.2">
      <c r="B3397" s="173"/>
      <c r="C3397" s="694">
        <v>1</v>
      </c>
      <c r="D3397" s="695" t="s">
        <v>3903</v>
      </c>
      <c r="E3397" s="695">
        <v>5</v>
      </c>
      <c r="F3397" s="695" t="s">
        <v>6436</v>
      </c>
      <c r="G3397" s="695">
        <v>2</v>
      </c>
      <c r="H3397" s="695" t="s">
        <v>6495</v>
      </c>
      <c r="I3397" s="695">
        <v>88</v>
      </c>
      <c r="J3397" s="695" t="s">
        <v>6577</v>
      </c>
      <c r="K3397" s="695" t="s">
        <v>3985</v>
      </c>
      <c r="L3397" s="696">
        <v>8</v>
      </c>
      <c r="M3397" s="170"/>
    </row>
    <row r="3398" spans="2:13" x14ac:dyDescent="0.2">
      <c r="B3398" s="173"/>
      <c r="C3398" s="694">
        <v>1</v>
      </c>
      <c r="D3398" s="695" t="s">
        <v>3903</v>
      </c>
      <c r="E3398" s="695">
        <v>5</v>
      </c>
      <c r="F3398" s="695" t="s">
        <v>6436</v>
      </c>
      <c r="G3398" s="695">
        <v>2</v>
      </c>
      <c r="H3398" s="695" t="s">
        <v>6495</v>
      </c>
      <c r="I3398" s="695">
        <v>89</v>
      </c>
      <c r="J3398" s="695" t="s">
        <v>6578</v>
      </c>
      <c r="K3398" s="695" t="s">
        <v>8544</v>
      </c>
      <c r="L3398" s="696">
        <v>1</v>
      </c>
      <c r="M3398" s="170"/>
    </row>
    <row r="3399" spans="2:13" x14ac:dyDescent="0.2">
      <c r="B3399" s="173"/>
      <c r="C3399" s="694">
        <v>1</v>
      </c>
      <c r="D3399" s="695" t="s">
        <v>3903</v>
      </c>
      <c r="E3399" s="695">
        <v>5</v>
      </c>
      <c r="F3399" s="695" t="s">
        <v>6436</v>
      </c>
      <c r="G3399" s="695">
        <v>2</v>
      </c>
      <c r="H3399" s="695" t="s">
        <v>6495</v>
      </c>
      <c r="I3399" s="695">
        <v>90</v>
      </c>
      <c r="J3399" s="695" t="s">
        <v>6579</v>
      </c>
      <c r="K3399" s="695" t="s">
        <v>8544</v>
      </c>
      <c r="L3399" s="696">
        <v>0</v>
      </c>
      <c r="M3399" s="170"/>
    </row>
    <row r="3400" spans="2:13" x14ac:dyDescent="0.2">
      <c r="B3400" s="173"/>
      <c r="C3400" s="694">
        <v>1</v>
      </c>
      <c r="D3400" s="695" t="s">
        <v>3903</v>
      </c>
      <c r="E3400" s="695">
        <v>5</v>
      </c>
      <c r="F3400" s="695" t="s">
        <v>6436</v>
      </c>
      <c r="G3400" s="695">
        <v>2</v>
      </c>
      <c r="H3400" s="695" t="s">
        <v>6495</v>
      </c>
      <c r="I3400" s="695">
        <v>91</v>
      </c>
      <c r="J3400" s="695" t="s">
        <v>6580</v>
      </c>
      <c r="K3400" s="695" t="s">
        <v>3985</v>
      </c>
      <c r="L3400" s="696">
        <v>1</v>
      </c>
      <c r="M3400" s="170"/>
    </row>
    <row r="3401" spans="2:13" x14ac:dyDescent="0.2">
      <c r="B3401" s="173"/>
      <c r="C3401" s="694">
        <v>1</v>
      </c>
      <c r="D3401" s="695" t="s">
        <v>3903</v>
      </c>
      <c r="E3401" s="695">
        <v>5</v>
      </c>
      <c r="F3401" s="695" t="s">
        <v>6436</v>
      </c>
      <c r="G3401" s="695">
        <v>2</v>
      </c>
      <c r="H3401" s="695" t="s">
        <v>6495</v>
      </c>
      <c r="I3401" s="695">
        <v>92</v>
      </c>
      <c r="J3401" s="695" t="s">
        <v>6581</v>
      </c>
      <c r="K3401" s="695" t="s">
        <v>4057</v>
      </c>
      <c r="L3401" s="696">
        <v>5</v>
      </c>
      <c r="M3401" s="170"/>
    </row>
    <row r="3402" spans="2:13" x14ac:dyDescent="0.2">
      <c r="B3402" s="173"/>
      <c r="C3402" s="694">
        <v>1</v>
      </c>
      <c r="D3402" s="695" t="s">
        <v>3903</v>
      </c>
      <c r="E3402" s="695">
        <v>5</v>
      </c>
      <c r="F3402" s="695" t="s">
        <v>6436</v>
      </c>
      <c r="G3402" s="695">
        <v>2</v>
      </c>
      <c r="H3402" s="695" t="s">
        <v>6495</v>
      </c>
      <c r="I3402" s="695">
        <v>93</v>
      </c>
      <c r="J3402" s="695" t="s">
        <v>6582</v>
      </c>
      <c r="K3402" s="695" t="s">
        <v>4009</v>
      </c>
      <c r="L3402" s="696">
        <v>0</v>
      </c>
      <c r="M3402" s="170"/>
    </row>
    <row r="3403" spans="2:13" x14ac:dyDescent="0.2">
      <c r="B3403" s="173"/>
      <c r="C3403" s="694">
        <v>1</v>
      </c>
      <c r="D3403" s="695" t="s">
        <v>3903</v>
      </c>
      <c r="E3403" s="695">
        <v>5</v>
      </c>
      <c r="F3403" s="695" t="s">
        <v>6436</v>
      </c>
      <c r="G3403" s="695">
        <v>2</v>
      </c>
      <c r="H3403" s="695" t="s">
        <v>6495</v>
      </c>
      <c r="I3403" s="695">
        <v>94</v>
      </c>
      <c r="J3403" s="695" t="s">
        <v>6583</v>
      </c>
      <c r="K3403" s="695" t="s">
        <v>3907</v>
      </c>
      <c r="L3403" s="696">
        <v>6</v>
      </c>
      <c r="M3403" s="170"/>
    </row>
    <row r="3404" spans="2:13" x14ac:dyDescent="0.2">
      <c r="B3404" s="173"/>
      <c r="C3404" s="694">
        <v>1</v>
      </c>
      <c r="D3404" s="695" t="s">
        <v>3903</v>
      </c>
      <c r="E3404" s="695">
        <v>5</v>
      </c>
      <c r="F3404" s="695" t="s">
        <v>6436</v>
      </c>
      <c r="G3404" s="695">
        <v>2</v>
      </c>
      <c r="H3404" s="695" t="s">
        <v>6495</v>
      </c>
      <c r="I3404" s="695">
        <v>95</v>
      </c>
      <c r="J3404" s="695" t="s">
        <v>6584</v>
      </c>
      <c r="K3404" s="695" t="s">
        <v>3907</v>
      </c>
      <c r="L3404" s="696">
        <v>4</v>
      </c>
      <c r="M3404" s="170"/>
    </row>
    <row r="3405" spans="2:13" x14ac:dyDescent="0.2">
      <c r="B3405" s="173"/>
      <c r="C3405" s="694">
        <v>1</v>
      </c>
      <c r="D3405" s="695" t="s">
        <v>3903</v>
      </c>
      <c r="E3405" s="695">
        <v>5</v>
      </c>
      <c r="F3405" s="695" t="s">
        <v>6436</v>
      </c>
      <c r="G3405" s="695">
        <v>2</v>
      </c>
      <c r="H3405" s="695" t="s">
        <v>6495</v>
      </c>
      <c r="I3405" s="695">
        <v>96</v>
      </c>
      <c r="J3405" s="695" t="s">
        <v>6585</v>
      </c>
      <c r="K3405" s="695" t="s">
        <v>3907</v>
      </c>
      <c r="L3405" s="696">
        <v>1</v>
      </c>
      <c r="M3405" s="170"/>
    </row>
    <row r="3406" spans="2:13" x14ac:dyDescent="0.2">
      <c r="B3406" s="173"/>
      <c r="C3406" s="694">
        <v>1</v>
      </c>
      <c r="D3406" s="695" t="s">
        <v>3903</v>
      </c>
      <c r="E3406" s="695">
        <v>5</v>
      </c>
      <c r="F3406" s="695" t="s">
        <v>6436</v>
      </c>
      <c r="G3406" s="695">
        <v>2</v>
      </c>
      <c r="H3406" s="695" t="s">
        <v>6495</v>
      </c>
      <c r="I3406" s="695">
        <v>97</v>
      </c>
      <c r="J3406" s="695" t="s">
        <v>6586</v>
      </c>
      <c r="K3406" s="695" t="s">
        <v>3907</v>
      </c>
      <c r="L3406" s="696">
        <v>15</v>
      </c>
      <c r="M3406" s="170"/>
    </row>
    <row r="3407" spans="2:13" x14ac:dyDescent="0.2">
      <c r="B3407" s="173"/>
      <c r="C3407" s="694">
        <v>1</v>
      </c>
      <c r="D3407" s="695" t="s">
        <v>3903</v>
      </c>
      <c r="E3407" s="695">
        <v>5</v>
      </c>
      <c r="F3407" s="695" t="s">
        <v>6436</v>
      </c>
      <c r="G3407" s="695">
        <v>2</v>
      </c>
      <c r="H3407" s="695" t="s">
        <v>6495</v>
      </c>
      <c r="I3407" s="695">
        <v>98</v>
      </c>
      <c r="J3407" s="695" t="s">
        <v>6587</v>
      </c>
      <c r="K3407" s="695" t="s">
        <v>3907</v>
      </c>
      <c r="L3407" s="696">
        <v>4</v>
      </c>
      <c r="M3407" s="170"/>
    </row>
    <row r="3408" spans="2:13" x14ac:dyDescent="0.2">
      <c r="B3408" s="173"/>
      <c r="C3408" s="694">
        <v>1</v>
      </c>
      <c r="D3408" s="695" t="s">
        <v>3903</v>
      </c>
      <c r="E3408" s="695">
        <v>5</v>
      </c>
      <c r="F3408" s="695" t="s">
        <v>6436</v>
      </c>
      <c r="G3408" s="695">
        <v>2</v>
      </c>
      <c r="H3408" s="695" t="s">
        <v>6495</v>
      </c>
      <c r="I3408" s="695">
        <v>99</v>
      </c>
      <c r="J3408" s="695" t="s">
        <v>6588</v>
      </c>
      <c r="K3408" s="695" t="s">
        <v>3907</v>
      </c>
      <c r="L3408" s="696">
        <v>3</v>
      </c>
      <c r="M3408" s="170"/>
    </row>
    <row r="3409" spans="2:13" x14ac:dyDescent="0.2">
      <c r="B3409" s="173"/>
      <c r="C3409" s="694">
        <v>1</v>
      </c>
      <c r="D3409" s="695" t="s">
        <v>3903</v>
      </c>
      <c r="E3409" s="695">
        <v>5</v>
      </c>
      <c r="F3409" s="695" t="s">
        <v>6436</v>
      </c>
      <c r="G3409" s="695">
        <v>2</v>
      </c>
      <c r="H3409" s="695" t="s">
        <v>6495</v>
      </c>
      <c r="I3409" s="695">
        <v>100</v>
      </c>
      <c r="J3409" s="695" t="s">
        <v>6589</v>
      </c>
      <c r="K3409" s="695" t="s">
        <v>3907</v>
      </c>
      <c r="L3409" s="696">
        <v>9</v>
      </c>
      <c r="M3409" s="170"/>
    </row>
    <row r="3410" spans="2:13" x14ac:dyDescent="0.2">
      <c r="B3410" s="173"/>
      <c r="C3410" s="694">
        <v>1</v>
      </c>
      <c r="D3410" s="695" t="s">
        <v>3903</v>
      </c>
      <c r="E3410" s="695">
        <v>5</v>
      </c>
      <c r="F3410" s="695" t="s">
        <v>6436</v>
      </c>
      <c r="G3410" s="695">
        <v>2</v>
      </c>
      <c r="H3410" s="695" t="s">
        <v>6495</v>
      </c>
      <c r="I3410" s="695">
        <v>101</v>
      </c>
      <c r="J3410" s="695" t="s">
        <v>6590</v>
      </c>
      <c r="K3410" s="695" t="s">
        <v>3907</v>
      </c>
      <c r="L3410" s="696">
        <v>4</v>
      </c>
      <c r="M3410" s="170"/>
    </row>
    <row r="3411" spans="2:13" x14ac:dyDescent="0.2">
      <c r="B3411" s="173"/>
      <c r="C3411" s="694">
        <v>1</v>
      </c>
      <c r="D3411" s="695" t="s">
        <v>3903</v>
      </c>
      <c r="E3411" s="695">
        <v>5</v>
      </c>
      <c r="F3411" s="695" t="s">
        <v>6436</v>
      </c>
      <c r="G3411" s="695">
        <v>2</v>
      </c>
      <c r="H3411" s="695" t="s">
        <v>6495</v>
      </c>
      <c r="I3411" s="695">
        <v>102</v>
      </c>
      <c r="J3411" s="695" t="s">
        <v>6591</v>
      </c>
      <c r="K3411" s="695" t="s">
        <v>3907</v>
      </c>
      <c r="L3411" s="696">
        <v>22</v>
      </c>
      <c r="M3411" s="170"/>
    </row>
    <row r="3412" spans="2:13" x14ac:dyDescent="0.2">
      <c r="B3412" s="173"/>
      <c r="C3412" s="694">
        <v>1</v>
      </c>
      <c r="D3412" s="695" t="s">
        <v>3903</v>
      </c>
      <c r="E3412" s="695">
        <v>5</v>
      </c>
      <c r="F3412" s="695" t="s">
        <v>6436</v>
      </c>
      <c r="G3412" s="695">
        <v>2</v>
      </c>
      <c r="H3412" s="695" t="s">
        <v>6495</v>
      </c>
      <c r="I3412" s="695">
        <v>103</v>
      </c>
      <c r="J3412" s="695" t="s">
        <v>6592</v>
      </c>
      <c r="K3412" s="695" t="s">
        <v>3907</v>
      </c>
      <c r="L3412" s="696">
        <v>1</v>
      </c>
      <c r="M3412" s="170"/>
    </row>
    <row r="3413" spans="2:13" x14ac:dyDescent="0.2">
      <c r="B3413" s="173"/>
      <c r="C3413" s="694">
        <v>1</v>
      </c>
      <c r="D3413" s="695" t="s">
        <v>3903</v>
      </c>
      <c r="E3413" s="695">
        <v>5</v>
      </c>
      <c r="F3413" s="695" t="s">
        <v>6436</v>
      </c>
      <c r="G3413" s="695">
        <v>2</v>
      </c>
      <c r="H3413" s="695" t="s">
        <v>6495</v>
      </c>
      <c r="I3413" s="695">
        <v>104</v>
      </c>
      <c r="J3413" s="695" t="s">
        <v>6593</v>
      </c>
      <c r="K3413" s="695" t="s">
        <v>3907</v>
      </c>
      <c r="L3413" s="696">
        <v>4</v>
      </c>
      <c r="M3413" s="170"/>
    </row>
    <row r="3414" spans="2:13" x14ac:dyDescent="0.2">
      <c r="B3414" s="173"/>
      <c r="C3414" s="694">
        <v>1</v>
      </c>
      <c r="D3414" s="695" t="s">
        <v>3903</v>
      </c>
      <c r="E3414" s="695">
        <v>5</v>
      </c>
      <c r="F3414" s="695" t="s">
        <v>6436</v>
      </c>
      <c r="G3414" s="695">
        <v>2</v>
      </c>
      <c r="H3414" s="695" t="s">
        <v>6495</v>
      </c>
      <c r="I3414" s="695">
        <v>105</v>
      </c>
      <c r="J3414" s="695" t="s">
        <v>6594</v>
      </c>
      <c r="K3414" s="695" t="s">
        <v>3907</v>
      </c>
      <c r="L3414" s="696">
        <v>6</v>
      </c>
      <c r="M3414" s="170"/>
    </row>
    <row r="3415" spans="2:13" x14ac:dyDescent="0.2">
      <c r="B3415" s="173"/>
      <c r="C3415" s="694">
        <v>1</v>
      </c>
      <c r="D3415" s="695" t="s">
        <v>3903</v>
      </c>
      <c r="E3415" s="695">
        <v>5</v>
      </c>
      <c r="F3415" s="695" t="s">
        <v>6436</v>
      </c>
      <c r="G3415" s="695">
        <v>2</v>
      </c>
      <c r="H3415" s="695" t="s">
        <v>6495</v>
      </c>
      <c r="I3415" s="695">
        <v>106</v>
      </c>
      <c r="J3415" s="695" t="s">
        <v>6595</v>
      </c>
      <c r="K3415" s="695" t="s">
        <v>3907</v>
      </c>
      <c r="L3415" s="696">
        <v>5</v>
      </c>
      <c r="M3415" s="170"/>
    </row>
    <row r="3416" spans="2:13" x14ac:dyDescent="0.2">
      <c r="B3416" s="173"/>
      <c r="C3416" s="694">
        <v>1</v>
      </c>
      <c r="D3416" s="695" t="s">
        <v>3903</v>
      </c>
      <c r="E3416" s="695">
        <v>5</v>
      </c>
      <c r="F3416" s="695" t="s">
        <v>6436</v>
      </c>
      <c r="G3416" s="695">
        <v>2</v>
      </c>
      <c r="H3416" s="695" t="s">
        <v>6495</v>
      </c>
      <c r="I3416" s="695">
        <v>107</v>
      </c>
      <c r="J3416" s="695" t="s">
        <v>6596</v>
      </c>
      <c r="K3416" s="695" t="s">
        <v>3907</v>
      </c>
      <c r="L3416" s="696">
        <v>10</v>
      </c>
      <c r="M3416" s="170"/>
    </row>
    <row r="3417" spans="2:13" x14ac:dyDescent="0.2">
      <c r="B3417" s="173"/>
      <c r="C3417" s="694">
        <v>1</v>
      </c>
      <c r="D3417" s="695" t="s">
        <v>3903</v>
      </c>
      <c r="E3417" s="695">
        <v>5</v>
      </c>
      <c r="F3417" s="695" t="s">
        <v>6436</v>
      </c>
      <c r="G3417" s="695">
        <v>2</v>
      </c>
      <c r="H3417" s="695" t="s">
        <v>6495</v>
      </c>
      <c r="I3417" s="695">
        <v>108</v>
      </c>
      <c r="J3417" s="695" t="s">
        <v>6597</v>
      </c>
      <c r="K3417" s="695" t="s">
        <v>3907</v>
      </c>
      <c r="L3417" s="696">
        <v>4</v>
      </c>
      <c r="M3417" s="170"/>
    </row>
    <row r="3418" spans="2:13" x14ac:dyDescent="0.2">
      <c r="B3418" s="173"/>
      <c r="C3418" s="694">
        <v>1</v>
      </c>
      <c r="D3418" s="695" t="s">
        <v>3903</v>
      </c>
      <c r="E3418" s="695">
        <v>5</v>
      </c>
      <c r="F3418" s="695" t="s">
        <v>6436</v>
      </c>
      <c r="G3418" s="695">
        <v>2</v>
      </c>
      <c r="H3418" s="695" t="s">
        <v>6495</v>
      </c>
      <c r="I3418" s="695">
        <v>109</v>
      </c>
      <c r="J3418" s="695" t="s">
        <v>6598</v>
      </c>
      <c r="K3418" s="695" t="s">
        <v>3907</v>
      </c>
      <c r="L3418" s="696">
        <v>5</v>
      </c>
      <c r="M3418" s="170"/>
    </row>
    <row r="3419" spans="2:13" x14ac:dyDescent="0.2">
      <c r="B3419" s="173"/>
      <c r="C3419" s="694">
        <v>1</v>
      </c>
      <c r="D3419" s="695" t="s">
        <v>3903</v>
      </c>
      <c r="E3419" s="695">
        <v>5</v>
      </c>
      <c r="F3419" s="695" t="s">
        <v>6436</v>
      </c>
      <c r="G3419" s="695">
        <v>2</v>
      </c>
      <c r="H3419" s="695" t="s">
        <v>6495</v>
      </c>
      <c r="I3419" s="695">
        <v>110</v>
      </c>
      <c r="J3419" s="695" t="s">
        <v>6599</v>
      </c>
      <c r="K3419" s="695" t="s">
        <v>3907</v>
      </c>
      <c r="L3419" s="696">
        <v>3</v>
      </c>
      <c r="M3419" s="170"/>
    </row>
    <row r="3420" spans="2:13" x14ac:dyDescent="0.2">
      <c r="B3420" s="173"/>
      <c r="C3420" s="694">
        <v>1</v>
      </c>
      <c r="D3420" s="695" t="s">
        <v>3903</v>
      </c>
      <c r="E3420" s="695">
        <v>5</v>
      </c>
      <c r="F3420" s="695" t="s">
        <v>6436</v>
      </c>
      <c r="G3420" s="695">
        <v>2</v>
      </c>
      <c r="H3420" s="695" t="s">
        <v>6495</v>
      </c>
      <c r="I3420" s="695">
        <v>111</v>
      </c>
      <c r="J3420" s="695" t="s">
        <v>6600</v>
      </c>
      <c r="K3420" s="695" t="s">
        <v>3907</v>
      </c>
      <c r="L3420" s="696">
        <v>3</v>
      </c>
      <c r="M3420" s="170"/>
    </row>
    <row r="3421" spans="2:13" x14ac:dyDescent="0.2">
      <c r="B3421" s="173"/>
      <c r="C3421" s="694">
        <v>1</v>
      </c>
      <c r="D3421" s="695" t="s">
        <v>3903</v>
      </c>
      <c r="E3421" s="695">
        <v>5</v>
      </c>
      <c r="F3421" s="695" t="s">
        <v>6436</v>
      </c>
      <c r="G3421" s="695">
        <v>2</v>
      </c>
      <c r="H3421" s="695" t="s">
        <v>6495</v>
      </c>
      <c r="I3421" s="695">
        <v>112</v>
      </c>
      <c r="J3421" s="695" t="s">
        <v>6601</v>
      </c>
      <c r="K3421" s="695" t="s">
        <v>8544</v>
      </c>
      <c r="L3421" s="696">
        <v>3</v>
      </c>
      <c r="M3421" s="170"/>
    </row>
    <row r="3422" spans="2:13" x14ac:dyDescent="0.2">
      <c r="B3422" s="173"/>
      <c r="C3422" s="694">
        <v>1</v>
      </c>
      <c r="D3422" s="695" t="s">
        <v>3903</v>
      </c>
      <c r="E3422" s="695">
        <v>5</v>
      </c>
      <c r="F3422" s="695" t="s">
        <v>6436</v>
      </c>
      <c r="G3422" s="695">
        <v>2</v>
      </c>
      <c r="H3422" s="695" t="s">
        <v>6495</v>
      </c>
      <c r="I3422" s="695">
        <v>113</v>
      </c>
      <c r="J3422" s="695" t="s">
        <v>6602</v>
      </c>
      <c r="K3422" s="695" t="s">
        <v>3907</v>
      </c>
      <c r="L3422" s="696">
        <v>3</v>
      </c>
      <c r="M3422" s="170"/>
    </row>
    <row r="3423" spans="2:13" x14ac:dyDescent="0.2">
      <c r="B3423" s="173"/>
      <c r="C3423" s="694">
        <v>1</v>
      </c>
      <c r="D3423" s="695" t="s">
        <v>3903</v>
      </c>
      <c r="E3423" s="695">
        <v>5</v>
      </c>
      <c r="F3423" s="695" t="s">
        <v>6436</v>
      </c>
      <c r="G3423" s="695">
        <v>2</v>
      </c>
      <c r="H3423" s="695" t="s">
        <v>6495</v>
      </c>
      <c r="I3423" s="695">
        <v>114</v>
      </c>
      <c r="J3423" s="695" t="s">
        <v>6603</v>
      </c>
      <c r="K3423" s="695" t="s">
        <v>3907</v>
      </c>
      <c r="L3423" s="696">
        <v>1</v>
      </c>
      <c r="M3423" s="170"/>
    </row>
    <row r="3424" spans="2:13" x14ac:dyDescent="0.2">
      <c r="B3424" s="173"/>
      <c r="C3424" s="694">
        <v>1</v>
      </c>
      <c r="D3424" s="695" t="s">
        <v>3903</v>
      </c>
      <c r="E3424" s="695">
        <v>5</v>
      </c>
      <c r="F3424" s="695" t="s">
        <v>6436</v>
      </c>
      <c r="G3424" s="695">
        <v>2</v>
      </c>
      <c r="H3424" s="695" t="s">
        <v>6495</v>
      </c>
      <c r="I3424" s="695">
        <v>115</v>
      </c>
      <c r="J3424" s="695" t="s">
        <v>6604</v>
      </c>
      <c r="K3424" s="695" t="s">
        <v>8544</v>
      </c>
      <c r="L3424" s="696">
        <v>2</v>
      </c>
      <c r="M3424" s="170"/>
    </row>
    <row r="3425" spans="2:13" x14ac:dyDescent="0.2">
      <c r="B3425" s="173"/>
      <c r="C3425" s="694">
        <v>1</v>
      </c>
      <c r="D3425" s="695" t="s">
        <v>3903</v>
      </c>
      <c r="E3425" s="695">
        <v>5</v>
      </c>
      <c r="F3425" s="695" t="s">
        <v>6436</v>
      </c>
      <c r="G3425" s="695">
        <v>2</v>
      </c>
      <c r="H3425" s="695" t="s">
        <v>6495</v>
      </c>
      <c r="I3425" s="695">
        <v>116</v>
      </c>
      <c r="J3425" s="695" t="s">
        <v>6605</v>
      </c>
      <c r="K3425" s="695" t="s">
        <v>3907</v>
      </c>
      <c r="L3425" s="696">
        <v>6</v>
      </c>
      <c r="M3425" s="170"/>
    </row>
    <row r="3426" spans="2:13" x14ac:dyDescent="0.2">
      <c r="B3426" s="173"/>
      <c r="C3426" s="694">
        <v>1</v>
      </c>
      <c r="D3426" s="695" t="s">
        <v>3903</v>
      </c>
      <c r="E3426" s="695">
        <v>5</v>
      </c>
      <c r="F3426" s="695" t="s">
        <v>6436</v>
      </c>
      <c r="G3426" s="695">
        <v>2</v>
      </c>
      <c r="H3426" s="695" t="s">
        <v>6495</v>
      </c>
      <c r="I3426" s="695">
        <v>117</v>
      </c>
      <c r="J3426" s="695" t="s">
        <v>6606</v>
      </c>
      <c r="K3426" s="695" t="s">
        <v>3907</v>
      </c>
      <c r="L3426" s="696">
        <v>4</v>
      </c>
      <c r="M3426" s="170"/>
    </row>
    <row r="3427" spans="2:13" x14ac:dyDescent="0.2">
      <c r="B3427" s="173"/>
      <c r="C3427" s="694">
        <v>1</v>
      </c>
      <c r="D3427" s="695" t="s">
        <v>3903</v>
      </c>
      <c r="E3427" s="695">
        <v>5</v>
      </c>
      <c r="F3427" s="695" t="s">
        <v>6436</v>
      </c>
      <c r="G3427" s="695">
        <v>2</v>
      </c>
      <c r="H3427" s="695" t="s">
        <v>6495</v>
      </c>
      <c r="I3427" s="695">
        <v>118</v>
      </c>
      <c r="J3427" s="695" t="s">
        <v>6607</v>
      </c>
      <c r="K3427" s="695" t="s">
        <v>3907</v>
      </c>
      <c r="L3427" s="696">
        <v>4</v>
      </c>
      <c r="M3427" s="170"/>
    </row>
    <row r="3428" spans="2:13" x14ac:dyDescent="0.2">
      <c r="B3428" s="173"/>
      <c r="C3428" s="694">
        <v>1</v>
      </c>
      <c r="D3428" s="695" t="s">
        <v>3903</v>
      </c>
      <c r="E3428" s="695">
        <v>5</v>
      </c>
      <c r="F3428" s="695" t="s">
        <v>6436</v>
      </c>
      <c r="G3428" s="695">
        <v>2</v>
      </c>
      <c r="H3428" s="695" t="s">
        <v>6495</v>
      </c>
      <c r="I3428" s="695">
        <v>119</v>
      </c>
      <c r="J3428" s="695" t="s">
        <v>6608</v>
      </c>
      <c r="K3428" s="695" t="s">
        <v>3907</v>
      </c>
      <c r="L3428" s="696">
        <v>3</v>
      </c>
      <c r="M3428" s="170"/>
    </row>
    <row r="3429" spans="2:13" x14ac:dyDescent="0.2">
      <c r="B3429" s="173"/>
      <c r="C3429" s="694">
        <v>1</v>
      </c>
      <c r="D3429" s="695" t="s">
        <v>3903</v>
      </c>
      <c r="E3429" s="695">
        <v>5</v>
      </c>
      <c r="F3429" s="695" t="s">
        <v>6436</v>
      </c>
      <c r="G3429" s="695">
        <v>2</v>
      </c>
      <c r="H3429" s="695" t="s">
        <v>6495</v>
      </c>
      <c r="I3429" s="695">
        <v>120</v>
      </c>
      <c r="J3429" s="695" t="s">
        <v>6609</v>
      </c>
      <c r="K3429" s="695" t="s">
        <v>3907</v>
      </c>
      <c r="L3429" s="696">
        <v>4</v>
      </c>
      <c r="M3429" s="170"/>
    </row>
    <row r="3430" spans="2:13" x14ac:dyDescent="0.2">
      <c r="B3430" s="173"/>
      <c r="C3430" s="694">
        <v>1</v>
      </c>
      <c r="D3430" s="695" t="s">
        <v>3903</v>
      </c>
      <c r="E3430" s="695">
        <v>5</v>
      </c>
      <c r="F3430" s="695" t="s">
        <v>6436</v>
      </c>
      <c r="G3430" s="695">
        <v>2</v>
      </c>
      <c r="H3430" s="695" t="s">
        <v>6495</v>
      </c>
      <c r="I3430" s="695">
        <v>121</v>
      </c>
      <c r="J3430" s="695" t="s">
        <v>6610</v>
      </c>
      <c r="K3430" s="695" t="s">
        <v>3907</v>
      </c>
      <c r="L3430" s="696">
        <v>3</v>
      </c>
      <c r="M3430" s="170"/>
    </row>
    <row r="3431" spans="2:13" x14ac:dyDescent="0.2">
      <c r="B3431" s="173"/>
      <c r="C3431" s="694">
        <v>1</v>
      </c>
      <c r="D3431" s="695" t="s">
        <v>3903</v>
      </c>
      <c r="E3431" s="695">
        <v>5</v>
      </c>
      <c r="F3431" s="695" t="s">
        <v>6436</v>
      </c>
      <c r="G3431" s="695">
        <v>2</v>
      </c>
      <c r="H3431" s="695" t="s">
        <v>6495</v>
      </c>
      <c r="I3431" s="695">
        <v>122</v>
      </c>
      <c r="J3431" s="695" t="s">
        <v>6611</v>
      </c>
      <c r="K3431" s="695" t="s">
        <v>3907</v>
      </c>
      <c r="L3431" s="696">
        <v>4</v>
      </c>
      <c r="M3431" s="170"/>
    </row>
    <row r="3432" spans="2:13" x14ac:dyDescent="0.2">
      <c r="B3432" s="173"/>
      <c r="C3432" s="694">
        <v>1</v>
      </c>
      <c r="D3432" s="695" t="s">
        <v>3903</v>
      </c>
      <c r="E3432" s="695">
        <v>5</v>
      </c>
      <c r="F3432" s="695" t="s">
        <v>6436</v>
      </c>
      <c r="G3432" s="695">
        <v>2</v>
      </c>
      <c r="H3432" s="695" t="s">
        <v>6495</v>
      </c>
      <c r="I3432" s="695">
        <v>123</v>
      </c>
      <c r="J3432" s="695" t="s">
        <v>6612</v>
      </c>
      <c r="K3432" s="695" t="s">
        <v>3907</v>
      </c>
      <c r="L3432" s="696">
        <v>8</v>
      </c>
      <c r="M3432" s="170"/>
    </row>
    <row r="3433" spans="2:13" x14ac:dyDescent="0.2">
      <c r="B3433" s="173"/>
      <c r="C3433" s="694">
        <v>1</v>
      </c>
      <c r="D3433" s="695" t="s">
        <v>3903</v>
      </c>
      <c r="E3433" s="695">
        <v>5</v>
      </c>
      <c r="F3433" s="695" t="s">
        <v>6436</v>
      </c>
      <c r="G3433" s="695">
        <v>2</v>
      </c>
      <c r="H3433" s="695" t="s">
        <v>6495</v>
      </c>
      <c r="I3433" s="695">
        <v>124</v>
      </c>
      <c r="J3433" s="695" t="s">
        <v>6613</v>
      </c>
      <c r="K3433" s="695" t="s">
        <v>3907</v>
      </c>
      <c r="L3433" s="696">
        <v>9</v>
      </c>
      <c r="M3433" s="170"/>
    </row>
    <row r="3434" spans="2:13" x14ac:dyDescent="0.2">
      <c r="B3434" s="173"/>
      <c r="C3434" s="694">
        <v>1</v>
      </c>
      <c r="D3434" s="695" t="s">
        <v>3903</v>
      </c>
      <c r="E3434" s="695">
        <v>5</v>
      </c>
      <c r="F3434" s="695" t="s">
        <v>6436</v>
      </c>
      <c r="G3434" s="695">
        <v>2</v>
      </c>
      <c r="H3434" s="695" t="s">
        <v>6495</v>
      </c>
      <c r="I3434" s="695">
        <v>125</v>
      </c>
      <c r="J3434" s="695" t="s">
        <v>6614</v>
      </c>
      <c r="K3434" s="695" t="s">
        <v>3907</v>
      </c>
      <c r="L3434" s="696">
        <v>3</v>
      </c>
      <c r="M3434" s="170"/>
    </row>
    <row r="3435" spans="2:13" x14ac:dyDescent="0.2">
      <c r="B3435" s="173"/>
      <c r="C3435" s="694">
        <v>1</v>
      </c>
      <c r="D3435" s="695" t="s">
        <v>3903</v>
      </c>
      <c r="E3435" s="695">
        <v>5</v>
      </c>
      <c r="F3435" s="695" t="s">
        <v>6436</v>
      </c>
      <c r="G3435" s="695">
        <v>2</v>
      </c>
      <c r="H3435" s="695" t="s">
        <v>6495</v>
      </c>
      <c r="I3435" s="695">
        <v>126</v>
      </c>
      <c r="J3435" s="695" t="s">
        <v>6615</v>
      </c>
      <c r="K3435" s="695" t="s">
        <v>3907</v>
      </c>
      <c r="L3435" s="696">
        <v>1</v>
      </c>
      <c r="M3435" s="170"/>
    </row>
    <row r="3436" spans="2:13" x14ac:dyDescent="0.2">
      <c r="B3436" s="173"/>
      <c r="C3436" s="694">
        <v>1</v>
      </c>
      <c r="D3436" s="695" t="s">
        <v>3903</v>
      </c>
      <c r="E3436" s="695">
        <v>5</v>
      </c>
      <c r="F3436" s="695" t="s">
        <v>6436</v>
      </c>
      <c r="G3436" s="695">
        <v>2</v>
      </c>
      <c r="H3436" s="695" t="s">
        <v>6495</v>
      </c>
      <c r="I3436" s="695">
        <v>127</v>
      </c>
      <c r="J3436" s="695" t="s">
        <v>6616</v>
      </c>
      <c r="K3436" s="695" t="s">
        <v>3907</v>
      </c>
      <c r="L3436" s="696">
        <v>3</v>
      </c>
      <c r="M3436" s="170"/>
    </row>
    <row r="3437" spans="2:13" x14ac:dyDescent="0.2">
      <c r="B3437" s="173"/>
      <c r="C3437" s="694">
        <v>1</v>
      </c>
      <c r="D3437" s="695" t="s">
        <v>3903</v>
      </c>
      <c r="E3437" s="695">
        <v>5</v>
      </c>
      <c r="F3437" s="695" t="s">
        <v>6436</v>
      </c>
      <c r="G3437" s="695">
        <v>2</v>
      </c>
      <c r="H3437" s="695" t="s">
        <v>6495</v>
      </c>
      <c r="I3437" s="695">
        <v>128</v>
      </c>
      <c r="J3437" s="695" t="s">
        <v>6617</v>
      </c>
      <c r="K3437" s="695" t="s">
        <v>3907</v>
      </c>
      <c r="L3437" s="696">
        <v>6</v>
      </c>
      <c r="M3437" s="170"/>
    </row>
    <row r="3438" spans="2:13" x14ac:dyDescent="0.2">
      <c r="B3438" s="173"/>
      <c r="C3438" s="694">
        <v>1</v>
      </c>
      <c r="D3438" s="695" t="s">
        <v>3903</v>
      </c>
      <c r="E3438" s="695">
        <v>5</v>
      </c>
      <c r="F3438" s="695" t="s">
        <v>6436</v>
      </c>
      <c r="G3438" s="695">
        <v>2</v>
      </c>
      <c r="H3438" s="695" t="s">
        <v>6495</v>
      </c>
      <c r="I3438" s="695">
        <v>129</v>
      </c>
      <c r="J3438" s="695" t="s">
        <v>6618</v>
      </c>
      <c r="K3438" s="695" t="s">
        <v>3907</v>
      </c>
      <c r="L3438" s="696">
        <v>3</v>
      </c>
      <c r="M3438" s="170"/>
    </row>
    <row r="3439" spans="2:13" x14ac:dyDescent="0.2">
      <c r="B3439" s="173"/>
      <c r="C3439" s="694">
        <v>1</v>
      </c>
      <c r="D3439" s="695" t="s">
        <v>3903</v>
      </c>
      <c r="E3439" s="695">
        <v>5</v>
      </c>
      <c r="F3439" s="695" t="s">
        <v>6436</v>
      </c>
      <c r="G3439" s="695">
        <v>2</v>
      </c>
      <c r="H3439" s="695" t="s">
        <v>6495</v>
      </c>
      <c r="I3439" s="695">
        <v>130</v>
      </c>
      <c r="J3439" s="695" t="s">
        <v>6619</v>
      </c>
      <c r="K3439" s="695" t="s">
        <v>3907</v>
      </c>
      <c r="L3439" s="696">
        <v>1</v>
      </c>
      <c r="M3439" s="170"/>
    </row>
    <row r="3440" spans="2:13" x14ac:dyDescent="0.2">
      <c r="B3440" s="173"/>
      <c r="C3440" s="694">
        <v>1</v>
      </c>
      <c r="D3440" s="695" t="s">
        <v>3903</v>
      </c>
      <c r="E3440" s="695">
        <v>5</v>
      </c>
      <c r="F3440" s="695" t="s">
        <v>6436</v>
      </c>
      <c r="G3440" s="695">
        <v>2</v>
      </c>
      <c r="H3440" s="695" t="s">
        <v>6495</v>
      </c>
      <c r="I3440" s="695">
        <v>131</v>
      </c>
      <c r="J3440" s="695" t="s">
        <v>6620</v>
      </c>
      <c r="K3440" s="695" t="s">
        <v>3907</v>
      </c>
      <c r="L3440" s="696">
        <v>2</v>
      </c>
      <c r="M3440" s="170"/>
    </row>
    <row r="3441" spans="2:13" x14ac:dyDescent="0.2">
      <c r="B3441" s="173"/>
      <c r="C3441" s="694">
        <v>1</v>
      </c>
      <c r="D3441" s="695" t="s">
        <v>3903</v>
      </c>
      <c r="E3441" s="695">
        <v>5</v>
      </c>
      <c r="F3441" s="695" t="s">
        <v>6436</v>
      </c>
      <c r="G3441" s="695">
        <v>2</v>
      </c>
      <c r="H3441" s="695" t="s">
        <v>6495</v>
      </c>
      <c r="I3441" s="695">
        <v>132</v>
      </c>
      <c r="J3441" s="695" t="s">
        <v>6621</v>
      </c>
      <c r="K3441" s="695" t="s">
        <v>3907</v>
      </c>
      <c r="L3441" s="696">
        <v>2</v>
      </c>
      <c r="M3441" s="170"/>
    </row>
    <row r="3442" spans="2:13" x14ac:dyDescent="0.2">
      <c r="B3442" s="173"/>
      <c r="C3442" s="694">
        <v>1</v>
      </c>
      <c r="D3442" s="695" t="s">
        <v>3903</v>
      </c>
      <c r="E3442" s="695">
        <v>5</v>
      </c>
      <c r="F3442" s="695" t="s">
        <v>6436</v>
      </c>
      <c r="G3442" s="695">
        <v>2</v>
      </c>
      <c r="H3442" s="695" t="s">
        <v>6495</v>
      </c>
      <c r="I3442" s="695">
        <v>133</v>
      </c>
      <c r="J3442" s="695" t="s">
        <v>6622</v>
      </c>
      <c r="K3442" s="695" t="s">
        <v>3907</v>
      </c>
      <c r="L3442" s="696">
        <v>0</v>
      </c>
      <c r="M3442" s="170"/>
    </row>
    <row r="3443" spans="2:13" x14ac:dyDescent="0.2">
      <c r="B3443" s="173"/>
      <c r="C3443" s="694">
        <v>1</v>
      </c>
      <c r="D3443" s="695" t="s">
        <v>3903</v>
      </c>
      <c r="E3443" s="695">
        <v>5</v>
      </c>
      <c r="F3443" s="695" t="s">
        <v>6436</v>
      </c>
      <c r="G3443" s="695">
        <v>2</v>
      </c>
      <c r="H3443" s="695" t="s">
        <v>6495</v>
      </c>
      <c r="I3443" s="695">
        <v>134</v>
      </c>
      <c r="J3443" s="695" t="s">
        <v>6623</v>
      </c>
      <c r="K3443" s="695" t="s">
        <v>3907</v>
      </c>
      <c r="L3443" s="696">
        <v>2</v>
      </c>
      <c r="M3443" s="170"/>
    </row>
    <row r="3444" spans="2:13" x14ac:dyDescent="0.2">
      <c r="B3444" s="173"/>
      <c r="C3444" s="694">
        <v>1</v>
      </c>
      <c r="D3444" s="695" t="s">
        <v>3903</v>
      </c>
      <c r="E3444" s="695">
        <v>5</v>
      </c>
      <c r="F3444" s="695" t="s">
        <v>6436</v>
      </c>
      <c r="G3444" s="695">
        <v>2</v>
      </c>
      <c r="H3444" s="695" t="s">
        <v>6495</v>
      </c>
      <c r="I3444" s="695">
        <v>135</v>
      </c>
      <c r="J3444" s="695" t="s">
        <v>6624</v>
      </c>
      <c r="K3444" s="695" t="s">
        <v>3907</v>
      </c>
      <c r="L3444" s="696">
        <v>5</v>
      </c>
      <c r="M3444" s="170"/>
    </row>
    <row r="3445" spans="2:13" x14ac:dyDescent="0.2">
      <c r="B3445" s="173"/>
      <c r="C3445" s="694">
        <v>1</v>
      </c>
      <c r="D3445" s="695" t="s">
        <v>3903</v>
      </c>
      <c r="E3445" s="695">
        <v>5</v>
      </c>
      <c r="F3445" s="695" t="s">
        <v>6436</v>
      </c>
      <c r="G3445" s="695">
        <v>2</v>
      </c>
      <c r="H3445" s="695" t="s">
        <v>6495</v>
      </c>
      <c r="I3445" s="695">
        <v>136</v>
      </c>
      <c r="J3445" s="695" t="s">
        <v>6625</v>
      </c>
      <c r="K3445" s="695" t="s">
        <v>3907</v>
      </c>
      <c r="L3445" s="696">
        <v>1</v>
      </c>
      <c r="M3445" s="170"/>
    </row>
    <row r="3446" spans="2:13" x14ac:dyDescent="0.2">
      <c r="B3446" s="173"/>
      <c r="C3446" s="694">
        <v>1</v>
      </c>
      <c r="D3446" s="695" t="s">
        <v>3903</v>
      </c>
      <c r="E3446" s="695">
        <v>5</v>
      </c>
      <c r="F3446" s="695" t="s">
        <v>6436</v>
      </c>
      <c r="G3446" s="695">
        <v>2</v>
      </c>
      <c r="H3446" s="695" t="s">
        <v>6495</v>
      </c>
      <c r="I3446" s="695">
        <v>137</v>
      </c>
      <c r="J3446" s="695" t="s">
        <v>6626</v>
      </c>
      <c r="K3446" s="695" t="s">
        <v>3907</v>
      </c>
      <c r="L3446" s="696">
        <v>11</v>
      </c>
      <c r="M3446" s="170"/>
    </row>
    <row r="3447" spans="2:13" x14ac:dyDescent="0.2">
      <c r="B3447" s="173"/>
      <c r="C3447" s="694">
        <v>1</v>
      </c>
      <c r="D3447" s="695" t="s">
        <v>3903</v>
      </c>
      <c r="E3447" s="695">
        <v>5</v>
      </c>
      <c r="F3447" s="695" t="s">
        <v>6436</v>
      </c>
      <c r="G3447" s="695">
        <v>2</v>
      </c>
      <c r="H3447" s="695" t="s">
        <v>6495</v>
      </c>
      <c r="I3447" s="695">
        <v>138</v>
      </c>
      <c r="J3447" s="695" t="s">
        <v>6627</v>
      </c>
      <c r="K3447" s="695" t="s">
        <v>3907</v>
      </c>
      <c r="L3447" s="696">
        <v>3</v>
      </c>
      <c r="M3447" s="170"/>
    </row>
    <row r="3448" spans="2:13" x14ac:dyDescent="0.2">
      <c r="B3448" s="173"/>
      <c r="C3448" s="694">
        <v>1</v>
      </c>
      <c r="D3448" s="695" t="s">
        <v>3903</v>
      </c>
      <c r="E3448" s="695">
        <v>5</v>
      </c>
      <c r="F3448" s="695" t="s">
        <v>6436</v>
      </c>
      <c r="G3448" s="695">
        <v>2</v>
      </c>
      <c r="H3448" s="695" t="s">
        <v>6495</v>
      </c>
      <c r="I3448" s="695">
        <v>139</v>
      </c>
      <c r="J3448" s="695" t="s">
        <v>6628</v>
      </c>
      <c r="K3448" s="695" t="s">
        <v>3907</v>
      </c>
      <c r="L3448" s="696">
        <v>13</v>
      </c>
      <c r="M3448" s="170"/>
    </row>
    <row r="3449" spans="2:13" x14ac:dyDescent="0.2">
      <c r="B3449" s="173"/>
      <c r="C3449" s="694">
        <v>1</v>
      </c>
      <c r="D3449" s="695" t="s">
        <v>3903</v>
      </c>
      <c r="E3449" s="695">
        <v>5</v>
      </c>
      <c r="F3449" s="695" t="s">
        <v>6436</v>
      </c>
      <c r="G3449" s="695">
        <v>2</v>
      </c>
      <c r="H3449" s="695" t="s">
        <v>6495</v>
      </c>
      <c r="I3449" s="695">
        <v>140</v>
      </c>
      <c r="J3449" s="695" t="s">
        <v>6629</v>
      </c>
      <c r="K3449" s="695" t="s">
        <v>3907</v>
      </c>
      <c r="L3449" s="696">
        <v>0</v>
      </c>
      <c r="M3449" s="170"/>
    </row>
    <row r="3450" spans="2:13" x14ac:dyDescent="0.2">
      <c r="B3450" s="173"/>
      <c r="C3450" s="694">
        <v>1</v>
      </c>
      <c r="D3450" s="695" t="s">
        <v>3903</v>
      </c>
      <c r="E3450" s="695">
        <v>5</v>
      </c>
      <c r="F3450" s="695" t="s">
        <v>6436</v>
      </c>
      <c r="G3450" s="695">
        <v>2</v>
      </c>
      <c r="H3450" s="695" t="s">
        <v>6495</v>
      </c>
      <c r="I3450" s="695">
        <v>141</v>
      </c>
      <c r="J3450" s="695" t="s">
        <v>6630</v>
      </c>
      <c r="K3450" s="695" t="s">
        <v>3907</v>
      </c>
      <c r="L3450" s="696">
        <v>2</v>
      </c>
      <c r="M3450" s="170"/>
    </row>
    <row r="3451" spans="2:13" x14ac:dyDescent="0.2">
      <c r="B3451" s="173"/>
      <c r="C3451" s="694">
        <v>1</v>
      </c>
      <c r="D3451" s="695" t="s">
        <v>3903</v>
      </c>
      <c r="E3451" s="695">
        <v>5</v>
      </c>
      <c r="F3451" s="695" t="s">
        <v>6436</v>
      </c>
      <c r="G3451" s="695">
        <v>2</v>
      </c>
      <c r="H3451" s="695" t="s">
        <v>6495</v>
      </c>
      <c r="I3451" s="695">
        <v>142</v>
      </c>
      <c r="J3451" s="695" t="s">
        <v>6631</v>
      </c>
      <c r="K3451" s="695" t="s">
        <v>3907</v>
      </c>
      <c r="L3451" s="696">
        <v>0</v>
      </c>
      <c r="M3451" s="170"/>
    </row>
    <row r="3452" spans="2:13" x14ac:dyDescent="0.2">
      <c r="B3452" s="173"/>
      <c r="C3452" s="694">
        <v>1</v>
      </c>
      <c r="D3452" s="695" t="s">
        <v>3903</v>
      </c>
      <c r="E3452" s="695">
        <v>5</v>
      </c>
      <c r="F3452" s="695" t="s">
        <v>6436</v>
      </c>
      <c r="G3452" s="695">
        <v>2</v>
      </c>
      <c r="H3452" s="695" t="s">
        <v>6495</v>
      </c>
      <c r="I3452" s="695">
        <v>143</v>
      </c>
      <c r="J3452" s="695" t="s">
        <v>6632</v>
      </c>
      <c r="K3452" s="695" t="s">
        <v>3907</v>
      </c>
      <c r="L3452" s="696">
        <v>2</v>
      </c>
      <c r="M3452" s="170"/>
    </row>
    <row r="3453" spans="2:13" x14ac:dyDescent="0.2">
      <c r="B3453" s="173"/>
      <c r="C3453" s="694">
        <v>1</v>
      </c>
      <c r="D3453" s="695" t="s">
        <v>3903</v>
      </c>
      <c r="E3453" s="695">
        <v>5</v>
      </c>
      <c r="F3453" s="695" t="s">
        <v>6436</v>
      </c>
      <c r="G3453" s="695">
        <v>2</v>
      </c>
      <c r="H3453" s="695" t="s">
        <v>6495</v>
      </c>
      <c r="I3453" s="695">
        <v>144</v>
      </c>
      <c r="J3453" s="695" t="s">
        <v>6633</v>
      </c>
      <c r="K3453" s="695" t="s">
        <v>3907</v>
      </c>
      <c r="L3453" s="696">
        <v>1</v>
      </c>
      <c r="M3453" s="170"/>
    </row>
    <row r="3454" spans="2:13" x14ac:dyDescent="0.2">
      <c r="B3454" s="173"/>
      <c r="C3454" s="694">
        <v>1</v>
      </c>
      <c r="D3454" s="695" t="s">
        <v>3903</v>
      </c>
      <c r="E3454" s="695">
        <v>5</v>
      </c>
      <c r="F3454" s="695" t="s">
        <v>6436</v>
      </c>
      <c r="G3454" s="695">
        <v>2</v>
      </c>
      <c r="H3454" s="695" t="s">
        <v>6495</v>
      </c>
      <c r="I3454" s="695">
        <v>145</v>
      </c>
      <c r="J3454" s="695" t="s">
        <v>9162</v>
      </c>
      <c r="K3454" s="695" t="s">
        <v>3907</v>
      </c>
      <c r="L3454" s="696">
        <v>4</v>
      </c>
      <c r="M3454" s="170"/>
    </row>
    <row r="3455" spans="2:13" x14ac:dyDescent="0.2">
      <c r="B3455" s="173"/>
      <c r="C3455" s="694">
        <v>1</v>
      </c>
      <c r="D3455" s="695" t="s">
        <v>3903</v>
      </c>
      <c r="E3455" s="695">
        <v>5</v>
      </c>
      <c r="F3455" s="695" t="s">
        <v>6436</v>
      </c>
      <c r="G3455" s="695">
        <v>2</v>
      </c>
      <c r="H3455" s="695" t="s">
        <v>6495</v>
      </c>
      <c r="I3455" s="695">
        <v>146</v>
      </c>
      <c r="J3455" s="695" t="s">
        <v>9163</v>
      </c>
      <c r="K3455" s="695" t="s">
        <v>3907</v>
      </c>
      <c r="L3455" s="696">
        <v>2</v>
      </c>
      <c r="M3455" s="170"/>
    </row>
    <row r="3456" spans="2:13" x14ac:dyDescent="0.2">
      <c r="B3456" s="173"/>
      <c r="C3456" s="694">
        <v>1</v>
      </c>
      <c r="D3456" s="695" t="s">
        <v>3903</v>
      </c>
      <c r="E3456" s="695">
        <v>5</v>
      </c>
      <c r="F3456" s="695" t="s">
        <v>6436</v>
      </c>
      <c r="G3456" s="695">
        <v>2</v>
      </c>
      <c r="H3456" s="695" t="s">
        <v>6495</v>
      </c>
      <c r="I3456" s="695">
        <v>147</v>
      </c>
      <c r="J3456" s="695" t="s">
        <v>9164</v>
      </c>
      <c r="K3456" s="695" t="s">
        <v>3907</v>
      </c>
      <c r="L3456" s="696">
        <v>8</v>
      </c>
      <c r="M3456" s="170"/>
    </row>
    <row r="3457" spans="2:13" x14ac:dyDescent="0.2">
      <c r="B3457" s="173"/>
      <c r="C3457" s="694">
        <v>1</v>
      </c>
      <c r="D3457" s="695" t="s">
        <v>3903</v>
      </c>
      <c r="E3457" s="695">
        <v>5</v>
      </c>
      <c r="F3457" s="695" t="s">
        <v>6436</v>
      </c>
      <c r="G3457" s="695">
        <v>2</v>
      </c>
      <c r="H3457" s="695" t="s">
        <v>6495</v>
      </c>
      <c r="I3457" s="695">
        <v>148</v>
      </c>
      <c r="J3457" s="695" t="s">
        <v>8689</v>
      </c>
      <c r="K3457" s="695" t="s">
        <v>3907</v>
      </c>
      <c r="L3457" s="696">
        <v>2</v>
      </c>
      <c r="M3457" s="170"/>
    </row>
    <row r="3458" spans="2:13" x14ac:dyDescent="0.2">
      <c r="B3458" s="173"/>
      <c r="C3458" s="694">
        <v>1</v>
      </c>
      <c r="D3458" s="695" t="s">
        <v>3903</v>
      </c>
      <c r="E3458" s="695">
        <v>5</v>
      </c>
      <c r="F3458" s="695" t="s">
        <v>6436</v>
      </c>
      <c r="G3458" s="695">
        <v>2</v>
      </c>
      <c r="H3458" s="695" t="s">
        <v>6495</v>
      </c>
      <c r="I3458" s="695">
        <v>149</v>
      </c>
      <c r="J3458" s="695" t="s">
        <v>9165</v>
      </c>
      <c r="K3458" s="695" t="s">
        <v>3907</v>
      </c>
      <c r="L3458" s="696">
        <v>1</v>
      </c>
      <c r="M3458" s="170"/>
    </row>
    <row r="3459" spans="2:13" x14ac:dyDescent="0.2">
      <c r="B3459" s="173"/>
      <c r="C3459" s="694">
        <v>1</v>
      </c>
      <c r="D3459" s="695" t="s">
        <v>3903</v>
      </c>
      <c r="E3459" s="695">
        <v>5</v>
      </c>
      <c r="F3459" s="695" t="s">
        <v>6436</v>
      </c>
      <c r="G3459" s="695">
        <v>2</v>
      </c>
      <c r="H3459" s="695" t="s">
        <v>6495</v>
      </c>
      <c r="I3459" s="695">
        <v>150</v>
      </c>
      <c r="J3459" s="695" t="s">
        <v>9166</v>
      </c>
      <c r="K3459" s="695" t="s">
        <v>3907</v>
      </c>
      <c r="L3459" s="696">
        <v>0</v>
      </c>
      <c r="M3459" s="170"/>
    </row>
    <row r="3460" spans="2:13" x14ac:dyDescent="0.2">
      <c r="B3460" s="173"/>
      <c r="C3460" s="694">
        <v>1</v>
      </c>
      <c r="D3460" s="695" t="s">
        <v>3903</v>
      </c>
      <c r="E3460" s="695">
        <v>5</v>
      </c>
      <c r="F3460" s="695" t="s">
        <v>6436</v>
      </c>
      <c r="G3460" s="695">
        <v>2</v>
      </c>
      <c r="H3460" s="695" t="s">
        <v>6495</v>
      </c>
      <c r="I3460" s="695">
        <v>151</v>
      </c>
      <c r="J3460" s="695" t="s">
        <v>9167</v>
      </c>
      <c r="K3460" s="695" t="s">
        <v>3985</v>
      </c>
      <c r="L3460" s="696">
        <v>1</v>
      </c>
      <c r="M3460" s="170"/>
    </row>
    <row r="3461" spans="2:13" x14ac:dyDescent="0.2">
      <c r="B3461" s="173"/>
      <c r="C3461" s="694">
        <v>1</v>
      </c>
      <c r="D3461" s="695" t="s">
        <v>3903</v>
      </c>
      <c r="E3461" s="695">
        <v>5</v>
      </c>
      <c r="F3461" s="695" t="s">
        <v>6436</v>
      </c>
      <c r="G3461" s="695">
        <v>2</v>
      </c>
      <c r="H3461" s="695" t="s">
        <v>6495</v>
      </c>
      <c r="I3461" s="695">
        <v>152</v>
      </c>
      <c r="J3461" s="695" t="s">
        <v>9168</v>
      </c>
      <c r="K3461" s="695" t="s">
        <v>3907</v>
      </c>
      <c r="L3461" s="696">
        <v>4</v>
      </c>
      <c r="M3461" s="170"/>
    </row>
    <row r="3462" spans="2:13" x14ac:dyDescent="0.2">
      <c r="B3462" s="173"/>
      <c r="C3462" s="694">
        <v>1</v>
      </c>
      <c r="D3462" s="695" t="s">
        <v>3903</v>
      </c>
      <c r="E3462" s="695">
        <v>5</v>
      </c>
      <c r="F3462" s="695" t="s">
        <v>6436</v>
      </c>
      <c r="G3462" s="695">
        <v>2</v>
      </c>
      <c r="H3462" s="695" t="s">
        <v>6495</v>
      </c>
      <c r="I3462" s="695">
        <v>153</v>
      </c>
      <c r="J3462" s="695" t="s">
        <v>9169</v>
      </c>
      <c r="K3462" s="695" t="s">
        <v>8544</v>
      </c>
      <c r="L3462" s="696">
        <v>3</v>
      </c>
      <c r="M3462" s="170"/>
    </row>
    <row r="3463" spans="2:13" x14ac:dyDescent="0.2">
      <c r="B3463" s="173"/>
      <c r="C3463" s="694">
        <v>1</v>
      </c>
      <c r="D3463" s="695" t="s">
        <v>3903</v>
      </c>
      <c r="E3463" s="695">
        <v>5</v>
      </c>
      <c r="F3463" s="695" t="s">
        <v>6436</v>
      </c>
      <c r="G3463" s="695">
        <v>2</v>
      </c>
      <c r="H3463" s="695" t="s">
        <v>6495</v>
      </c>
      <c r="I3463" s="695">
        <v>154</v>
      </c>
      <c r="J3463" s="695" t="s">
        <v>6497</v>
      </c>
      <c r="K3463" s="695" t="s">
        <v>3985</v>
      </c>
      <c r="L3463" s="696">
        <v>5</v>
      </c>
      <c r="M3463" s="170"/>
    </row>
    <row r="3464" spans="2:13" x14ac:dyDescent="0.2">
      <c r="B3464" s="173"/>
      <c r="C3464" s="694">
        <v>1</v>
      </c>
      <c r="D3464" s="695" t="s">
        <v>3903</v>
      </c>
      <c r="E3464" s="695">
        <v>5</v>
      </c>
      <c r="F3464" s="695" t="s">
        <v>6436</v>
      </c>
      <c r="G3464" s="695">
        <v>2</v>
      </c>
      <c r="H3464" s="695" t="s">
        <v>6495</v>
      </c>
      <c r="I3464" s="695">
        <v>155</v>
      </c>
      <c r="J3464" s="695" t="s">
        <v>9170</v>
      </c>
      <c r="K3464" s="695" t="s">
        <v>4057</v>
      </c>
      <c r="L3464" s="696">
        <v>1</v>
      </c>
      <c r="M3464" s="170"/>
    </row>
    <row r="3465" spans="2:13" x14ac:dyDescent="0.2">
      <c r="B3465" s="173"/>
      <c r="C3465" s="694">
        <v>1</v>
      </c>
      <c r="D3465" s="695" t="s">
        <v>3903</v>
      </c>
      <c r="E3465" s="695">
        <v>5</v>
      </c>
      <c r="F3465" s="695" t="s">
        <v>6436</v>
      </c>
      <c r="G3465" s="695">
        <v>2</v>
      </c>
      <c r="H3465" s="695" t="s">
        <v>6495</v>
      </c>
      <c r="I3465" s="695">
        <v>156</v>
      </c>
      <c r="J3465" s="695" t="s">
        <v>9171</v>
      </c>
      <c r="K3465" s="695" t="s">
        <v>8544</v>
      </c>
      <c r="L3465" s="696">
        <v>1</v>
      </c>
      <c r="M3465" s="170"/>
    </row>
    <row r="3466" spans="2:13" x14ac:dyDescent="0.2">
      <c r="B3466" s="173"/>
      <c r="C3466" s="694">
        <v>1</v>
      </c>
      <c r="D3466" s="695" t="s">
        <v>3903</v>
      </c>
      <c r="E3466" s="695">
        <v>5</v>
      </c>
      <c r="F3466" s="695" t="s">
        <v>6436</v>
      </c>
      <c r="G3466" s="695">
        <v>2</v>
      </c>
      <c r="H3466" s="695" t="s">
        <v>6495</v>
      </c>
      <c r="I3466" s="695">
        <v>157</v>
      </c>
      <c r="J3466" s="695" t="s">
        <v>9172</v>
      </c>
      <c r="K3466" s="695" t="s">
        <v>8544</v>
      </c>
      <c r="L3466" s="696">
        <v>1</v>
      </c>
      <c r="M3466" s="170"/>
    </row>
    <row r="3467" spans="2:13" x14ac:dyDescent="0.2">
      <c r="B3467" s="173"/>
      <c r="C3467" s="694">
        <v>1</v>
      </c>
      <c r="D3467" s="695" t="s">
        <v>3903</v>
      </c>
      <c r="E3467" s="695">
        <v>6</v>
      </c>
      <c r="F3467" s="695" t="s">
        <v>6634</v>
      </c>
      <c r="G3467" s="695">
        <v>1</v>
      </c>
      <c r="H3467" s="695" t="s">
        <v>6635</v>
      </c>
      <c r="I3467" s="695">
        <v>2</v>
      </c>
      <c r="J3467" s="695" t="s">
        <v>6636</v>
      </c>
      <c r="K3467" s="695" t="s">
        <v>4117</v>
      </c>
      <c r="L3467" s="696">
        <v>731</v>
      </c>
      <c r="M3467" s="170"/>
    </row>
    <row r="3468" spans="2:13" x14ac:dyDescent="0.2">
      <c r="B3468" s="173"/>
      <c r="C3468" s="694">
        <v>1</v>
      </c>
      <c r="D3468" s="695" t="s">
        <v>3903</v>
      </c>
      <c r="E3468" s="695">
        <v>6</v>
      </c>
      <c r="F3468" s="695" t="s">
        <v>6634</v>
      </c>
      <c r="G3468" s="695">
        <v>1</v>
      </c>
      <c r="H3468" s="695" t="s">
        <v>6635</v>
      </c>
      <c r="I3468" s="695">
        <v>3</v>
      </c>
      <c r="J3468" s="695" t="s">
        <v>6637</v>
      </c>
      <c r="K3468" s="695" t="s">
        <v>4117</v>
      </c>
      <c r="L3468" s="696">
        <v>3</v>
      </c>
      <c r="M3468" s="170"/>
    </row>
    <row r="3469" spans="2:13" x14ac:dyDescent="0.2">
      <c r="B3469" s="173"/>
      <c r="C3469" s="694">
        <v>1</v>
      </c>
      <c r="D3469" s="695" t="s">
        <v>3903</v>
      </c>
      <c r="E3469" s="695">
        <v>6</v>
      </c>
      <c r="F3469" s="695" t="s">
        <v>6634</v>
      </c>
      <c r="G3469" s="695">
        <v>1</v>
      </c>
      <c r="H3469" s="695" t="s">
        <v>6635</v>
      </c>
      <c r="I3469" s="695">
        <v>4</v>
      </c>
      <c r="J3469" s="695" t="s">
        <v>6638</v>
      </c>
      <c r="K3469" s="695" t="s">
        <v>4117</v>
      </c>
      <c r="L3469" s="696">
        <v>49</v>
      </c>
      <c r="M3469" s="170"/>
    </row>
    <row r="3470" spans="2:13" x14ac:dyDescent="0.2">
      <c r="B3470" s="173"/>
      <c r="C3470" s="694">
        <v>1</v>
      </c>
      <c r="D3470" s="695" t="s">
        <v>3903</v>
      </c>
      <c r="E3470" s="695">
        <v>6</v>
      </c>
      <c r="F3470" s="695" t="s">
        <v>6634</v>
      </c>
      <c r="G3470" s="695">
        <v>1</v>
      </c>
      <c r="H3470" s="695" t="s">
        <v>6635</v>
      </c>
      <c r="I3470" s="695">
        <v>5</v>
      </c>
      <c r="J3470" s="695" t="s">
        <v>6639</v>
      </c>
      <c r="K3470" s="695" t="s">
        <v>4117</v>
      </c>
      <c r="L3470" s="696">
        <v>3</v>
      </c>
      <c r="M3470" s="170"/>
    </row>
    <row r="3471" spans="2:13" x14ac:dyDescent="0.2">
      <c r="B3471" s="173"/>
      <c r="C3471" s="694">
        <v>1</v>
      </c>
      <c r="D3471" s="695" t="s">
        <v>3903</v>
      </c>
      <c r="E3471" s="695">
        <v>6</v>
      </c>
      <c r="F3471" s="695" t="s">
        <v>6634</v>
      </c>
      <c r="G3471" s="695">
        <v>1</v>
      </c>
      <c r="H3471" s="695" t="s">
        <v>6635</v>
      </c>
      <c r="I3471" s="695">
        <v>7</v>
      </c>
      <c r="J3471" s="695" t="s">
        <v>6640</v>
      </c>
      <c r="K3471" s="695" t="s">
        <v>4117</v>
      </c>
      <c r="L3471" s="696">
        <v>13</v>
      </c>
      <c r="M3471" s="170"/>
    </row>
    <row r="3472" spans="2:13" x14ac:dyDescent="0.2">
      <c r="B3472" s="173"/>
      <c r="C3472" s="694">
        <v>1</v>
      </c>
      <c r="D3472" s="695" t="s">
        <v>3903</v>
      </c>
      <c r="E3472" s="695">
        <v>6</v>
      </c>
      <c r="F3472" s="695" t="s">
        <v>6634</v>
      </c>
      <c r="G3472" s="695">
        <v>1</v>
      </c>
      <c r="H3472" s="695" t="s">
        <v>6635</v>
      </c>
      <c r="I3472" s="695">
        <v>8</v>
      </c>
      <c r="J3472" s="695" t="s">
        <v>6641</v>
      </c>
      <c r="K3472" s="695" t="s">
        <v>4117</v>
      </c>
      <c r="L3472" s="696">
        <v>1</v>
      </c>
      <c r="M3472" s="170"/>
    </row>
    <row r="3473" spans="2:13" x14ac:dyDescent="0.2">
      <c r="B3473" s="173"/>
      <c r="C3473" s="694">
        <v>1</v>
      </c>
      <c r="D3473" s="695" t="s">
        <v>3903</v>
      </c>
      <c r="E3473" s="695">
        <v>6</v>
      </c>
      <c r="F3473" s="695" t="s">
        <v>6634</v>
      </c>
      <c r="G3473" s="695">
        <v>1</v>
      </c>
      <c r="H3473" s="695" t="s">
        <v>6635</v>
      </c>
      <c r="I3473" s="695">
        <v>9</v>
      </c>
      <c r="J3473" s="695" t="s">
        <v>6642</v>
      </c>
      <c r="K3473" s="695" t="s">
        <v>4117</v>
      </c>
      <c r="L3473" s="696">
        <v>3</v>
      </c>
      <c r="M3473" s="170"/>
    </row>
    <row r="3474" spans="2:13" x14ac:dyDescent="0.2">
      <c r="B3474" s="173"/>
      <c r="C3474" s="694">
        <v>1</v>
      </c>
      <c r="D3474" s="695" t="s">
        <v>3903</v>
      </c>
      <c r="E3474" s="695">
        <v>6</v>
      </c>
      <c r="F3474" s="695" t="s">
        <v>6634</v>
      </c>
      <c r="G3474" s="695">
        <v>1</v>
      </c>
      <c r="H3474" s="695" t="s">
        <v>6635</v>
      </c>
      <c r="I3474" s="695">
        <v>10</v>
      </c>
      <c r="J3474" s="695" t="s">
        <v>6643</v>
      </c>
      <c r="K3474" s="695" t="s">
        <v>4117</v>
      </c>
      <c r="L3474" s="696">
        <v>0</v>
      </c>
      <c r="M3474" s="170"/>
    </row>
    <row r="3475" spans="2:13" x14ac:dyDescent="0.2">
      <c r="B3475" s="173"/>
      <c r="C3475" s="694">
        <v>1</v>
      </c>
      <c r="D3475" s="695" t="s">
        <v>3903</v>
      </c>
      <c r="E3475" s="695">
        <v>6</v>
      </c>
      <c r="F3475" s="695" t="s">
        <v>6634</v>
      </c>
      <c r="G3475" s="695">
        <v>1</v>
      </c>
      <c r="H3475" s="695" t="s">
        <v>6635</v>
      </c>
      <c r="I3475" s="695">
        <v>11</v>
      </c>
      <c r="J3475" s="695" t="s">
        <v>6644</v>
      </c>
      <c r="K3475" s="695" t="s">
        <v>4117</v>
      </c>
      <c r="L3475" s="696">
        <v>2</v>
      </c>
      <c r="M3475" s="170"/>
    </row>
    <row r="3476" spans="2:13" x14ac:dyDescent="0.2">
      <c r="B3476" s="173"/>
      <c r="C3476" s="694">
        <v>1</v>
      </c>
      <c r="D3476" s="695" t="s">
        <v>3903</v>
      </c>
      <c r="E3476" s="695">
        <v>6</v>
      </c>
      <c r="F3476" s="695" t="s">
        <v>6634</v>
      </c>
      <c r="G3476" s="695">
        <v>1</v>
      </c>
      <c r="H3476" s="695" t="s">
        <v>6635</v>
      </c>
      <c r="I3476" s="695">
        <v>12</v>
      </c>
      <c r="J3476" s="695" t="s">
        <v>6645</v>
      </c>
      <c r="K3476" s="695" t="s">
        <v>4117</v>
      </c>
      <c r="L3476" s="696">
        <v>21</v>
      </c>
      <c r="M3476" s="170"/>
    </row>
    <row r="3477" spans="2:13" x14ac:dyDescent="0.2">
      <c r="B3477" s="173"/>
      <c r="C3477" s="694">
        <v>1</v>
      </c>
      <c r="D3477" s="695" t="s">
        <v>3903</v>
      </c>
      <c r="E3477" s="695">
        <v>6</v>
      </c>
      <c r="F3477" s="695" t="s">
        <v>6634</v>
      </c>
      <c r="G3477" s="695">
        <v>2</v>
      </c>
      <c r="H3477" s="695" t="s">
        <v>4823</v>
      </c>
      <c r="I3477" s="695">
        <v>1</v>
      </c>
      <c r="J3477" s="695" t="s">
        <v>6646</v>
      </c>
      <c r="K3477" s="695" t="s">
        <v>4117</v>
      </c>
      <c r="L3477" s="696">
        <v>3</v>
      </c>
      <c r="M3477" s="170"/>
    </row>
    <row r="3478" spans="2:13" x14ac:dyDescent="0.2">
      <c r="B3478" s="173"/>
      <c r="C3478" s="694">
        <v>1</v>
      </c>
      <c r="D3478" s="695" t="s">
        <v>3903</v>
      </c>
      <c r="E3478" s="695">
        <v>6</v>
      </c>
      <c r="F3478" s="695" t="s">
        <v>6634</v>
      </c>
      <c r="G3478" s="695">
        <v>3</v>
      </c>
      <c r="H3478" s="695" t="s">
        <v>6647</v>
      </c>
      <c r="I3478" s="695">
        <v>1</v>
      </c>
      <c r="J3478" s="695" t="s">
        <v>6648</v>
      </c>
      <c r="K3478" s="695" t="s">
        <v>4117</v>
      </c>
      <c r="L3478" s="696">
        <v>45</v>
      </c>
      <c r="M3478" s="170"/>
    </row>
    <row r="3479" spans="2:13" x14ac:dyDescent="0.2">
      <c r="B3479" s="173"/>
      <c r="C3479" s="694">
        <v>1</v>
      </c>
      <c r="D3479" s="695" t="s">
        <v>3903</v>
      </c>
      <c r="E3479" s="695">
        <v>6</v>
      </c>
      <c r="F3479" s="695" t="s">
        <v>6634</v>
      </c>
      <c r="G3479" s="695">
        <v>4</v>
      </c>
      <c r="H3479" s="695" t="s">
        <v>6649</v>
      </c>
      <c r="I3479" s="695">
        <v>1</v>
      </c>
      <c r="J3479" s="695" t="s">
        <v>6650</v>
      </c>
      <c r="K3479" s="695" t="s">
        <v>4117</v>
      </c>
      <c r="L3479" s="696">
        <v>4</v>
      </c>
      <c r="M3479" s="170"/>
    </row>
    <row r="3480" spans="2:13" x14ac:dyDescent="0.2">
      <c r="B3480" s="173"/>
      <c r="C3480" s="694">
        <v>1</v>
      </c>
      <c r="D3480" s="695" t="s">
        <v>3903</v>
      </c>
      <c r="E3480" s="695">
        <v>6</v>
      </c>
      <c r="F3480" s="695" t="s">
        <v>6634</v>
      </c>
      <c r="G3480" s="695">
        <v>4</v>
      </c>
      <c r="H3480" s="695" t="s">
        <v>6649</v>
      </c>
      <c r="I3480" s="695">
        <v>2</v>
      </c>
      <c r="J3480" s="695" t="s">
        <v>6651</v>
      </c>
      <c r="K3480" s="695" t="s">
        <v>4117</v>
      </c>
      <c r="L3480" s="696">
        <v>8</v>
      </c>
      <c r="M3480" s="170"/>
    </row>
    <row r="3481" spans="2:13" x14ac:dyDescent="0.2">
      <c r="B3481" s="173"/>
      <c r="C3481" s="694">
        <v>1</v>
      </c>
      <c r="D3481" s="695" t="s">
        <v>3903</v>
      </c>
      <c r="E3481" s="695">
        <v>6</v>
      </c>
      <c r="F3481" s="695" t="s">
        <v>6634</v>
      </c>
      <c r="G3481" s="695">
        <v>5</v>
      </c>
      <c r="H3481" s="695" t="s">
        <v>6652</v>
      </c>
      <c r="I3481" s="695">
        <v>1</v>
      </c>
      <c r="J3481" s="695" t="s">
        <v>6653</v>
      </c>
      <c r="K3481" s="695" t="s">
        <v>4117</v>
      </c>
      <c r="L3481" s="696">
        <v>10</v>
      </c>
      <c r="M3481" s="170"/>
    </row>
    <row r="3482" spans="2:13" x14ac:dyDescent="0.2">
      <c r="B3482" s="173"/>
      <c r="C3482" s="694">
        <v>1</v>
      </c>
      <c r="D3482" s="695" t="s">
        <v>3903</v>
      </c>
      <c r="E3482" s="695">
        <v>6</v>
      </c>
      <c r="F3482" s="695" t="s">
        <v>6634</v>
      </c>
      <c r="G3482" s="695">
        <v>6</v>
      </c>
      <c r="H3482" s="695" t="s">
        <v>6654</v>
      </c>
      <c r="I3482" s="695">
        <v>1</v>
      </c>
      <c r="J3482" s="695" t="s">
        <v>6655</v>
      </c>
      <c r="K3482" s="695" t="s">
        <v>4117</v>
      </c>
      <c r="L3482" s="696">
        <v>52</v>
      </c>
      <c r="M3482" s="170"/>
    </row>
    <row r="3483" spans="2:13" x14ac:dyDescent="0.2">
      <c r="B3483" s="173"/>
      <c r="C3483" s="694">
        <v>1</v>
      </c>
      <c r="D3483" s="695" t="s">
        <v>3903</v>
      </c>
      <c r="E3483" s="695">
        <v>6</v>
      </c>
      <c r="F3483" s="695" t="s">
        <v>6634</v>
      </c>
      <c r="G3483" s="695">
        <v>6</v>
      </c>
      <c r="H3483" s="695" t="s">
        <v>6654</v>
      </c>
      <c r="I3483" s="695">
        <v>2</v>
      </c>
      <c r="J3483" s="695" t="s">
        <v>6656</v>
      </c>
      <c r="K3483" s="695" t="s">
        <v>4117</v>
      </c>
      <c r="L3483" s="696">
        <v>446</v>
      </c>
      <c r="M3483" s="170"/>
    </row>
    <row r="3484" spans="2:13" x14ac:dyDescent="0.2">
      <c r="B3484" s="173"/>
      <c r="C3484" s="694">
        <v>1</v>
      </c>
      <c r="D3484" s="695" t="s">
        <v>3903</v>
      </c>
      <c r="E3484" s="695">
        <v>6</v>
      </c>
      <c r="F3484" s="695" t="s">
        <v>6634</v>
      </c>
      <c r="G3484" s="695">
        <v>6</v>
      </c>
      <c r="H3484" s="695" t="s">
        <v>6654</v>
      </c>
      <c r="I3484" s="695">
        <v>3</v>
      </c>
      <c r="J3484" s="695" t="s">
        <v>6657</v>
      </c>
      <c r="K3484" s="695" t="s">
        <v>4117</v>
      </c>
      <c r="L3484" s="696">
        <v>6028</v>
      </c>
      <c r="M3484" s="170"/>
    </row>
    <row r="3485" spans="2:13" x14ac:dyDescent="0.2">
      <c r="B3485" s="173"/>
      <c r="C3485" s="694">
        <v>1</v>
      </c>
      <c r="D3485" s="695" t="s">
        <v>3903</v>
      </c>
      <c r="E3485" s="695">
        <v>6</v>
      </c>
      <c r="F3485" s="695" t="s">
        <v>6634</v>
      </c>
      <c r="G3485" s="695">
        <v>6</v>
      </c>
      <c r="H3485" s="695" t="s">
        <v>6654</v>
      </c>
      <c r="I3485" s="695">
        <v>4</v>
      </c>
      <c r="J3485" s="695" t="s">
        <v>6658</v>
      </c>
      <c r="K3485" s="695" t="s">
        <v>4117</v>
      </c>
      <c r="L3485" s="696">
        <v>12</v>
      </c>
      <c r="M3485" s="170"/>
    </row>
    <row r="3486" spans="2:13" x14ac:dyDescent="0.2">
      <c r="B3486" s="173"/>
      <c r="C3486" s="694">
        <v>1</v>
      </c>
      <c r="D3486" s="695" t="s">
        <v>3903</v>
      </c>
      <c r="E3486" s="695">
        <v>6</v>
      </c>
      <c r="F3486" s="695" t="s">
        <v>6634</v>
      </c>
      <c r="G3486" s="695">
        <v>6</v>
      </c>
      <c r="H3486" s="695" t="s">
        <v>6654</v>
      </c>
      <c r="I3486" s="695">
        <v>5</v>
      </c>
      <c r="J3486" s="695" t="s">
        <v>6659</v>
      </c>
      <c r="K3486" s="695" t="s">
        <v>4117</v>
      </c>
      <c r="L3486" s="696">
        <v>1268</v>
      </c>
      <c r="M3486" s="170"/>
    </row>
    <row r="3487" spans="2:13" x14ac:dyDescent="0.2">
      <c r="B3487" s="173"/>
      <c r="C3487" s="694">
        <v>1</v>
      </c>
      <c r="D3487" s="695" t="s">
        <v>3903</v>
      </c>
      <c r="E3487" s="695">
        <v>6</v>
      </c>
      <c r="F3487" s="695" t="s">
        <v>6634</v>
      </c>
      <c r="G3487" s="695">
        <v>7</v>
      </c>
      <c r="H3487" s="695" t="s">
        <v>6660</v>
      </c>
      <c r="I3487" s="695">
        <v>1</v>
      </c>
      <c r="J3487" s="695" t="s">
        <v>6661</v>
      </c>
      <c r="K3487" s="695" t="s">
        <v>4117</v>
      </c>
      <c r="L3487" s="696">
        <v>2</v>
      </c>
      <c r="M3487" s="170"/>
    </row>
    <row r="3488" spans="2:13" x14ac:dyDescent="0.2">
      <c r="B3488" s="173"/>
      <c r="C3488" s="694">
        <v>1</v>
      </c>
      <c r="D3488" s="695" t="s">
        <v>3903</v>
      </c>
      <c r="E3488" s="695">
        <v>6</v>
      </c>
      <c r="F3488" s="695" t="s">
        <v>6634</v>
      </c>
      <c r="G3488" s="695">
        <v>8</v>
      </c>
      <c r="H3488" s="695" t="s">
        <v>6662</v>
      </c>
      <c r="I3488" s="695">
        <v>1</v>
      </c>
      <c r="J3488" s="695" t="s">
        <v>6663</v>
      </c>
      <c r="K3488" s="695" t="s">
        <v>4117</v>
      </c>
      <c r="L3488" s="696">
        <v>1</v>
      </c>
      <c r="M3488" s="170"/>
    </row>
    <row r="3489" spans="2:13" x14ac:dyDescent="0.2">
      <c r="B3489" s="173"/>
      <c r="C3489" s="694">
        <v>1</v>
      </c>
      <c r="D3489" s="695" t="s">
        <v>3903</v>
      </c>
      <c r="E3489" s="695">
        <v>6</v>
      </c>
      <c r="F3489" s="695" t="s">
        <v>6634</v>
      </c>
      <c r="G3489" s="695">
        <v>8</v>
      </c>
      <c r="H3489" s="695" t="s">
        <v>6662</v>
      </c>
      <c r="I3489" s="695">
        <v>2</v>
      </c>
      <c r="J3489" s="695" t="s">
        <v>6664</v>
      </c>
      <c r="K3489" s="695" t="s">
        <v>4117</v>
      </c>
      <c r="L3489" s="696">
        <v>0</v>
      </c>
      <c r="M3489" s="170"/>
    </row>
    <row r="3490" spans="2:13" x14ac:dyDescent="0.2">
      <c r="B3490" s="173"/>
      <c r="C3490" s="694">
        <v>1</v>
      </c>
      <c r="D3490" s="695" t="s">
        <v>3903</v>
      </c>
      <c r="E3490" s="695">
        <v>6</v>
      </c>
      <c r="F3490" s="695" t="s">
        <v>6634</v>
      </c>
      <c r="G3490" s="695">
        <v>8</v>
      </c>
      <c r="H3490" s="695" t="s">
        <v>6662</v>
      </c>
      <c r="I3490" s="695">
        <v>3</v>
      </c>
      <c r="J3490" s="695" t="s">
        <v>6665</v>
      </c>
      <c r="K3490" s="695" t="s">
        <v>4117</v>
      </c>
      <c r="L3490" s="696">
        <v>28</v>
      </c>
      <c r="M3490" s="170"/>
    </row>
    <row r="3491" spans="2:13" x14ac:dyDescent="0.2">
      <c r="B3491" s="173"/>
      <c r="C3491" s="694">
        <v>1</v>
      </c>
      <c r="D3491" s="695" t="s">
        <v>3903</v>
      </c>
      <c r="E3491" s="695">
        <v>6</v>
      </c>
      <c r="F3491" s="695" t="s">
        <v>6634</v>
      </c>
      <c r="G3491" s="695">
        <v>8</v>
      </c>
      <c r="H3491" s="695" t="s">
        <v>6662</v>
      </c>
      <c r="I3491" s="695">
        <v>4</v>
      </c>
      <c r="J3491" s="695" t="s">
        <v>6666</v>
      </c>
      <c r="K3491" s="695" t="s">
        <v>4117</v>
      </c>
      <c r="L3491" s="696">
        <v>118</v>
      </c>
      <c r="M3491" s="170"/>
    </row>
    <row r="3492" spans="2:13" x14ac:dyDescent="0.2">
      <c r="B3492" s="173"/>
      <c r="C3492" s="694">
        <v>1</v>
      </c>
      <c r="D3492" s="695" t="s">
        <v>3903</v>
      </c>
      <c r="E3492" s="695">
        <v>6</v>
      </c>
      <c r="F3492" s="695" t="s">
        <v>6634</v>
      </c>
      <c r="G3492" s="695">
        <v>8</v>
      </c>
      <c r="H3492" s="695" t="s">
        <v>6662</v>
      </c>
      <c r="I3492" s="695">
        <v>5</v>
      </c>
      <c r="J3492" s="695" t="s">
        <v>6667</v>
      </c>
      <c r="K3492" s="695" t="s">
        <v>4117</v>
      </c>
      <c r="L3492" s="696">
        <v>47</v>
      </c>
      <c r="M3492" s="170"/>
    </row>
    <row r="3493" spans="2:13" x14ac:dyDescent="0.2">
      <c r="B3493" s="173"/>
      <c r="C3493" s="694">
        <v>1</v>
      </c>
      <c r="D3493" s="695" t="s">
        <v>3903</v>
      </c>
      <c r="E3493" s="695">
        <v>6</v>
      </c>
      <c r="F3493" s="695" t="s">
        <v>6634</v>
      </c>
      <c r="G3493" s="695">
        <v>8</v>
      </c>
      <c r="H3493" s="695" t="s">
        <v>6662</v>
      </c>
      <c r="I3493" s="695">
        <v>7</v>
      </c>
      <c r="J3493" s="695" t="s">
        <v>6668</v>
      </c>
      <c r="K3493" s="695" t="s">
        <v>4117</v>
      </c>
      <c r="L3493" s="696">
        <v>14</v>
      </c>
      <c r="M3493" s="170"/>
    </row>
    <row r="3494" spans="2:13" x14ac:dyDescent="0.2">
      <c r="B3494" s="173"/>
      <c r="C3494" s="694">
        <v>1</v>
      </c>
      <c r="D3494" s="695" t="s">
        <v>3903</v>
      </c>
      <c r="E3494" s="695">
        <v>6</v>
      </c>
      <c r="F3494" s="695" t="s">
        <v>6634</v>
      </c>
      <c r="G3494" s="695">
        <v>8</v>
      </c>
      <c r="H3494" s="695" t="s">
        <v>6662</v>
      </c>
      <c r="I3494" s="695">
        <v>8</v>
      </c>
      <c r="J3494" s="695" t="s">
        <v>6669</v>
      </c>
      <c r="K3494" s="695" t="s">
        <v>4117</v>
      </c>
      <c r="L3494" s="696">
        <v>1</v>
      </c>
      <c r="M3494" s="170"/>
    </row>
    <row r="3495" spans="2:13" x14ac:dyDescent="0.2">
      <c r="B3495" s="173"/>
      <c r="C3495" s="694">
        <v>1</v>
      </c>
      <c r="D3495" s="695" t="s">
        <v>3903</v>
      </c>
      <c r="E3495" s="695">
        <v>6</v>
      </c>
      <c r="F3495" s="695" t="s">
        <v>6634</v>
      </c>
      <c r="G3495" s="695">
        <v>8</v>
      </c>
      <c r="H3495" s="695" t="s">
        <v>6662</v>
      </c>
      <c r="I3495" s="695">
        <v>9</v>
      </c>
      <c r="J3495" s="695" t="s">
        <v>6670</v>
      </c>
      <c r="K3495" s="695" t="s">
        <v>4117</v>
      </c>
      <c r="L3495" s="696">
        <v>77</v>
      </c>
      <c r="M3495" s="170"/>
    </row>
    <row r="3496" spans="2:13" x14ac:dyDescent="0.2">
      <c r="B3496" s="173"/>
      <c r="C3496" s="694">
        <v>1</v>
      </c>
      <c r="D3496" s="695" t="s">
        <v>3903</v>
      </c>
      <c r="E3496" s="695">
        <v>6</v>
      </c>
      <c r="F3496" s="695" t="s">
        <v>6634</v>
      </c>
      <c r="G3496" s="695">
        <v>8</v>
      </c>
      <c r="H3496" s="695" t="s">
        <v>6662</v>
      </c>
      <c r="I3496" s="695">
        <v>10</v>
      </c>
      <c r="J3496" s="695" t="s">
        <v>6671</v>
      </c>
      <c r="K3496" s="695" t="s">
        <v>4117</v>
      </c>
      <c r="L3496" s="696">
        <v>41</v>
      </c>
      <c r="M3496" s="170"/>
    </row>
    <row r="3497" spans="2:13" x14ac:dyDescent="0.2">
      <c r="B3497" s="173"/>
      <c r="C3497" s="694">
        <v>1</v>
      </c>
      <c r="D3497" s="695" t="s">
        <v>3903</v>
      </c>
      <c r="E3497" s="695">
        <v>6</v>
      </c>
      <c r="F3497" s="695" t="s">
        <v>6634</v>
      </c>
      <c r="G3497" s="695">
        <v>8</v>
      </c>
      <c r="H3497" s="695" t="s">
        <v>6662</v>
      </c>
      <c r="I3497" s="695">
        <v>11</v>
      </c>
      <c r="J3497" s="695" t="s">
        <v>6672</v>
      </c>
      <c r="K3497" s="695" t="s">
        <v>4117</v>
      </c>
      <c r="L3497" s="696">
        <v>3</v>
      </c>
      <c r="M3497" s="170"/>
    </row>
    <row r="3498" spans="2:13" x14ac:dyDescent="0.2">
      <c r="B3498" s="173"/>
      <c r="C3498" s="694">
        <v>1</v>
      </c>
      <c r="D3498" s="695" t="s">
        <v>3903</v>
      </c>
      <c r="E3498" s="695">
        <v>6</v>
      </c>
      <c r="F3498" s="695" t="s">
        <v>6634</v>
      </c>
      <c r="G3498" s="695">
        <v>8</v>
      </c>
      <c r="H3498" s="695" t="s">
        <v>6662</v>
      </c>
      <c r="I3498" s="695">
        <v>12</v>
      </c>
      <c r="J3498" s="695" t="s">
        <v>6673</v>
      </c>
      <c r="K3498" s="695" t="s">
        <v>4117</v>
      </c>
      <c r="L3498" s="696">
        <v>1</v>
      </c>
      <c r="M3498" s="170"/>
    </row>
    <row r="3499" spans="2:13" x14ac:dyDescent="0.2">
      <c r="B3499" s="173"/>
      <c r="C3499" s="694">
        <v>1</v>
      </c>
      <c r="D3499" s="695" t="s">
        <v>3903</v>
      </c>
      <c r="E3499" s="695">
        <v>6</v>
      </c>
      <c r="F3499" s="695" t="s">
        <v>6634</v>
      </c>
      <c r="G3499" s="695">
        <v>9</v>
      </c>
      <c r="H3499" s="695" t="s">
        <v>6674</v>
      </c>
      <c r="I3499" s="695">
        <v>3</v>
      </c>
      <c r="J3499" s="695" t="s">
        <v>6675</v>
      </c>
      <c r="K3499" s="695" t="s">
        <v>4117</v>
      </c>
      <c r="L3499" s="696">
        <v>461</v>
      </c>
      <c r="M3499" s="170"/>
    </row>
    <row r="3500" spans="2:13" x14ac:dyDescent="0.2">
      <c r="B3500" s="173"/>
      <c r="C3500" s="694">
        <v>1</v>
      </c>
      <c r="D3500" s="695" t="s">
        <v>3903</v>
      </c>
      <c r="E3500" s="695">
        <v>6</v>
      </c>
      <c r="F3500" s="695" t="s">
        <v>6634</v>
      </c>
      <c r="G3500" s="695">
        <v>10</v>
      </c>
      <c r="H3500" s="695" t="s">
        <v>6676</v>
      </c>
      <c r="I3500" s="695">
        <v>2</v>
      </c>
      <c r="J3500" s="695" t="s">
        <v>6677</v>
      </c>
      <c r="K3500" s="695" t="s">
        <v>4117</v>
      </c>
      <c r="L3500" s="696">
        <v>0</v>
      </c>
      <c r="M3500" s="170"/>
    </row>
    <row r="3501" spans="2:13" x14ac:dyDescent="0.2">
      <c r="B3501" s="173"/>
      <c r="C3501" s="694">
        <v>1</v>
      </c>
      <c r="D3501" s="695" t="s">
        <v>3903</v>
      </c>
      <c r="E3501" s="695">
        <v>6</v>
      </c>
      <c r="F3501" s="695" t="s">
        <v>6634</v>
      </c>
      <c r="G3501" s="695">
        <v>10</v>
      </c>
      <c r="H3501" s="695" t="s">
        <v>6676</v>
      </c>
      <c r="I3501" s="695">
        <v>3</v>
      </c>
      <c r="J3501" s="695" t="s">
        <v>6678</v>
      </c>
      <c r="K3501" s="695" t="s">
        <v>4117</v>
      </c>
      <c r="L3501" s="696">
        <v>34</v>
      </c>
      <c r="M3501" s="170"/>
    </row>
    <row r="3502" spans="2:13" x14ac:dyDescent="0.2">
      <c r="B3502" s="173"/>
      <c r="C3502" s="694">
        <v>1</v>
      </c>
      <c r="D3502" s="695" t="s">
        <v>3903</v>
      </c>
      <c r="E3502" s="695">
        <v>6</v>
      </c>
      <c r="F3502" s="695" t="s">
        <v>6634</v>
      </c>
      <c r="G3502" s="695">
        <v>11</v>
      </c>
      <c r="H3502" s="695" t="s">
        <v>6679</v>
      </c>
      <c r="I3502" s="695">
        <v>1</v>
      </c>
      <c r="J3502" s="695" t="s">
        <v>6680</v>
      </c>
      <c r="K3502" s="695" t="s">
        <v>4117</v>
      </c>
      <c r="L3502" s="696">
        <v>11</v>
      </c>
      <c r="M3502" s="170"/>
    </row>
    <row r="3503" spans="2:13" x14ac:dyDescent="0.2">
      <c r="B3503" s="173"/>
      <c r="C3503" s="694">
        <v>1</v>
      </c>
      <c r="D3503" s="695" t="s">
        <v>3903</v>
      </c>
      <c r="E3503" s="695">
        <v>6</v>
      </c>
      <c r="F3503" s="695" t="s">
        <v>6634</v>
      </c>
      <c r="G3503" s="695">
        <v>12</v>
      </c>
      <c r="H3503" s="695" t="s">
        <v>6681</v>
      </c>
      <c r="I3503" s="695">
        <v>1</v>
      </c>
      <c r="J3503" s="695" t="s">
        <v>6682</v>
      </c>
      <c r="K3503" s="695" t="s">
        <v>4117</v>
      </c>
      <c r="L3503" s="696">
        <v>11</v>
      </c>
      <c r="M3503" s="170"/>
    </row>
    <row r="3504" spans="2:13" x14ac:dyDescent="0.2">
      <c r="B3504" s="173"/>
      <c r="C3504" s="694">
        <v>1</v>
      </c>
      <c r="D3504" s="695" t="s">
        <v>3903</v>
      </c>
      <c r="E3504" s="695">
        <v>6</v>
      </c>
      <c r="F3504" s="695" t="s">
        <v>6634</v>
      </c>
      <c r="G3504" s="695">
        <v>12</v>
      </c>
      <c r="H3504" s="695" t="s">
        <v>6681</v>
      </c>
      <c r="I3504" s="695">
        <v>2</v>
      </c>
      <c r="J3504" s="695" t="s">
        <v>6683</v>
      </c>
      <c r="K3504" s="695" t="s">
        <v>4117</v>
      </c>
      <c r="L3504" s="696">
        <v>214</v>
      </c>
      <c r="M3504" s="170"/>
    </row>
    <row r="3505" spans="2:13" x14ac:dyDescent="0.2">
      <c r="B3505" s="173"/>
      <c r="C3505" s="694">
        <v>1</v>
      </c>
      <c r="D3505" s="695" t="s">
        <v>3903</v>
      </c>
      <c r="E3505" s="695">
        <v>6</v>
      </c>
      <c r="F3505" s="695" t="s">
        <v>6634</v>
      </c>
      <c r="G3505" s="695">
        <v>12</v>
      </c>
      <c r="H3505" s="695" t="s">
        <v>6681</v>
      </c>
      <c r="I3505" s="695">
        <v>3</v>
      </c>
      <c r="J3505" s="695" t="s">
        <v>6684</v>
      </c>
      <c r="K3505" s="695" t="s">
        <v>4117</v>
      </c>
      <c r="L3505" s="696">
        <v>18</v>
      </c>
      <c r="M3505" s="170"/>
    </row>
    <row r="3506" spans="2:13" x14ac:dyDescent="0.2">
      <c r="B3506" s="173"/>
      <c r="C3506" s="694">
        <v>1</v>
      </c>
      <c r="D3506" s="695" t="s">
        <v>3903</v>
      </c>
      <c r="E3506" s="695">
        <v>6</v>
      </c>
      <c r="F3506" s="695" t="s">
        <v>6634</v>
      </c>
      <c r="G3506" s="695">
        <v>13</v>
      </c>
      <c r="H3506" s="695" t="s">
        <v>6685</v>
      </c>
      <c r="I3506" s="695">
        <v>1</v>
      </c>
      <c r="J3506" s="695" t="s">
        <v>6686</v>
      </c>
      <c r="K3506" s="695" t="s">
        <v>4117</v>
      </c>
      <c r="L3506" s="696">
        <v>92</v>
      </c>
      <c r="M3506" s="170"/>
    </row>
    <row r="3507" spans="2:13" x14ac:dyDescent="0.2">
      <c r="B3507" s="173"/>
      <c r="C3507" s="694">
        <v>1</v>
      </c>
      <c r="D3507" s="695" t="s">
        <v>3903</v>
      </c>
      <c r="E3507" s="695">
        <v>6</v>
      </c>
      <c r="F3507" s="695" t="s">
        <v>6634</v>
      </c>
      <c r="G3507" s="695">
        <v>13</v>
      </c>
      <c r="H3507" s="695" t="s">
        <v>6685</v>
      </c>
      <c r="I3507" s="695">
        <v>2</v>
      </c>
      <c r="J3507" s="695" t="s">
        <v>6687</v>
      </c>
      <c r="K3507" s="695" t="s">
        <v>4117</v>
      </c>
      <c r="L3507" s="696">
        <v>46</v>
      </c>
      <c r="M3507" s="170"/>
    </row>
    <row r="3508" spans="2:13" x14ac:dyDescent="0.2">
      <c r="B3508" s="173"/>
      <c r="C3508" s="694">
        <v>1</v>
      </c>
      <c r="D3508" s="695" t="s">
        <v>3903</v>
      </c>
      <c r="E3508" s="695">
        <v>6</v>
      </c>
      <c r="F3508" s="695" t="s">
        <v>6634</v>
      </c>
      <c r="G3508" s="695">
        <v>13</v>
      </c>
      <c r="H3508" s="695" t="s">
        <v>6685</v>
      </c>
      <c r="I3508" s="695">
        <v>3</v>
      </c>
      <c r="J3508" s="695" t="s">
        <v>6688</v>
      </c>
      <c r="K3508" s="695" t="s">
        <v>4117</v>
      </c>
      <c r="L3508" s="696">
        <v>4108</v>
      </c>
      <c r="M3508" s="170"/>
    </row>
    <row r="3509" spans="2:13" x14ac:dyDescent="0.2">
      <c r="B3509" s="173"/>
      <c r="C3509" s="694">
        <v>1</v>
      </c>
      <c r="D3509" s="695" t="s">
        <v>3903</v>
      </c>
      <c r="E3509" s="695">
        <v>6</v>
      </c>
      <c r="F3509" s="695" t="s">
        <v>6634</v>
      </c>
      <c r="G3509" s="695">
        <v>13</v>
      </c>
      <c r="H3509" s="695" t="s">
        <v>6685</v>
      </c>
      <c r="I3509" s="695">
        <v>4</v>
      </c>
      <c r="J3509" s="695" t="s">
        <v>6689</v>
      </c>
      <c r="K3509" s="695" t="s">
        <v>4117</v>
      </c>
      <c r="L3509" s="696">
        <v>32</v>
      </c>
      <c r="M3509" s="170"/>
    </row>
    <row r="3510" spans="2:13" x14ac:dyDescent="0.2">
      <c r="B3510" s="173"/>
      <c r="C3510" s="694">
        <v>1</v>
      </c>
      <c r="D3510" s="695" t="s">
        <v>3903</v>
      </c>
      <c r="E3510" s="695">
        <v>6</v>
      </c>
      <c r="F3510" s="695" t="s">
        <v>6634</v>
      </c>
      <c r="G3510" s="695">
        <v>13</v>
      </c>
      <c r="H3510" s="695" t="s">
        <v>6685</v>
      </c>
      <c r="I3510" s="695">
        <v>5</v>
      </c>
      <c r="J3510" s="695" t="s">
        <v>6690</v>
      </c>
      <c r="K3510" s="695" t="s">
        <v>4117</v>
      </c>
      <c r="L3510" s="696">
        <v>847</v>
      </c>
      <c r="M3510" s="170"/>
    </row>
    <row r="3511" spans="2:13" x14ac:dyDescent="0.2">
      <c r="B3511" s="173"/>
      <c r="C3511" s="694">
        <v>1</v>
      </c>
      <c r="D3511" s="695" t="s">
        <v>3903</v>
      </c>
      <c r="E3511" s="695">
        <v>6</v>
      </c>
      <c r="F3511" s="695" t="s">
        <v>6634</v>
      </c>
      <c r="G3511" s="695">
        <v>13</v>
      </c>
      <c r="H3511" s="695" t="s">
        <v>6685</v>
      </c>
      <c r="I3511" s="695">
        <v>7</v>
      </c>
      <c r="J3511" s="695" t="s">
        <v>6691</v>
      </c>
      <c r="K3511" s="695" t="s">
        <v>4117</v>
      </c>
      <c r="L3511" s="696">
        <v>21</v>
      </c>
      <c r="M3511" s="170"/>
    </row>
    <row r="3512" spans="2:13" x14ac:dyDescent="0.2">
      <c r="B3512" s="173"/>
      <c r="C3512" s="694">
        <v>1</v>
      </c>
      <c r="D3512" s="695" t="s">
        <v>3903</v>
      </c>
      <c r="E3512" s="695">
        <v>6</v>
      </c>
      <c r="F3512" s="695" t="s">
        <v>6634</v>
      </c>
      <c r="G3512" s="695">
        <v>13</v>
      </c>
      <c r="H3512" s="695" t="s">
        <v>6685</v>
      </c>
      <c r="I3512" s="695">
        <v>8</v>
      </c>
      <c r="J3512" s="695" t="s">
        <v>6692</v>
      </c>
      <c r="K3512" s="695" t="s">
        <v>4117</v>
      </c>
      <c r="L3512" s="696">
        <v>5</v>
      </c>
      <c r="M3512" s="170"/>
    </row>
    <row r="3513" spans="2:13" x14ac:dyDescent="0.2">
      <c r="B3513" s="173"/>
      <c r="C3513" s="694">
        <v>1</v>
      </c>
      <c r="D3513" s="695" t="s">
        <v>3903</v>
      </c>
      <c r="E3513" s="695">
        <v>6</v>
      </c>
      <c r="F3513" s="695" t="s">
        <v>6634</v>
      </c>
      <c r="G3513" s="695">
        <v>13</v>
      </c>
      <c r="H3513" s="695" t="s">
        <v>6685</v>
      </c>
      <c r="I3513" s="695">
        <v>9</v>
      </c>
      <c r="J3513" s="695" t="s">
        <v>6693</v>
      </c>
      <c r="K3513" s="695" t="s">
        <v>4117</v>
      </c>
      <c r="L3513" s="696">
        <v>17</v>
      </c>
      <c r="M3513" s="170"/>
    </row>
    <row r="3514" spans="2:13" x14ac:dyDescent="0.2">
      <c r="B3514" s="173"/>
      <c r="C3514" s="694">
        <v>1</v>
      </c>
      <c r="D3514" s="695" t="s">
        <v>3903</v>
      </c>
      <c r="E3514" s="695">
        <v>6</v>
      </c>
      <c r="F3514" s="695" t="s">
        <v>6634</v>
      </c>
      <c r="G3514" s="695">
        <v>13</v>
      </c>
      <c r="H3514" s="695" t="s">
        <v>6685</v>
      </c>
      <c r="I3514" s="695">
        <v>11</v>
      </c>
      <c r="J3514" s="695" t="s">
        <v>6694</v>
      </c>
      <c r="K3514" s="695" t="s">
        <v>4117</v>
      </c>
      <c r="L3514" s="696">
        <v>114</v>
      </c>
      <c r="M3514" s="170"/>
    </row>
    <row r="3515" spans="2:13" x14ac:dyDescent="0.2">
      <c r="B3515" s="173"/>
      <c r="C3515" s="694">
        <v>1</v>
      </c>
      <c r="D3515" s="695" t="s">
        <v>3903</v>
      </c>
      <c r="E3515" s="695">
        <v>6</v>
      </c>
      <c r="F3515" s="695" t="s">
        <v>6634</v>
      </c>
      <c r="G3515" s="695">
        <v>13</v>
      </c>
      <c r="H3515" s="695" t="s">
        <v>6685</v>
      </c>
      <c r="I3515" s="695">
        <v>12</v>
      </c>
      <c r="J3515" s="695" t="s">
        <v>6695</v>
      </c>
      <c r="K3515" s="695" t="s">
        <v>4117</v>
      </c>
      <c r="L3515" s="696">
        <v>90</v>
      </c>
      <c r="M3515" s="170"/>
    </row>
    <row r="3516" spans="2:13" x14ac:dyDescent="0.2">
      <c r="B3516" s="173"/>
      <c r="C3516" s="694">
        <v>1</v>
      </c>
      <c r="D3516" s="695" t="s">
        <v>3903</v>
      </c>
      <c r="E3516" s="695">
        <v>6</v>
      </c>
      <c r="F3516" s="695" t="s">
        <v>6634</v>
      </c>
      <c r="G3516" s="695">
        <v>13</v>
      </c>
      <c r="H3516" s="695" t="s">
        <v>6685</v>
      </c>
      <c r="I3516" s="695">
        <v>13</v>
      </c>
      <c r="J3516" s="695" t="s">
        <v>6696</v>
      </c>
      <c r="K3516" s="695" t="s">
        <v>4117</v>
      </c>
      <c r="L3516" s="696">
        <v>16</v>
      </c>
      <c r="M3516" s="170"/>
    </row>
    <row r="3517" spans="2:13" x14ac:dyDescent="0.2">
      <c r="B3517" s="173"/>
      <c r="C3517" s="694">
        <v>1</v>
      </c>
      <c r="D3517" s="695" t="s">
        <v>3903</v>
      </c>
      <c r="E3517" s="695">
        <v>6</v>
      </c>
      <c r="F3517" s="695" t="s">
        <v>6634</v>
      </c>
      <c r="G3517" s="695">
        <v>13</v>
      </c>
      <c r="H3517" s="695" t="s">
        <v>6685</v>
      </c>
      <c r="I3517" s="695">
        <v>14</v>
      </c>
      <c r="J3517" s="695" t="s">
        <v>6689</v>
      </c>
      <c r="K3517" s="695" t="s">
        <v>4117</v>
      </c>
      <c r="L3517" s="696">
        <v>3</v>
      </c>
      <c r="M3517" s="170"/>
    </row>
    <row r="3518" spans="2:13" x14ac:dyDescent="0.2">
      <c r="B3518" s="173"/>
      <c r="C3518" s="694">
        <v>1</v>
      </c>
      <c r="D3518" s="695" t="s">
        <v>3903</v>
      </c>
      <c r="E3518" s="695">
        <v>6</v>
      </c>
      <c r="F3518" s="695" t="s">
        <v>6634</v>
      </c>
      <c r="G3518" s="695">
        <v>13</v>
      </c>
      <c r="H3518" s="695" t="s">
        <v>6685</v>
      </c>
      <c r="I3518" s="695">
        <v>15</v>
      </c>
      <c r="J3518" s="695" t="s">
        <v>6697</v>
      </c>
      <c r="K3518" s="695" t="s">
        <v>4117</v>
      </c>
      <c r="L3518" s="696">
        <v>647</v>
      </c>
      <c r="M3518" s="170"/>
    </row>
    <row r="3519" spans="2:13" x14ac:dyDescent="0.2">
      <c r="B3519" s="173"/>
      <c r="C3519" s="694">
        <v>1</v>
      </c>
      <c r="D3519" s="695" t="s">
        <v>3903</v>
      </c>
      <c r="E3519" s="695">
        <v>6</v>
      </c>
      <c r="F3519" s="695" t="s">
        <v>6634</v>
      </c>
      <c r="G3519" s="695">
        <v>13</v>
      </c>
      <c r="H3519" s="695" t="s">
        <v>6685</v>
      </c>
      <c r="I3519" s="695">
        <v>16</v>
      </c>
      <c r="J3519" s="695" t="s">
        <v>6698</v>
      </c>
      <c r="K3519" s="695" t="s">
        <v>4117</v>
      </c>
      <c r="L3519" s="696">
        <v>23</v>
      </c>
      <c r="M3519" s="170"/>
    </row>
    <row r="3520" spans="2:13" x14ac:dyDescent="0.2">
      <c r="B3520" s="173"/>
      <c r="C3520" s="694">
        <v>1</v>
      </c>
      <c r="D3520" s="695" t="s">
        <v>3903</v>
      </c>
      <c r="E3520" s="695">
        <v>6</v>
      </c>
      <c r="F3520" s="695" t="s">
        <v>6634</v>
      </c>
      <c r="G3520" s="695">
        <v>13</v>
      </c>
      <c r="H3520" s="695" t="s">
        <v>6685</v>
      </c>
      <c r="I3520" s="695">
        <v>17</v>
      </c>
      <c r="J3520" s="695" t="s">
        <v>6699</v>
      </c>
      <c r="K3520" s="695" t="s">
        <v>4117</v>
      </c>
      <c r="L3520" s="696">
        <v>56</v>
      </c>
      <c r="M3520" s="170"/>
    </row>
    <row r="3521" spans="2:13" x14ac:dyDescent="0.2">
      <c r="B3521" s="173"/>
      <c r="C3521" s="694">
        <v>1</v>
      </c>
      <c r="D3521" s="695" t="s">
        <v>3903</v>
      </c>
      <c r="E3521" s="695">
        <v>6</v>
      </c>
      <c r="F3521" s="695" t="s">
        <v>6634</v>
      </c>
      <c r="G3521" s="695">
        <v>13</v>
      </c>
      <c r="H3521" s="695" t="s">
        <v>6685</v>
      </c>
      <c r="I3521" s="695">
        <v>18</v>
      </c>
      <c r="J3521" s="695" t="s">
        <v>6700</v>
      </c>
      <c r="K3521" s="695" t="s">
        <v>4117</v>
      </c>
      <c r="L3521" s="696">
        <v>215</v>
      </c>
      <c r="M3521" s="170"/>
    </row>
    <row r="3522" spans="2:13" x14ac:dyDescent="0.2">
      <c r="B3522" s="173"/>
      <c r="C3522" s="694">
        <v>1</v>
      </c>
      <c r="D3522" s="695" t="s">
        <v>3903</v>
      </c>
      <c r="E3522" s="695">
        <v>6</v>
      </c>
      <c r="F3522" s="695" t="s">
        <v>6634</v>
      </c>
      <c r="G3522" s="695">
        <v>13</v>
      </c>
      <c r="H3522" s="695" t="s">
        <v>6685</v>
      </c>
      <c r="I3522" s="695">
        <v>19</v>
      </c>
      <c r="J3522" s="695" t="s">
        <v>6701</v>
      </c>
      <c r="K3522" s="695" t="s">
        <v>4117</v>
      </c>
      <c r="L3522" s="696">
        <v>17</v>
      </c>
      <c r="M3522" s="170"/>
    </row>
    <row r="3523" spans="2:13" x14ac:dyDescent="0.2">
      <c r="B3523" s="173"/>
      <c r="C3523" s="694">
        <v>1</v>
      </c>
      <c r="D3523" s="695" t="s">
        <v>3903</v>
      </c>
      <c r="E3523" s="695">
        <v>6</v>
      </c>
      <c r="F3523" s="695" t="s">
        <v>6634</v>
      </c>
      <c r="G3523" s="695">
        <v>13</v>
      </c>
      <c r="H3523" s="695" t="s">
        <v>6685</v>
      </c>
      <c r="I3523" s="695">
        <v>20</v>
      </c>
      <c r="J3523" s="695" t="s">
        <v>6702</v>
      </c>
      <c r="K3523" s="695" t="s">
        <v>4117</v>
      </c>
      <c r="L3523" s="696">
        <v>70</v>
      </c>
      <c r="M3523" s="170"/>
    </row>
    <row r="3524" spans="2:13" x14ac:dyDescent="0.2">
      <c r="B3524" s="173"/>
      <c r="C3524" s="694">
        <v>1</v>
      </c>
      <c r="D3524" s="695" t="s">
        <v>3903</v>
      </c>
      <c r="E3524" s="695">
        <v>6</v>
      </c>
      <c r="F3524" s="695" t="s">
        <v>6634</v>
      </c>
      <c r="G3524" s="695">
        <v>13</v>
      </c>
      <c r="H3524" s="695" t="s">
        <v>6685</v>
      </c>
      <c r="I3524" s="695">
        <v>21</v>
      </c>
      <c r="J3524" s="695" t="s">
        <v>6703</v>
      </c>
      <c r="K3524" s="695" t="s">
        <v>4117</v>
      </c>
      <c r="L3524" s="696">
        <v>0</v>
      </c>
      <c r="M3524" s="170"/>
    </row>
    <row r="3525" spans="2:13" x14ac:dyDescent="0.2">
      <c r="B3525" s="173"/>
      <c r="C3525" s="694">
        <v>1</v>
      </c>
      <c r="D3525" s="695" t="s">
        <v>3903</v>
      </c>
      <c r="E3525" s="695">
        <v>6</v>
      </c>
      <c r="F3525" s="695" t="s">
        <v>6634</v>
      </c>
      <c r="G3525" s="695">
        <v>13</v>
      </c>
      <c r="H3525" s="695" t="s">
        <v>6685</v>
      </c>
      <c r="I3525" s="695">
        <v>22</v>
      </c>
      <c r="J3525" s="695" t="s">
        <v>9173</v>
      </c>
      <c r="K3525" s="695" t="s">
        <v>4117</v>
      </c>
      <c r="L3525" s="696">
        <v>0</v>
      </c>
      <c r="M3525" s="170"/>
    </row>
    <row r="3526" spans="2:13" x14ac:dyDescent="0.2">
      <c r="B3526" s="173"/>
      <c r="C3526" s="694">
        <v>1</v>
      </c>
      <c r="D3526" s="695" t="s">
        <v>3903</v>
      </c>
      <c r="E3526" s="695">
        <v>6</v>
      </c>
      <c r="F3526" s="695" t="s">
        <v>6634</v>
      </c>
      <c r="G3526" s="695">
        <v>13</v>
      </c>
      <c r="H3526" s="695" t="s">
        <v>6685</v>
      </c>
      <c r="I3526" s="695">
        <v>23</v>
      </c>
      <c r="J3526" s="695" t="s">
        <v>9174</v>
      </c>
      <c r="K3526" s="695" t="s">
        <v>4045</v>
      </c>
      <c r="L3526" s="696">
        <v>1</v>
      </c>
      <c r="M3526" s="170"/>
    </row>
    <row r="3527" spans="2:13" x14ac:dyDescent="0.2">
      <c r="B3527" s="173"/>
      <c r="C3527" s="694">
        <v>1</v>
      </c>
      <c r="D3527" s="695" t="s">
        <v>3903</v>
      </c>
      <c r="E3527" s="695">
        <v>6</v>
      </c>
      <c r="F3527" s="695" t="s">
        <v>6634</v>
      </c>
      <c r="G3527" s="695">
        <v>14</v>
      </c>
      <c r="H3527" s="695" t="s">
        <v>6704</v>
      </c>
      <c r="I3527" s="695">
        <v>1</v>
      </c>
      <c r="J3527" s="695" t="s">
        <v>6705</v>
      </c>
      <c r="K3527" s="695" t="s">
        <v>4117</v>
      </c>
      <c r="L3527" s="696">
        <v>8</v>
      </c>
      <c r="M3527" s="170"/>
    </row>
    <row r="3528" spans="2:13" x14ac:dyDescent="0.2">
      <c r="B3528" s="173"/>
      <c r="C3528" s="694">
        <v>1</v>
      </c>
      <c r="D3528" s="695" t="s">
        <v>3903</v>
      </c>
      <c r="E3528" s="695">
        <v>6</v>
      </c>
      <c r="F3528" s="695" t="s">
        <v>6634</v>
      </c>
      <c r="G3528" s="695">
        <v>14</v>
      </c>
      <c r="H3528" s="695" t="s">
        <v>6704</v>
      </c>
      <c r="I3528" s="695">
        <v>2</v>
      </c>
      <c r="J3528" s="695" t="s">
        <v>6706</v>
      </c>
      <c r="K3528" s="695" t="s">
        <v>4117</v>
      </c>
      <c r="L3528" s="696">
        <v>2</v>
      </c>
      <c r="M3528" s="170"/>
    </row>
    <row r="3529" spans="2:13" x14ac:dyDescent="0.2">
      <c r="B3529" s="173"/>
      <c r="C3529" s="694">
        <v>1</v>
      </c>
      <c r="D3529" s="695" t="s">
        <v>3903</v>
      </c>
      <c r="E3529" s="695">
        <v>6</v>
      </c>
      <c r="F3529" s="695" t="s">
        <v>6634</v>
      </c>
      <c r="G3529" s="695">
        <v>15</v>
      </c>
      <c r="H3529" s="695" t="s">
        <v>6707</v>
      </c>
      <c r="I3529" s="695">
        <v>2</v>
      </c>
      <c r="J3529" s="695" t="s">
        <v>6708</v>
      </c>
      <c r="K3529" s="695" t="s">
        <v>4117</v>
      </c>
      <c r="L3529" s="696">
        <v>15</v>
      </c>
      <c r="M3529" s="170"/>
    </row>
    <row r="3530" spans="2:13" x14ac:dyDescent="0.2">
      <c r="B3530" s="173"/>
      <c r="C3530" s="694">
        <v>1</v>
      </c>
      <c r="D3530" s="695" t="s">
        <v>3903</v>
      </c>
      <c r="E3530" s="695">
        <v>6</v>
      </c>
      <c r="F3530" s="695" t="s">
        <v>6634</v>
      </c>
      <c r="G3530" s="695">
        <v>15</v>
      </c>
      <c r="H3530" s="695" t="s">
        <v>6707</v>
      </c>
      <c r="I3530" s="695">
        <v>3</v>
      </c>
      <c r="J3530" s="695" t="s">
        <v>6709</v>
      </c>
      <c r="K3530" s="695" t="s">
        <v>4117</v>
      </c>
      <c r="L3530" s="696">
        <v>2</v>
      </c>
      <c r="M3530" s="170"/>
    </row>
    <row r="3531" spans="2:13" x14ac:dyDescent="0.2">
      <c r="B3531" s="173"/>
      <c r="C3531" s="694">
        <v>1</v>
      </c>
      <c r="D3531" s="695" t="s">
        <v>3903</v>
      </c>
      <c r="E3531" s="695">
        <v>6</v>
      </c>
      <c r="F3531" s="695" t="s">
        <v>6634</v>
      </c>
      <c r="G3531" s="695">
        <v>15</v>
      </c>
      <c r="H3531" s="695" t="s">
        <v>6707</v>
      </c>
      <c r="I3531" s="695">
        <v>4</v>
      </c>
      <c r="J3531" s="695" t="s">
        <v>6710</v>
      </c>
      <c r="K3531" s="695" t="s">
        <v>4117</v>
      </c>
      <c r="L3531" s="696">
        <v>3</v>
      </c>
      <c r="M3531" s="170"/>
    </row>
    <row r="3532" spans="2:13" x14ac:dyDescent="0.2">
      <c r="B3532" s="173"/>
      <c r="C3532" s="694">
        <v>1</v>
      </c>
      <c r="D3532" s="695" t="s">
        <v>3903</v>
      </c>
      <c r="E3532" s="695">
        <v>6</v>
      </c>
      <c r="F3532" s="695" t="s">
        <v>6634</v>
      </c>
      <c r="G3532" s="695">
        <v>16</v>
      </c>
      <c r="H3532" s="695" t="s">
        <v>7748</v>
      </c>
      <c r="I3532" s="695">
        <v>1</v>
      </c>
      <c r="J3532" s="695" t="s">
        <v>9175</v>
      </c>
      <c r="K3532" s="695" t="s">
        <v>4117</v>
      </c>
      <c r="L3532" s="696">
        <v>22</v>
      </c>
      <c r="M3532" s="170"/>
    </row>
    <row r="3533" spans="2:13" x14ac:dyDescent="0.2">
      <c r="B3533" s="173"/>
      <c r="C3533" s="694">
        <v>1</v>
      </c>
      <c r="D3533" s="695" t="s">
        <v>3903</v>
      </c>
      <c r="E3533" s="695">
        <v>6</v>
      </c>
      <c r="F3533" s="695" t="s">
        <v>6634</v>
      </c>
      <c r="G3533" s="695">
        <v>16</v>
      </c>
      <c r="H3533" s="695" t="s">
        <v>7748</v>
      </c>
      <c r="I3533" s="695">
        <v>2</v>
      </c>
      <c r="J3533" s="695" t="s">
        <v>9176</v>
      </c>
      <c r="K3533" s="695" t="s">
        <v>4117</v>
      </c>
      <c r="L3533" s="696">
        <v>1</v>
      </c>
      <c r="M3533" s="170"/>
    </row>
    <row r="3534" spans="2:13" x14ac:dyDescent="0.2">
      <c r="B3534" s="173"/>
      <c r="C3534" s="694">
        <v>1</v>
      </c>
      <c r="D3534" s="695" t="s">
        <v>3903</v>
      </c>
      <c r="E3534" s="695">
        <v>6</v>
      </c>
      <c r="F3534" s="695" t="s">
        <v>6634</v>
      </c>
      <c r="G3534" s="695">
        <v>16</v>
      </c>
      <c r="H3534" s="695" t="s">
        <v>7748</v>
      </c>
      <c r="I3534" s="695">
        <v>3</v>
      </c>
      <c r="J3534" s="695" t="s">
        <v>9177</v>
      </c>
      <c r="K3534" s="695" t="s">
        <v>4117</v>
      </c>
      <c r="L3534" s="696">
        <v>23</v>
      </c>
      <c r="M3534" s="170"/>
    </row>
    <row r="3535" spans="2:13" x14ac:dyDescent="0.2">
      <c r="B3535" s="173"/>
      <c r="C3535" s="694">
        <v>1</v>
      </c>
      <c r="D3535" s="695" t="s">
        <v>3903</v>
      </c>
      <c r="E3535" s="695">
        <v>6</v>
      </c>
      <c r="F3535" s="695" t="s">
        <v>6634</v>
      </c>
      <c r="G3535" s="695">
        <v>16</v>
      </c>
      <c r="H3535" s="695" t="s">
        <v>7748</v>
      </c>
      <c r="I3535" s="695">
        <v>4</v>
      </c>
      <c r="J3535" s="695" t="s">
        <v>9178</v>
      </c>
      <c r="K3535" s="695" t="s">
        <v>4117</v>
      </c>
      <c r="L3535" s="696">
        <v>29</v>
      </c>
      <c r="M3535" s="170"/>
    </row>
    <row r="3536" spans="2:13" x14ac:dyDescent="0.2">
      <c r="B3536" s="173"/>
      <c r="C3536" s="694">
        <v>1</v>
      </c>
      <c r="D3536" s="695" t="s">
        <v>3903</v>
      </c>
      <c r="E3536" s="695">
        <v>7</v>
      </c>
      <c r="F3536" s="695" t="s">
        <v>6711</v>
      </c>
      <c r="G3536" s="695">
        <v>1</v>
      </c>
      <c r="H3536" s="695" t="s">
        <v>6635</v>
      </c>
      <c r="I3536" s="695">
        <v>2</v>
      </c>
      <c r="J3536" s="695" t="s">
        <v>6712</v>
      </c>
      <c r="K3536" s="695" t="s">
        <v>5334</v>
      </c>
      <c r="L3536" s="696">
        <v>0</v>
      </c>
      <c r="M3536" s="170"/>
    </row>
    <row r="3537" spans="2:13" x14ac:dyDescent="0.2">
      <c r="B3537" s="173"/>
      <c r="C3537" s="694">
        <v>1</v>
      </c>
      <c r="D3537" s="695" t="s">
        <v>3903</v>
      </c>
      <c r="E3537" s="695">
        <v>7</v>
      </c>
      <c r="F3537" s="695" t="s">
        <v>6711</v>
      </c>
      <c r="G3537" s="695">
        <v>1</v>
      </c>
      <c r="H3537" s="695" t="s">
        <v>6635</v>
      </c>
      <c r="I3537" s="695">
        <v>3</v>
      </c>
      <c r="J3537" s="695" t="s">
        <v>6713</v>
      </c>
      <c r="K3537" s="695" t="s">
        <v>5334</v>
      </c>
      <c r="L3537" s="696">
        <v>0</v>
      </c>
      <c r="M3537" s="170"/>
    </row>
    <row r="3538" spans="2:13" x14ac:dyDescent="0.2">
      <c r="B3538" s="173"/>
      <c r="C3538" s="694">
        <v>1</v>
      </c>
      <c r="D3538" s="695" t="s">
        <v>3903</v>
      </c>
      <c r="E3538" s="695">
        <v>7</v>
      </c>
      <c r="F3538" s="695" t="s">
        <v>6711</v>
      </c>
      <c r="G3538" s="695">
        <v>1</v>
      </c>
      <c r="H3538" s="695" t="s">
        <v>6635</v>
      </c>
      <c r="I3538" s="695">
        <v>4</v>
      </c>
      <c r="J3538" s="695" t="s">
        <v>6714</v>
      </c>
      <c r="K3538" s="695" t="s">
        <v>5334</v>
      </c>
      <c r="L3538" s="696">
        <v>0</v>
      </c>
      <c r="M3538" s="170"/>
    </row>
    <row r="3539" spans="2:13" x14ac:dyDescent="0.2">
      <c r="B3539" s="173"/>
      <c r="C3539" s="694">
        <v>1</v>
      </c>
      <c r="D3539" s="695" t="s">
        <v>3903</v>
      </c>
      <c r="E3539" s="695">
        <v>7</v>
      </c>
      <c r="F3539" s="695" t="s">
        <v>6711</v>
      </c>
      <c r="G3539" s="695">
        <v>1</v>
      </c>
      <c r="H3539" s="695" t="s">
        <v>6635</v>
      </c>
      <c r="I3539" s="695">
        <v>5</v>
      </c>
      <c r="J3539" s="695" t="s">
        <v>6715</v>
      </c>
      <c r="K3539" s="695" t="s">
        <v>5334</v>
      </c>
      <c r="L3539" s="696">
        <v>9</v>
      </c>
      <c r="M3539" s="170"/>
    </row>
    <row r="3540" spans="2:13" x14ac:dyDescent="0.2">
      <c r="B3540" s="173"/>
      <c r="C3540" s="694">
        <v>1</v>
      </c>
      <c r="D3540" s="695" t="s">
        <v>3903</v>
      </c>
      <c r="E3540" s="695">
        <v>7</v>
      </c>
      <c r="F3540" s="695" t="s">
        <v>6711</v>
      </c>
      <c r="G3540" s="695">
        <v>1</v>
      </c>
      <c r="H3540" s="695" t="s">
        <v>6635</v>
      </c>
      <c r="I3540" s="695">
        <v>6</v>
      </c>
      <c r="J3540" s="695" t="s">
        <v>6716</v>
      </c>
      <c r="K3540" s="695" t="s">
        <v>5334</v>
      </c>
      <c r="L3540" s="696">
        <v>1</v>
      </c>
      <c r="M3540" s="170"/>
    </row>
    <row r="3541" spans="2:13" x14ac:dyDescent="0.2">
      <c r="B3541" s="173"/>
      <c r="C3541" s="694">
        <v>1</v>
      </c>
      <c r="D3541" s="695" t="s">
        <v>3903</v>
      </c>
      <c r="E3541" s="695">
        <v>7</v>
      </c>
      <c r="F3541" s="695" t="s">
        <v>6711</v>
      </c>
      <c r="G3541" s="695">
        <v>1</v>
      </c>
      <c r="H3541" s="695" t="s">
        <v>6635</v>
      </c>
      <c r="I3541" s="695">
        <v>7</v>
      </c>
      <c r="J3541" s="695" t="s">
        <v>6717</v>
      </c>
      <c r="K3541" s="695" t="s">
        <v>5334</v>
      </c>
      <c r="L3541" s="696">
        <v>0</v>
      </c>
      <c r="M3541" s="170"/>
    </row>
    <row r="3542" spans="2:13" x14ac:dyDescent="0.2">
      <c r="B3542" s="173"/>
      <c r="C3542" s="694">
        <v>1</v>
      </c>
      <c r="D3542" s="695" t="s">
        <v>3903</v>
      </c>
      <c r="E3542" s="695">
        <v>7</v>
      </c>
      <c r="F3542" s="695" t="s">
        <v>6711</v>
      </c>
      <c r="G3542" s="695">
        <v>1</v>
      </c>
      <c r="H3542" s="695" t="s">
        <v>6635</v>
      </c>
      <c r="I3542" s="695">
        <v>8</v>
      </c>
      <c r="J3542" s="695" t="s">
        <v>6718</v>
      </c>
      <c r="K3542" s="695" t="s">
        <v>5334</v>
      </c>
      <c r="L3542" s="696">
        <v>0</v>
      </c>
      <c r="M3542" s="170"/>
    </row>
    <row r="3543" spans="2:13" x14ac:dyDescent="0.2">
      <c r="B3543" s="173"/>
      <c r="C3543" s="694">
        <v>1</v>
      </c>
      <c r="D3543" s="695" t="s">
        <v>3903</v>
      </c>
      <c r="E3543" s="695">
        <v>7</v>
      </c>
      <c r="F3543" s="695" t="s">
        <v>6711</v>
      </c>
      <c r="G3543" s="695">
        <v>1</v>
      </c>
      <c r="H3543" s="695" t="s">
        <v>6635</v>
      </c>
      <c r="I3543" s="695">
        <v>9</v>
      </c>
      <c r="J3543" s="695" t="s">
        <v>6719</v>
      </c>
      <c r="K3543" s="695" t="s">
        <v>5334</v>
      </c>
      <c r="L3543" s="696">
        <v>1</v>
      </c>
      <c r="M3543" s="170"/>
    </row>
    <row r="3544" spans="2:13" x14ac:dyDescent="0.2">
      <c r="B3544" s="173"/>
      <c r="C3544" s="694">
        <v>1</v>
      </c>
      <c r="D3544" s="695" t="s">
        <v>3903</v>
      </c>
      <c r="E3544" s="695">
        <v>7</v>
      </c>
      <c r="F3544" s="695" t="s">
        <v>6711</v>
      </c>
      <c r="G3544" s="695">
        <v>1</v>
      </c>
      <c r="H3544" s="695" t="s">
        <v>6635</v>
      </c>
      <c r="I3544" s="695">
        <v>10</v>
      </c>
      <c r="J3544" s="695" t="s">
        <v>6720</v>
      </c>
      <c r="K3544" s="695" t="s">
        <v>5334</v>
      </c>
      <c r="L3544" s="696">
        <v>0</v>
      </c>
      <c r="M3544" s="170"/>
    </row>
    <row r="3545" spans="2:13" x14ac:dyDescent="0.2">
      <c r="B3545" s="173"/>
      <c r="C3545" s="694">
        <v>1</v>
      </c>
      <c r="D3545" s="695" t="s">
        <v>3903</v>
      </c>
      <c r="E3545" s="695">
        <v>7</v>
      </c>
      <c r="F3545" s="695" t="s">
        <v>6711</v>
      </c>
      <c r="G3545" s="695">
        <v>1</v>
      </c>
      <c r="H3545" s="695" t="s">
        <v>6635</v>
      </c>
      <c r="I3545" s="695">
        <v>11</v>
      </c>
      <c r="J3545" s="695" t="s">
        <v>6721</v>
      </c>
      <c r="K3545" s="695" t="s">
        <v>5334</v>
      </c>
      <c r="L3545" s="696">
        <v>0</v>
      </c>
      <c r="M3545" s="170"/>
    </row>
    <row r="3546" spans="2:13" x14ac:dyDescent="0.2">
      <c r="B3546" s="173"/>
      <c r="C3546" s="694">
        <v>1</v>
      </c>
      <c r="D3546" s="695" t="s">
        <v>3903</v>
      </c>
      <c r="E3546" s="695">
        <v>7</v>
      </c>
      <c r="F3546" s="695" t="s">
        <v>6711</v>
      </c>
      <c r="G3546" s="695">
        <v>1</v>
      </c>
      <c r="H3546" s="695" t="s">
        <v>6635</v>
      </c>
      <c r="I3546" s="695">
        <v>12</v>
      </c>
      <c r="J3546" s="695" t="s">
        <v>6722</v>
      </c>
      <c r="K3546" s="695" t="s">
        <v>5334</v>
      </c>
      <c r="L3546" s="696">
        <v>1</v>
      </c>
      <c r="M3546" s="170"/>
    </row>
    <row r="3547" spans="2:13" x14ac:dyDescent="0.2">
      <c r="B3547" s="173"/>
      <c r="C3547" s="694">
        <v>1</v>
      </c>
      <c r="D3547" s="695" t="s">
        <v>3903</v>
      </c>
      <c r="E3547" s="695">
        <v>7</v>
      </c>
      <c r="F3547" s="695" t="s">
        <v>6711</v>
      </c>
      <c r="G3547" s="695">
        <v>1</v>
      </c>
      <c r="H3547" s="695" t="s">
        <v>6635</v>
      </c>
      <c r="I3547" s="695">
        <v>13</v>
      </c>
      <c r="J3547" s="695" t="s">
        <v>6723</v>
      </c>
      <c r="K3547" s="695" t="s">
        <v>5334</v>
      </c>
      <c r="L3547" s="696">
        <v>0</v>
      </c>
      <c r="M3547" s="170"/>
    </row>
    <row r="3548" spans="2:13" x14ac:dyDescent="0.2">
      <c r="B3548" s="173"/>
      <c r="C3548" s="694">
        <v>1</v>
      </c>
      <c r="D3548" s="695" t="s">
        <v>3903</v>
      </c>
      <c r="E3548" s="695">
        <v>7</v>
      </c>
      <c r="F3548" s="695" t="s">
        <v>6711</v>
      </c>
      <c r="G3548" s="695">
        <v>1</v>
      </c>
      <c r="H3548" s="695" t="s">
        <v>6635</v>
      </c>
      <c r="I3548" s="695">
        <v>14</v>
      </c>
      <c r="J3548" s="695" t="s">
        <v>6724</v>
      </c>
      <c r="K3548" s="695" t="s">
        <v>5334</v>
      </c>
      <c r="L3548" s="696">
        <v>0</v>
      </c>
      <c r="M3548" s="170"/>
    </row>
    <row r="3549" spans="2:13" x14ac:dyDescent="0.2">
      <c r="B3549" s="173"/>
      <c r="C3549" s="694">
        <v>1</v>
      </c>
      <c r="D3549" s="695" t="s">
        <v>3903</v>
      </c>
      <c r="E3549" s="695">
        <v>7</v>
      </c>
      <c r="F3549" s="695" t="s">
        <v>6711</v>
      </c>
      <c r="G3549" s="695">
        <v>1</v>
      </c>
      <c r="H3549" s="695" t="s">
        <v>6635</v>
      </c>
      <c r="I3549" s="695">
        <v>16</v>
      </c>
      <c r="J3549" s="695" t="s">
        <v>6725</v>
      </c>
      <c r="K3549" s="695" t="s">
        <v>5334</v>
      </c>
      <c r="L3549" s="696">
        <v>0</v>
      </c>
      <c r="M3549" s="170"/>
    </row>
    <row r="3550" spans="2:13" x14ac:dyDescent="0.2">
      <c r="B3550" s="173"/>
      <c r="C3550" s="694">
        <v>1</v>
      </c>
      <c r="D3550" s="695" t="s">
        <v>3903</v>
      </c>
      <c r="E3550" s="695">
        <v>7</v>
      </c>
      <c r="F3550" s="695" t="s">
        <v>6711</v>
      </c>
      <c r="G3550" s="695">
        <v>1</v>
      </c>
      <c r="H3550" s="695" t="s">
        <v>6635</v>
      </c>
      <c r="I3550" s="695">
        <v>17</v>
      </c>
      <c r="J3550" s="695" t="s">
        <v>6726</v>
      </c>
      <c r="K3550" s="695" t="s">
        <v>5334</v>
      </c>
      <c r="L3550" s="696">
        <v>0</v>
      </c>
      <c r="M3550" s="170"/>
    </row>
    <row r="3551" spans="2:13" x14ac:dyDescent="0.2">
      <c r="B3551" s="173"/>
      <c r="C3551" s="694">
        <v>1</v>
      </c>
      <c r="D3551" s="695" t="s">
        <v>3903</v>
      </c>
      <c r="E3551" s="695">
        <v>7</v>
      </c>
      <c r="F3551" s="695" t="s">
        <v>6711</v>
      </c>
      <c r="G3551" s="695">
        <v>1</v>
      </c>
      <c r="H3551" s="695" t="s">
        <v>6635</v>
      </c>
      <c r="I3551" s="695">
        <v>18</v>
      </c>
      <c r="J3551" s="695" t="s">
        <v>6727</v>
      </c>
      <c r="K3551" s="695" t="s">
        <v>5334</v>
      </c>
      <c r="L3551" s="696">
        <v>0</v>
      </c>
      <c r="M3551" s="170"/>
    </row>
    <row r="3552" spans="2:13" x14ac:dyDescent="0.2">
      <c r="B3552" s="173"/>
      <c r="C3552" s="694">
        <v>1</v>
      </c>
      <c r="D3552" s="695" t="s">
        <v>3903</v>
      </c>
      <c r="E3552" s="695">
        <v>7</v>
      </c>
      <c r="F3552" s="695" t="s">
        <v>6711</v>
      </c>
      <c r="G3552" s="695">
        <v>1</v>
      </c>
      <c r="H3552" s="695" t="s">
        <v>6635</v>
      </c>
      <c r="I3552" s="695">
        <v>19</v>
      </c>
      <c r="J3552" s="695" t="s">
        <v>6728</v>
      </c>
      <c r="K3552" s="695" t="s">
        <v>5334</v>
      </c>
      <c r="L3552" s="696">
        <v>1</v>
      </c>
      <c r="M3552" s="170"/>
    </row>
    <row r="3553" spans="2:13" x14ac:dyDescent="0.2">
      <c r="B3553" s="173"/>
      <c r="C3553" s="694">
        <v>1</v>
      </c>
      <c r="D3553" s="695" t="s">
        <v>3903</v>
      </c>
      <c r="E3553" s="695">
        <v>7</v>
      </c>
      <c r="F3553" s="695" t="s">
        <v>6711</v>
      </c>
      <c r="G3553" s="695">
        <v>1</v>
      </c>
      <c r="H3553" s="695" t="s">
        <v>6635</v>
      </c>
      <c r="I3553" s="695">
        <v>20</v>
      </c>
      <c r="J3553" s="695" t="s">
        <v>6729</v>
      </c>
      <c r="K3553" s="695" t="s">
        <v>5334</v>
      </c>
      <c r="L3553" s="696">
        <v>0</v>
      </c>
      <c r="M3553" s="170"/>
    </row>
    <row r="3554" spans="2:13" x14ac:dyDescent="0.2">
      <c r="B3554" s="173"/>
      <c r="C3554" s="694">
        <v>1</v>
      </c>
      <c r="D3554" s="695" t="s">
        <v>3903</v>
      </c>
      <c r="E3554" s="695">
        <v>7</v>
      </c>
      <c r="F3554" s="695" t="s">
        <v>6711</v>
      </c>
      <c r="G3554" s="695">
        <v>1</v>
      </c>
      <c r="H3554" s="695" t="s">
        <v>6635</v>
      </c>
      <c r="I3554" s="695">
        <v>21</v>
      </c>
      <c r="J3554" s="695" t="s">
        <v>6730</v>
      </c>
      <c r="K3554" s="695" t="s">
        <v>5334</v>
      </c>
      <c r="L3554" s="696">
        <v>0</v>
      </c>
      <c r="M3554" s="170"/>
    </row>
    <row r="3555" spans="2:13" x14ac:dyDescent="0.2">
      <c r="B3555" s="173"/>
      <c r="C3555" s="694">
        <v>1</v>
      </c>
      <c r="D3555" s="695" t="s">
        <v>3903</v>
      </c>
      <c r="E3555" s="695">
        <v>7</v>
      </c>
      <c r="F3555" s="695" t="s">
        <v>6711</v>
      </c>
      <c r="G3555" s="695">
        <v>1</v>
      </c>
      <c r="H3555" s="695" t="s">
        <v>6635</v>
      </c>
      <c r="I3555" s="695">
        <v>22</v>
      </c>
      <c r="J3555" s="695" t="s">
        <v>6731</v>
      </c>
      <c r="K3555" s="695" t="s">
        <v>5334</v>
      </c>
      <c r="L3555" s="696">
        <v>0</v>
      </c>
      <c r="M3555" s="170"/>
    </row>
    <row r="3556" spans="2:13" x14ac:dyDescent="0.2">
      <c r="B3556" s="173"/>
      <c r="C3556" s="694">
        <v>1</v>
      </c>
      <c r="D3556" s="695" t="s">
        <v>3903</v>
      </c>
      <c r="E3556" s="695">
        <v>7</v>
      </c>
      <c r="F3556" s="695" t="s">
        <v>6711</v>
      </c>
      <c r="G3556" s="695">
        <v>1</v>
      </c>
      <c r="H3556" s="695" t="s">
        <v>6635</v>
      </c>
      <c r="I3556" s="695">
        <v>23</v>
      </c>
      <c r="J3556" s="695" t="s">
        <v>6732</v>
      </c>
      <c r="K3556" s="695" t="s">
        <v>5334</v>
      </c>
      <c r="L3556" s="696">
        <v>0</v>
      </c>
      <c r="M3556" s="170"/>
    </row>
    <row r="3557" spans="2:13" x14ac:dyDescent="0.2">
      <c r="B3557" s="173"/>
      <c r="C3557" s="694">
        <v>1</v>
      </c>
      <c r="D3557" s="695" t="s">
        <v>3903</v>
      </c>
      <c r="E3557" s="695">
        <v>7</v>
      </c>
      <c r="F3557" s="695" t="s">
        <v>6711</v>
      </c>
      <c r="G3557" s="695">
        <v>1</v>
      </c>
      <c r="H3557" s="695" t="s">
        <v>6635</v>
      </c>
      <c r="I3557" s="695">
        <v>24</v>
      </c>
      <c r="J3557" s="695" t="s">
        <v>6733</v>
      </c>
      <c r="K3557" s="695" t="s">
        <v>5334</v>
      </c>
      <c r="L3557" s="696">
        <v>0</v>
      </c>
      <c r="M3557" s="170"/>
    </row>
    <row r="3558" spans="2:13" x14ac:dyDescent="0.2">
      <c r="B3558" s="173"/>
      <c r="C3558" s="694">
        <v>1</v>
      </c>
      <c r="D3558" s="695" t="s">
        <v>3903</v>
      </c>
      <c r="E3558" s="695">
        <v>7</v>
      </c>
      <c r="F3558" s="695" t="s">
        <v>6711</v>
      </c>
      <c r="G3558" s="695">
        <v>1</v>
      </c>
      <c r="H3558" s="695" t="s">
        <v>6635</v>
      </c>
      <c r="I3558" s="695">
        <v>25</v>
      </c>
      <c r="J3558" s="695" t="s">
        <v>6734</v>
      </c>
      <c r="K3558" s="695" t="s">
        <v>5334</v>
      </c>
      <c r="L3558" s="696">
        <v>0</v>
      </c>
      <c r="M3558" s="170"/>
    </row>
    <row r="3559" spans="2:13" x14ac:dyDescent="0.2">
      <c r="B3559" s="173"/>
      <c r="C3559" s="694">
        <v>1</v>
      </c>
      <c r="D3559" s="695" t="s">
        <v>3903</v>
      </c>
      <c r="E3559" s="695">
        <v>7</v>
      </c>
      <c r="F3559" s="695" t="s">
        <v>6711</v>
      </c>
      <c r="G3559" s="695">
        <v>1</v>
      </c>
      <c r="H3559" s="695" t="s">
        <v>6635</v>
      </c>
      <c r="I3559" s="695">
        <v>26</v>
      </c>
      <c r="J3559" s="695" t="s">
        <v>6735</v>
      </c>
      <c r="K3559" s="695" t="s">
        <v>5334</v>
      </c>
      <c r="L3559" s="696">
        <v>0</v>
      </c>
      <c r="M3559" s="170"/>
    </row>
    <row r="3560" spans="2:13" x14ac:dyDescent="0.2">
      <c r="B3560" s="173"/>
      <c r="C3560" s="694">
        <v>1</v>
      </c>
      <c r="D3560" s="695" t="s">
        <v>3903</v>
      </c>
      <c r="E3560" s="695">
        <v>7</v>
      </c>
      <c r="F3560" s="695" t="s">
        <v>6711</v>
      </c>
      <c r="G3560" s="695">
        <v>1</v>
      </c>
      <c r="H3560" s="695" t="s">
        <v>6635</v>
      </c>
      <c r="I3560" s="695">
        <v>33</v>
      </c>
      <c r="J3560" s="695" t="s">
        <v>6736</v>
      </c>
      <c r="K3560" s="695" t="s">
        <v>5334</v>
      </c>
      <c r="L3560" s="696">
        <v>0</v>
      </c>
      <c r="M3560" s="170"/>
    </row>
    <row r="3561" spans="2:13" x14ac:dyDescent="0.2">
      <c r="B3561" s="173"/>
      <c r="C3561" s="694">
        <v>1</v>
      </c>
      <c r="D3561" s="695" t="s">
        <v>3903</v>
      </c>
      <c r="E3561" s="695">
        <v>7</v>
      </c>
      <c r="F3561" s="695" t="s">
        <v>6711</v>
      </c>
      <c r="G3561" s="695">
        <v>1</v>
      </c>
      <c r="H3561" s="695" t="s">
        <v>6635</v>
      </c>
      <c r="I3561" s="695">
        <v>34</v>
      </c>
      <c r="J3561" s="695" t="s">
        <v>6737</v>
      </c>
      <c r="K3561" s="695" t="s">
        <v>5334</v>
      </c>
      <c r="L3561" s="696">
        <v>0</v>
      </c>
      <c r="M3561" s="170"/>
    </row>
    <row r="3562" spans="2:13" x14ac:dyDescent="0.2">
      <c r="B3562" s="173"/>
      <c r="C3562" s="694">
        <v>1</v>
      </c>
      <c r="D3562" s="695" t="s">
        <v>3903</v>
      </c>
      <c r="E3562" s="695">
        <v>7</v>
      </c>
      <c r="F3562" s="695" t="s">
        <v>6711</v>
      </c>
      <c r="G3562" s="695">
        <v>1</v>
      </c>
      <c r="H3562" s="695" t="s">
        <v>6635</v>
      </c>
      <c r="I3562" s="695">
        <v>35</v>
      </c>
      <c r="J3562" s="695" t="s">
        <v>6738</v>
      </c>
      <c r="K3562" s="695" t="s">
        <v>5334</v>
      </c>
      <c r="L3562" s="696">
        <v>0</v>
      </c>
      <c r="M3562" s="170"/>
    </row>
    <row r="3563" spans="2:13" x14ac:dyDescent="0.2">
      <c r="B3563" s="173"/>
      <c r="C3563" s="694">
        <v>1</v>
      </c>
      <c r="D3563" s="695" t="s">
        <v>3903</v>
      </c>
      <c r="E3563" s="695">
        <v>7</v>
      </c>
      <c r="F3563" s="695" t="s">
        <v>6711</v>
      </c>
      <c r="G3563" s="695">
        <v>1</v>
      </c>
      <c r="H3563" s="695" t="s">
        <v>6635</v>
      </c>
      <c r="I3563" s="695">
        <v>36</v>
      </c>
      <c r="J3563" s="695" t="s">
        <v>6739</v>
      </c>
      <c r="K3563" s="695" t="s">
        <v>5334</v>
      </c>
      <c r="L3563" s="696">
        <v>0</v>
      </c>
      <c r="M3563" s="170"/>
    </row>
    <row r="3564" spans="2:13" x14ac:dyDescent="0.2">
      <c r="B3564" s="173"/>
      <c r="C3564" s="694">
        <v>1</v>
      </c>
      <c r="D3564" s="695" t="s">
        <v>3903</v>
      </c>
      <c r="E3564" s="695">
        <v>7</v>
      </c>
      <c r="F3564" s="695" t="s">
        <v>6711</v>
      </c>
      <c r="G3564" s="695">
        <v>1</v>
      </c>
      <c r="H3564" s="695" t="s">
        <v>6635</v>
      </c>
      <c r="I3564" s="695">
        <v>37</v>
      </c>
      <c r="J3564" s="695" t="s">
        <v>6740</v>
      </c>
      <c r="K3564" s="695" t="s">
        <v>5334</v>
      </c>
      <c r="L3564" s="696">
        <v>0</v>
      </c>
      <c r="M3564" s="170"/>
    </row>
    <row r="3565" spans="2:13" x14ac:dyDescent="0.2">
      <c r="B3565" s="173"/>
      <c r="C3565" s="694">
        <v>1</v>
      </c>
      <c r="D3565" s="695" t="s">
        <v>3903</v>
      </c>
      <c r="E3565" s="695">
        <v>7</v>
      </c>
      <c r="F3565" s="695" t="s">
        <v>6711</v>
      </c>
      <c r="G3565" s="695">
        <v>1</v>
      </c>
      <c r="H3565" s="695" t="s">
        <v>6635</v>
      </c>
      <c r="I3565" s="695">
        <v>38</v>
      </c>
      <c r="J3565" s="695" t="s">
        <v>6741</v>
      </c>
      <c r="K3565" s="695" t="s">
        <v>5334</v>
      </c>
      <c r="L3565" s="696">
        <v>0</v>
      </c>
      <c r="M3565" s="170"/>
    </row>
    <row r="3566" spans="2:13" x14ac:dyDescent="0.2">
      <c r="B3566" s="173"/>
      <c r="C3566" s="694">
        <v>1</v>
      </c>
      <c r="D3566" s="695" t="s">
        <v>3903</v>
      </c>
      <c r="E3566" s="695">
        <v>7</v>
      </c>
      <c r="F3566" s="695" t="s">
        <v>6711</v>
      </c>
      <c r="G3566" s="695">
        <v>1</v>
      </c>
      <c r="H3566" s="695" t="s">
        <v>6635</v>
      </c>
      <c r="I3566" s="695">
        <v>39</v>
      </c>
      <c r="J3566" s="695" t="s">
        <v>6742</v>
      </c>
      <c r="K3566" s="695" t="s">
        <v>5334</v>
      </c>
      <c r="L3566" s="696">
        <v>0</v>
      </c>
      <c r="M3566" s="170"/>
    </row>
    <row r="3567" spans="2:13" x14ac:dyDescent="0.2">
      <c r="B3567" s="173"/>
      <c r="C3567" s="694">
        <v>1</v>
      </c>
      <c r="D3567" s="695" t="s">
        <v>3903</v>
      </c>
      <c r="E3567" s="695">
        <v>7</v>
      </c>
      <c r="F3567" s="695" t="s">
        <v>6711</v>
      </c>
      <c r="G3567" s="695">
        <v>1</v>
      </c>
      <c r="H3567" s="695" t="s">
        <v>6635</v>
      </c>
      <c r="I3567" s="695">
        <v>40</v>
      </c>
      <c r="J3567" s="695" t="s">
        <v>6743</v>
      </c>
      <c r="K3567" s="695" t="s">
        <v>5334</v>
      </c>
      <c r="L3567" s="696">
        <v>0</v>
      </c>
      <c r="M3567" s="170"/>
    </row>
    <row r="3568" spans="2:13" x14ac:dyDescent="0.2">
      <c r="B3568" s="173"/>
      <c r="C3568" s="694">
        <v>1</v>
      </c>
      <c r="D3568" s="695" t="s">
        <v>3903</v>
      </c>
      <c r="E3568" s="695">
        <v>7</v>
      </c>
      <c r="F3568" s="695" t="s">
        <v>6711</v>
      </c>
      <c r="G3568" s="695">
        <v>1</v>
      </c>
      <c r="H3568" s="695" t="s">
        <v>6635</v>
      </c>
      <c r="I3568" s="695">
        <v>41</v>
      </c>
      <c r="J3568" s="695" t="s">
        <v>6744</v>
      </c>
      <c r="K3568" s="695" t="s">
        <v>5334</v>
      </c>
      <c r="L3568" s="696">
        <v>0</v>
      </c>
      <c r="M3568" s="170"/>
    </row>
    <row r="3569" spans="2:13" x14ac:dyDescent="0.2">
      <c r="B3569" s="173"/>
      <c r="C3569" s="694">
        <v>1</v>
      </c>
      <c r="D3569" s="695" t="s">
        <v>3903</v>
      </c>
      <c r="E3569" s="695">
        <v>7</v>
      </c>
      <c r="F3569" s="695" t="s">
        <v>6711</v>
      </c>
      <c r="G3569" s="695">
        <v>1</v>
      </c>
      <c r="H3569" s="695" t="s">
        <v>6635</v>
      </c>
      <c r="I3569" s="695">
        <v>42</v>
      </c>
      <c r="J3569" s="695" t="s">
        <v>6745</v>
      </c>
      <c r="K3569" s="695" t="s">
        <v>5334</v>
      </c>
      <c r="L3569" s="696">
        <v>0</v>
      </c>
      <c r="M3569" s="170"/>
    </row>
    <row r="3570" spans="2:13" x14ac:dyDescent="0.2">
      <c r="B3570" s="173"/>
      <c r="C3570" s="694">
        <v>1</v>
      </c>
      <c r="D3570" s="695" t="s">
        <v>3903</v>
      </c>
      <c r="E3570" s="695">
        <v>7</v>
      </c>
      <c r="F3570" s="695" t="s">
        <v>6711</v>
      </c>
      <c r="G3570" s="695">
        <v>1</v>
      </c>
      <c r="H3570" s="695" t="s">
        <v>6635</v>
      </c>
      <c r="I3570" s="695">
        <v>43</v>
      </c>
      <c r="J3570" s="695" t="s">
        <v>6746</v>
      </c>
      <c r="K3570" s="695" t="s">
        <v>5334</v>
      </c>
      <c r="L3570" s="696">
        <v>0</v>
      </c>
      <c r="M3570" s="170"/>
    </row>
    <row r="3571" spans="2:13" x14ac:dyDescent="0.2">
      <c r="B3571" s="173"/>
      <c r="C3571" s="694">
        <v>1</v>
      </c>
      <c r="D3571" s="695" t="s">
        <v>3903</v>
      </c>
      <c r="E3571" s="695">
        <v>7</v>
      </c>
      <c r="F3571" s="695" t="s">
        <v>6711</v>
      </c>
      <c r="G3571" s="695">
        <v>1</v>
      </c>
      <c r="H3571" s="695" t="s">
        <v>6635</v>
      </c>
      <c r="I3571" s="695">
        <v>44</v>
      </c>
      <c r="J3571" s="695" t="s">
        <v>6747</v>
      </c>
      <c r="K3571" s="695" t="s">
        <v>5334</v>
      </c>
      <c r="L3571" s="696">
        <v>1</v>
      </c>
      <c r="M3571" s="170"/>
    </row>
    <row r="3572" spans="2:13" x14ac:dyDescent="0.2">
      <c r="B3572" s="173"/>
      <c r="C3572" s="694">
        <v>1</v>
      </c>
      <c r="D3572" s="695" t="s">
        <v>3903</v>
      </c>
      <c r="E3572" s="695">
        <v>7</v>
      </c>
      <c r="F3572" s="695" t="s">
        <v>6711</v>
      </c>
      <c r="G3572" s="695">
        <v>1</v>
      </c>
      <c r="H3572" s="695" t="s">
        <v>6635</v>
      </c>
      <c r="I3572" s="695">
        <v>45</v>
      </c>
      <c r="J3572" s="695" t="s">
        <v>6748</v>
      </c>
      <c r="K3572" s="695" t="s">
        <v>5334</v>
      </c>
      <c r="L3572" s="696">
        <v>0</v>
      </c>
      <c r="M3572" s="170"/>
    </row>
    <row r="3573" spans="2:13" x14ac:dyDescent="0.2">
      <c r="B3573" s="173"/>
      <c r="C3573" s="694">
        <v>1</v>
      </c>
      <c r="D3573" s="695" t="s">
        <v>3903</v>
      </c>
      <c r="E3573" s="695">
        <v>7</v>
      </c>
      <c r="F3573" s="695" t="s">
        <v>6711</v>
      </c>
      <c r="G3573" s="695">
        <v>1</v>
      </c>
      <c r="H3573" s="695" t="s">
        <v>6635</v>
      </c>
      <c r="I3573" s="695">
        <v>46</v>
      </c>
      <c r="J3573" s="695" t="s">
        <v>6749</v>
      </c>
      <c r="K3573" s="695" t="s">
        <v>5334</v>
      </c>
      <c r="L3573" s="696">
        <v>0</v>
      </c>
      <c r="M3573" s="170"/>
    </row>
    <row r="3574" spans="2:13" x14ac:dyDescent="0.2">
      <c r="B3574" s="173"/>
      <c r="C3574" s="694">
        <v>1</v>
      </c>
      <c r="D3574" s="695" t="s">
        <v>3903</v>
      </c>
      <c r="E3574" s="695">
        <v>7</v>
      </c>
      <c r="F3574" s="695" t="s">
        <v>6711</v>
      </c>
      <c r="G3574" s="695">
        <v>1</v>
      </c>
      <c r="H3574" s="695" t="s">
        <v>6635</v>
      </c>
      <c r="I3574" s="695">
        <v>88</v>
      </c>
      <c r="J3574" s="695" t="s">
        <v>6750</v>
      </c>
      <c r="K3574" s="695" t="s">
        <v>5334</v>
      </c>
      <c r="L3574" s="696">
        <v>0</v>
      </c>
      <c r="M3574" s="170"/>
    </row>
    <row r="3575" spans="2:13" x14ac:dyDescent="0.2">
      <c r="B3575" s="173"/>
      <c r="C3575" s="694">
        <v>1</v>
      </c>
      <c r="D3575" s="695" t="s">
        <v>3903</v>
      </c>
      <c r="E3575" s="695">
        <v>7</v>
      </c>
      <c r="F3575" s="695" t="s">
        <v>6711</v>
      </c>
      <c r="G3575" s="695">
        <v>1</v>
      </c>
      <c r="H3575" s="695" t="s">
        <v>6635</v>
      </c>
      <c r="I3575" s="695">
        <v>89</v>
      </c>
      <c r="J3575" s="695" t="s">
        <v>6751</v>
      </c>
      <c r="K3575" s="695" t="s">
        <v>5334</v>
      </c>
      <c r="L3575" s="696">
        <v>0</v>
      </c>
      <c r="M3575" s="170"/>
    </row>
    <row r="3576" spans="2:13" x14ac:dyDescent="0.2">
      <c r="B3576" s="173"/>
      <c r="C3576" s="694">
        <v>1</v>
      </c>
      <c r="D3576" s="695" t="s">
        <v>3903</v>
      </c>
      <c r="E3576" s="695">
        <v>7</v>
      </c>
      <c r="F3576" s="695" t="s">
        <v>6711</v>
      </c>
      <c r="G3576" s="695">
        <v>1</v>
      </c>
      <c r="H3576" s="695" t="s">
        <v>6635</v>
      </c>
      <c r="I3576" s="695">
        <v>90</v>
      </c>
      <c r="J3576" s="695" t="s">
        <v>6752</v>
      </c>
      <c r="K3576" s="695" t="s">
        <v>5334</v>
      </c>
      <c r="L3576" s="696">
        <v>1</v>
      </c>
      <c r="M3576" s="170"/>
    </row>
    <row r="3577" spans="2:13" x14ac:dyDescent="0.2">
      <c r="B3577" s="173"/>
      <c r="C3577" s="694">
        <v>1</v>
      </c>
      <c r="D3577" s="695" t="s">
        <v>3903</v>
      </c>
      <c r="E3577" s="695">
        <v>7</v>
      </c>
      <c r="F3577" s="695" t="s">
        <v>6711</v>
      </c>
      <c r="G3577" s="695">
        <v>1</v>
      </c>
      <c r="H3577" s="695" t="s">
        <v>6635</v>
      </c>
      <c r="I3577" s="695">
        <v>91</v>
      </c>
      <c r="J3577" s="695" t="s">
        <v>6753</v>
      </c>
      <c r="K3577" s="695" t="s">
        <v>5334</v>
      </c>
      <c r="L3577" s="696">
        <v>0</v>
      </c>
      <c r="M3577" s="170"/>
    </row>
    <row r="3578" spans="2:13" x14ac:dyDescent="0.2">
      <c r="B3578" s="173"/>
      <c r="C3578" s="694">
        <v>1</v>
      </c>
      <c r="D3578" s="695" t="s">
        <v>3903</v>
      </c>
      <c r="E3578" s="695">
        <v>7</v>
      </c>
      <c r="F3578" s="695" t="s">
        <v>6711</v>
      </c>
      <c r="G3578" s="695">
        <v>1</v>
      </c>
      <c r="H3578" s="695" t="s">
        <v>6635</v>
      </c>
      <c r="I3578" s="695">
        <v>92</v>
      </c>
      <c r="J3578" s="695" t="s">
        <v>6754</v>
      </c>
      <c r="K3578" s="695" t="s">
        <v>5334</v>
      </c>
      <c r="L3578" s="696">
        <v>0</v>
      </c>
      <c r="M3578" s="170"/>
    </row>
    <row r="3579" spans="2:13" x14ac:dyDescent="0.2">
      <c r="B3579" s="173"/>
      <c r="C3579" s="694">
        <v>1</v>
      </c>
      <c r="D3579" s="695" t="s">
        <v>3903</v>
      </c>
      <c r="E3579" s="695">
        <v>7</v>
      </c>
      <c r="F3579" s="695" t="s">
        <v>6711</v>
      </c>
      <c r="G3579" s="695">
        <v>1</v>
      </c>
      <c r="H3579" s="695" t="s">
        <v>6635</v>
      </c>
      <c r="I3579" s="695">
        <v>93</v>
      </c>
      <c r="J3579" s="695" t="s">
        <v>6755</v>
      </c>
      <c r="K3579" s="695" t="s">
        <v>5334</v>
      </c>
      <c r="L3579" s="696">
        <v>0</v>
      </c>
      <c r="M3579" s="170"/>
    </row>
    <row r="3580" spans="2:13" x14ac:dyDescent="0.2">
      <c r="B3580" s="173"/>
      <c r="C3580" s="694">
        <v>1</v>
      </c>
      <c r="D3580" s="695" t="s">
        <v>3903</v>
      </c>
      <c r="E3580" s="695">
        <v>7</v>
      </c>
      <c r="F3580" s="695" t="s">
        <v>6711</v>
      </c>
      <c r="G3580" s="695">
        <v>1</v>
      </c>
      <c r="H3580" s="695" t="s">
        <v>6635</v>
      </c>
      <c r="I3580" s="695">
        <v>94</v>
      </c>
      <c r="J3580" s="695" t="s">
        <v>6756</v>
      </c>
      <c r="K3580" s="695" t="s">
        <v>5334</v>
      </c>
      <c r="L3580" s="696">
        <v>0</v>
      </c>
      <c r="M3580" s="170"/>
    </row>
    <row r="3581" spans="2:13" x14ac:dyDescent="0.2">
      <c r="B3581" s="173"/>
      <c r="C3581" s="694">
        <v>1</v>
      </c>
      <c r="D3581" s="695" t="s">
        <v>3903</v>
      </c>
      <c r="E3581" s="695">
        <v>7</v>
      </c>
      <c r="F3581" s="695" t="s">
        <v>6711</v>
      </c>
      <c r="G3581" s="695">
        <v>1</v>
      </c>
      <c r="H3581" s="695" t="s">
        <v>6635</v>
      </c>
      <c r="I3581" s="695">
        <v>95</v>
      </c>
      <c r="J3581" s="695" t="s">
        <v>6757</v>
      </c>
      <c r="K3581" s="695" t="s">
        <v>5334</v>
      </c>
      <c r="L3581" s="696">
        <v>0</v>
      </c>
      <c r="M3581" s="170"/>
    </row>
    <row r="3582" spans="2:13" x14ac:dyDescent="0.2">
      <c r="B3582" s="173"/>
      <c r="C3582" s="694">
        <v>1</v>
      </c>
      <c r="D3582" s="695" t="s">
        <v>3903</v>
      </c>
      <c r="E3582" s="695">
        <v>7</v>
      </c>
      <c r="F3582" s="695" t="s">
        <v>6711</v>
      </c>
      <c r="G3582" s="695">
        <v>1</v>
      </c>
      <c r="H3582" s="695" t="s">
        <v>6635</v>
      </c>
      <c r="I3582" s="695">
        <v>96</v>
      </c>
      <c r="J3582" s="695" t="s">
        <v>6758</v>
      </c>
      <c r="K3582" s="695" t="s">
        <v>5334</v>
      </c>
      <c r="L3582" s="696">
        <v>0</v>
      </c>
      <c r="M3582" s="170"/>
    </row>
    <row r="3583" spans="2:13" x14ac:dyDescent="0.2">
      <c r="B3583" s="173"/>
      <c r="C3583" s="694">
        <v>1</v>
      </c>
      <c r="D3583" s="695" t="s">
        <v>3903</v>
      </c>
      <c r="E3583" s="695">
        <v>7</v>
      </c>
      <c r="F3583" s="695" t="s">
        <v>6711</v>
      </c>
      <c r="G3583" s="695">
        <v>1</v>
      </c>
      <c r="H3583" s="695" t="s">
        <v>6635</v>
      </c>
      <c r="I3583" s="695">
        <v>97</v>
      </c>
      <c r="J3583" s="695" t="s">
        <v>6759</v>
      </c>
      <c r="K3583" s="695" t="s">
        <v>5334</v>
      </c>
      <c r="L3583" s="696">
        <v>0</v>
      </c>
      <c r="M3583" s="170"/>
    </row>
    <row r="3584" spans="2:13" x14ac:dyDescent="0.2">
      <c r="B3584" s="173"/>
      <c r="C3584" s="694">
        <v>1</v>
      </c>
      <c r="D3584" s="695" t="s">
        <v>3903</v>
      </c>
      <c r="E3584" s="695">
        <v>7</v>
      </c>
      <c r="F3584" s="695" t="s">
        <v>6711</v>
      </c>
      <c r="G3584" s="695">
        <v>1</v>
      </c>
      <c r="H3584" s="695" t="s">
        <v>6635</v>
      </c>
      <c r="I3584" s="695">
        <v>98</v>
      </c>
      <c r="J3584" s="695" t="s">
        <v>6760</v>
      </c>
      <c r="K3584" s="695" t="s">
        <v>5334</v>
      </c>
      <c r="L3584" s="696">
        <v>0</v>
      </c>
      <c r="M3584" s="170"/>
    </row>
    <row r="3585" spans="2:13" x14ac:dyDescent="0.2">
      <c r="B3585" s="173"/>
      <c r="C3585" s="694">
        <v>1</v>
      </c>
      <c r="D3585" s="695" t="s">
        <v>3903</v>
      </c>
      <c r="E3585" s="695">
        <v>7</v>
      </c>
      <c r="F3585" s="695" t="s">
        <v>6711</v>
      </c>
      <c r="G3585" s="695">
        <v>1</v>
      </c>
      <c r="H3585" s="695" t="s">
        <v>6635</v>
      </c>
      <c r="I3585" s="695">
        <v>99</v>
      </c>
      <c r="J3585" s="695" t="s">
        <v>6761</v>
      </c>
      <c r="K3585" s="695" t="s">
        <v>5334</v>
      </c>
      <c r="L3585" s="696">
        <v>0</v>
      </c>
      <c r="M3585" s="170"/>
    </row>
    <row r="3586" spans="2:13" x14ac:dyDescent="0.2">
      <c r="B3586" s="173"/>
      <c r="C3586" s="694">
        <v>1</v>
      </c>
      <c r="D3586" s="695" t="s">
        <v>3903</v>
      </c>
      <c r="E3586" s="695">
        <v>7</v>
      </c>
      <c r="F3586" s="695" t="s">
        <v>6711</v>
      </c>
      <c r="G3586" s="695">
        <v>1</v>
      </c>
      <c r="H3586" s="695" t="s">
        <v>6635</v>
      </c>
      <c r="I3586" s="695">
        <v>100</v>
      </c>
      <c r="J3586" s="695" t="s">
        <v>6762</v>
      </c>
      <c r="K3586" s="695" t="s">
        <v>5334</v>
      </c>
      <c r="L3586" s="696">
        <v>0</v>
      </c>
      <c r="M3586" s="170"/>
    </row>
    <row r="3587" spans="2:13" x14ac:dyDescent="0.2">
      <c r="B3587" s="173"/>
      <c r="C3587" s="694">
        <v>1</v>
      </c>
      <c r="D3587" s="695" t="s">
        <v>3903</v>
      </c>
      <c r="E3587" s="695">
        <v>7</v>
      </c>
      <c r="F3587" s="695" t="s">
        <v>6711</v>
      </c>
      <c r="G3587" s="695">
        <v>1</v>
      </c>
      <c r="H3587" s="695" t="s">
        <v>6635</v>
      </c>
      <c r="I3587" s="695">
        <v>101</v>
      </c>
      <c r="J3587" s="695" t="s">
        <v>6763</v>
      </c>
      <c r="K3587" s="695" t="s">
        <v>5334</v>
      </c>
      <c r="L3587" s="696">
        <v>0</v>
      </c>
      <c r="M3587" s="170"/>
    </row>
    <row r="3588" spans="2:13" x14ac:dyDescent="0.2">
      <c r="B3588" s="173"/>
      <c r="C3588" s="694">
        <v>1</v>
      </c>
      <c r="D3588" s="695" t="s">
        <v>3903</v>
      </c>
      <c r="E3588" s="695">
        <v>7</v>
      </c>
      <c r="F3588" s="695" t="s">
        <v>6711</v>
      </c>
      <c r="G3588" s="695">
        <v>1</v>
      </c>
      <c r="H3588" s="695" t="s">
        <v>6635</v>
      </c>
      <c r="I3588" s="695">
        <v>102</v>
      </c>
      <c r="J3588" s="695" t="s">
        <v>6764</v>
      </c>
      <c r="K3588" s="695" t="s">
        <v>5334</v>
      </c>
      <c r="L3588" s="696">
        <v>0</v>
      </c>
      <c r="M3588" s="170"/>
    </row>
    <row r="3589" spans="2:13" x14ac:dyDescent="0.2">
      <c r="B3589" s="173"/>
      <c r="C3589" s="694">
        <v>1</v>
      </c>
      <c r="D3589" s="695" t="s">
        <v>3903</v>
      </c>
      <c r="E3589" s="695">
        <v>7</v>
      </c>
      <c r="F3589" s="695" t="s">
        <v>6711</v>
      </c>
      <c r="G3589" s="695">
        <v>1</v>
      </c>
      <c r="H3589" s="695" t="s">
        <v>6635</v>
      </c>
      <c r="I3589" s="695">
        <v>103</v>
      </c>
      <c r="J3589" s="695" t="s">
        <v>6765</v>
      </c>
      <c r="K3589" s="695" t="s">
        <v>5334</v>
      </c>
      <c r="L3589" s="696">
        <v>1</v>
      </c>
      <c r="M3589" s="170"/>
    </row>
    <row r="3590" spans="2:13" x14ac:dyDescent="0.2">
      <c r="B3590" s="173"/>
      <c r="C3590" s="694">
        <v>1</v>
      </c>
      <c r="D3590" s="695" t="s">
        <v>3903</v>
      </c>
      <c r="E3590" s="695">
        <v>7</v>
      </c>
      <c r="F3590" s="695" t="s">
        <v>6711</v>
      </c>
      <c r="G3590" s="695">
        <v>1</v>
      </c>
      <c r="H3590" s="695" t="s">
        <v>6635</v>
      </c>
      <c r="I3590" s="695">
        <v>104</v>
      </c>
      <c r="J3590" s="695" t="s">
        <v>6766</v>
      </c>
      <c r="K3590" s="695" t="s">
        <v>5334</v>
      </c>
      <c r="L3590" s="696">
        <v>0</v>
      </c>
      <c r="M3590" s="170"/>
    </row>
    <row r="3591" spans="2:13" x14ac:dyDescent="0.2">
      <c r="B3591" s="173"/>
      <c r="C3591" s="694">
        <v>1</v>
      </c>
      <c r="D3591" s="695" t="s">
        <v>3903</v>
      </c>
      <c r="E3591" s="695">
        <v>7</v>
      </c>
      <c r="F3591" s="695" t="s">
        <v>6711</v>
      </c>
      <c r="G3591" s="695">
        <v>1</v>
      </c>
      <c r="H3591" s="695" t="s">
        <v>6635</v>
      </c>
      <c r="I3591" s="695">
        <v>105</v>
      </c>
      <c r="J3591" s="695" t="s">
        <v>6767</v>
      </c>
      <c r="K3591" s="695" t="s">
        <v>5334</v>
      </c>
      <c r="L3591" s="696">
        <v>0</v>
      </c>
      <c r="M3591" s="170"/>
    </row>
    <row r="3592" spans="2:13" x14ac:dyDescent="0.2">
      <c r="B3592" s="173"/>
      <c r="C3592" s="694">
        <v>1</v>
      </c>
      <c r="D3592" s="695" t="s">
        <v>3903</v>
      </c>
      <c r="E3592" s="695">
        <v>7</v>
      </c>
      <c r="F3592" s="695" t="s">
        <v>6711</v>
      </c>
      <c r="G3592" s="695">
        <v>1</v>
      </c>
      <c r="H3592" s="695" t="s">
        <v>6635</v>
      </c>
      <c r="I3592" s="695">
        <v>106</v>
      </c>
      <c r="J3592" s="695" t="s">
        <v>6768</v>
      </c>
      <c r="K3592" s="695" t="s">
        <v>5334</v>
      </c>
      <c r="L3592" s="696">
        <v>0</v>
      </c>
      <c r="M3592" s="170"/>
    </row>
    <row r="3593" spans="2:13" x14ac:dyDescent="0.2">
      <c r="B3593" s="173"/>
      <c r="C3593" s="694">
        <v>1</v>
      </c>
      <c r="D3593" s="695" t="s">
        <v>3903</v>
      </c>
      <c r="E3593" s="695">
        <v>7</v>
      </c>
      <c r="F3593" s="695" t="s">
        <v>6711</v>
      </c>
      <c r="G3593" s="695">
        <v>1</v>
      </c>
      <c r="H3593" s="695" t="s">
        <v>6635</v>
      </c>
      <c r="I3593" s="695">
        <v>107</v>
      </c>
      <c r="J3593" s="695" t="s">
        <v>6769</v>
      </c>
      <c r="K3593" s="695" t="s">
        <v>5334</v>
      </c>
      <c r="L3593" s="696">
        <v>0</v>
      </c>
      <c r="M3593" s="170"/>
    </row>
    <row r="3594" spans="2:13" x14ac:dyDescent="0.2">
      <c r="B3594" s="173"/>
      <c r="C3594" s="694">
        <v>1</v>
      </c>
      <c r="D3594" s="695" t="s">
        <v>3903</v>
      </c>
      <c r="E3594" s="695">
        <v>7</v>
      </c>
      <c r="F3594" s="695" t="s">
        <v>6711</v>
      </c>
      <c r="G3594" s="695">
        <v>1</v>
      </c>
      <c r="H3594" s="695" t="s">
        <v>6635</v>
      </c>
      <c r="I3594" s="695">
        <v>108</v>
      </c>
      <c r="J3594" s="695" t="s">
        <v>6770</v>
      </c>
      <c r="K3594" s="695" t="s">
        <v>5334</v>
      </c>
      <c r="L3594" s="696">
        <v>0</v>
      </c>
      <c r="M3594" s="170"/>
    </row>
    <row r="3595" spans="2:13" x14ac:dyDescent="0.2">
      <c r="B3595" s="173"/>
      <c r="C3595" s="694">
        <v>1</v>
      </c>
      <c r="D3595" s="695" t="s">
        <v>3903</v>
      </c>
      <c r="E3595" s="695">
        <v>7</v>
      </c>
      <c r="F3595" s="695" t="s">
        <v>6711</v>
      </c>
      <c r="G3595" s="695">
        <v>1</v>
      </c>
      <c r="H3595" s="695" t="s">
        <v>6635</v>
      </c>
      <c r="I3595" s="695">
        <v>109</v>
      </c>
      <c r="J3595" s="695" t="s">
        <v>6771</v>
      </c>
      <c r="K3595" s="695" t="s">
        <v>5334</v>
      </c>
      <c r="L3595" s="696">
        <v>0</v>
      </c>
      <c r="M3595" s="170"/>
    </row>
    <row r="3596" spans="2:13" x14ac:dyDescent="0.2">
      <c r="B3596" s="173"/>
      <c r="C3596" s="694">
        <v>1</v>
      </c>
      <c r="D3596" s="695" t="s">
        <v>3903</v>
      </c>
      <c r="E3596" s="695">
        <v>7</v>
      </c>
      <c r="F3596" s="695" t="s">
        <v>6711</v>
      </c>
      <c r="G3596" s="695">
        <v>1</v>
      </c>
      <c r="H3596" s="695" t="s">
        <v>6635</v>
      </c>
      <c r="I3596" s="695">
        <v>110</v>
      </c>
      <c r="J3596" s="695" t="s">
        <v>6772</v>
      </c>
      <c r="K3596" s="695" t="s">
        <v>5334</v>
      </c>
      <c r="L3596" s="696">
        <v>0</v>
      </c>
      <c r="M3596" s="170"/>
    </row>
    <row r="3597" spans="2:13" x14ac:dyDescent="0.2">
      <c r="B3597" s="173"/>
      <c r="C3597" s="694">
        <v>1</v>
      </c>
      <c r="D3597" s="695" t="s">
        <v>3903</v>
      </c>
      <c r="E3597" s="695">
        <v>7</v>
      </c>
      <c r="F3597" s="695" t="s">
        <v>6711</v>
      </c>
      <c r="G3597" s="695">
        <v>1</v>
      </c>
      <c r="H3597" s="695" t="s">
        <v>6635</v>
      </c>
      <c r="I3597" s="695">
        <v>111</v>
      </c>
      <c r="J3597" s="695" t="s">
        <v>6773</v>
      </c>
      <c r="K3597" s="695" t="s">
        <v>5334</v>
      </c>
      <c r="L3597" s="696">
        <v>0</v>
      </c>
      <c r="M3597" s="170"/>
    </row>
    <row r="3598" spans="2:13" x14ac:dyDescent="0.2">
      <c r="B3598" s="173"/>
      <c r="C3598" s="694">
        <v>1</v>
      </c>
      <c r="D3598" s="695" t="s">
        <v>3903</v>
      </c>
      <c r="E3598" s="695">
        <v>7</v>
      </c>
      <c r="F3598" s="695" t="s">
        <v>6711</v>
      </c>
      <c r="G3598" s="695">
        <v>1</v>
      </c>
      <c r="H3598" s="695" t="s">
        <v>6635</v>
      </c>
      <c r="I3598" s="695">
        <v>120</v>
      </c>
      <c r="J3598" s="695" t="s">
        <v>6774</v>
      </c>
      <c r="K3598" s="695" t="s">
        <v>5334</v>
      </c>
      <c r="L3598" s="696">
        <v>0</v>
      </c>
      <c r="M3598" s="170"/>
    </row>
    <row r="3599" spans="2:13" x14ac:dyDescent="0.2">
      <c r="B3599" s="173"/>
      <c r="C3599" s="694">
        <v>1</v>
      </c>
      <c r="D3599" s="695" t="s">
        <v>3903</v>
      </c>
      <c r="E3599" s="695">
        <v>7</v>
      </c>
      <c r="F3599" s="695" t="s">
        <v>6711</v>
      </c>
      <c r="G3599" s="695">
        <v>1</v>
      </c>
      <c r="H3599" s="695" t="s">
        <v>6635</v>
      </c>
      <c r="I3599" s="695">
        <v>121</v>
      </c>
      <c r="J3599" s="695" t="s">
        <v>6775</v>
      </c>
      <c r="K3599" s="695" t="s">
        <v>5334</v>
      </c>
      <c r="L3599" s="696">
        <v>0</v>
      </c>
      <c r="M3599" s="170"/>
    </row>
    <row r="3600" spans="2:13" x14ac:dyDescent="0.2">
      <c r="B3600" s="173"/>
      <c r="C3600" s="694">
        <v>1</v>
      </c>
      <c r="D3600" s="695" t="s">
        <v>3903</v>
      </c>
      <c r="E3600" s="695">
        <v>7</v>
      </c>
      <c r="F3600" s="695" t="s">
        <v>6711</v>
      </c>
      <c r="G3600" s="695">
        <v>1</v>
      </c>
      <c r="H3600" s="695" t="s">
        <v>6635</v>
      </c>
      <c r="I3600" s="695">
        <v>122</v>
      </c>
      <c r="J3600" s="695" t="s">
        <v>6776</v>
      </c>
      <c r="K3600" s="695" t="s">
        <v>5334</v>
      </c>
      <c r="L3600" s="696">
        <v>1</v>
      </c>
      <c r="M3600" s="170"/>
    </row>
    <row r="3601" spans="2:13" x14ac:dyDescent="0.2">
      <c r="B3601" s="173"/>
      <c r="C3601" s="694">
        <v>1</v>
      </c>
      <c r="D3601" s="695" t="s">
        <v>3903</v>
      </c>
      <c r="E3601" s="695">
        <v>7</v>
      </c>
      <c r="F3601" s="695" t="s">
        <v>6711</v>
      </c>
      <c r="G3601" s="695">
        <v>1</v>
      </c>
      <c r="H3601" s="695" t="s">
        <v>6635</v>
      </c>
      <c r="I3601" s="695">
        <v>123</v>
      </c>
      <c r="J3601" s="695" t="s">
        <v>6777</v>
      </c>
      <c r="K3601" s="695" t="s">
        <v>5334</v>
      </c>
      <c r="L3601" s="696">
        <v>0</v>
      </c>
      <c r="M3601" s="170"/>
    </row>
    <row r="3602" spans="2:13" x14ac:dyDescent="0.2">
      <c r="B3602" s="173"/>
      <c r="C3602" s="694">
        <v>1</v>
      </c>
      <c r="D3602" s="695" t="s">
        <v>3903</v>
      </c>
      <c r="E3602" s="695">
        <v>7</v>
      </c>
      <c r="F3602" s="695" t="s">
        <v>6711</v>
      </c>
      <c r="G3602" s="695">
        <v>1</v>
      </c>
      <c r="H3602" s="695" t="s">
        <v>6635</v>
      </c>
      <c r="I3602" s="695">
        <v>124</v>
      </c>
      <c r="J3602" s="695" t="s">
        <v>6778</v>
      </c>
      <c r="K3602" s="695" t="s">
        <v>5334</v>
      </c>
      <c r="L3602" s="696">
        <v>0</v>
      </c>
      <c r="M3602" s="170"/>
    </row>
    <row r="3603" spans="2:13" x14ac:dyDescent="0.2">
      <c r="B3603" s="173"/>
      <c r="C3603" s="694">
        <v>1</v>
      </c>
      <c r="D3603" s="695" t="s">
        <v>3903</v>
      </c>
      <c r="E3603" s="695">
        <v>7</v>
      </c>
      <c r="F3603" s="695" t="s">
        <v>6711</v>
      </c>
      <c r="G3603" s="695">
        <v>1</v>
      </c>
      <c r="H3603" s="695" t="s">
        <v>6635</v>
      </c>
      <c r="I3603" s="695">
        <v>125</v>
      </c>
      <c r="J3603" s="695" t="s">
        <v>6779</v>
      </c>
      <c r="K3603" s="695" t="s">
        <v>5334</v>
      </c>
      <c r="L3603" s="696">
        <v>1</v>
      </c>
      <c r="M3603" s="170"/>
    </row>
    <row r="3604" spans="2:13" x14ac:dyDescent="0.2">
      <c r="B3604" s="173"/>
      <c r="C3604" s="694">
        <v>1</v>
      </c>
      <c r="D3604" s="695" t="s">
        <v>3903</v>
      </c>
      <c r="E3604" s="695">
        <v>7</v>
      </c>
      <c r="F3604" s="695" t="s">
        <v>6711</v>
      </c>
      <c r="G3604" s="695">
        <v>1</v>
      </c>
      <c r="H3604" s="695" t="s">
        <v>6635</v>
      </c>
      <c r="I3604" s="695">
        <v>126</v>
      </c>
      <c r="J3604" s="695" t="s">
        <v>6780</v>
      </c>
      <c r="K3604" s="695" t="s">
        <v>5334</v>
      </c>
      <c r="L3604" s="696">
        <v>0</v>
      </c>
      <c r="M3604" s="170"/>
    </row>
    <row r="3605" spans="2:13" x14ac:dyDescent="0.2">
      <c r="B3605" s="173"/>
      <c r="C3605" s="694">
        <v>1</v>
      </c>
      <c r="D3605" s="695" t="s">
        <v>3903</v>
      </c>
      <c r="E3605" s="695">
        <v>7</v>
      </c>
      <c r="F3605" s="695" t="s">
        <v>6711</v>
      </c>
      <c r="G3605" s="695">
        <v>1</v>
      </c>
      <c r="H3605" s="695" t="s">
        <v>6635</v>
      </c>
      <c r="I3605" s="695">
        <v>127</v>
      </c>
      <c r="J3605" s="695" t="s">
        <v>6781</v>
      </c>
      <c r="K3605" s="695" t="s">
        <v>5334</v>
      </c>
      <c r="L3605" s="696">
        <v>0</v>
      </c>
      <c r="M3605" s="170"/>
    </row>
    <row r="3606" spans="2:13" x14ac:dyDescent="0.2">
      <c r="B3606" s="173"/>
      <c r="C3606" s="694">
        <v>1</v>
      </c>
      <c r="D3606" s="695" t="s">
        <v>3903</v>
      </c>
      <c r="E3606" s="695">
        <v>7</v>
      </c>
      <c r="F3606" s="695" t="s">
        <v>6711</v>
      </c>
      <c r="G3606" s="695">
        <v>1</v>
      </c>
      <c r="H3606" s="695" t="s">
        <v>6635</v>
      </c>
      <c r="I3606" s="695">
        <v>128</v>
      </c>
      <c r="J3606" s="695" t="s">
        <v>6782</v>
      </c>
      <c r="K3606" s="695" t="s">
        <v>5334</v>
      </c>
      <c r="L3606" s="696">
        <v>0</v>
      </c>
      <c r="M3606" s="170"/>
    </row>
    <row r="3607" spans="2:13" x14ac:dyDescent="0.2">
      <c r="B3607" s="173"/>
      <c r="C3607" s="694">
        <v>1</v>
      </c>
      <c r="D3607" s="695" t="s">
        <v>3903</v>
      </c>
      <c r="E3607" s="695">
        <v>7</v>
      </c>
      <c r="F3607" s="695" t="s">
        <v>6711</v>
      </c>
      <c r="G3607" s="695">
        <v>1</v>
      </c>
      <c r="H3607" s="695" t="s">
        <v>6635</v>
      </c>
      <c r="I3607" s="695">
        <v>129</v>
      </c>
      <c r="J3607" s="695" t="s">
        <v>6744</v>
      </c>
      <c r="K3607" s="695" t="s">
        <v>5334</v>
      </c>
      <c r="L3607" s="696">
        <v>0</v>
      </c>
      <c r="M3607" s="170"/>
    </row>
    <row r="3608" spans="2:13" x14ac:dyDescent="0.2">
      <c r="B3608" s="173"/>
      <c r="C3608" s="694">
        <v>1</v>
      </c>
      <c r="D3608" s="695" t="s">
        <v>3903</v>
      </c>
      <c r="E3608" s="695">
        <v>7</v>
      </c>
      <c r="F3608" s="695" t="s">
        <v>6711</v>
      </c>
      <c r="G3608" s="695">
        <v>1</v>
      </c>
      <c r="H3608" s="695" t="s">
        <v>6635</v>
      </c>
      <c r="I3608" s="695">
        <v>130</v>
      </c>
      <c r="J3608" s="695" t="s">
        <v>6783</v>
      </c>
      <c r="K3608" s="695" t="s">
        <v>5334</v>
      </c>
      <c r="L3608" s="696">
        <v>0</v>
      </c>
      <c r="M3608" s="170"/>
    </row>
    <row r="3609" spans="2:13" x14ac:dyDescent="0.2">
      <c r="B3609" s="173"/>
      <c r="C3609" s="694">
        <v>1</v>
      </c>
      <c r="D3609" s="695" t="s">
        <v>3903</v>
      </c>
      <c r="E3609" s="695">
        <v>7</v>
      </c>
      <c r="F3609" s="695" t="s">
        <v>6711</v>
      </c>
      <c r="G3609" s="695">
        <v>1</v>
      </c>
      <c r="H3609" s="695" t="s">
        <v>6635</v>
      </c>
      <c r="I3609" s="695">
        <v>131</v>
      </c>
      <c r="J3609" s="695" t="s">
        <v>6784</v>
      </c>
      <c r="K3609" s="695" t="s">
        <v>5334</v>
      </c>
      <c r="L3609" s="696">
        <v>0</v>
      </c>
      <c r="M3609" s="170"/>
    </row>
    <row r="3610" spans="2:13" x14ac:dyDescent="0.2">
      <c r="B3610" s="173"/>
      <c r="C3610" s="694">
        <v>1</v>
      </c>
      <c r="D3610" s="695" t="s">
        <v>3903</v>
      </c>
      <c r="E3610" s="695">
        <v>7</v>
      </c>
      <c r="F3610" s="695" t="s">
        <v>6711</v>
      </c>
      <c r="G3610" s="695">
        <v>1</v>
      </c>
      <c r="H3610" s="695" t="s">
        <v>6635</v>
      </c>
      <c r="I3610" s="695">
        <v>132</v>
      </c>
      <c r="J3610" s="695" t="s">
        <v>6638</v>
      </c>
      <c r="K3610" s="695" t="s">
        <v>5334</v>
      </c>
      <c r="L3610" s="696">
        <v>20</v>
      </c>
      <c r="M3610" s="170"/>
    </row>
    <row r="3611" spans="2:13" x14ac:dyDescent="0.2">
      <c r="B3611" s="173"/>
      <c r="C3611" s="694">
        <v>1</v>
      </c>
      <c r="D3611" s="695" t="s">
        <v>3903</v>
      </c>
      <c r="E3611" s="695">
        <v>7</v>
      </c>
      <c r="F3611" s="695" t="s">
        <v>6711</v>
      </c>
      <c r="G3611" s="695">
        <v>1</v>
      </c>
      <c r="H3611" s="695" t="s">
        <v>6635</v>
      </c>
      <c r="I3611" s="695">
        <v>133</v>
      </c>
      <c r="J3611" s="695" t="s">
        <v>6785</v>
      </c>
      <c r="K3611" s="695" t="s">
        <v>5334</v>
      </c>
      <c r="L3611" s="696">
        <v>0</v>
      </c>
      <c r="M3611" s="170"/>
    </row>
    <row r="3612" spans="2:13" x14ac:dyDescent="0.2">
      <c r="B3612" s="173"/>
      <c r="C3612" s="694">
        <v>1</v>
      </c>
      <c r="D3612" s="695" t="s">
        <v>3903</v>
      </c>
      <c r="E3612" s="695">
        <v>7</v>
      </c>
      <c r="F3612" s="695" t="s">
        <v>6711</v>
      </c>
      <c r="G3612" s="695">
        <v>1</v>
      </c>
      <c r="H3612" s="695" t="s">
        <v>6635</v>
      </c>
      <c r="I3612" s="695">
        <v>134</v>
      </c>
      <c r="J3612" s="695" t="s">
        <v>6786</v>
      </c>
      <c r="K3612" s="695" t="s">
        <v>5334</v>
      </c>
      <c r="L3612" s="696">
        <v>0</v>
      </c>
      <c r="M3612" s="170"/>
    </row>
    <row r="3613" spans="2:13" x14ac:dyDescent="0.2">
      <c r="B3613" s="173"/>
      <c r="C3613" s="694">
        <v>1</v>
      </c>
      <c r="D3613" s="695" t="s">
        <v>3903</v>
      </c>
      <c r="E3613" s="695">
        <v>7</v>
      </c>
      <c r="F3613" s="695" t="s">
        <v>6711</v>
      </c>
      <c r="G3613" s="695">
        <v>1</v>
      </c>
      <c r="H3613" s="695" t="s">
        <v>6635</v>
      </c>
      <c r="I3613" s="695">
        <v>135</v>
      </c>
      <c r="J3613" s="695" t="s">
        <v>6787</v>
      </c>
      <c r="K3613" s="695" t="s">
        <v>5334</v>
      </c>
      <c r="L3613" s="696">
        <v>0</v>
      </c>
      <c r="M3613" s="170"/>
    </row>
    <row r="3614" spans="2:13" x14ac:dyDescent="0.2">
      <c r="B3614" s="173"/>
      <c r="C3614" s="694">
        <v>1</v>
      </c>
      <c r="D3614" s="695" t="s">
        <v>3903</v>
      </c>
      <c r="E3614" s="695">
        <v>7</v>
      </c>
      <c r="F3614" s="695" t="s">
        <v>6711</v>
      </c>
      <c r="G3614" s="695">
        <v>1</v>
      </c>
      <c r="H3614" s="695" t="s">
        <v>6635</v>
      </c>
      <c r="I3614" s="695">
        <v>136</v>
      </c>
      <c r="J3614" s="695" t="s">
        <v>6788</v>
      </c>
      <c r="K3614" s="695" t="s">
        <v>5334</v>
      </c>
      <c r="L3614" s="696">
        <v>1</v>
      </c>
      <c r="M3614" s="170"/>
    </row>
    <row r="3615" spans="2:13" x14ac:dyDescent="0.2">
      <c r="B3615" s="173"/>
      <c r="C3615" s="694">
        <v>1</v>
      </c>
      <c r="D3615" s="695" t="s">
        <v>3903</v>
      </c>
      <c r="E3615" s="695">
        <v>7</v>
      </c>
      <c r="F3615" s="695" t="s">
        <v>6711</v>
      </c>
      <c r="G3615" s="695">
        <v>1</v>
      </c>
      <c r="H3615" s="695" t="s">
        <v>6635</v>
      </c>
      <c r="I3615" s="695">
        <v>137</v>
      </c>
      <c r="J3615" s="695" t="s">
        <v>6789</v>
      </c>
      <c r="K3615" s="695" t="s">
        <v>5334</v>
      </c>
      <c r="L3615" s="696">
        <v>0</v>
      </c>
      <c r="M3615" s="170"/>
    </row>
    <row r="3616" spans="2:13" x14ac:dyDescent="0.2">
      <c r="B3616" s="173"/>
      <c r="C3616" s="694">
        <v>1</v>
      </c>
      <c r="D3616" s="695" t="s">
        <v>3903</v>
      </c>
      <c r="E3616" s="695">
        <v>7</v>
      </c>
      <c r="F3616" s="695" t="s">
        <v>6711</v>
      </c>
      <c r="G3616" s="695">
        <v>1</v>
      </c>
      <c r="H3616" s="695" t="s">
        <v>6635</v>
      </c>
      <c r="I3616" s="695">
        <v>138</v>
      </c>
      <c r="J3616" s="695" t="s">
        <v>6790</v>
      </c>
      <c r="K3616" s="695" t="s">
        <v>5334</v>
      </c>
      <c r="L3616" s="696">
        <v>0</v>
      </c>
      <c r="M3616" s="170"/>
    </row>
    <row r="3617" spans="2:13" x14ac:dyDescent="0.2">
      <c r="B3617" s="173"/>
      <c r="C3617" s="694">
        <v>1</v>
      </c>
      <c r="D3617" s="695" t="s">
        <v>3903</v>
      </c>
      <c r="E3617" s="695">
        <v>7</v>
      </c>
      <c r="F3617" s="695" t="s">
        <v>6711</v>
      </c>
      <c r="G3617" s="695">
        <v>1</v>
      </c>
      <c r="H3617" s="695" t="s">
        <v>6635</v>
      </c>
      <c r="I3617" s="695">
        <v>139</v>
      </c>
      <c r="J3617" s="695" t="s">
        <v>6791</v>
      </c>
      <c r="K3617" s="695" t="s">
        <v>5334</v>
      </c>
      <c r="L3617" s="696">
        <v>0</v>
      </c>
      <c r="M3617" s="170"/>
    </row>
    <row r="3618" spans="2:13" x14ac:dyDescent="0.2">
      <c r="B3618" s="173"/>
      <c r="C3618" s="694">
        <v>1</v>
      </c>
      <c r="D3618" s="695" t="s">
        <v>3903</v>
      </c>
      <c r="E3618" s="695">
        <v>7</v>
      </c>
      <c r="F3618" s="695" t="s">
        <v>6711</v>
      </c>
      <c r="G3618" s="695">
        <v>1</v>
      </c>
      <c r="H3618" s="695" t="s">
        <v>6635</v>
      </c>
      <c r="I3618" s="695">
        <v>140</v>
      </c>
      <c r="J3618" s="695" t="s">
        <v>6792</v>
      </c>
      <c r="K3618" s="695" t="s">
        <v>5334</v>
      </c>
      <c r="L3618" s="696">
        <v>0</v>
      </c>
      <c r="M3618" s="170"/>
    </row>
    <row r="3619" spans="2:13" x14ac:dyDescent="0.2">
      <c r="B3619" s="173"/>
      <c r="C3619" s="694">
        <v>1</v>
      </c>
      <c r="D3619" s="695" t="s">
        <v>3903</v>
      </c>
      <c r="E3619" s="695">
        <v>7</v>
      </c>
      <c r="F3619" s="695" t="s">
        <v>6711</v>
      </c>
      <c r="G3619" s="695">
        <v>1</v>
      </c>
      <c r="H3619" s="695" t="s">
        <v>6635</v>
      </c>
      <c r="I3619" s="695">
        <v>141</v>
      </c>
      <c r="J3619" s="695" t="s">
        <v>6793</v>
      </c>
      <c r="K3619" s="695" t="s">
        <v>5334</v>
      </c>
      <c r="L3619" s="696">
        <v>0</v>
      </c>
      <c r="M3619" s="170"/>
    </row>
    <row r="3620" spans="2:13" x14ac:dyDescent="0.2">
      <c r="B3620" s="173"/>
      <c r="C3620" s="694">
        <v>1</v>
      </c>
      <c r="D3620" s="695" t="s">
        <v>3903</v>
      </c>
      <c r="E3620" s="695">
        <v>7</v>
      </c>
      <c r="F3620" s="695" t="s">
        <v>6711</v>
      </c>
      <c r="G3620" s="695">
        <v>1</v>
      </c>
      <c r="H3620" s="695" t="s">
        <v>6635</v>
      </c>
      <c r="I3620" s="695">
        <v>142</v>
      </c>
      <c r="J3620" s="695" t="s">
        <v>6794</v>
      </c>
      <c r="K3620" s="695" t="s">
        <v>5334</v>
      </c>
      <c r="L3620" s="696">
        <v>0</v>
      </c>
      <c r="M3620" s="170"/>
    </row>
    <row r="3621" spans="2:13" x14ac:dyDescent="0.2">
      <c r="B3621" s="173"/>
      <c r="C3621" s="694">
        <v>1</v>
      </c>
      <c r="D3621" s="695" t="s">
        <v>3903</v>
      </c>
      <c r="E3621" s="695">
        <v>7</v>
      </c>
      <c r="F3621" s="695" t="s">
        <v>6711</v>
      </c>
      <c r="G3621" s="695">
        <v>1</v>
      </c>
      <c r="H3621" s="695" t="s">
        <v>6635</v>
      </c>
      <c r="I3621" s="695">
        <v>143</v>
      </c>
      <c r="J3621" s="695" t="s">
        <v>6795</v>
      </c>
      <c r="K3621" s="695" t="s">
        <v>5334</v>
      </c>
      <c r="L3621" s="696">
        <v>0</v>
      </c>
      <c r="M3621" s="170"/>
    </row>
    <row r="3622" spans="2:13" x14ac:dyDescent="0.2">
      <c r="B3622" s="173"/>
      <c r="C3622" s="694">
        <v>1</v>
      </c>
      <c r="D3622" s="695" t="s">
        <v>3903</v>
      </c>
      <c r="E3622" s="695">
        <v>7</v>
      </c>
      <c r="F3622" s="695" t="s">
        <v>6711</v>
      </c>
      <c r="G3622" s="695">
        <v>1</v>
      </c>
      <c r="H3622" s="695" t="s">
        <v>6635</v>
      </c>
      <c r="I3622" s="695">
        <v>144</v>
      </c>
      <c r="J3622" s="695" t="s">
        <v>6688</v>
      </c>
      <c r="K3622" s="695" t="s">
        <v>5334</v>
      </c>
      <c r="L3622" s="696">
        <v>0</v>
      </c>
      <c r="M3622" s="170"/>
    </row>
    <row r="3623" spans="2:13" x14ac:dyDescent="0.2">
      <c r="B3623" s="173"/>
      <c r="C3623" s="694">
        <v>1</v>
      </c>
      <c r="D3623" s="695" t="s">
        <v>3903</v>
      </c>
      <c r="E3623" s="695">
        <v>7</v>
      </c>
      <c r="F3623" s="695" t="s">
        <v>6711</v>
      </c>
      <c r="G3623" s="695">
        <v>1</v>
      </c>
      <c r="H3623" s="695" t="s">
        <v>6635</v>
      </c>
      <c r="I3623" s="695">
        <v>145</v>
      </c>
      <c r="J3623" s="695" t="s">
        <v>6796</v>
      </c>
      <c r="K3623" s="695" t="s">
        <v>5334</v>
      </c>
      <c r="L3623" s="696">
        <v>0</v>
      </c>
      <c r="M3623" s="170"/>
    </row>
    <row r="3624" spans="2:13" x14ac:dyDescent="0.2">
      <c r="B3624" s="173"/>
      <c r="C3624" s="694">
        <v>1</v>
      </c>
      <c r="D3624" s="695" t="s">
        <v>3903</v>
      </c>
      <c r="E3624" s="695">
        <v>7</v>
      </c>
      <c r="F3624" s="695" t="s">
        <v>6711</v>
      </c>
      <c r="G3624" s="695">
        <v>1</v>
      </c>
      <c r="H3624" s="695" t="s">
        <v>6635</v>
      </c>
      <c r="I3624" s="695">
        <v>146</v>
      </c>
      <c r="J3624" s="695" t="s">
        <v>6797</v>
      </c>
      <c r="K3624" s="695" t="s">
        <v>5334</v>
      </c>
      <c r="L3624" s="696">
        <v>0</v>
      </c>
      <c r="M3624" s="170"/>
    </row>
    <row r="3625" spans="2:13" x14ac:dyDescent="0.2">
      <c r="B3625" s="173"/>
      <c r="C3625" s="694">
        <v>1</v>
      </c>
      <c r="D3625" s="695" t="s">
        <v>3903</v>
      </c>
      <c r="E3625" s="695">
        <v>7</v>
      </c>
      <c r="F3625" s="695" t="s">
        <v>6711</v>
      </c>
      <c r="G3625" s="695">
        <v>1</v>
      </c>
      <c r="H3625" s="695" t="s">
        <v>6635</v>
      </c>
      <c r="I3625" s="695">
        <v>147</v>
      </c>
      <c r="J3625" s="695" t="s">
        <v>6798</v>
      </c>
      <c r="K3625" s="695" t="s">
        <v>5334</v>
      </c>
      <c r="L3625" s="696">
        <v>0</v>
      </c>
      <c r="M3625" s="170"/>
    </row>
    <row r="3626" spans="2:13" x14ac:dyDescent="0.2">
      <c r="B3626" s="173"/>
      <c r="C3626" s="694">
        <v>1</v>
      </c>
      <c r="D3626" s="695" t="s">
        <v>3903</v>
      </c>
      <c r="E3626" s="695">
        <v>7</v>
      </c>
      <c r="F3626" s="695" t="s">
        <v>6711</v>
      </c>
      <c r="G3626" s="695">
        <v>1</v>
      </c>
      <c r="H3626" s="695" t="s">
        <v>6635</v>
      </c>
      <c r="I3626" s="695">
        <v>148</v>
      </c>
      <c r="J3626" s="695" t="s">
        <v>6799</v>
      </c>
      <c r="K3626" s="695" t="s">
        <v>5334</v>
      </c>
      <c r="L3626" s="696">
        <v>0</v>
      </c>
      <c r="M3626" s="170"/>
    </row>
    <row r="3627" spans="2:13" x14ac:dyDescent="0.2">
      <c r="B3627" s="173"/>
      <c r="C3627" s="694">
        <v>1</v>
      </c>
      <c r="D3627" s="695" t="s">
        <v>3903</v>
      </c>
      <c r="E3627" s="695">
        <v>7</v>
      </c>
      <c r="F3627" s="695" t="s">
        <v>6711</v>
      </c>
      <c r="G3627" s="695">
        <v>1</v>
      </c>
      <c r="H3627" s="695" t="s">
        <v>6635</v>
      </c>
      <c r="I3627" s="695">
        <v>149</v>
      </c>
      <c r="J3627" s="695" t="s">
        <v>6800</v>
      </c>
      <c r="K3627" s="695" t="s">
        <v>5334</v>
      </c>
      <c r="L3627" s="696">
        <v>0</v>
      </c>
      <c r="M3627" s="170"/>
    </row>
    <row r="3628" spans="2:13" x14ac:dyDescent="0.2">
      <c r="B3628" s="173"/>
      <c r="C3628" s="694">
        <v>1</v>
      </c>
      <c r="D3628" s="695" t="s">
        <v>3903</v>
      </c>
      <c r="E3628" s="695">
        <v>7</v>
      </c>
      <c r="F3628" s="695" t="s">
        <v>6711</v>
      </c>
      <c r="G3628" s="695">
        <v>1</v>
      </c>
      <c r="H3628" s="695" t="s">
        <v>6635</v>
      </c>
      <c r="I3628" s="695">
        <v>150</v>
      </c>
      <c r="J3628" s="695" t="s">
        <v>6801</v>
      </c>
      <c r="K3628" s="695" t="s">
        <v>5334</v>
      </c>
      <c r="L3628" s="696">
        <v>0</v>
      </c>
      <c r="M3628" s="170"/>
    </row>
    <row r="3629" spans="2:13" x14ac:dyDescent="0.2">
      <c r="B3629" s="173"/>
      <c r="C3629" s="694">
        <v>1</v>
      </c>
      <c r="D3629" s="695" t="s">
        <v>3903</v>
      </c>
      <c r="E3629" s="695">
        <v>7</v>
      </c>
      <c r="F3629" s="695" t="s">
        <v>6711</v>
      </c>
      <c r="G3629" s="695">
        <v>1</v>
      </c>
      <c r="H3629" s="695" t="s">
        <v>6635</v>
      </c>
      <c r="I3629" s="695">
        <v>151</v>
      </c>
      <c r="J3629" s="695" t="s">
        <v>6802</v>
      </c>
      <c r="K3629" s="695" t="s">
        <v>5334</v>
      </c>
      <c r="L3629" s="696">
        <v>0</v>
      </c>
      <c r="M3629" s="170"/>
    </row>
    <row r="3630" spans="2:13" x14ac:dyDescent="0.2">
      <c r="B3630" s="173"/>
      <c r="C3630" s="694">
        <v>1</v>
      </c>
      <c r="D3630" s="695" t="s">
        <v>3903</v>
      </c>
      <c r="E3630" s="695">
        <v>7</v>
      </c>
      <c r="F3630" s="695" t="s">
        <v>6711</v>
      </c>
      <c r="G3630" s="695">
        <v>1</v>
      </c>
      <c r="H3630" s="695" t="s">
        <v>6635</v>
      </c>
      <c r="I3630" s="695">
        <v>152</v>
      </c>
      <c r="J3630" s="695" t="s">
        <v>6803</v>
      </c>
      <c r="K3630" s="695" t="s">
        <v>5334</v>
      </c>
      <c r="L3630" s="696">
        <v>0</v>
      </c>
      <c r="M3630" s="170"/>
    </row>
    <row r="3631" spans="2:13" x14ac:dyDescent="0.2">
      <c r="B3631" s="173"/>
      <c r="C3631" s="694">
        <v>1</v>
      </c>
      <c r="D3631" s="695" t="s">
        <v>3903</v>
      </c>
      <c r="E3631" s="695">
        <v>7</v>
      </c>
      <c r="F3631" s="695" t="s">
        <v>6711</v>
      </c>
      <c r="G3631" s="695">
        <v>1</v>
      </c>
      <c r="H3631" s="695" t="s">
        <v>6635</v>
      </c>
      <c r="I3631" s="695">
        <v>153</v>
      </c>
      <c r="J3631" s="695" t="s">
        <v>6643</v>
      </c>
      <c r="K3631" s="695" t="s">
        <v>5334</v>
      </c>
      <c r="L3631" s="696">
        <v>0</v>
      </c>
      <c r="M3631" s="170"/>
    </row>
    <row r="3632" spans="2:13" x14ac:dyDescent="0.2">
      <c r="B3632" s="173"/>
      <c r="C3632" s="694">
        <v>1</v>
      </c>
      <c r="D3632" s="695" t="s">
        <v>3903</v>
      </c>
      <c r="E3632" s="695">
        <v>7</v>
      </c>
      <c r="F3632" s="695" t="s">
        <v>6711</v>
      </c>
      <c r="G3632" s="695">
        <v>1</v>
      </c>
      <c r="H3632" s="695" t="s">
        <v>6635</v>
      </c>
      <c r="I3632" s="695">
        <v>154</v>
      </c>
      <c r="J3632" s="695" t="s">
        <v>6804</v>
      </c>
      <c r="K3632" s="695" t="s">
        <v>5334</v>
      </c>
      <c r="L3632" s="696">
        <v>0</v>
      </c>
      <c r="M3632" s="170"/>
    </row>
    <row r="3633" spans="2:13" x14ac:dyDescent="0.2">
      <c r="B3633" s="173"/>
      <c r="C3633" s="694">
        <v>1</v>
      </c>
      <c r="D3633" s="695" t="s">
        <v>3903</v>
      </c>
      <c r="E3633" s="695">
        <v>7</v>
      </c>
      <c r="F3633" s="695" t="s">
        <v>6711</v>
      </c>
      <c r="G3633" s="695">
        <v>1</v>
      </c>
      <c r="H3633" s="695" t="s">
        <v>6635</v>
      </c>
      <c r="I3633" s="695">
        <v>155</v>
      </c>
      <c r="J3633" s="695" t="s">
        <v>6805</v>
      </c>
      <c r="K3633" s="695" t="s">
        <v>5334</v>
      </c>
      <c r="L3633" s="696">
        <v>0</v>
      </c>
      <c r="M3633" s="170"/>
    </row>
    <row r="3634" spans="2:13" x14ac:dyDescent="0.2">
      <c r="B3634" s="173"/>
      <c r="C3634" s="694">
        <v>1</v>
      </c>
      <c r="D3634" s="695" t="s">
        <v>3903</v>
      </c>
      <c r="E3634" s="695">
        <v>7</v>
      </c>
      <c r="F3634" s="695" t="s">
        <v>6711</v>
      </c>
      <c r="G3634" s="695">
        <v>1</v>
      </c>
      <c r="H3634" s="695" t="s">
        <v>6635</v>
      </c>
      <c r="I3634" s="695">
        <v>156</v>
      </c>
      <c r="J3634" s="695" t="s">
        <v>6806</v>
      </c>
      <c r="K3634" s="695" t="s">
        <v>5334</v>
      </c>
      <c r="L3634" s="696">
        <v>0</v>
      </c>
      <c r="M3634" s="170"/>
    </row>
    <row r="3635" spans="2:13" x14ac:dyDescent="0.2">
      <c r="B3635" s="173"/>
      <c r="C3635" s="694">
        <v>1</v>
      </c>
      <c r="D3635" s="695" t="s">
        <v>3903</v>
      </c>
      <c r="E3635" s="695">
        <v>7</v>
      </c>
      <c r="F3635" s="695" t="s">
        <v>6711</v>
      </c>
      <c r="G3635" s="695">
        <v>1</v>
      </c>
      <c r="H3635" s="695" t="s">
        <v>6635</v>
      </c>
      <c r="I3635" s="695">
        <v>157</v>
      </c>
      <c r="J3635" s="695" t="s">
        <v>6807</v>
      </c>
      <c r="K3635" s="695" t="s">
        <v>5334</v>
      </c>
      <c r="L3635" s="696">
        <v>0</v>
      </c>
      <c r="M3635" s="170"/>
    </row>
    <row r="3636" spans="2:13" x14ac:dyDescent="0.2">
      <c r="B3636" s="173"/>
      <c r="C3636" s="694">
        <v>1</v>
      </c>
      <c r="D3636" s="695" t="s">
        <v>3903</v>
      </c>
      <c r="E3636" s="695">
        <v>7</v>
      </c>
      <c r="F3636" s="695" t="s">
        <v>6711</v>
      </c>
      <c r="G3636" s="695">
        <v>1</v>
      </c>
      <c r="H3636" s="695" t="s">
        <v>6635</v>
      </c>
      <c r="I3636" s="695">
        <v>158</v>
      </c>
      <c r="J3636" s="695" t="s">
        <v>6808</v>
      </c>
      <c r="K3636" s="695" t="s">
        <v>5334</v>
      </c>
      <c r="L3636" s="696">
        <v>0</v>
      </c>
      <c r="M3636" s="170"/>
    </row>
    <row r="3637" spans="2:13" x14ac:dyDescent="0.2">
      <c r="B3637" s="173"/>
      <c r="C3637" s="694">
        <v>1</v>
      </c>
      <c r="D3637" s="695" t="s">
        <v>3903</v>
      </c>
      <c r="E3637" s="695">
        <v>7</v>
      </c>
      <c r="F3637" s="695" t="s">
        <v>6711</v>
      </c>
      <c r="G3637" s="695">
        <v>1</v>
      </c>
      <c r="H3637" s="695" t="s">
        <v>6635</v>
      </c>
      <c r="I3637" s="695">
        <v>159</v>
      </c>
      <c r="J3637" s="695" t="s">
        <v>6809</v>
      </c>
      <c r="K3637" s="695" t="s">
        <v>5334</v>
      </c>
      <c r="L3637" s="696">
        <v>0</v>
      </c>
      <c r="M3637" s="170"/>
    </row>
    <row r="3638" spans="2:13" x14ac:dyDescent="0.2">
      <c r="B3638" s="173"/>
      <c r="C3638" s="694">
        <v>1</v>
      </c>
      <c r="D3638" s="695" t="s">
        <v>3903</v>
      </c>
      <c r="E3638" s="695">
        <v>7</v>
      </c>
      <c r="F3638" s="695" t="s">
        <v>6711</v>
      </c>
      <c r="G3638" s="695">
        <v>1</v>
      </c>
      <c r="H3638" s="695" t="s">
        <v>6635</v>
      </c>
      <c r="I3638" s="695">
        <v>160</v>
      </c>
      <c r="J3638" s="695" t="s">
        <v>6810</v>
      </c>
      <c r="K3638" s="695" t="s">
        <v>5334</v>
      </c>
      <c r="L3638" s="696">
        <v>0</v>
      </c>
      <c r="M3638" s="170"/>
    </row>
    <row r="3639" spans="2:13" x14ac:dyDescent="0.2">
      <c r="B3639" s="173"/>
      <c r="C3639" s="694">
        <v>1</v>
      </c>
      <c r="D3639" s="695" t="s">
        <v>3903</v>
      </c>
      <c r="E3639" s="695">
        <v>7</v>
      </c>
      <c r="F3639" s="695" t="s">
        <v>6711</v>
      </c>
      <c r="G3639" s="695">
        <v>1</v>
      </c>
      <c r="H3639" s="695" t="s">
        <v>6635</v>
      </c>
      <c r="I3639" s="695">
        <v>161</v>
      </c>
      <c r="J3639" s="695" t="s">
        <v>6811</v>
      </c>
      <c r="K3639" s="695" t="s">
        <v>5334</v>
      </c>
      <c r="L3639" s="696">
        <v>0</v>
      </c>
      <c r="M3639" s="170"/>
    </row>
    <row r="3640" spans="2:13" x14ac:dyDescent="0.2">
      <c r="B3640" s="173"/>
      <c r="C3640" s="694">
        <v>1</v>
      </c>
      <c r="D3640" s="695" t="s">
        <v>3903</v>
      </c>
      <c r="E3640" s="695">
        <v>7</v>
      </c>
      <c r="F3640" s="695" t="s">
        <v>6711</v>
      </c>
      <c r="G3640" s="695">
        <v>1</v>
      </c>
      <c r="H3640" s="695" t="s">
        <v>6635</v>
      </c>
      <c r="I3640" s="695">
        <v>162</v>
      </c>
      <c r="J3640" s="695" t="s">
        <v>6812</v>
      </c>
      <c r="K3640" s="695" t="s">
        <v>5334</v>
      </c>
      <c r="L3640" s="696">
        <v>0</v>
      </c>
      <c r="M3640" s="170"/>
    </row>
    <row r="3641" spans="2:13" x14ac:dyDescent="0.2">
      <c r="B3641" s="173"/>
      <c r="C3641" s="694">
        <v>1</v>
      </c>
      <c r="D3641" s="695" t="s">
        <v>3903</v>
      </c>
      <c r="E3641" s="695">
        <v>7</v>
      </c>
      <c r="F3641" s="695" t="s">
        <v>6711</v>
      </c>
      <c r="G3641" s="695">
        <v>1</v>
      </c>
      <c r="H3641" s="695" t="s">
        <v>6635</v>
      </c>
      <c r="I3641" s="695">
        <v>163</v>
      </c>
      <c r="J3641" s="695" t="s">
        <v>6813</v>
      </c>
      <c r="K3641" s="695" t="s">
        <v>5334</v>
      </c>
      <c r="L3641" s="696">
        <v>0</v>
      </c>
      <c r="M3641" s="170"/>
    </row>
    <row r="3642" spans="2:13" x14ac:dyDescent="0.2">
      <c r="B3642" s="173"/>
      <c r="C3642" s="694">
        <v>1</v>
      </c>
      <c r="D3642" s="695" t="s">
        <v>3903</v>
      </c>
      <c r="E3642" s="695">
        <v>7</v>
      </c>
      <c r="F3642" s="695" t="s">
        <v>6711</v>
      </c>
      <c r="G3642" s="695">
        <v>1</v>
      </c>
      <c r="H3642" s="695" t="s">
        <v>6635</v>
      </c>
      <c r="I3642" s="695">
        <v>164</v>
      </c>
      <c r="J3642" s="695" t="s">
        <v>6814</v>
      </c>
      <c r="K3642" s="695" t="s">
        <v>5334</v>
      </c>
      <c r="L3642" s="696">
        <v>0</v>
      </c>
      <c r="M3642" s="170"/>
    </row>
    <row r="3643" spans="2:13" x14ac:dyDescent="0.2">
      <c r="B3643" s="173"/>
      <c r="C3643" s="694">
        <v>1</v>
      </c>
      <c r="D3643" s="695" t="s">
        <v>3903</v>
      </c>
      <c r="E3643" s="695">
        <v>7</v>
      </c>
      <c r="F3643" s="695" t="s">
        <v>6711</v>
      </c>
      <c r="G3643" s="695">
        <v>1</v>
      </c>
      <c r="H3643" s="695" t="s">
        <v>6635</v>
      </c>
      <c r="I3643" s="695">
        <v>165</v>
      </c>
      <c r="J3643" s="695" t="s">
        <v>6815</v>
      </c>
      <c r="K3643" s="695" t="s">
        <v>5334</v>
      </c>
      <c r="L3643" s="696">
        <v>0</v>
      </c>
      <c r="M3643" s="170"/>
    </row>
    <row r="3644" spans="2:13" x14ac:dyDescent="0.2">
      <c r="B3644" s="173"/>
      <c r="C3644" s="694">
        <v>1</v>
      </c>
      <c r="D3644" s="695" t="s">
        <v>3903</v>
      </c>
      <c r="E3644" s="695">
        <v>7</v>
      </c>
      <c r="F3644" s="695" t="s">
        <v>6711</v>
      </c>
      <c r="G3644" s="695">
        <v>1</v>
      </c>
      <c r="H3644" s="695" t="s">
        <v>6635</v>
      </c>
      <c r="I3644" s="695">
        <v>166</v>
      </c>
      <c r="J3644" s="695" t="s">
        <v>6816</v>
      </c>
      <c r="K3644" s="695" t="s">
        <v>5334</v>
      </c>
      <c r="L3644" s="696">
        <v>0</v>
      </c>
      <c r="M3644" s="170"/>
    </row>
    <row r="3645" spans="2:13" x14ac:dyDescent="0.2">
      <c r="B3645" s="173"/>
      <c r="C3645" s="694">
        <v>1</v>
      </c>
      <c r="D3645" s="695" t="s">
        <v>3903</v>
      </c>
      <c r="E3645" s="695">
        <v>7</v>
      </c>
      <c r="F3645" s="695" t="s">
        <v>6711</v>
      </c>
      <c r="G3645" s="695">
        <v>1</v>
      </c>
      <c r="H3645" s="695" t="s">
        <v>6635</v>
      </c>
      <c r="I3645" s="695">
        <v>167</v>
      </c>
      <c r="J3645" s="695" t="s">
        <v>6817</v>
      </c>
      <c r="K3645" s="695" t="s">
        <v>5334</v>
      </c>
      <c r="L3645" s="696">
        <v>0</v>
      </c>
      <c r="M3645" s="170"/>
    </row>
    <row r="3646" spans="2:13" x14ac:dyDescent="0.2">
      <c r="B3646" s="173"/>
      <c r="C3646" s="694">
        <v>1</v>
      </c>
      <c r="D3646" s="695" t="s">
        <v>3903</v>
      </c>
      <c r="E3646" s="695">
        <v>7</v>
      </c>
      <c r="F3646" s="695" t="s">
        <v>6711</v>
      </c>
      <c r="G3646" s="695">
        <v>1</v>
      </c>
      <c r="H3646" s="695" t="s">
        <v>6635</v>
      </c>
      <c r="I3646" s="695">
        <v>168</v>
      </c>
      <c r="J3646" s="695" t="s">
        <v>6818</v>
      </c>
      <c r="K3646" s="695" t="s">
        <v>5334</v>
      </c>
      <c r="L3646" s="696">
        <v>0</v>
      </c>
      <c r="M3646" s="170"/>
    </row>
    <row r="3647" spans="2:13" x14ac:dyDescent="0.2">
      <c r="B3647" s="173"/>
      <c r="C3647" s="694">
        <v>1</v>
      </c>
      <c r="D3647" s="695" t="s">
        <v>3903</v>
      </c>
      <c r="E3647" s="695">
        <v>7</v>
      </c>
      <c r="F3647" s="695" t="s">
        <v>6711</v>
      </c>
      <c r="G3647" s="695">
        <v>1</v>
      </c>
      <c r="H3647" s="695" t="s">
        <v>6635</v>
      </c>
      <c r="I3647" s="695">
        <v>169</v>
      </c>
      <c r="J3647" s="695" t="s">
        <v>6819</v>
      </c>
      <c r="K3647" s="695" t="s">
        <v>5334</v>
      </c>
      <c r="L3647" s="696">
        <v>0</v>
      </c>
      <c r="M3647" s="170"/>
    </row>
    <row r="3648" spans="2:13" x14ac:dyDescent="0.2">
      <c r="B3648" s="173"/>
      <c r="C3648" s="694">
        <v>1</v>
      </c>
      <c r="D3648" s="695" t="s">
        <v>3903</v>
      </c>
      <c r="E3648" s="695">
        <v>7</v>
      </c>
      <c r="F3648" s="695" t="s">
        <v>6711</v>
      </c>
      <c r="G3648" s="695">
        <v>1</v>
      </c>
      <c r="H3648" s="695" t="s">
        <v>6635</v>
      </c>
      <c r="I3648" s="695">
        <v>170</v>
      </c>
      <c r="J3648" s="695" t="s">
        <v>6820</v>
      </c>
      <c r="K3648" s="695" t="s">
        <v>5334</v>
      </c>
      <c r="L3648" s="696">
        <v>0</v>
      </c>
      <c r="M3648" s="170"/>
    </row>
    <row r="3649" spans="2:13" x14ac:dyDescent="0.2">
      <c r="B3649" s="173"/>
      <c r="C3649" s="694">
        <v>1</v>
      </c>
      <c r="D3649" s="695" t="s">
        <v>3903</v>
      </c>
      <c r="E3649" s="695">
        <v>7</v>
      </c>
      <c r="F3649" s="695" t="s">
        <v>6711</v>
      </c>
      <c r="G3649" s="695">
        <v>1</v>
      </c>
      <c r="H3649" s="695" t="s">
        <v>6635</v>
      </c>
      <c r="I3649" s="695">
        <v>171</v>
      </c>
      <c r="J3649" s="695" t="s">
        <v>6821</v>
      </c>
      <c r="K3649" s="695" t="s">
        <v>5334</v>
      </c>
      <c r="L3649" s="696">
        <v>0</v>
      </c>
      <c r="M3649" s="170"/>
    </row>
    <row r="3650" spans="2:13" x14ac:dyDescent="0.2">
      <c r="B3650" s="173"/>
      <c r="C3650" s="694">
        <v>1</v>
      </c>
      <c r="D3650" s="695" t="s">
        <v>3903</v>
      </c>
      <c r="E3650" s="695">
        <v>7</v>
      </c>
      <c r="F3650" s="695" t="s">
        <v>6711</v>
      </c>
      <c r="G3650" s="695">
        <v>1</v>
      </c>
      <c r="H3650" s="695" t="s">
        <v>6635</v>
      </c>
      <c r="I3650" s="695">
        <v>172</v>
      </c>
      <c r="J3650" s="695" t="s">
        <v>6822</v>
      </c>
      <c r="K3650" s="695" t="s">
        <v>5334</v>
      </c>
      <c r="L3650" s="696">
        <v>0</v>
      </c>
      <c r="M3650" s="170"/>
    </row>
    <row r="3651" spans="2:13" x14ac:dyDescent="0.2">
      <c r="B3651" s="173"/>
      <c r="C3651" s="694">
        <v>1</v>
      </c>
      <c r="D3651" s="695" t="s">
        <v>3903</v>
      </c>
      <c r="E3651" s="695">
        <v>7</v>
      </c>
      <c r="F3651" s="695" t="s">
        <v>6711</v>
      </c>
      <c r="G3651" s="695">
        <v>1</v>
      </c>
      <c r="H3651" s="695" t="s">
        <v>6635</v>
      </c>
      <c r="I3651" s="695">
        <v>173</v>
      </c>
      <c r="J3651" s="695" t="s">
        <v>6823</v>
      </c>
      <c r="K3651" s="695" t="s">
        <v>5334</v>
      </c>
      <c r="L3651" s="696">
        <v>0</v>
      </c>
      <c r="M3651" s="170"/>
    </row>
    <row r="3652" spans="2:13" x14ac:dyDescent="0.2">
      <c r="B3652" s="173"/>
      <c r="C3652" s="694">
        <v>1</v>
      </c>
      <c r="D3652" s="695" t="s">
        <v>3903</v>
      </c>
      <c r="E3652" s="695">
        <v>7</v>
      </c>
      <c r="F3652" s="695" t="s">
        <v>6711</v>
      </c>
      <c r="G3652" s="695">
        <v>1</v>
      </c>
      <c r="H3652" s="695" t="s">
        <v>6635</v>
      </c>
      <c r="I3652" s="695">
        <v>174</v>
      </c>
      <c r="J3652" s="695" t="s">
        <v>6824</v>
      </c>
      <c r="K3652" s="695" t="s">
        <v>5334</v>
      </c>
      <c r="L3652" s="696">
        <v>0</v>
      </c>
      <c r="M3652" s="170"/>
    </row>
    <row r="3653" spans="2:13" x14ac:dyDescent="0.2">
      <c r="B3653" s="173"/>
      <c r="C3653" s="694">
        <v>1</v>
      </c>
      <c r="D3653" s="695" t="s">
        <v>3903</v>
      </c>
      <c r="E3653" s="695">
        <v>7</v>
      </c>
      <c r="F3653" s="695" t="s">
        <v>6711</v>
      </c>
      <c r="G3653" s="695">
        <v>1</v>
      </c>
      <c r="H3653" s="695" t="s">
        <v>6635</v>
      </c>
      <c r="I3653" s="695">
        <v>175</v>
      </c>
      <c r="J3653" s="695" t="s">
        <v>6645</v>
      </c>
      <c r="K3653" s="695" t="s">
        <v>5334</v>
      </c>
      <c r="L3653" s="696">
        <v>0</v>
      </c>
      <c r="M3653" s="170"/>
    </row>
    <row r="3654" spans="2:13" x14ac:dyDescent="0.2">
      <c r="B3654" s="173"/>
      <c r="C3654" s="694">
        <v>1</v>
      </c>
      <c r="D3654" s="695" t="s">
        <v>3903</v>
      </c>
      <c r="E3654" s="695">
        <v>7</v>
      </c>
      <c r="F3654" s="695" t="s">
        <v>6711</v>
      </c>
      <c r="G3654" s="695">
        <v>1</v>
      </c>
      <c r="H3654" s="695" t="s">
        <v>6635</v>
      </c>
      <c r="I3654" s="695">
        <v>176</v>
      </c>
      <c r="J3654" s="695" t="s">
        <v>6825</v>
      </c>
      <c r="K3654" s="695" t="s">
        <v>3907</v>
      </c>
      <c r="L3654" s="696">
        <v>3</v>
      </c>
      <c r="M3654" s="170"/>
    </row>
    <row r="3655" spans="2:13" x14ac:dyDescent="0.2">
      <c r="B3655" s="173"/>
      <c r="C3655" s="694">
        <v>1</v>
      </c>
      <c r="D3655" s="695" t="s">
        <v>3903</v>
      </c>
      <c r="E3655" s="695">
        <v>7</v>
      </c>
      <c r="F3655" s="695" t="s">
        <v>6711</v>
      </c>
      <c r="G3655" s="695">
        <v>2</v>
      </c>
      <c r="H3655" s="695" t="s">
        <v>6647</v>
      </c>
      <c r="I3655" s="695">
        <v>1</v>
      </c>
      <c r="J3655" s="695" t="s">
        <v>6826</v>
      </c>
      <c r="K3655" s="695" t="s">
        <v>5334</v>
      </c>
      <c r="L3655" s="696">
        <v>0</v>
      </c>
      <c r="M3655" s="170"/>
    </row>
    <row r="3656" spans="2:13" x14ac:dyDescent="0.2">
      <c r="B3656" s="173"/>
      <c r="C3656" s="694">
        <v>1</v>
      </c>
      <c r="D3656" s="695" t="s">
        <v>3903</v>
      </c>
      <c r="E3656" s="695">
        <v>7</v>
      </c>
      <c r="F3656" s="695" t="s">
        <v>6711</v>
      </c>
      <c r="G3656" s="695">
        <v>2</v>
      </c>
      <c r="H3656" s="695" t="s">
        <v>6647</v>
      </c>
      <c r="I3656" s="695">
        <v>2</v>
      </c>
      <c r="J3656" s="695" t="s">
        <v>6827</v>
      </c>
      <c r="K3656" s="695" t="s">
        <v>5334</v>
      </c>
      <c r="L3656" s="696">
        <v>0</v>
      </c>
      <c r="M3656" s="170"/>
    </row>
    <row r="3657" spans="2:13" x14ac:dyDescent="0.2">
      <c r="B3657" s="173"/>
      <c r="C3657" s="694">
        <v>1</v>
      </c>
      <c r="D3657" s="695" t="s">
        <v>3903</v>
      </c>
      <c r="E3657" s="695">
        <v>7</v>
      </c>
      <c r="F3657" s="695" t="s">
        <v>6711</v>
      </c>
      <c r="G3657" s="695">
        <v>2</v>
      </c>
      <c r="H3657" s="695" t="s">
        <v>6647</v>
      </c>
      <c r="I3657" s="695">
        <v>3</v>
      </c>
      <c r="J3657" s="695" t="s">
        <v>6828</v>
      </c>
      <c r="K3657" s="695" t="s">
        <v>5334</v>
      </c>
      <c r="L3657" s="696">
        <v>0</v>
      </c>
      <c r="M3657" s="170"/>
    </row>
    <row r="3658" spans="2:13" x14ac:dyDescent="0.2">
      <c r="B3658" s="173"/>
      <c r="C3658" s="694">
        <v>1</v>
      </c>
      <c r="D3658" s="695" t="s">
        <v>3903</v>
      </c>
      <c r="E3658" s="695">
        <v>7</v>
      </c>
      <c r="F3658" s="695" t="s">
        <v>6711</v>
      </c>
      <c r="G3658" s="695">
        <v>2</v>
      </c>
      <c r="H3658" s="695" t="s">
        <v>6647</v>
      </c>
      <c r="I3658" s="695">
        <v>4</v>
      </c>
      <c r="J3658" s="695" t="s">
        <v>6829</v>
      </c>
      <c r="K3658" s="695" t="s">
        <v>5334</v>
      </c>
      <c r="L3658" s="696">
        <v>1</v>
      </c>
      <c r="M3658" s="170"/>
    </row>
    <row r="3659" spans="2:13" x14ac:dyDescent="0.2">
      <c r="B3659" s="173"/>
      <c r="C3659" s="694">
        <v>1</v>
      </c>
      <c r="D3659" s="695" t="s">
        <v>3903</v>
      </c>
      <c r="E3659" s="695">
        <v>7</v>
      </c>
      <c r="F3659" s="695" t="s">
        <v>6711</v>
      </c>
      <c r="G3659" s="695">
        <v>2</v>
      </c>
      <c r="H3659" s="695" t="s">
        <v>6647</v>
      </c>
      <c r="I3659" s="695">
        <v>5</v>
      </c>
      <c r="J3659" s="695" t="s">
        <v>6830</v>
      </c>
      <c r="K3659" s="695" t="s">
        <v>5334</v>
      </c>
      <c r="L3659" s="696">
        <v>0</v>
      </c>
      <c r="M3659" s="170"/>
    </row>
    <row r="3660" spans="2:13" x14ac:dyDescent="0.2">
      <c r="B3660" s="173"/>
      <c r="C3660" s="694">
        <v>1</v>
      </c>
      <c r="D3660" s="695" t="s">
        <v>3903</v>
      </c>
      <c r="E3660" s="695">
        <v>7</v>
      </c>
      <c r="F3660" s="695" t="s">
        <v>6711</v>
      </c>
      <c r="G3660" s="695">
        <v>2</v>
      </c>
      <c r="H3660" s="695" t="s">
        <v>6647</v>
      </c>
      <c r="I3660" s="695">
        <v>6</v>
      </c>
      <c r="J3660" s="695" t="s">
        <v>6831</v>
      </c>
      <c r="K3660" s="695" t="s">
        <v>5334</v>
      </c>
      <c r="L3660" s="696">
        <v>0</v>
      </c>
      <c r="M3660" s="170"/>
    </row>
    <row r="3661" spans="2:13" x14ac:dyDescent="0.2">
      <c r="B3661" s="173"/>
      <c r="C3661" s="694">
        <v>1</v>
      </c>
      <c r="D3661" s="695" t="s">
        <v>3903</v>
      </c>
      <c r="E3661" s="695">
        <v>7</v>
      </c>
      <c r="F3661" s="695" t="s">
        <v>6711</v>
      </c>
      <c r="G3661" s="695">
        <v>2</v>
      </c>
      <c r="H3661" s="695" t="s">
        <v>6647</v>
      </c>
      <c r="I3661" s="695">
        <v>7</v>
      </c>
      <c r="J3661" s="695" t="s">
        <v>6832</v>
      </c>
      <c r="K3661" s="695" t="s">
        <v>5334</v>
      </c>
      <c r="L3661" s="696">
        <v>0</v>
      </c>
      <c r="M3661" s="170"/>
    </row>
    <row r="3662" spans="2:13" x14ac:dyDescent="0.2">
      <c r="B3662" s="173"/>
      <c r="C3662" s="694">
        <v>1</v>
      </c>
      <c r="D3662" s="695" t="s">
        <v>3903</v>
      </c>
      <c r="E3662" s="695">
        <v>7</v>
      </c>
      <c r="F3662" s="695" t="s">
        <v>6711</v>
      </c>
      <c r="G3662" s="695">
        <v>2</v>
      </c>
      <c r="H3662" s="695" t="s">
        <v>6647</v>
      </c>
      <c r="I3662" s="695">
        <v>8</v>
      </c>
      <c r="J3662" s="695" t="s">
        <v>6833</v>
      </c>
      <c r="K3662" s="695" t="s">
        <v>5334</v>
      </c>
      <c r="L3662" s="696">
        <v>1</v>
      </c>
      <c r="M3662" s="170"/>
    </row>
    <row r="3663" spans="2:13" x14ac:dyDescent="0.2">
      <c r="B3663" s="173"/>
      <c r="C3663" s="694">
        <v>1</v>
      </c>
      <c r="D3663" s="695" t="s">
        <v>3903</v>
      </c>
      <c r="E3663" s="695">
        <v>7</v>
      </c>
      <c r="F3663" s="695" t="s">
        <v>6711</v>
      </c>
      <c r="G3663" s="695">
        <v>2</v>
      </c>
      <c r="H3663" s="695" t="s">
        <v>6647</v>
      </c>
      <c r="I3663" s="695">
        <v>9</v>
      </c>
      <c r="J3663" s="695" t="s">
        <v>6834</v>
      </c>
      <c r="K3663" s="695" t="s">
        <v>5334</v>
      </c>
      <c r="L3663" s="696">
        <v>0</v>
      </c>
      <c r="M3663" s="170"/>
    </row>
    <row r="3664" spans="2:13" x14ac:dyDescent="0.2">
      <c r="B3664" s="173"/>
      <c r="C3664" s="694">
        <v>1</v>
      </c>
      <c r="D3664" s="695" t="s">
        <v>3903</v>
      </c>
      <c r="E3664" s="695">
        <v>7</v>
      </c>
      <c r="F3664" s="695" t="s">
        <v>6711</v>
      </c>
      <c r="G3664" s="695">
        <v>2</v>
      </c>
      <c r="H3664" s="695" t="s">
        <v>6647</v>
      </c>
      <c r="I3664" s="695">
        <v>10</v>
      </c>
      <c r="J3664" s="695" t="s">
        <v>6835</v>
      </c>
      <c r="K3664" s="695" t="s">
        <v>5334</v>
      </c>
      <c r="L3664" s="696">
        <v>1</v>
      </c>
      <c r="M3664" s="170"/>
    </row>
    <row r="3665" spans="2:13" x14ac:dyDescent="0.2">
      <c r="B3665" s="173"/>
      <c r="C3665" s="694">
        <v>1</v>
      </c>
      <c r="D3665" s="695" t="s">
        <v>3903</v>
      </c>
      <c r="E3665" s="695">
        <v>7</v>
      </c>
      <c r="F3665" s="695" t="s">
        <v>6711</v>
      </c>
      <c r="G3665" s="695">
        <v>2</v>
      </c>
      <c r="H3665" s="695" t="s">
        <v>6647</v>
      </c>
      <c r="I3665" s="695">
        <v>11</v>
      </c>
      <c r="J3665" s="695" t="s">
        <v>6836</v>
      </c>
      <c r="K3665" s="695" t="s">
        <v>5334</v>
      </c>
      <c r="L3665" s="696">
        <v>0</v>
      </c>
      <c r="M3665" s="170"/>
    </row>
    <row r="3666" spans="2:13" x14ac:dyDescent="0.2">
      <c r="B3666" s="173"/>
      <c r="C3666" s="694">
        <v>1</v>
      </c>
      <c r="D3666" s="695" t="s">
        <v>3903</v>
      </c>
      <c r="E3666" s="695">
        <v>7</v>
      </c>
      <c r="F3666" s="695" t="s">
        <v>6711</v>
      </c>
      <c r="G3666" s="695">
        <v>2</v>
      </c>
      <c r="H3666" s="695" t="s">
        <v>6647</v>
      </c>
      <c r="I3666" s="695">
        <v>12</v>
      </c>
      <c r="J3666" s="695" t="s">
        <v>6837</v>
      </c>
      <c r="K3666" s="695" t="s">
        <v>5334</v>
      </c>
      <c r="L3666" s="696">
        <v>1</v>
      </c>
      <c r="M3666" s="170"/>
    </row>
    <row r="3667" spans="2:13" x14ac:dyDescent="0.2">
      <c r="B3667" s="173"/>
      <c r="C3667" s="694">
        <v>1</v>
      </c>
      <c r="D3667" s="695" t="s">
        <v>3903</v>
      </c>
      <c r="E3667" s="695">
        <v>7</v>
      </c>
      <c r="F3667" s="695" t="s">
        <v>6711</v>
      </c>
      <c r="G3667" s="695">
        <v>2</v>
      </c>
      <c r="H3667" s="695" t="s">
        <v>6647</v>
      </c>
      <c r="I3667" s="695">
        <v>13</v>
      </c>
      <c r="J3667" s="695" t="s">
        <v>6838</v>
      </c>
      <c r="K3667" s="695" t="s">
        <v>5334</v>
      </c>
      <c r="L3667" s="696">
        <v>0</v>
      </c>
      <c r="M3667" s="170"/>
    </row>
    <row r="3668" spans="2:13" x14ac:dyDescent="0.2">
      <c r="B3668" s="173"/>
      <c r="C3668" s="694">
        <v>1</v>
      </c>
      <c r="D3668" s="695" t="s">
        <v>3903</v>
      </c>
      <c r="E3668" s="695">
        <v>7</v>
      </c>
      <c r="F3668" s="695" t="s">
        <v>6711</v>
      </c>
      <c r="G3668" s="695">
        <v>2</v>
      </c>
      <c r="H3668" s="695" t="s">
        <v>6647</v>
      </c>
      <c r="I3668" s="695">
        <v>14</v>
      </c>
      <c r="J3668" s="695" t="s">
        <v>6839</v>
      </c>
      <c r="K3668" s="695" t="s">
        <v>5334</v>
      </c>
      <c r="L3668" s="696">
        <v>0</v>
      </c>
      <c r="M3668" s="170"/>
    </row>
    <row r="3669" spans="2:13" x14ac:dyDescent="0.2">
      <c r="B3669" s="173"/>
      <c r="C3669" s="694">
        <v>1</v>
      </c>
      <c r="D3669" s="695" t="s">
        <v>3903</v>
      </c>
      <c r="E3669" s="695">
        <v>7</v>
      </c>
      <c r="F3669" s="695" t="s">
        <v>6711</v>
      </c>
      <c r="G3669" s="695">
        <v>2</v>
      </c>
      <c r="H3669" s="695" t="s">
        <v>6647</v>
      </c>
      <c r="I3669" s="695">
        <v>15</v>
      </c>
      <c r="J3669" s="695" t="s">
        <v>6840</v>
      </c>
      <c r="K3669" s="695" t="s">
        <v>5334</v>
      </c>
      <c r="L3669" s="696">
        <v>0</v>
      </c>
      <c r="M3669" s="170"/>
    </row>
    <row r="3670" spans="2:13" x14ac:dyDescent="0.2">
      <c r="B3670" s="173"/>
      <c r="C3670" s="694">
        <v>1</v>
      </c>
      <c r="D3670" s="695" t="s">
        <v>3903</v>
      </c>
      <c r="E3670" s="695">
        <v>7</v>
      </c>
      <c r="F3670" s="695" t="s">
        <v>6711</v>
      </c>
      <c r="G3670" s="695">
        <v>2</v>
      </c>
      <c r="H3670" s="695" t="s">
        <v>6647</v>
      </c>
      <c r="I3670" s="695">
        <v>16</v>
      </c>
      <c r="J3670" s="695" t="s">
        <v>6841</v>
      </c>
      <c r="K3670" s="695" t="s">
        <v>5334</v>
      </c>
      <c r="L3670" s="696">
        <v>0</v>
      </c>
      <c r="M3670" s="170"/>
    </row>
    <row r="3671" spans="2:13" x14ac:dyDescent="0.2">
      <c r="B3671" s="173"/>
      <c r="C3671" s="694">
        <v>1</v>
      </c>
      <c r="D3671" s="695" t="s">
        <v>3903</v>
      </c>
      <c r="E3671" s="695">
        <v>7</v>
      </c>
      <c r="F3671" s="695" t="s">
        <v>6711</v>
      </c>
      <c r="G3671" s="695">
        <v>2</v>
      </c>
      <c r="H3671" s="695" t="s">
        <v>6647</v>
      </c>
      <c r="I3671" s="695">
        <v>17</v>
      </c>
      <c r="J3671" s="695" t="s">
        <v>6842</v>
      </c>
      <c r="K3671" s="695" t="s">
        <v>5334</v>
      </c>
      <c r="L3671" s="696">
        <v>0</v>
      </c>
      <c r="M3671" s="170"/>
    </row>
    <row r="3672" spans="2:13" x14ac:dyDescent="0.2">
      <c r="B3672" s="173"/>
      <c r="C3672" s="694">
        <v>1</v>
      </c>
      <c r="D3672" s="695" t="s">
        <v>3903</v>
      </c>
      <c r="E3672" s="695">
        <v>7</v>
      </c>
      <c r="F3672" s="695" t="s">
        <v>6711</v>
      </c>
      <c r="G3672" s="695">
        <v>2</v>
      </c>
      <c r="H3672" s="695" t="s">
        <v>6647</v>
      </c>
      <c r="I3672" s="695">
        <v>18</v>
      </c>
      <c r="J3672" s="695" t="s">
        <v>6843</v>
      </c>
      <c r="K3672" s="695" t="s">
        <v>5334</v>
      </c>
      <c r="L3672" s="696">
        <v>2</v>
      </c>
      <c r="M3672" s="170"/>
    </row>
    <row r="3673" spans="2:13" x14ac:dyDescent="0.2">
      <c r="B3673" s="173"/>
      <c r="C3673" s="694">
        <v>1</v>
      </c>
      <c r="D3673" s="695" t="s">
        <v>3903</v>
      </c>
      <c r="E3673" s="695">
        <v>7</v>
      </c>
      <c r="F3673" s="695" t="s">
        <v>6711</v>
      </c>
      <c r="G3673" s="695">
        <v>2</v>
      </c>
      <c r="H3673" s="695" t="s">
        <v>6647</v>
      </c>
      <c r="I3673" s="695">
        <v>19</v>
      </c>
      <c r="J3673" s="695" t="s">
        <v>6844</v>
      </c>
      <c r="K3673" s="695" t="s">
        <v>5334</v>
      </c>
      <c r="L3673" s="696">
        <v>0</v>
      </c>
      <c r="M3673" s="170"/>
    </row>
    <row r="3674" spans="2:13" x14ac:dyDescent="0.2">
      <c r="B3674" s="173"/>
      <c r="C3674" s="694">
        <v>1</v>
      </c>
      <c r="D3674" s="695" t="s">
        <v>3903</v>
      </c>
      <c r="E3674" s="695">
        <v>7</v>
      </c>
      <c r="F3674" s="695" t="s">
        <v>6711</v>
      </c>
      <c r="G3674" s="695">
        <v>2</v>
      </c>
      <c r="H3674" s="695" t="s">
        <v>6647</v>
      </c>
      <c r="I3674" s="695">
        <v>20</v>
      </c>
      <c r="J3674" s="695" t="s">
        <v>6845</v>
      </c>
      <c r="K3674" s="695" t="s">
        <v>5334</v>
      </c>
      <c r="L3674" s="696">
        <v>0</v>
      </c>
      <c r="M3674" s="170"/>
    </row>
    <row r="3675" spans="2:13" x14ac:dyDescent="0.2">
      <c r="B3675" s="173"/>
      <c r="C3675" s="694">
        <v>1</v>
      </c>
      <c r="D3675" s="695" t="s">
        <v>3903</v>
      </c>
      <c r="E3675" s="695">
        <v>7</v>
      </c>
      <c r="F3675" s="695" t="s">
        <v>6711</v>
      </c>
      <c r="G3675" s="695">
        <v>2</v>
      </c>
      <c r="H3675" s="695" t="s">
        <v>6647</v>
      </c>
      <c r="I3675" s="695">
        <v>21</v>
      </c>
      <c r="J3675" s="695" t="s">
        <v>6846</v>
      </c>
      <c r="K3675" s="695" t="s">
        <v>5334</v>
      </c>
      <c r="L3675" s="696">
        <v>0</v>
      </c>
      <c r="M3675" s="170"/>
    </row>
    <row r="3676" spans="2:13" x14ac:dyDescent="0.2">
      <c r="B3676" s="173"/>
      <c r="C3676" s="694">
        <v>1</v>
      </c>
      <c r="D3676" s="695" t="s">
        <v>3903</v>
      </c>
      <c r="E3676" s="695">
        <v>7</v>
      </c>
      <c r="F3676" s="695" t="s">
        <v>6711</v>
      </c>
      <c r="G3676" s="695">
        <v>2</v>
      </c>
      <c r="H3676" s="695" t="s">
        <v>6647</v>
      </c>
      <c r="I3676" s="695">
        <v>22</v>
      </c>
      <c r="J3676" s="695" t="s">
        <v>6847</v>
      </c>
      <c r="K3676" s="695" t="s">
        <v>5334</v>
      </c>
      <c r="L3676" s="696">
        <v>1</v>
      </c>
      <c r="M3676" s="170"/>
    </row>
    <row r="3677" spans="2:13" x14ac:dyDescent="0.2">
      <c r="B3677" s="173"/>
      <c r="C3677" s="694">
        <v>1</v>
      </c>
      <c r="D3677" s="695" t="s">
        <v>3903</v>
      </c>
      <c r="E3677" s="695">
        <v>7</v>
      </c>
      <c r="F3677" s="695" t="s">
        <v>6711</v>
      </c>
      <c r="G3677" s="695">
        <v>2</v>
      </c>
      <c r="H3677" s="695" t="s">
        <v>6647</v>
      </c>
      <c r="I3677" s="695">
        <v>23</v>
      </c>
      <c r="J3677" s="695" t="s">
        <v>6648</v>
      </c>
      <c r="K3677" s="695" t="s">
        <v>5334</v>
      </c>
      <c r="L3677" s="696">
        <v>12</v>
      </c>
      <c r="M3677" s="170"/>
    </row>
    <row r="3678" spans="2:13" x14ac:dyDescent="0.2">
      <c r="B3678" s="173"/>
      <c r="C3678" s="694">
        <v>1</v>
      </c>
      <c r="D3678" s="695" t="s">
        <v>3903</v>
      </c>
      <c r="E3678" s="695">
        <v>7</v>
      </c>
      <c r="F3678" s="695" t="s">
        <v>6711</v>
      </c>
      <c r="G3678" s="695">
        <v>3</v>
      </c>
      <c r="H3678" s="695" t="s">
        <v>6649</v>
      </c>
      <c r="I3678" s="695">
        <v>1</v>
      </c>
      <c r="J3678" s="695" t="s">
        <v>6848</v>
      </c>
      <c r="K3678" s="695" t="s">
        <v>5334</v>
      </c>
      <c r="L3678" s="696">
        <v>0</v>
      </c>
      <c r="M3678" s="170"/>
    </row>
    <row r="3679" spans="2:13" x14ac:dyDescent="0.2">
      <c r="B3679" s="173"/>
      <c r="C3679" s="694">
        <v>1</v>
      </c>
      <c r="D3679" s="695" t="s">
        <v>3903</v>
      </c>
      <c r="E3679" s="695">
        <v>7</v>
      </c>
      <c r="F3679" s="695" t="s">
        <v>6711</v>
      </c>
      <c r="G3679" s="695">
        <v>3</v>
      </c>
      <c r="H3679" s="695" t="s">
        <v>6649</v>
      </c>
      <c r="I3679" s="695">
        <v>2</v>
      </c>
      <c r="J3679" s="695" t="s">
        <v>6849</v>
      </c>
      <c r="K3679" s="695" t="s">
        <v>5334</v>
      </c>
      <c r="L3679" s="696">
        <v>1</v>
      </c>
      <c r="M3679" s="170"/>
    </row>
    <row r="3680" spans="2:13" x14ac:dyDescent="0.2">
      <c r="B3680" s="173"/>
      <c r="C3680" s="694">
        <v>1</v>
      </c>
      <c r="D3680" s="695" t="s">
        <v>3903</v>
      </c>
      <c r="E3680" s="695">
        <v>7</v>
      </c>
      <c r="F3680" s="695" t="s">
        <v>6711</v>
      </c>
      <c r="G3680" s="695">
        <v>3</v>
      </c>
      <c r="H3680" s="695" t="s">
        <v>6649</v>
      </c>
      <c r="I3680" s="695">
        <v>3</v>
      </c>
      <c r="J3680" s="695" t="s">
        <v>6850</v>
      </c>
      <c r="K3680" s="695" t="s">
        <v>5334</v>
      </c>
      <c r="L3680" s="696">
        <v>0</v>
      </c>
      <c r="M3680" s="170"/>
    </row>
    <row r="3681" spans="2:13" x14ac:dyDescent="0.2">
      <c r="B3681" s="173"/>
      <c r="C3681" s="694">
        <v>1</v>
      </c>
      <c r="D3681" s="695" t="s">
        <v>3903</v>
      </c>
      <c r="E3681" s="695">
        <v>7</v>
      </c>
      <c r="F3681" s="695" t="s">
        <v>6711</v>
      </c>
      <c r="G3681" s="695">
        <v>3</v>
      </c>
      <c r="H3681" s="695" t="s">
        <v>6649</v>
      </c>
      <c r="I3681" s="695">
        <v>4</v>
      </c>
      <c r="J3681" s="695" t="s">
        <v>6851</v>
      </c>
      <c r="K3681" s="695" t="s">
        <v>5334</v>
      </c>
      <c r="L3681" s="696">
        <v>1</v>
      </c>
      <c r="M3681" s="170"/>
    </row>
    <row r="3682" spans="2:13" x14ac:dyDescent="0.2">
      <c r="B3682" s="173"/>
      <c r="C3682" s="694">
        <v>1</v>
      </c>
      <c r="D3682" s="695" t="s">
        <v>3903</v>
      </c>
      <c r="E3682" s="695">
        <v>7</v>
      </c>
      <c r="F3682" s="695" t="s">
        <v>6711</v>
      </c>
      <c r="G3682" s="695">
        <v>3</v>
      </c>
      <c r="H3682" s="695" t="s">
        <v>6649</v>
      </c>
      <c r="I3682" s="695">
        <v>5</v>
      </c>
      <c r="J3682" s="695" t="s">
        <v>6852</v>
      </c>
      <c r="K3682" s="695" t="s">
        <v>5334</v>
      </c>
      <c r="L3682" s="696">
        <v>0</v>
      </c>
      <c r="M3682" s="170"/>
    </row>
    <row r="3683" spans="2:13" x14ac:dyDescent="0.2">
      <c r="B3683" s="173"/>
      <c r="C3683" s="694">
        <v>1</v>
      </c>
      <c r="D3683" s="695" t="s">
        <v>3903</v>
      </c>
      <c r="E3683" s="695">
        <v>7</v>
      </c>
      <c r="F3683" s="695" t="s">
        <v>6711</v>
      </c>
      <c r="G3683" s="695">
        <v>3</v>
      </c>
      <c r="H3683" s="695" t="s">
        <v>6649</v>
      </c>
      <c r="I3683" s="695">
        <v>6</v>
      </c>
      <c r="J3683" s="695" t="s">
        <v>6853</v>
      </c>
      <c r="K3683" s="695" t="s">
        <v>5334</v>
      </c>
      <c r="L3683" s="696">
        <v>0</v>
      </c>
      <c r="M3683" s="170"/>
    </row>
    <row r="3684" spans="2:13" x14ac:dyDescent="0.2">
      <c r="B3684" s="173"/>
      <c r="C3684" s="694">
        <v>1</v>
      </c>
      <c r="D3684" s="695" t="s">
        <v>3903</v>
      </c>
      <c r="E3684" s="695">
        <v>7</v>
      </c>
      <c r="F3684" s="695" t="s">
        <v>6711</v>
      </c>
      <c r="G3684" s="695">
        <v>3</v>
      </c>
      <c r="H3684" s="695" t="s">
        <v>6649</v>
      </c>
      <c r="I3684" s="695">
        <v>7</v>
      </c>
      <c r="J3684" s="695" t="s">
        <v>6854</v>
      </c>
      <c r="K3684" s="695" t="s">
        <v>5334</v>
      </c>
      <c r="L3684" s="696">
        <v>0</v>
      </c>
      <c r="M3684" s="170"/>
    </row>
    <row r="3685" spans="2:13" x14ac:dyDescent="0.2">
      <c r="B3685" s="173"/>
      <c r="C3685" s="694">
        <v>1</v>
      </c>
      <c r="D3685" s="695" t="s">
        <v>3903</v>
      </c>
      <c r="E3685" s="695">
        <v>7</v>
      </c>
      <c r="F3685" s="695" t="s">
        <v>6711</v>
      </c>
      <c r="G3685" s="695">
        <v>3</v>
      </c>
      <c r="H3685" s="695" t="s">
        <v>6649</v>
      </c>
      <c r="I3685" s="695">
        <v>8</v>
      </c>
      <c r="J3685" s="695" t="s">
        <v>6855</v>
      </c>
      <c r="K3685" s="695" t="s">
        <v>5334</v>
      </c>
      <c r="L3685" s="696">
        <v>0</v>
      </c>
      <c r="M3685" s="170"/>
    </row>
    <row r="3686" spans="2:13" x14ac:dyDescent="0.2">
      <c r="B3686" s="173"/>
      <c r="C3686" s="694">
        <v>1</v>
      </c>
      <c r="D3686" s="695" t="s">
        <v>3903</v>
      </c>
      <c r="E3686" s="695">
        <v>7</v>
      </c>
      <c r="F3686" s="695" t="s">
        <v>6711</v>
      </c>
      <c r="G3686" s="695">
        <v>3</v>
      </c>
      <c r="H3686" s="695" t="s">
        <v>6649</v>
      </c>
      <c r="I3686" s="695">
        <v>9</v>
      </c>
      <c r="J3686" s="695" t="s">
        <v>4833</v>
      </c>
      <c r="K3686" s="695" t="s">
        <v>5334</v>
      </c>
      <c r="L3686" s="696">
        <v>6</v>
      </c>
      <c r="M3686" s="170"/>
    </row>
    <row r="3687" spans="2:13" x14ac:dyDescent="0.2">
      <c r="B3687" s="173"/>
      <c r="C3687" s="694">
        <v>1</v>
      </c>
      <c r="D3687" s="695" t="s">
        <v>3903</v>
      </c>
      <c r="E3687" s="695">
        <v>7</v>
      </c>
      <c r="F3687" s="695" t="s">
        <v>6711</v>
      </c>
      <c r="G3687" s="695">
        <v>3</v>
      </c>
      <c r="H3687" s="695" t="s">
        <v>6649</v>
      </c>
      <c r="I3687" s="695">
        <v>10</v>
      </c>
      <c r="J3687" s="695" t="s">
        <v>6856</v>
      </c>
      <c r="K3687" s="695" t="s">
        <v>5334</v>
      </c>
      <c r="L3687" s="696">
        <v>0</v>
      </c>
      <c r="M3687" s="170"/>
    </row>
    <row r="3688" spans="2:13" x14ac:dyDescent="0.2">
      <c r="B3688" s="173"/>
      <c r="C3688" s="694">
        <v>1</v>
      </c>
      <c r="D3688" s="695" t="s">
        <v>3903</v>
      </c>
      <c r="E3688" s="695">
        <v>7</v>
      </c>
      <c r="F3688" s="695" t="s">
        <v>6711</v>
      </c>
      <c r="G3688" s="695">
        <v>3</v>
      </c>
      <c r="H3688" s="695" t="s">
        <v>6649</v>
      </c>
      <c r="I3688" s="695">
        <v>11</v>
      </c>
      <c r="J3688" s="695" t="s">
        <v>6857</v>
      </c>
      <c r="K3688" s="695" t="s">
        <v>5334</v>
      </c>
      <c r="L3688" s="696">
        <v>3</v>
      </c>
      <c r="M3688" s="170"/>
    </row>
    <row r="3689" spans="2:13" x14ac:dyDescent="0.2">
      <c r="B3689" s="173"/>
      <c r="C3689" s="694">
        <v>1</v>
      </c>
      <c r="D3689" s="695" t="s">
        <v>3903</v>
      </c>
      <c r="E3689" s="695">
        <v>7</v>
      </c>
      <c r="F3689" s="695" t="s">
        <v>6711</v>
      </c>
      <c r="G3689" s="695">
        <v>3</v>
      </c>
      <c r="H3689" s="695" t="s">
        <v>6649</v>
      </c>
      <c r="I3689" s="695">
        <v>12</v>
      </c>
      <c r="J3689" s="695" t="s">
        <v>6858</v>
      </c>
      <c r="K3689" s="695" t="s">
        <v>5334</v>
      </c>
      <c r="L3689" s="696">
        <v>1</v>
      </c>
      <c r="M3689" s="170"/>
    </row>
    <row r="3690" spans="2:13" x14ac:dyDescent="0.2">
      <c r="B3690" s="173"/>
      <c r="C3690" s="694">
        <v>1</v>
      </c>
      <c r="D3690" s="695" t="s">
        <v>3903</v>
      </c>
      <c r="E3690" s="695">
        <v>7</v>
      </c>
      <c r="F3690" s="695" t="s">
        <v>6711</v>
      </c>
      <c r="G3690" s="695">
        <v>3</v>
      </c>
      <c r="H3690" s="695" t="s">
        <v>6649</v>
      </c>
      <c r="I3690" s="695">
        <v>13</v>
      </c>
      <c r="J3690" s="695" t="s">
        <v>6859</v>
      </c>
      <c r="K3690" s="695" t="s">
        <v>5334</v>
      </c>
      <c r="L3690" s="696">
        <v>0</v>
      </c>
      <c r="M3690" s="170"/>
    </row>
    <row r="3691" spans="2:13" x14ac:dyDescent="0.2">
      <c r="B3691" s="173"/>
      <c r="C3691" s="694">
        <v>1</v>
      </c>
      <c r="D3691" s="695" t="s">
        <v>3903</v>
      </c>
      <c r="E3691" s="695">
        <v>7</v>
      </c>
      <c r="F3691" s="695" t="s">
        <v>6711</v>
      </c>
      <c r="G3691" s="695">
        <v>3</v>
      </c>
      <c r="H3691" s="695" t="s">
        <v>6649</v>
      </c>
      <c r="I3691" s="695">
        <v>14</v>
      </c>
      <c r="J3691" s="695" t="s">
        <v>6860</v>
      </c>
      <c r="K3691" s="695" t="s">
        <v>5334</v>
      </c>
      <c r="L3691" s="696">
        <v>0</v>
      </c>
      <c r="M3691" s="170"/>
    </row>
    <row r="3692" spans="2:13" x14ac:dyDescent="0.2">
      <c r="B3692" s="173"/>
      <c r="C3692" s="694">
        <v>1</v>
      </c>
      <c r="D3692" s="695" t="s">
        <v>3903</v>
      </c>
      <c r="E3692" s="695">
        <v>7</v>
      </c>
      <c r="F3692" s="695" t="s">
        <v>6711</v>
      </c>
      <c r="G3692" s="695">
        <v>3</v>
      </c>
      <c r="H3692" s="695" t="s">
        <v>6649</v>
      </c>
      <c r="I3692" s="695">
        <v>15</v>
      </c>
      <c r="J3692" s="695" t="s">
        <v>6861</v>
      </c>
      <c r="K3692" s="695" t="s">
        <v>5334</v>
      </c>
      <c r="L3692" s="696">
        <v>2</v>
      </c>
      <c r="M3692" s="170"/>
    </row>
    <row r="3693" spans="2:13" x14ac:dyDescent="0.2">
      <c r="B3693" s="173"/>
      <c r="C3693" s="694">
        <v>1</v>
      </c>
      <c r="D3693" s="695" t="s">
        <v>3903</v>
      </c>
      <c r="E3693" s="695">
        <v>7</v>
      </c>
      <c r="F3693" s="695" t="s">
        <v>6711</v>
      </c>
      <c r="G3693" s="695">
        <v>3</v>
      </c>
      <c r="H3693" s="695" t="s">
        <v>6649</v>
      </c>
      <c r="I3693" s="695">
        <v>16</v>
      </c>
      <c r="J3693" s="695" t="s">
        <v>6862</v>
      </c>
      <c r="K3693" s="695" t="s">
        <v>5334</v>
      </c>
      <c r="L3693" s="696">
        <v>0</v>
      </c>
      <c r="M3693" s="170"/>
    </row>
    <row r="3694" spans="2:13" x14ac:dyDescent="0.2">
      <c r="B3694" s="173"/>
      <c r="C3694" s="694">
        <v>1</v>
      </c>
      <c r="D3694" s="695" t="s">
        <v>3903</v>
      </c>
      <c r="E3694" s="695">
        <v>7</v>
      </c>
      <c r="F3694" s="695" t="s">
        <v>6711</v>
      </c>
      <c r="G3694" s="695">
        <v>3</v>
      </c>
      <c r="H3694" s="695" t="s">
        <v>6649</v>
      </c>
      <c r="I3694" s="695">
        <v>17</v>
      </c>
      <c r="J3694" s="695" t="s">
        <v>6863</v>
      </c>
      <c r="K3694" s="695" t="s">
        <v>5334</v>
      </c>
      <c r="L3694" s="696">
        <v>0</v>
      </c>
      <c r="M3694" s="170"/>
    </row>
    <row r="3695" spans="2:13" x14ac:dyDescent="0.2">
      <c r="B3695" s="173"/>
      <c r="C3695" s="694">
        <v>1</v>
      </c>
      <c r="D3695" s="695" t="s">
        <v>3903</v>
      </c>
      <c r="E3695" s="695">
        <v>7</v>
      </c>
      <c r="F3695" s="695" t="s">
        <v>6711</v>
      </c>
      <c r="G3695" s="695">
        <v>3</v>
      </c>
      <c r="H3695" s="695" t="s">
        <v>6649</v>
      </c>
      <c r="I3695" s="695">
        <v>18</v>
      </c>
      <c r="J3695" s="695" t="s">
        <v>6864</v>
      </c>
      <c r="K3695" s="695" t="s">
        <v>5334</v>
      </c>
      <c r="L3695" s="696">
        <v>0</v>
      </c>
      <c r="M3695" s="170"/>
    </row>
    <row r="3696" spans="2:13" x14ac:dyDescent="0.2">
      <c r="B3696" s="173"/>
      <c r="C3696" s="694">
        <v>1</v>
      </c>
      <c r="D3696" s="695" t="s">
        <v>3903</v>
      </c>
      <c r="E3696" s="695">
        <v>7</v>
      </c>
      <c r="F3696" s="695" t="s">
        <v>6711</v>
      </c>
      <c r="G3696" s="695">
        <v>3</v>
      </c>
      <c r="H3696" s="695" t="s">
        <v>6649</v>
      </c>
      <c r="I3696" s="695">
        <v>19</v>
      </c>
      <c r="J3696" s="695" t="s">
        <v>6865</v>
      </c>
      <c r="K3696" s="695" t="s">
        <v>5334</v>
      </c>
      <c r="L3696" s="696">
        <v>1</v>
      </c>
      <c r="M3696" s="170"/>
    </row>
    <row r="3697" spans="2:13" x14ac:dyDescent="0.2">
      <c r="B3697" s="173"/>
      <c r="C3697" s="694">
        <v>1</v>
      </c>
      <c r="D3697" s="695" t="s">
        <v>3903</v>
      </c>
      <c r="E3697" s="695">
        <v>7</v>
      </c>
      <c r="F3697" s="695" t="s">
        <v>6711</v>
      </c>
      <c r="G3697" s="695">
        <v>3</v>
      </c>
      <c r="H3697" s="695" t="s">
        <v>6649</v>
      </c>
      <c r="I3697" s="695">
        <v>20</v>
      </c>
      <c r="J3697" s="695" t="s">
        <v>6866</v>
      </c>
      <c r="K3697" s="695" t="s">
        <v>5334</v>
      </c>
      <c r="L3697" s="696">
        <v>0</v>
      </c>
      <c r="M3697" s="170"/>
    </row>
    <row r="3698" spans="2:13" x14ac:dyDescent="0.2">
      <c r="B3698" s="173"/>
      <c r="C3698" s="694">
        <v>1</v>
      </c>
      <c r="D3698" s="695" t="s">
        <v>3903</v>
      </c>
      <c r="E3698" s="695">
        <v>7</v>
      </c>
      <c r="F3698" s="695" t="s">
        <v>6711</v>
      </c>
      <c r="G3698" s="695">
        <v>3</v>
      </c>
      <c r="H3698" s="695" t="s">
        <v>6649</v>
      </c>
      <c r="I3698" s="695">
        <v>21</v>
      </c>
      <c r="J3698" s="695" t="s">
        <v>6867</v>
      </c>
      <c r="K3698" s="695" t="s">
        <v>5334</v>
      </c>
      <c r="L3698" s="696">
        <v>2</v>
      </c>
      <c r="M3698" s="170"/>
    </row>
    <row r="3699" spans="2:13" x14ac:dyDescent="0.2">
      <c r="B3699" s="173"/>
      <c r="C3699" s="694">
        <v>1</v>
      </c>
      <c r="D3699" s="695" t="s">
        <v>3903</v>
      </c>
      <c r="E3699" s="695">
        <v>7</v>
      </c>
      <c r="F3699" s="695" t="s">
        <v>6711</v>
      </c>
      <c r="G3699" s="695">
        <v>3</v>
      </c>
      <c r="H3699" s="695" t="s">
        <v>6649</v>
      </c>
      <c r="I3699" s="695">
        <v>22</v>
      </c>
      <c r="J3699" s="695" t="s">
        <v>6868</v>
      </c>
      <c r="K3699" s="695" t="s">
        <v>5334</v>
      </c>
      <c r="L3699" s="696">
        <v>2</v>
      </c>
      <c r="M3699" s="170"/>
    </row>
    <row r="3700" spans="2:13" x14ac:dyDescent="0.2">
      <c r="B3700" s="173"/>
      <c r="C3700" s="694">
        <v>1</v>
      </c>
      <c r="D3700" s="695" t="s">
        <v>3903</v>
      </c>
      <c r="E3700" s="695">
        <v>7</v>
      </c>
      <c r="F3700" s="695" t="s">
        <v>6711</v>
      </c>
      <c r="G3700" s="695">
        <v>3</v>
      </c>
      <c r="H3700" s="695" t="s">
        <v>6649</v>
      </c>
      <c r="I3700" s="695">
        <v>23</v>
      </c>
      <c r="J3700" s="695" t="s">
        <v>6869</v>
      </c>
      <c r="K3700" s="695" t="s">
        <v>5334</v>
      </c>
      <c r="L3700" s="696">
        <v>0</v>
      </c>
      <c r="M3700" s="170"/>
    </row>
    <row r="3701" spans="2:13" x14ac:dyDescent="0.2">
      <c r="B3701" s="173"/>
      <c r="C3701" s="694">
        <v>1</v>
      </c>
      <c r="D3701" s="695" t="s">
        <v>3903</v>
      </c>
      <c r="E3701" s="695">
        <v>7</v>
      </c>
      <c r="F3701" s="695" t="s">
        <v>6711</v>
      </c>
      <c r="G3701" s="695">
        <v>3</v>
      </c>
      <c r="H3701" s="695" t="s">
        <v>6649</v>
      </c>
      <c r="I3701" s="695">
        <v>24</v>
      </c>
      <c r="J3701" s="695" t="s">
        <v>6870</v>
      </c>
      <c r="K3701" s="695" t="s">
        <v>5334</v>
      </c>
      <c r="L3701" s="696">
        <v>1</v>
      </c>
      <c r="M3701" s="170"/>
    </row>
    <row r="3702" spans="2:13" x14ac:dyDescent="0.2">
      <c r="B3702" s="173"/>
      <c r="C3702" s="694">
        <v>1</v>
      </c>
      <c r="D3702" s="695" t="s">
        <v>3903</v>
      </c>
      <c r="E3702" s="695">
        <v>7</v>
      </c>
      <c r="F3702" s="695" t="s">
        <v>6711</v>
      </c>
      <c r="G3702" s="695">
        <v>3</v>
      </c>
      <c r="H3702" s="695" t="s">
        <v>6649</v>
      </c>
      <c r="I3702" s="695">
        <v>25</v>
      </c>
      <c r="J3702" s="695" t="s">
        <v>6871</v>
      </c>
      <c r="K3702" s="695" t="s">
        <v>5334</v>
      </c>
      <c r="L3702" s="696">
        <v>0</v>
      </c>
      <c r="M3702" s="170"/>
    </row>
    <row r="3703" spans="2:13" x14ac:dyDescent="0.2">
      <c r="B3703" s="173"/>
      <c r="C3703" s="694">
        <v>1</v>
      </c>
      <c r="D3703" s="695" t="s">
        <v>3903</v>
      </c>
      <c r="E3703" s="695">
        <v>7</v>
      </c>
      <c r="F3703" s="695" t="s">
        <v>6711</v>
      </c>
      <c r="G3703" s="695">
        <v>3</v>
      </c>
      <c r="H3703" s="695" t="s">
        <v>6649</v>
      </c>
      <c r="I3703" s="695">
        <v>26</v>
      </c>
      <c r="J3703" s="695" t="s">
        <v>6872</v>
      </c>
      <c r="K3703" s="695" t="s">
        <v>5334</v>
      </c>
      <c r="L3703" s="696">
        <v>0</v>
      </c>
      <c r="M3703" s="170"/>
    </row>
    <row r="3704" spans="2:13" x14ac:dyDescent="0.2">
      <c r="B3704" s="173"/>
      <c r="C3704" s="694">
        <v>1</v>
      </c>
      <c r="D3704" s="695" t="s">
        <v>3903</v>
      </c>
      <c r="E3704" s="695">
        <v>7</v>
      </c>
      <c r="F3704" s="695" t="s">
        <v>6711</v>
      </c>
      <c r="G3704" s="695">
        <v>3</v>
      </c>
      <c r="H3704" s="695" t="s">
        <v>6649</v>
      </c>
      <c r="I3704" s="695">
        <v>27</v>
      </c>
      <c r="J3704" s="695" t="s">
        <v>6873</v>
      </c>
      <c r="K3704" s="695" t="s">
        <v>5334</v>
      </c>
      <c r="L3704" s="696">
        <v>2</v>
      </c>
      <c r="M3704" s="170"/>
    </row>
    <row r="3705" spans="2:13" x14ac:dyDescent="0.2">
      <c r="B3705" s="173"/>
      <c r="C3705" s="694">
        <v>1</v>
      </c>
      <c r="D3705" s="695" t="s">
        <v>3903</v>
      </c>
      <c r="E3705" s="695">
        <v>7</v>
      </c>
      <c r="F3705" s="695" t="s">
        <v>6711</v>
      </c>
      <c r="G3705" s="695">
        <v>3</v>
      </c>
      <c r="H3705" s="695" t="s">
        <v>6649</v>
      </c>
      <c r="I3705" s="695">
        <v>28</v>
      </c>
      <c r="J3705" s="695" t="s">
        <v>6874</v>
      </c>
      <c r="K3705" s="695" t="s">
        <v>5334</v>
      </c>
      <c r="L3705" s="696">
        <v>0</v>
      </c>
      <c r="M3705" s="170"/>
    </row>
    <row r="3706" spans="2:13" x14ac:dyDescent="0.2">
      <c r="B3706" s="173"/>
      <c r="C3706" s="694">
        <v>1</v>
      </c>
      <c r="D3706" s="695" t="s">
        <v>3903</v>
      </c>
      <c r="E3706" s="695">
        <v>7</v>
      </c>
      <c r="F3706" s="695" t="s">
        <v>6711</v>
      </c>
      <c r="G3706" s="695">
        <v>3</v>
      </c>
      <c r="H3706" s="695" t="s">
        <v>6649</v>
      </c>
      <c r="I3706" s="695">
        <v>29</v>
      </c>
      <c r="J3706" s="695" t="s">
        <v>6875</v>
      </c>
      <c r="K3706" s="695" t="s">
        <v>5334</v>
      </c>
      <c r="L3706" s="696">
        <v>1</v>
      </c>
      <c r="M3706" s="170"/>
    </row>
    <row r="3707" spans="2:13" x14ac:dyDescent="0.2">
      <c r="B3707" s="173"/>
      <c r="C3707" s="694">
        <v>1</v>
      </c>
      <c r="D3707" s="695" t="s">
        <v>3903</v>
      </c>
      <c r="E3707" s="695">
        <v>7</v>
      </c>
      <c r="F3707" s="695" t="s">
        <v>6711</v>
      </c>
      <c r="G3707" s="695">
        <v>3</v>
      </c>
      <c r="H3707" s="695" t="s">
        <v>6649</v>
      </c>
      <c r="I3707" s="695">
        <v>30</v>
      </c>
      <c r="J3707" s="695" t="s">
        <v>6876</v>
      </c>
      <c r="K3707" s="695" t="s">
        <v>5334</v>
      </c>
      <c r="L3707" s="696">
        <v>0</v>
      </c>
      <c r="M3707" s="170"/>
    </row>
    <row r="3708" spans="2:13" x14ac:dyDescent="0.2">
      <c r="B3708" s="173"/>
      <c r="C3708" s="694">
        <v>1</v>
      </c>
      <c r="D3708" s="695" t="s">
        <v>3903</v>
      </c>
      <c r="E3708" s="695">
        <v>7</v>
      </c>
      <c r="F3708" s="695" t="s">
        <v>6711</v>
      </c>
      <c r="G3708" s="695">
        <v>3</v>
      </c>
      <c r="H3708" s="695" t="s">
        <v>6649</v>
      </c>
      <c r="I3708" s="695">
        <v>31</v>
      </c>
      <c r="J3708" s="695" t="s">
        <v>6877</v>
      </c>
      <c r="K3708" s="695" t="s">
        <v>5334</v>
      </c>
      <c r="L3708" s="696">
        <v>70</v>
      </c>
      <c r="M3708" s="170"/>
    </row>
    <row r="3709" spans="2:13" x14ac:dyDescent="0.2">
      <c r="B3709" s="173"/>
      <c r="C3709" s="694">
        <v>1</v>
      </c>
      <c r="D3709" s="695" t="s">
        <v>3903</v>
      </c>
      <c r="E3709" s="695">
        <v>7</v>
      </c>
      <c r="F3709" s="695" t="s">
        <v>6711</v>
      </c>
      <c r="G3709" s="695">
        <v>4</v>
      </c>
      <c r="H3709" s="695" t="s">
        <v>6652</v>
      </c>
      <c r="I3709" s="695">
        <v>1</v>
      </c>
      <c r="J3709" s="695" t="s">
        <v>6878</v>
      </c>
      <c r="K3709" s="695" t="s">
        <v>5334</v>
      </c>
      <c r="L3709" s="696">
        <v>2</v>
      </c>
      <c r="M3709" s="170"/>
    </row>
    <row r="3710" spans="2:13" x14ac:dyDescent="0.2">
      <c r="B3710" s="173"/>
      <c r="C3710" s="694">
        <v>1</v>
      </c>
      <c r="D3710" s="695" t="s">
        <v>3903</v>
      </c>
      <c r="E3710" s="695">
        <v>7</v>
      </c>
      <c r="F3710" s="695" t="s">
        <v>6711</v>
      </c>
      <c r="G3710" s="695">
        <v>4</v>
      </c>
      <c r="H3710" s="695" t="s">
        <v>6652</v>
      </c>
      <c r="I3710" s="695">
        <v>2</v>
      </c>
      <c r="J3710" s="695" t="s">
        <v>6879</v>
      </c>
      <c r="K3710" s="695" t="s">
        <v>5334</v>
      </c>
      <c r="L3710" s="696">
        <v>0</v>
      </c>
      <c r="M3710" s="170"/>
    </row>
    <row r="3711" spans="2:13" x14ac:dyDescent="0.2">
      <c r="B3711" s="173"/>
      <c r="C3711" s="694">
        <v>1</v>
      </c>
      <c r="D3711" s="695" t="s">
        <v>3903</v>
      </c>
      <c r="E3711" s="695">
        <v>7</v>
      </c>
      <c r="F3711" s="695" t="s">
        <v>6711</v>
      </c>
      <c r="G3711" s="695">
        <v>4</v>
      </c>
      <c r="H3711" s="695" t="s">
        <v>6652</v>
      </c>
      <c r="I3711" s="695">
        <v>3</v>
      </c>
      <c r="J3711" s="695" t="s">
        <v>6880</v>
      </c>
      <c r="K3711" s="695" t="s">
        <v>5334</v>
      </c>
      <c r="L3711" s="696">
        <v>0</v>
      </c>
      <c r="M3711" s="170"/>
    </row>
    <row r="3712" spans="2:13" x14ac:dyDescent="0.2">
      <c r="B3712" s="173"/>
      <c r="C3712" s="694">
        <v>1</v>
      </c>
      <c r="D3712" s="695" t="s">
        <v>3903</v>
      </c>
      <c r="E3712" s="695">
        <v>7</v>
      </c>
      <c r="F3712" s="695" t="s">
        <v>6711</v>
      </c>
      <c r="G3712" s="695">
        <v>4</v>
      </c>
      <c r="H3712" s="695" t="s">
        <v>6652</v>
      </c>
      <c r="I3712" s="695">
        <v>4</v>
      </c>
      <c r="J3712" s="695" t="s">
        <v>6881</v>
      </c>
      <c r="K3712" s="695" t="s">
        <v>5334</v>
      </c>
      <c r="L3712" s="696">
        <v>1</v>
      </c>
      <c r="M3712" s="170"/>
    </row>
    <row r="3713" spans="2:13" x14ac:dyDescent="0.2">
      <c r="B3713" s="173"/>
      <c r="C3713" s="694">
        <v>1</v>
      </c>
      <c r="D3713" s="695" t="s">
        <v>3903</v>
      </c>
      <c r="E3713" s="695">
        <v>7</v>
      </c>
      <c r="F3713" s="695" t="s">
        <v>6711</v>
      </c>
      <c r="G3713" s="695">
        <v>4</v>
      </c>
      <c r="H3713" s="695" t="s">
        <v>6652</v>
      </c>
      <c r="I3713" s="695">
        <v>5</v>
      </c>
      <c r="J3713" s="695" t="s">
        <v>6882</v>
      </c>
      <c r="K3713" s="695" t="s">
        <v>5334</v>
      </c>
      <c r="L3713" s="696">
        <v>0</v>
      </c>
      <c r="M3713" s="170"/>
    </row>
    <row r="3714" spans="2:13" x14ac:dyDescent="0.2">
      <c r="B3714" s="173"/>
      <c r="C3714" s="694">
        <v>1</v>
      </c>
      <c r="D3714" s="695" t="s">
        <v>3903</v>
      </c>
      <c r="E3714" s="695">
        <v>7</v>
      </c>
      <c r="F3714" s="695" t="s">
        <v>6711</v>
      </c>
      <c r="G3714" s="695">
        <v>4</v>
      </c>
      <c r="H3714" s="695" t="s">
        <v>6652</v>
      </c>
      <c r="I3714" s="695">
        <v>6</v>
      </c>
      <c r="J3714" s="695" t="s">
        <v>6883</v>
      </c>
      <c r="K3714" s="695" t="s">
        <v>5334</v>
      </c>
      <c r="L3714" s="696">
        <v>3</v>
      </c>
      <c r="M3714" s="170"/>
    </row>
    <row r="3715" spans="2:13" x14ac:dyDescent="0.2">
      <c r="B3715" s="173"/>
      <c r="C3715" s="694">
        <v>1</v>
      </c>
      <c r="D3715" s="695" t="s">
        <v>3903</v>
      </c>
      <c r="E3715" s="695">
        <v>7</v>
      </c>
      <c r="F3715" s="695" t="s">
        <v>6711</v>
      </c>
      <c r="G3715" s="695">
        <v>5</v>
      </c>
      <c r="H3715" s="695" t="s">
        <v>6654</v>
      </c>
      <c r="I3715" s="695">
        <v>1</v>
      </c>
      <c r="J3715" s="695" t="s">
        <v>6884</v>
      </c>
      <c r="K3715" s="695" t="s">
        <v>5334</v>
      </c>
      <c r="L3715" s="696">
        <v>1</v>
      </c>
      <c r="M3715" s="170"/>
    </row>
    <row r="3716" spans="2:13" x14ac:dyDescent="0.2">
      <c r="B3716" s="173"/>
      <c r="C3716" s="694">
        <v>1</v>
      </c>
      <c r="D3716" s="695" t="s">
        <v>3903</v>
      </c>
      <c r="E3716" s="695">
        <v>7</v>
      </c>
      <c r="F3716" s="695" t="s">
        <v>6711</v>
      </c>
      <c r="G3716" s="695">
        <v>5</v>
      </c>
      <c r="H3716" s="695" t="s">
        <v>6654</v>
      </c>
      <c r="I3716" s="695">
        <v>2</v>
      </c>
      <c r="J3716" s="695" t="s">
        <v>6885</v>
      </c>
      <c r="K3716" s="695" t="s">
        <v>5334</v>
      </c>
      <c r="L3716" s="696">
        <v>1</v>
      </c>
      <c r="M3716" s="170"/>
    </row>
    <row r="3717" spans="2:13" x14ac:dyDescent="0.2">
      <c r="B3717" s="173"/>
      <c r="C3717" s="694">
        <v>1</v>
      </c>
      <c r="D3717" s="695" t="s">
        <v>3903</v>
      </c>
      <c r="E3717" s="695">
        <v>7</v>
      </c>
      <c r="F3717" s="695" t="s">
        <v>6711</v>
      </c>
      <c r="G3717" s="695">
        <v>5</v>
      </c>
      <c r="H3717" s="695" t="s">
        <v>6654</v>
      </c>
      <c r="I3717" s="695">
        <v>3</v>
      </c>
      <c r="J3717" s="695" t="s">
        <v>6886</v>
      </c>
      <c r="K3717" s="695" t="s">
        <v>5334</v>
      </c>
      <c r="L3717" s="696">
        <v>1</v>
      </c>
      <c r="M3717" s="170"/>
    </row>
    <row r="3718" spans="2:13" x14ac:dyDescent="0.2">
      <c r="B3718" s="173"/>
      <c r="C3718" s="694">
        <v>1</v>
      </c>
      <c r="D3718" s="695" t="s">
        <v>3903</v>
      </c>
      <c r="E3718" s="695">
        <v>7</v>
      </c>
      <c r="F3718" s="695" t="s">
        <v>6711</v>
      </c>
      <c r="G3718" s="695">
        <v>5</v>
      </c>
      <c r="H3718" s="695" t="s">
        <v>6654</v>
      </c>
      <c r="I3718" s="695">
        <v>4</v>
      </c>
      <c r="J3718" s="695" t="s">
        <v>6887</v>
      </c>
      <c r="K3718" s="695" t="s">
        <v>5334</v>
      </c>
      <c r="L3718" s="696">
        <v>1</v>
      </c>
      <c r="M3718" s="170"/>
    </row>
    <row r="3719" spans="2:13" x14ac:dyDescent="0.2">
      <c r="B3719" s="173"/>
      <c r="C3719" s="694">
        <v>1</v>
      </c>
      <c r="D3719" s="695" t="s">
        <v>3903</v>
      </c>
      <c r="E3719" s="695">
        <v>7</v>
      </c>
      <c r="F3719" s="695" t="s">
        <v>6711</v>
      </c>
      <c r="G3719" s="695">
        <v>5</v>
      </c>
      <c r="H3719" s="695" t="s">
        <v>6654</v>
      </c>
      <c r="I3719" s="695">
        <v>5</v>
      </c>
      <c r="J3719" s="695" t="s">
        <v>5969</v>
      </c>
      <c r="K3719" s="695" t="s">
        <v>5334</v>
      </c>
      <c r="L3719" s="696">
        <v>47</v>
      </c>
      <c r="M3719" s="170"/>
    </row>
    <row r="3720" spans="2:13" x14ac:dyDescent="0.2">
      <c r="B3720" s="173"/>
      <c r="C3720" s="694">
        <v>1</v>
      </c>
      <c r="D3720" s="695" t="s">
        <v>3903</v>
      </c>
      <c r="E3720" s="695">
        <v>7</v>
      </c>
      <c r="F3720" s="695" t="s">
        <v>6711</v>
      </c>
      <c r="G3720" s="695">
        <v>5</v>
      </c>
      <c r="H3720" s="695" t="s">
        <v>6654</v>
      </c>
      <c r="I3720" s="695">
        <v>6</v>
      </c>
      <c r="J3720" s="695" t="s">
        <v>6888</v>
      </c>
      <c r="K3720" s="695" t="s">
        <v>5334</v>
      </c>
      <c r="L3720" s="696">
        <v>20</v>
      </c>
      <c r="M3720" s="170"/>
    </row>
    <row r="3721" spans="2:13" x14ac:dyDescent="0.2">
      <c r="B3721" s="173"/>
      <c r="C3721" s="694">
        <v>1</v>
      </c>
      <c r="D3721" s="695" t="s">
        <v>3903</v>
      </c>
      <c r="E3721" s="695">
        <v>7</v>
      </c>
      <c r="F3721" s="695" t="s">
        <v>6711</v>
      </c>
      <c r="G3721" s="695">
        <v>5</v>
      </c>
      <c r="H3721" s="695" t="s">
        <v>6654</v>
      </c>
      <c r="I3721" s="695">
        <v>7</v>
      </c>
      <c r="J3721" s="695" t="s">
        <v>5980</v>
      </c>
      <c r="K3721" s="695" t="s">
        <v>5334</v>
      </c>
      <c r="L3721" s="696">
        <v>1</v>
      </c>
      <c r="M3721" s="170"/>
    </row>
    <row r="3722" spans="2:13" x14ac:dyDescent="0.2">
      <c r="B3722" s="173"/>
      <c r="C3722" s="694">
        <v>1</v>
      </c>
      <c r="D3722" s="695" t="s">
        <v>3903</v>
      </c>
      <c r="E3722" s="695">
        <v>7</v>
      </c>
      <c r="F3722" s="695" t="s">
        <v>6711</v>
      </c>
      <c r="G3722" s="695">
        <v>5</v>
      </c>
      <c r="H3722" s="695" t="s">
        <v>6654</v>
      </c>
      <c r="I3722" s="695">
        <v>9</v>
      </c>
      <c r="J3722" s="695" t="s">
        <v>6889</v>
      </c>
      <c r="K3722" s="695" t="s">
        <v>5334</v>
      </c>
      <c r="L3722" s="696">
        <v>2</v>
      </c>
      <c r="M3722" s="170"/>
    </row>
    <row r="3723" spans="2:13" x14ac:dyDescent="0.2">
      <c r="B3723" s="173"/>
      <c r="C3723" s="694">
        <v>1</v>
      </c>
      <c r="D3723" s="695" t="s">
        <v>3903</v>
      </c>
      <c r="E3723" s="695">
        <v>7</v>
      </c>
      <c r="F3723" s="695" t="s">
        <v>6711</v>
      </c>
      <c r="G3723" s="695">
        <v>5</v>
      </c>
      <c r="H3723" s="695" t="s">
        <v>6654</v>
      </c>
      <c r="I3723" s="695">
        <v>10</v>
      </c>
      <c r="J3723" s="695" t="s">
        <v>6890</v>
      </c>
      <c r="K3723" s="695" t="s">
        <v>5334</v>
      </c>
      <c r="L3723" s="696">
        <v>1</v>
      </c>
      <c r="M3723" s="170"/>
    </row>
    <row r="3724" spans="2:13" x14ac:dyDescent="0.2">
      <c r="B3724" s="173"/>
      <c r="C3724" s="694">
        <v>1</v>
      </c>
      <c r="D3724" s="695" t="s">
        <v>3903</v>
      </c>
      <c r="E3724" s="695">
        <v>7</v>
      </c>
      <c r="F3724" s="695" t="s">
        <v>6711</v>
      </c>
      <c r="G3724" s="695">
        <v>5</v>
      </c>
      <c r="H3724" s="695" t="s">
        <v>6654</v>
      </c>
      <c r="I3724" s="695">
        <v>17</v>
      </c>
      <c r="J3724" s="695" t="s">
        <v>6891</v>
      </c>
      <c r="K3724" s="695" t="s">
        <v>5334</v>
      </c>
      <c r="L3724" s="696">
        <v>0</v>
      </c>
      <c r="M3724" s="170"/>
    </row>
    <row r="3725" spans="2:13" x14ac:dyDescent="0.2">
      <c r="B3725" s="173"/>
      <c r="C3725" s="694">
        <v>1</v>
      </c>
      <c r="D3725" s="695" t="s">
        <v>3903</v>
      </c>
      <c r="E3725" s="695">
        <v>7</v>
      </c>
      <c r="F3725" s="695" t="s">
        <v>6711</v>
      </c>
      <c r="G3725" s="695">
        <v>5</v>
      </c>
      <c r="H3725" s="695" t="s">
        <v>6654</v>
      </c>
      <c r="I3725" s="695">
        <v>18</v>
      </c>
      <c r="J3725" s="695" t="s">
        <v>6892</v>
      </c>
      <c r="K3725" s="695" t="s">
        <v>5334</v>
      </c>
      <c r="L3725" s="696">
        <v>0</v>
      </c>
      <c r="M3725" s="170"/>
    </row>
    <row r="3726" spans="2:13" x14ac:dyDescent="0.2">
      <c r="B3726" s="173"/>
      <c r="C3726" s="694">
        <v>1</v>
      </c>
      <c r="D3726" s="695" t="s">
        <v>3903</v>
      </c>
      <c r="E3726" s="695">
        <v>7</v>
      </c>
      <c r="F3726" s="695" t="s">
        <v>6711</v>
      </c>
      <c r="G3726" s="695">
        <v>5</v>
      </c>
      <c r="H3726" s="695" t="s">
        <v>6654</v>
      </c>
      <c r="I3726" s="695">
        <v>19</v>
      </c>
      <c r="J3726" s="695" t="s">
        <v>6893</v>
      </c>
      <c r="K3726" s="695" t="s">
        <v>5334</v>
      </c>
      <c r="L3726" s="696">
        <v>0</v>
      </c>
      <c r="M3726" s="170"/>
    </row>
    <row r="3727" spans="2:13" x14ac:dyDescent="0.2">
      <c r="B3727" s="173"/>
      <c r="C3727" s="694">
        <v>1</v>
      </c>
      <c r="D3727" s="695" t="s">
        <v>3903</v>
      </c>
      <c r="E3727" s="695">
        <v>7</v>
      </c>
      <c r="F3727" s="695" t="s">
        <v>6711</v>
      </c>
      <c r="G3727" s="695">
        <v>5</v>
      </c>
      <c r="H3727" s="695" t="s">
        <v>6654</v>
      </c>
      <c r="I3727" s="695">
        <v>20</v>
      </c>
      <c r="J3727" s="695" t="s">
        <v>6894</v>
      </c>
      <c r="K3727" s="695" t="s">
        <v>5334</v>
      </c>
      <c r="L3727" s="696">
        <v>0</v>
      </c>
      <c r="M3727" s="170"/>
    </row>
    <row r="3728" spans="2:13" x14ac:dyDescent="0.2">
      <c r="B3728" s="173"/>
      <c r="C3728" s="694">
        <v>1</v>
      </c>
      <c r="D3728" s="695" t="s">
        <v>3903</v>
      </c>
      <c r="E3728" s="695">
        <v>7</v>
      </c>
      <c r="F3728" s="695" t="s">
        <v>6711</v>
      </c>
      <c r="G3728" s="695">
        <v>5</v>
      </c>
      <c r="H3728" s="695" t="s">
        <v>6654</v>
      </c>
      <c r="I3728" s="695">
        <v>21</v>
      </c>
      <c r="J3728" s="695" t="s">
        <v>6895</v>
      </c>
      <c r="K3728" s="695" t="s">
        <v>5334</v>
      </c>
      <c r="L3728" s="696">
        <v>0</v>
      </c>
      <c r="M3728" s="170"/>
    </row>
    <row r="3729" spans="2:13" x14ac:dyDescent="0.2">
      <c r="B3729" s="173"/>
      <c r="C3729" s="694">
        <v>1</v>
      </c>
      <c r="D3729" s="695" t="s">
        <v>3903</v>
      </c>
      <c r="E3729" s="695">
        <v>7</v>
      </c>
      <c r="F3729" s="695" t="s">
        <v>6711</v>
      </c>
      <c r="G3729" s="695">
        <v>5</v>
      </c>
      <c r="H3729" s="695" t="s">
        <v>6654</v>
      </c>
      <c r="I3729" s="695">
        <v>22</v>
      </c>
      <c r="J3729" s="695" t="s">
        <v>6896</v>
      </c>
      <c r="K3729" s="695" t="s">
        <v>5334</v>
      </c>
      <c r="L3729" s="696">
        <v>0</v>
      </c>
      <c r="M3729" s="170"/>
    </row>
    <row r="3730" spans="2:13" x14ac:dyDescent="0.2">
      <c r="B3730" s="173"/>
      <c r="C3730" s="694">
        <v>1</v>
      </c>
      <c r="D3730" s="695" t="s">
        <v>3903</v>
      </c>
      <c r="E3730" s="695">
        <v>7</v>
      </c>
      <c r="F3730" s="695" t="s">
        <v>6711</v>
      </c>
      <c r="G3730" s="695">
        <v>5</v>
      </c>
      <c r="H3730" s="695" t="s">
        <v>6654</v>
      </c>
      <c r="I3730" s="695">
        <v>23</v>
      </c>
      <c r="J3730" s="695" t="s">
        <v>6897</v>
      </c>
      <c r="K3730" s="695" t="s">
        <v>5334</v>
      </c>
      <c r="L3730" s="696">
        <v>0</v>
      </c>
      <c r="M3730" s="170"/>
    </row>
    <row r="3731" spans="2:13" x14ac:dyDescent="0.2">
      <c r="B3731" s="173"/>
      <c r="C3731" s="694">
        <v>1</v>
      </c>
      <c r="D3731" s="695" t="s">
        <v>3903</v>
      </c>
      <c r="E3731" s="695">
        <v>7</v>
      </c>
      <c r="F3731" s="695" t="s">
        <v>6711</v>
      </c>
      <c r="G3731" s="695">
        <v>5</v>
      </c>
      <c r="H3731" s="695" t="s">
        <v>6654</v>
      </c>
      <c r="I3731" s="695">
        <v>24</v>
      </c>
      <c r="J3731" s="695" t="s">
        <v>6898</v>
      </c>
      <c r="K3731" s="695" t="s">
        <v>5334</v>
      </c>
      <c r="L3731" s="696">
        <v>1</v>
      </c>
      <c r="M3731" s="170"/>
    </row>
    <row r="3732" spans="2:13" x14ac:dyDescent="0.2">
      <c r="B3732" s="173"/>
      <c r="C3732" s="694">
        <v>1</v>
      </c>
      <c r="D3732" s="695" t="s">
        <v>3903</v>
      </c>
      <c r="E3732" s="695">
        <v>7</v>
      </c>
      <c r="F3732" s="695" t="s">
        <v>6711</v>
      </c>
      <c r="G3732" s="695">
        <v>5</v>
      </c>
      <c r="H3732" s="695" t="s">
        <v>6654</v>
      </c>
      <c r="I3732" s="695">
        <v>25</v>
      </c>
      <c r="J3732" s="695" t="s">
        <v>6899</v>
      </c>
      <c r="K3732" s="695" t="s">
        <v>5334</v>
      </c>
      <c r="L3732" s="696">
        <v>26</v>
      </c>
      <c r="M3732" s="170"/>
    </row>
    <row r="3733" spans="2:13" x14ac:dyDescent="0.2">
      <c r="B3733" s="173"/>
      <c r="C3733" s="694">
        <v>1</v>
      </c>
      <c r="D3733" s="695" t="s">
        <v>3903</v>
      </c>
      <c r="E3733" s="695">
        <v>7</v>
      </c>
      <c r="F3733" s="695" t="s">
        <v>6711</v>
      </c>
      <c r="G3733" s="695">
        <v>5</v>
      </c>
      <c r="H3733" s="695" t="s">
        <v>6654</v>
      </c>
      <c r="I3733" s="695">
        <v>26</v>
      </c>
      <c r="J3733" s="695" t="s">
        <v>6900</v>
      </c>
      <c r="K3733" s="695" t="s">
        <v>5334</v>
      </c>
      <c r="L3733" s="696">
        <v>0</v>
      </c>
      <c r="M3733" s="170"/>
    </row>
    <row r="3734" spans="2:13" x14ac:dyDescent="0.2">
      <c r="B3734" s="173"/>
      <c r="C3734" s="694">
        <v>1</v>
      </c>
      <c r="D3734" s="695" t="s">
        <v>3903</v>
      </c>
      <c r="E3734" s="695">
        <v>7</v>
      </c>
      <c r="F3734" s="695" t="s">
        <v>6711</v>
      </c>
      <c r="G3734" s="695">
        <v>5</v>
      </c>
      <c r="H3734" s="695" t="s">
        <v>6654</v>
      </c>
      <c r="I3734" s="695">
        <v>27</v>
      </c>
      <c r="J3734" s="695" t="s">
        <v>6901</v>
      </c>
      <c r="K3734" s="695" t="s">
        <v>5334</v>
      </c>
      <c r="L3734" s="696">
        <v>0</v>
      </c>
      <c r="M3734" s="170"/>
    </row>
    <row r="3735" spans="2:13" x14ac:dyDescent="0.2">
      <c r="B3735" s="173"/>
      <c r="C3735" s="694">
        <v>1</v>
      </c>
      <c r="D3735" s="695" t="s">
        <v>3903</v>
      </c>
      <c r="E3735" s="695">
        <v>7</v>
      </c>
      <c r="F3735" s="695" t="s">
        <v>6711</v>
      </c>
      <c r="G3735" s="695">
        <v>5</v>
      </c>
      <c r="H3735" s="695" t="s">
        <v>6654</v>
      </c>
      <c r="I3735" s="695">
        <v>28</v>
      </c>
      <c r="J3735" s="695" t="s">
        <v>6902</v>
      </c>
      <c r="K3735" s="695" t="s">
        <v>5334</v>
      </c>
      <c r="L3735" s="696">
        <v>1</v>
      </c>
      <c r="M3735" s="170"/>
    </row>
    <row r="3736" spans="2:13" x14ac:dyDescent="0.2">
      <c r="B3736" s="173"/>
      <c r="C3736" s="694">
        <v>1</v>
      </c>
      <c r="D3736" s="695" t="s">
        <v>3903</v>
      </c>
      <c r="E3736" s="695">
        <v>7</v>
      </c>
      <c r="F3736" s="695" t="s">
        <v>6711</v>
      </c>
      <c r="G3736" s="695">
        <v>5</v>
      </c>
      <c r="H3736" s="695" t="s">
        <v>6654</v>
      </c>
      <c r="I3736" s="695">
        <v>29</v>
      </c>
      <c r="J3736" s="695" t="s">
        <v>6903</v>
      </c>
      <c r="K3736" s="695" t="s">
        <v>5334</v>
      </c>
      <c r="L3736" s="696">
        <v>1</v>
      </c>
      <c r="M3736" s="170"/>
    </row>
    <row r="3737" spans="2:13" x14ac:dyDescent="0.2">
      <c r="B3737" s="173"/>
      <c r="C3737" s="694">
        <v>1</v>
      </c>
      <c r="D3737" s="695" t="s">
        <v>3903</v>
      </c>
      <c r="E3737" s="695">
        <v>7</v>
      </c>
      <c r="F3737" s="695" t="s">
        <v>6711</v>
      </c>
      <c r="G3737" s="695">
        <v>5</v>
      </c>
      <c r="H3737" s="695" t="s">
        <v>6654</v>
      </c>
      <c r="I3737" s="695">
        <v>30</v>
      </c>
      <c r="J3737" s="695" t="s">
        <v>6904</v>
      </c>
      <c r="K3737" s="695" t="s">
        <v>5334</v>
      </c>
      <c r="L3737" s="696">
        <v>0</v>
      </c>
      <c r="M3737" s="170"/>
    </row>
    <row r="3738" spans="2:13" x14ac:dyDescent="0.2">
      <c r="B3738" s="173"/>
      <c r="C3738" s="694">
        <v>1</v>
      </c>
      <c r="D3738" s="695" t="s">
        <v>3903</v>
      </c>
      <c r="E3738" s="695">
        <v>7</v>
      </c>
      <c r="F3738" s="695" t="s">
        <v>6711</v>
      </c>
      <c r="G3738" s="695">
        <v>5</v>
      </c>
      <c r="H3738" s="695" t="s">
        <v>6654</v>
      </c>
      <c r="I3738" s="695">
        <v>31</v>
      </c>
      <c r="J3738" s="695" t="s">
        <v>6905</v>
      </c>
      <c r="K3738" s="695" t="s">
        <v>5334</v>
      </c>
      <c r="L3738" s="696">
        <v>0</v>
      </c>
      <c r="M3738" s="170"/>
    </row>
    <row r="3739" spans="2:13" x14ac:dyDescent="0.2">
      <c r="B3739" s="173"/>
      <c r="C3739" s="694">
        <v>1</v>
      </c>
      <c r="D3739" s="695" t="s">
        <v>3903</v>
      </c>
      <c r="E3739" s="695">
        <v>7</v>
      </c>
      <c r="F3739" s="695" t="s">
        <v>6711</v>
      </c>
      <c r="G3739" s="695">
        <v>5</v>
      </c>
      <c r="H3739" s="695" t="s">
        <v>6654</v>
      </c>
      <c r="I3739" s="695">
        <v>32</v>
      </c>
      <c r="J3739" s="695" t="s">
        <v>6906</v>
      </c>
      <c r="K3739" s="695" t="s">
        <v>5334</v>
      </c>
      <c r="L3739" s="696">
        <v>1</v>
      </c>
      <c r="M3739" s="170"/>
    </row>
    <row r="3740" spans="2:13" x14ac:dyDescent="0.2">
      <c r="B3740" s="173"/>
      <c r="C3740" s="694">
        <v>1</v>
      </c>
      <c r="D3740" s="695" t="s">
        <v>3903</v>
      </c>
      <c r="E3740" s="695">
        <v>7</v>
      </c>
      <c r="F3740" s="695" t="s">
        <v>6711</v>
      </c>
      <c r="G3740" s="695">
        <v>5</v>
      </c>
      <c r="H3740" s="695" t="s">
        <v>6654</v>
      </c>
      <c r="I3740" s="695">
        <v>33</v>
      </c>
      <c r="J3740" s="695" t="s">
        <v>6907</v>
      </c>
      <c r="K3740" s="695" t="s">
        <v>5334</v>
      </c>
      <c r="L3740" s="696">
        <v>0</v>
      </c>
      <c r="M3740" s="170"/>
    </row>
    <row r="3741" spans="2:13" x14ac:dyDescent="0.2">
      <c r="B3741" s="173"/>
      <c r="C3741" s="694">
        <v>1</v>
      </c>
      <c r="D3741" s="695" t="s">
        <v>3903</v>
      </c>
      <c r="E3741" s="695">
        <v>7</v>
      </c>
      <c r="F3741" s="695" t="s">
        <v>6711</v>
      </c>
      <c r="G3741" s="695">
        <v>5</v>
      </c>
      <c r="H3741" s="695" t="s">
        <v>6654</v>
      </c>
      <c r="I3741" s="695">
        <v>34</v>
      </c>
      <c r="J3741" s="695" t="s">
        <v>6908</v>
      </c>
      <c r="K3741" s="695" t="s">
        <v>5334</v>
      </c>
      <c r="L3741" s="696">
        <v>2</v>
      </c>
      <c r="M3741" s="170"/>
    </row>
    <row r="3742" spans="2:13" x14ac:dyDescent="0.2">
      <c r="B3742" s="173"/>
      <c r="C3742" s="694">
        <v>1</v>
      </c>
      <c r="D3742" s="695" t="s">
        <v>3903</v>
      </c>
      <c r="E3742" s="695">
        <v>7</v>
      </c>
      <c r="F3742" s="695" t="s">
        <v>6711</v>
      </c>
      <c r="G3742" s="695">
        <v>5</v>
      </c>
      <c r="H3742" s="695" t="s">
        <v>6654</v>
      </c>
      <c r="I3742" s="695">
        <v>35</v>
      </c>
      <c r="J3742" s="695" t="s">
        <v>6909</v>
      </c>
      <c r="K3742" s="695" t="s">
        <v>5334</v>
      </c>
      <c r="L3742" s="696">
        <v>0</v>
      </c>
      <c r="M3742" s="170"/>
    </row>
    <row r="3743" spans="2:13" x14ac:dyDescent="0.2">
      <c r="B3743" s="173"/>
      <c r="C3743" s="694">
        <v>1</v>
      </c>
      <c r="D3743" s="695" t="s">
        <v>3903</v>
      </c>
      <c r="E3743" s="695">
        <v>7</v>
      </c>
      <c r="F3743" s="695" t="s">
        <v>6711</v>
      </c>
      <c r="G3743" s="695">
        <v>5</v>
      </c>
      <c r="H3743" s="695" t="s">
        <v>6654</v>
      </c>
      <c r="I3743" s="695">
        <v>36</v>
      </c>
      <c r="J3743" s="695" t="s">
        <v>6910</v>
      </c>
      <c r="K3743" s="695" t="s">
        <v>5334</v>
      </c>
      <c r="L3743" s="696">
        <v>0</v>
      </c>
      <c r="M3743" s="170"/>
    </row>
    <row r="3744" spans="2:13" x14ac:dyDescent="0.2">
      <c r="B3744" s="173"/>
      <c r="C3744" s="694">
        <v>1</v>
      </c>
      <c r="D3744" s="695" t="s">
        <v>3903</v>
      </c>
      <c r="E3744" s="695">
        <v>7</v>
      </c>
      <c r="F3744" s="695" t="s">
        <v>6711</v>
      </c>
      <c r="G3744" s="695">
        <v>5</v>
      </c>
      <c r="H3744" s="695" t="s">
        <v>6654</v>
      </c>
      <c r="I3744" s="695">
        <v>37</v>
      </c>
      <c r="J3744" s="695" t="s">
        <v>6911</v>
      </c>
      <c r="K3744" s="695" t="s">
        <v>5334</v>
      </c>
      <c r="L3744" s="696">
        <v>0</v>
      </c>
      <c r="M3744" s="170"/>
    </row>
    <row r="3745" spans="2:13" x14ac:dyDescent="0.2">
      <c r="B3745" s="173"/>
      <c r="C3745" s="694">
        <v>1</v>
      </c>
      <c r="D3745" s="695" t="s">
        <v>3903</v>
      </c>
      <c r="E3745" s="695">
        <v>7</v>
      </c>
      <c r="F3745" s="695" t="s">
        <v>6711</v>
      </c>
      <c r="G3745" s="695">
        <v>5</v>
      </c>
      <c r="H3745" s="695" t="s">
        <v>6654</v>
      </c>
      <c r="I3745" s="695">
        <v>38</v>
      </c>
      <c r="J3745" s="695" t="s">
        <v>6912</v>
      </c>
      <c r="K3745" s="695" t="s">
        <v>5334</v>
      </c>
      <c r="L3745" s="696">
        <v>59</v>
      </c>
      <c r="M3745" s="170"/>
    </row>
    <row r="3746" spans="2:13" x14ac:dyDescent="0.2">
      <c r="B3746" s="173"/>
      <c r="C3746" s="694">
        <v>1</v>
      </c>
      <c r="D3746" s="695" t="s">
        <v>3903</v>
      </c>
      <c r="E3746" s="695">
        <v>7</v>
      </c>
      <c r="F3746" s="695" t="s">
        <v>6711</v>
      </c>
      <c r="G3746" s="695">
        <v>5</v>
      </c>
      <c r="H3746" s="695" t="s">
        <v>6654</v>
      </c>
      <c r="I3746" s="695">
        <v>39</v>
      </c>
      <c r="J3746" s="695" t="s">
        <v>6913</v>
      </c>
      <c r="K3746" s="695" t="s">
        <v>5334</v>
      </c>
      <c r="L3746" s="696">
        <v>18</v>
      </c>
      <c r="M3746" s="170"/>
    </row>
    <row r="3747" spans="2:13" x14ac:dyDescent="0.2">
      <c r="B3747" s="173"/>
      <c r="C3747" s="694">
        <v>1</v>
      </c>
      <c r="D3747" s="695" t="s">
        <v>3903</v>
      </c>
      <c r="E3747" s="695">
        <v>7</v>
      </c>
      <c r="F3747" s="695" t="s">
        <v>6711</v>
      </c>
      <c r="G3747" s="695">
        <v>5</v>
      </c>
      <c r="H3747" s="695" t="s">
        <v>6654</v>
      </c>
      <c r="I3747" s="695">
        <v>40</v>
      </c>
      <c r="J3747" s="695" t="s">
        <v>6914</v>
      </c>
      <c r="K3747" s="695" t="s">
        <v>5334</v>
      </c>
      <c r="L3747" s="696">
        <v>0</v>
      </c>
      <c r="M3747" s="170"/>
    </row>
    <row r="3748" spans="2:13" x14ac:dyDescent="0.2">
      <c r="B3748" s="173"/>
      <c r="C3748" s="694">
        <v>1</v>
      </c>
      <c r="D3748" s="695" t="s">
        <v>3903</v>
      </c>
      <c r="E3748" s="695">
        <v>7</v>
      </c>
      <c r="F3748" s="695" t="s">
        <v>6711</v>
      </c>
      <c r="G3748" s="695">
        <v>5</v>
      </c>
      <c r="H3748" s="695" t="s">
        <v>6654</v>
      </c>
      <c r="I3748" s="695">
        <v>41</v>
      </c>
      <c r="J3748" s="695" t="s">
        <v>6915</v>
      </c>
      <c r="K3748" s="695" t="s">
        <v>5334</v>
      </c>
      <c r="L3748" s="696">
        <v>0</v>
      </c>
      <c r="M3748" s="170"/>
    </row>
    <row r="3749" spans="2:13" x14ac:dyDescent="0.2">
      <c r="B3749" s="173"/>
      <c r="C3749" s="694">
        <v>1</v>
      </c>
      <c r="D3749" s="695" t="s">
        <v>3903</v>
      </c>
      <c r="E3749" s="695">
        <v>7</v>
      </c>
      <c r="F3749" s="695" t="s">
        <v>6711</v>
      </c>
      <c r="G3749" s="695">
        <v>5</v>
      </c>
      <c r="H3749" s="695" t="s">
        <v>6654</v>
      </c>
      <c r="I3749" s="695">
        <v>42</v>
      </c>
      <c r="J3749" s="695" t="s">
        <v>6916</v>
      </c>
      <c r="K3749" s="695" t="s">
        <v>5334</v>
      </c>
      <c r="L3749" s="696">
        <v>0</v>
      </c>
      <c r="M3749" s="170"/>
    </row>
    <row r="3750" spans="2:13" x14ac:dyDescent="0.2">
      <c r="B3750" s="173"/>
      <c r="C3750" s="694">
        <v>1</v>
      </c>
      <c r="D3750" s="695" t="s">
        <v>3903</v>
      </c>
      <c r="E3750" s="695">
        <v>7</v>
      </c>
      <c r="F3750" s="695" t="s">
        <v>6711</v>
      </c>
      <c r="G3750" s="695">
        <v>5</v>
      </c>
      <c r="H3750" s="695" t="s">
        <v>6654</v>
      </c>
      <c r="I3750" s="695">
        <v>43</v>
      </c>
      <c r="J3750" s="695" t="s">
        <v>6917</v>
      </c>
      <c r="K3750" s="695" t="s">
        <v>5334</v>
      </c>
      <c r="L3750" s="696">
        <v>0</v>
      </c>
      <c r="M3750" s="170"/>
    </row>
    <row r="3751" spans="2:13" x14ac:dyDescent="0.2">
      <c r="B3751" s="173"/>
      <c r="C3751" s="694">
        <v>1</v>
      </c>
      <c r="D3751" s="695" t="s">
        <v>3903</v>
      </c>
      <c r="E3751" s="695">
        <v>7</v>
      </c>
      <c r="F3751" s="695" t="s">
        <v>6711</v>
      </c>
      <c r="G3751" s="695">
        <v>5</v>
      </c>
      <c r="H3751" s="695" t="s">
        <v>6654</v>
      </c>
      <c r="I3751" s="695">
        <v>44</v>
      </c>
      <c r="J3751" s="695" t="s">
        <v>6918</v>
      </c>
      <c r="K3751" s="695" t="s">
        <v>5334</v>
      </c>
      <c r="L3751" s="696">
        <v>0</v>
      </c>
      <c r="M3751" s="170"/>
    </row>
    <row r="3752" spans="2:13" x14ac:dyDescent="0.2">
      <c r="B3752" s="173"/>
      <c r="C3752" s="694">
        <v>1</v>
      </c>
      <c r="D3752" s="695" t="s">
        <v>3903</v>
      </c>
      <c r="E3752" s="695">
        <v>7</v>
      </c>
      <c r="F3752" s="695" t="s">
        <v>6711</v>
      </c>
      <c r="G3752" s="695">
        <v>5</v>
      </c>
      <c r="H3752" s="695" t="s">
        <v>6654</v>
      </c>
      <c r="I3752" s="695">
        <v>45</v>
      </c>
      <c r="J3752" s="695" t="s">
        <v>6919</v>
      </c>
      <c r="K3752" s="695" t="s">
        <v>5334</v>
      </c>
      <c r="L3752" s="696">
        <v>0</v>
      </c>
      <c r="M3752" s="170"/>
    </row>
    <row r="3753" spans="2:13" x14ac:dyDescent="0.2">
      <c r="B3753" s="173"/>
      <c r="C3753" s="694">
        <v>1</v>
      </c>
      <c r="D3753" s="695" t="s">
        <v>3903</v>
      </c>
      <c r="E3753" s="695">
        <v>7</v>
      </c>
      <c r="F3753" s="695" t="s">
        <v>6711</v>
      </c>
      <c r="G3753" s="695">
        <v>5</v>
      </c>
      <c r="H3753" s="695" t="s">
        <v>6654</v>
      </c>
      <c r="I3753" s="695">
        <v>46</v>
      </c>
      <c r="J3753" s="695" t="s">
        <v>6920</v>
      </c>
      <c r="K3753" s="695" t="s">
        <v>5334</v>
      </c>
      <c r="L3753" s="696">
        <v>1</v>
      </c>
      <c r="M3753" s="170"/>
    </row>
    <row r="3754" spans="2:13" x14ac:dyDescent="0.2">
      <c r="B3754" s="173"/>
      <c r="C3754" s="694">
        <v>1</v>
      </c>
      <c r="D3754" s="695" t="s">
        <v>3903</v>
      </c>
      <c r="E3754" s="695">
        <v>7</v>
      </c>
      <c r="F3754" s="695" t="s">
        <v>6711</v>
      </c>
      <c r="G3754" s="695">
        <v>5</v>
      </c>
      <c r="H3754" s="695" t="s">
        <v>6654</v>
      </c>
      <c r="I3754" s="695">
        <v>47</v>
      </c>
      <c r="J3754" s="695" t="s">
        <v>6921</v>
      </c>
      <c r="K3754" s="695" t="s">
        <v>5334</v>
      </c>
      <c r="L3754" s="696">
        <v>0</v>
      </c>
      <c r="M3754" s="170"/>
    </row>
    <row r="3755" spans="2:13" x14ac:dyDescent="0.2">
      <c r="B3755" s="173"/>
      <c r="C3755" s="694">
        <v>1</v>
      </c>
      <c r="D3755" s="695" t="s">
        <v>3903</v>
      </c>
      <c r="E3755" s="695">
        <v>7</v>
      </c>
      <c r="F3755" s="695" t="s">
        <v>6711</v>
      </c>
      <c r="G3755" s="695">
        <v>5</v>
      </c>
      <c r="H3755" s="695" t="s">
        <v>6654</v>
      </c>
      <c r="I3755" s="695">
        <v>48</v>
      </c>
      <c r="J3755" s="695" t="s">
        <v>6922</v>
      </c>
      <c r="K3755" s="695" t="s">
        <v>5334</v>
      </c>
      <c r="L3755" s="696">
        <v>0</v>
      </c>
      <c r="M3755" s="170"/>
    </row>
    <row r="3756" spans="2:13" x14ac:dyDescent="0.2">
      <c r="B3756" s="173"/>
      <c r="C3756" s="694">
        <v>1</v>
      </c>
      <c r="D3756" s="695" t="s">
        <v>3903</v>
      </c>
      <c r="E3756" s="695">
        <v>7</v>
      </c>
      <c r="F3756" s="695" t="s">
        <v>6711</v>
      </c>
      <c r="G3756" s="695">
        <v>5</v>
      </c>
      <c r="H3756" s="695" t="s">
        <v>6654</v>
      </c>
      <c r="I3756" s="695">
        <v>49</v>
      </c>
      <c r="J3756" s="695" t="s">
        <v>6923</v>
      </c>
      <c r="K3756" s="695" t="s">
        <v>5334</v>
      </c>
      <c r="L3756" s="696">
        <v>3</v>
      </c>
      <c r="M3756" s="170"/>
    </row>
    <row r="3757" spans="2:13" x14ac:dyDescent="0.2">
      <c r="B3757" s="173"/>
      <c r="C3757" s="694">
        <v>1</v>
      </c>
      <c r="D3757" s="695" t="s">
        <v>3903</v>
      </c>
      <c r="E3757" s="695">
        <v>7</v>
      </c>
      <c r="F3757" s="695" t="s">
        <v>6711</v>
      </c>
      <c r="G3757" s="695">
        <v>5</v>
      </c>
      <c r="H3757" s="695" t="s">
        <v>6654</v>
      </c>
      <c r="I3757" s="695">
        <v>50</v>
      </c>
      <c r="J3757" s="695" t="s">
        <v>6924</v>
      </c>
      <c r="K3757" s="695" t="s">
        <v>5334</v>
      </c>
      <c r="L3757" s="696">
        <v>2</v>
      </c>
      <c r="M3757" s="170"/>
    </row>
    <row r="3758" spans="2:13" x14ac:dyDescent="0.2">
      <c r="B3758" s="173"/>
      <c r="C3758" s="694">
        <v>1</v>
      </c>
      <c r="D3758" s="695" t="s">
        <v>3903</v>
      </c>
      <c r="E3758" s="695">
        <v>7</v>
      </c>
      <c r="F3758" s="695" t="s">
        <v>6711</v>
      </c>
      <c r="G3758" s="695">
        <v>5</v>
      </c>
      <c r="H3758" s="695" t="s">
        <v>6654</v>
      </c>
      <c r="I3758" s="695">
        <v>51</v>
      </c>
      <c r="J3758" s="695" t="s">
        <v>6925</v>
      </c>
      <c r="K3758" s="695" t="s">
        <v>5334</v>
      </c>
      <c r="L3758" s="696">
        <v>0</v>
      </c>
      <c r="M3758" s="170"/>
    </row>
    <row r="3759" spans="2:13" x14ac:dyDescent="0.2">
      <c r="B3759" s="173"/>
      <c r="C3759" s="694">
        <v>1</v>
      </c>
      <c r="D3759" s="695" t="s">
        <v>3903</v>
      </c>
      <c r="E3759" s="695">
        <v>7</v>
      </c>
      <c r="F3759" s="695" t="s">
        <v>6711</v>
      </c>
      <c r="G3759" s="695">
        <v>5</v>
      </c>
      <c r="H3759" s="695" t="s">
        <v>6654</v>
      </c>
      <c r="I3759" s="695">
        <v>52</v>
      </c>
      <c r="J3759" s="695" t="s">
        <v>6926</v>
      </c>
      <c r="K3759" s="695" t="s">
        <v>5334</v>
      </c>
      <c r="L3759" s="696">
        <v>0</v>
      </c>
      <c r="M3759" s="170"/>
    </row>
    <row r="3760" spans="2:13" x14ac:dyDescent="0.2">
      <c r="B3760" s="173"/>
      <c r="C3760" s="694">
        <v>1</v>
      </c>
      <c r="D3760" s="695" t="s">
        <v>3903</v>
      </c>
      <c r="E3760" s="695">
        <v>7</v>
      </c>
      <c r="F3760" s="695" t="s">
        <v>6711</v>
      </c>
      <c r="G3760" s="695">
        <v>5</v>
      </c>
      <c r="H3760" s="695" t="s">
        <v>6654</v>
      </c>
      <c r="I3760" s="695">
        <v>53</v>
      </c>
      <c r="J3760" s="695" t="s">
        <v>6927</v>
      </c>
      <c r="K3760" s="695" t="s">
        <v>5334</v>
      </c>
      <c r="L3760" s="696">
        <v>0</v>
      </c>
      <c r="M3760" s="170"/>
    </row>
    <row r="3761" spans="2:13" x14ac:dyDescent="0.2">
      <c r="B3761" s="173"/>
      <c r="C3761" s="694">
        <v>1</v>
      </c>
      <c r="D3761" s="695" t="s">
        <v>3903</v>
      </c>
      <c r="E3761" s="695">
        <v>7</v>
      </c>
      <c r="F3761" s="695" t="s">
        <v>6711</v>
      </c>
      <c r="G3761" s="695">
        <v>5</v>
      </c>
      <c r="H3761" s="695" t="s">
        <v>6654</v>
      </c>
      <c r="I3761" s="695">
        <v>54</v>
      </c>
      <c r="J3761" s="695" t="s">
        <v>6928</v>
      </c>
      <c r="K3761" s="695" t="s">
        <v>5334</v>
      </c>
      <c r="L3761" s="696">
        <v>0</v>
      </c>
      <c r="M3761" s="170"/>
    </row>
    <row r="3762" spans="2:13" x14ac:dyDescent="0.2">
      <c r="B3762" s="173"/>
      <c r="C3762" s="694">
        <v>1</v>
      </c>
      <c r="D3762" s="695" t="s">
        <v>3903</v>
      </c>
      <c r="E3762" s="695">
        <v>7</v>
      </c>
      <c r="F3762" s="695" t="s">
        <v>6711</v>
      </c>
      <c r="G3762" s="695">
        <v>5</v>
      </c>
      <c r="H3762" s="695" t="s">
        <v>6654</v>
      </c>
      <c r="I3762" s="695">
        <v>55</v>
      </c>
      <c r="J3762" s="695" t="s">
        <v>6929</v>
      </c>
      <c r="K3762" s="695" t="s">
        <v>5334</v>
      </c>
      <c r="L3762" s="696">
        <v>0</v>
      </c>
      <c r="M3762" s="170"/>
    </row>
    <row r="3763" spans="2:13" x14ac:dyDescent="0.2">
      <c r="B3763" s="173"/>
      <c r="C3763" s="694">
        <v>1</v>
      </c>
      <c r="D3763" s="695" t="s">
        <v>3903</v>
      </c>
      <c r="E3763" s="695">
        <v>7</v>
      </c>
      <c r="F3763" s="695" t="s">
        <v>6711</v>
      </c>
      <c r="G3763" s="695">
        <v>5</v>
      </c>
      <c r="H3763" s="695" t="s">
        <v>6654</v>
      </c>
      <c r="I3763" s="695">
        <v>56</v>
      </c>
      <c r="J3763" s="695" t="s">
        <v>6930</v>
      </c>
      <c r="K3763" s="695" t="s">
        <v>5334</v>
      </c>
      <c r="L3763" s="696">
        <v>1</v>
      </c>
      <c r="M3763" s="170"/>
    </row>
    <row r="3764" spans="2:13" x14ac:dyDescent="0.2">
      <c r="B3764" s="173"/>
      <c r="C3764" s="694">
        <v>1</v>
      </c>
      <c r="D3764" s="695" t="s">
        <v>3903</v>
      </c>
      <c r="E3764" s="695">
        <v>7</v>
      </c>
      <c r="F3764" s="695" t="s">
        <v>6711</v>
      </c>
      <c r="G3764" s="695">
        <v>5</v>
      </c>
      <c r="H3764" s="695" t="s">
        <v>6654</v>
      </c>
      <c r="I3764" s="695">
        <v>57</v>
      </c>
      <c r="J3764" s="695" t="s">
        <v>6931</v>
      </c>
      <c r="K3764" s="695" t="s">
        <v>5334</v>
      </c>
      <c r="L3764" s="696">
        <v>0</v>
      </c>
      <c r="M3764" s="170"/>
    </row>
    <row r="3765" spans="2:13" x14ac:dyDescent="0.2">
      <c r="B3765" s="173"/>
      <c r="C3765" s="694">
        <v>1</v>
      </c>
      <c r="D3765" s="695" t="s">
        <v>3903</v>
      </c>
      <c r="E3765" s="695">
        <v>7</v>
      </c>
      <c r="F3765" s="695" t="s">
        <v>6711</v>
      </c>
      <c r="G3765" s="695">
        <v>5</v>
      </c>
      <c r="H3765" s="695" t="s">
        <v>6654</v>
      </c>
      <c r="I3765" s="695">
        <v>58</v>
      </c>
      <c r="J3765" s="695" t="s">
        <v>6932</v>
      </c>
      <c r="K3765" s="695" t="s">
        <v>5334</v>
      </c>
      <c r="L3765" s="696">
        <v>0</v>
      </c>
      <c r="M3765" s="170"/>
    </row>
    <row r="3766" spans="2:13" x14ac:dyDescent="0.2">
      <c r="B3766" s="173"/>
      <c r="C3766" s="694">
        <v>1</v>
      </c>
      <c r="D3766" s="695" t="s">
        <v>3903</v>
      </c>
      <c r="E3766" s="695">
        <v>7</v>
      </c>
      <c r="F3766" s="695" t="s">
        <v>6711</v>
      </c>
      <c r="G3766" s="695">
        <v>5</v>
      </c>
      <c r="H3766" s="695" t="s">
        <v>6654</v>
      </c>
      <c r="I3766" s="695">
        <v>59</v>
      </c>
      <c r="J3766" s="695" t="s">
        <v>6933</v>
      </c>
      <c r="K3766" s="695" t="s">
        <v>5334</v>
      </c>
      <c r="L3766" s="696">
        <v>55</v>
      </c>
      <c r="M3766" s="170"/>
    </row>
    <row r="3767" spans="2:13" x14ac:dyDescent="0.2">
      <c r="B3767" s="173"/>
      <c r="C3767" s="694">
        <v>1</v>
      </c>
      <c r="D3767" s="695" t="s">
        <v>3903</v>
      </c>
      <c r="E3767" s="695">
        <v>7</v>
      </c>
      <c r="F3767" s="695" t="s">
        <v>6711</v>
      </c>
      <c r="G3767" s="695">
        <v>5</v>
      </c>
      <c r="H3767" s="695" t="s">
        <v>6654</v>
      </c>
      <c r="I3767" s="695">
        <v>60</v>
      </c>
      <c r="J3767" s="695" t="s">
        <v>6934</v>
      </c>
      <c r="K3767" s="695" t="s">
        <v>5334</v>
      </c>
      <c r="L3767" s="696">
        <v>1</v>
      </c>
      <c r="M3767" s="170"/>
    </row>
    <row r="3768" spans="2:13" x14ac:dyDescent="0.2">
      <c r="B3768" s="173"/>
      <c r="C3768" s="694">
        <v>1</v>
      </c>
      <c r="D3768" s="695" t="s">
        <v>3903</v>
      </c>
      <c r="E3768" s="695">
        <v>7</v>
      </c>
      <c r="F3768" s="695" t="s">
        <v>6711</v>
      </c>
      <c r="G3768" s="695">
        <v>5</v>
      </c>
      <c r="H3768" s="695" t="s">
        <v>6654</v>
      </c>
      <c r="I3768" s="695">
        <v>61</v>
      </c>
      <c r="J3768" s="695" t="s">
        <v>6935</v>
      </c>
      <c r="K3768" s="695" t="s">
        <v>5334</v>
      </c>
      <c r="L3768" s="696">
        <v>0</v>
      </c>
      <c r="M3768" s="170"/>
    </row>
    <row r="3769" spans="2:13" x14ac:dyDescent="0.2">
      <c r="B3769" s="173"/>
      <c r="C3769" s="694">
        <v>1</v>
      </c>
      <c r="D3769" s="695" t="s">
        <v>3903</v>
      </c>
      <c r="E3769" s="695">
        <v>7</v>
      </c>
      <c r="F3769" s="695" t="s">
        <v>6711</v>
      </c>
      <c r="G3769" s="695">
        <v>5</v>
      </c>
      <c r="H3769" s="695" t="s">
        <v>6654</v>
      </c>
      <c r="I3769" s="695">
        <v>62</v>
      </c>
      <c r="J3769" s="695" t="s">
        <v>6936</v>
      </c>
      <c r="K3769" s="695" t="s">
        <v>5334</v>
      </c>
      <c r="L3769" s="696">
        <v>11</v>
      </c>
      <c r="M3769" s="170"/>
    </row>
    <row r="3770" spans="2:13" x14ac:dyDescent="0.2">
      <c r="B3770" s="173"/>
      <c r="C3770" s="694">
        <v>1</v>
      </c>
      <c r="D3770" s="695" t="s">
        <v>3903</v>
      </c>
      <c r="E3770" s="695">
        <v>7</v>
      </c>
      <c r="F3770" s="695" t="s">
        <v>6711</v>
      </c>
      <c r="G3770" s="695">
        <v>5</v>
      </c>
      <c r="H3770" s="695" t="s">
        <v>6654</v>
      </c>
      <c r="I3770" s="695">
        <v>63</v>
      </c>
      <c r="J3770" s="695" t="s">
        <v>6937</v>
      </c>
      <c r="K3770" s="695" t="s">
        <v>5334</v>
      </c>
      <c r="L3770" s="696">
        <v>0</v>
      </c>
      <c r="M3770" s="170"/>
    </row>
    <row r="3771" spans="2:13" x14ac:dyDescent="0.2">
      <c r="B3771" s="173"/>
      <c r="C3771" s="694">
        <v>1</v>
      </c>
      <c r="D3771" s="695" t="s">
        <v>3903</v>
      </c>
      <c r="E3771" s="695">
        <v>7</v>
      </c>
      <c r="F3771" s="695" t="s">
        <v>6711</v>
      </c>
      <c r="G3771" s="695">
        <v>5</v>
      </c>
      <c r="H3771" s="695" t="s">
        <v>6654</v>
      </c>
      <c r="I3771" s="695">
        <v>64</v>
      </c>
      <c r="J3771" s="695" t="s">
        <v>6938</v>
      </c>
      <c r="K3771" s="695" t="s">
        <v>5334</v>
      </c>
      <c r="L3771" s="696">
        <v>0</v>
      </c>
      <c r="M3771" s="170"/>
    </row>
    <row r="3772" spans="2:13" x14ac:dyDescent="0.2">
      <c r="B3772" s="173"/>
      <c r="C3772" s="694">
        <v>1</v>
      </c>
      <c r="D3772" s="695" t="s">
        <v>3903</v>
      </c>
      <c r="E3772" s="695">
        <v>7</v>
      </c>
      <c r="F3772" s="695" t="s">
        <v>6711</v>
      </c>
      <c r="G3772" s="695">
        <v>5</v>
      </c>
      <c r="H3772" s="695" t="s">
        <v>6654</v>
      </c>
      <c r="I3772" s="695">
        <v>65</v>
      </c>
      <c r="J3772" s="695" t="s">
        <v>6939</v>
      </c>
      <c r="K3772" s="695" t="s">
        <v>5334</v>
      </c>
      <c r="L3772" s="696">
        <v>0</v>
      </c>
      <c r="M3772" s="170"/>
    </row>
    <row r="3773" spans="2:13" x14ac:dyDescent="0.2">
      <c r="B3773" s="173"/>
      <c r="C3773" s="694">
        <v>1</v>
      </c>
      <c r="D3773" s="695" t="s">
        <v>3903</v>
      </c>
      <c r="E3773" s="695">
        <v>7</v>
      </c>
      <c r="F3773" s="695" t="s">
        <v>6711</v>
      </c>
      <c r="G3773" s="695">
        <v>5</v>
      </c>
      <c r="H3773" s="695" t="s">
        <v>6654</v>
      </c>
      <c r="I3773" s="695">
        <v>66</v>
      </c>
      <c r="J3773" s="695" t="s">
        <v>6940</v>
      </c>
      <c r="K3773" s="695" t="s">
        <v>5334</v>
      </c>
      <c r="L3773" s="696">
        <v>0</v>
      </c>
      <c r="M3773" s="170"/>
    </row>
    <row r="3774" spans="2:13" x14ac:dyDescent="0.2">
      <c r="B3774" s="173"/>
      <c r="C3774" s="694">
        <v>1</v>
      </c>
      <c r="D3774" s="695" t="s">
        <v>3903</v>
      </c>
      <c r="E3774" s="695">
        <v>7</v>
      </c>
      <c r="F3774" s="695" t="s">
        <v>6711</v>
      </c>
      <c r="G3774" s="695">
        <v>5</v>
      </c>
      <c r="H3774" s="695" t="s">
        <v>6654</v>
      </c>
      <c r="I3774" s="695">
        <v>67</v>
      </c>
      <c r="J3774" s="695" t="s">
        <v>6941</v>
      </c>
      <c r="K3774" s="695" t="s">
        <v>5334</v>
      </c>
      <c r="L3774" s="696">
        <v>0</v>
      </c>
      <c r="M3774" s="170"/>
    </row>
    <row r="3775" spans="2:13" x14ac:dyDescent="0.2">
      <c r="B3775" s="173"/>
      <c r="C3775" s="694">
        <v>1</v>
      </c>
      <c r="D3775" s="695" t="s">
        <v>3903</v>
      </c>
      <c r="E3775" s="695">
        <v>7</v>
      </c>
      <c r="F3775" s="695" t="s">
        <v>6711</v>
      </c>
      <c r="G3775" s="695">
        <v>5</v>
      </c>
      <c r="H3775" s="695" t="s">
        <v>6654</v>
      </c>
      <c r="I3775" s="695">
        <v>68</v>
      </c>
      <c r="J3775" s="695" t="s">
        <v>6942</v>
      </c>
      <c r="K3775" s="695" t="s">
        <v>5334</v>
      </c>
      <c r="L3775" s="696">
        <v>0</v>
      </c>
      <c r="M3775" s="170"/>
    </row>
    <row r="3776" spans="2:13" x14ac:dyDescent="0.2">
      <c r="B3776" s="173"/>
      <c r="C3776" s="694">
        <v>1</v>
      </c>
      <c r="D3776" s="695" t="s">
        <v>3903</v>
      </c>
      <c r="E3776" s="695">
        <v>7</v>
      </c>
      <c r="F3776" s="695" t="s">
        <v>6711</v>
      </c>
      <c r="G3776" s="695">
        <v>5</v>
      </c>
      <c r="H3776" s="695" t="s">
        <v>6654</v>
      </c>
      <c r="I3776" s="695">
        <v>69</v>
      </c>
      <c r="J3776" s="695" t="s">
        <v>6943</v>
      </c>
      <c r="K3776" s="695" t="s">
        <v>5334</v>
      </c>
      <c r="L3776" s="696">
        <v>1</v>
      </c>
      <c r="M3776" s="170"/>
    </row>
    <row r="3777" spans="2:13" x14ac:dyDescent="0.2">
      <c r="B3777" s="173"/>
      <c r="C3777" s="694">
        <v>1</v>
      </c>
      <c r="D3777" s="695" t="s">
        <v>3903</v>
      </c>
      <c r="E3777" s="695">
        <v>7</v>
      </c>
      <c r="F3777" s="695" t="s">
        <v>6711</v>
      </c>
      <c r="G3777" s="695">
        <v>5</v>
      </c>
      <c r="H3777" s="695" t="s">
        <v>6654</v>
      </c>
      <c r="I3777" s="695">
        <v>70</v>
      </c>
      <c r="J3777" s="695" t="s">
        <v>6944</v>
      </c>
      <c r="K3777" s="695" t="s">
        <v>5334</v>
      </c>
      <c r="L3777" s="696">
        <v>2</v>
      </c>
      <c r="M3777" s="170"/>
    </row>
    <row r="3778" spans="2:13" x14ac:dyDescent="0.2">
      <c r="B3778" s="173"/>
      <c r="C3778" s="694">
        <v>1</v>
      </c>
      <c r="D3778" s="695" t="s">
        <v>3903</v>
      </c>
      <c r="E3778" s="695">
        <v>7</v>
      </c>
      <c r="F3778" s="695" t="s">
        <v>6711</v>
      </c>
      <c r="G3778" s="695">
        <v>5</v>
      </c>
      <c r="H3778" s="695" t="s">
        <v>6654</v>
      </c>
      <c r="I3778" s="695">
        <v>71</v>
      </c>
      <c r="J3778" s="695" t="s">
        <v>6945</v>
      </c>
      <c r="K3778" s="695" t="s">
        <v>5334</v>
      </c>
      <c r="L3778" s="696">
        <v>0</v>
      </c>
      <c r="M3778" s="170"/>
    </row>
    <row r="3779" spans="2:13" x14ac:dyDescent="0.2">
      <c r="B3779" s="173"/>
      <c r="C3779" s="694">
        <v>1</v>
      </c>
      <c r="D3779" s="695" t="s">
        <v>3903</v>
      </c>
      <c r="E3779" s="695">
        <v>7</v>
      </c>
      <c r="F3779" s="695" t="s">
        <v>6711</v>
      </c>
      <c r="G3779" s="695">
        <v>5</v>
      </c>
      <c r="H3779" s="695" t="s">
        <v>6654</v>
      </c>
      <c r="I3779" s="695">
        <v>72</v>
      </c>
      <c r="J3779" s="695" t="s">
        <v>6946</v>
      </c>
      <c r="K3779" s="695" t="s">
        <v>5334</v>
      </c>
      <c r="L3779" s="696">
        <v>0</v>
      </c>
      <c r="M3779" s="170"/>
    </row>
    <row r="3780" spans="2:13" x14ac:dyDescent="0.2">
      <c r="B3780" s="173"/>
      <c r="C3780" s="694">
        <v>1</v>
      </c>
      <c r="D3780" s="695" t="s">
        <v>3903</v>
      </c>
      <c r="E3780" s="695">
        <v>7</v>
      </c>
      <c r="F3780" s="695" t="s">
        <v>6711</v>
      </c>
      <c r="G3780" s="695">
        <v>5</v>
      </c>
      <c r="H3780" s="695" t="s">
        <v>6654</v>
      </c>
      <c r="I3780" s="695">
        <v>73</v>
      </c>
      <c r="J3780" s="695" t="s">
        <v>6947</v>
      </c>
      <c r="K3780" s="695" t="s">
        <v>5334</v>
      </c>
      <c r="L3780" s="696">
        <v>0</v>
      </c>
      <c r="M3780" s="170"/>
    </row>
    <row r="3781" spans="2:13" x14ac:dyDescent="0.2">
      <c r="B3781" s="173"/>
      <c r="C3781" s="694">
        <v>1</v>
      </c>
      <c r="D3781" s="695" t="s">
        <v>3903</v>
      </c>
      <c r="E3781" s="695">
        <v>7</v>
      </c>
      <c r="F3781" s="695" t="s">
        <v>6711</v>
      </c>
      <c r="G3781" s="695">
        <v>5</v>
      </c>
      <c r="H3781" s="695" t="s">
        <v>6654</v>
      </c>
      <c r="I3781" s="695">
        <v>74</v>
      </c>
      <c r="J3781" s="695" t="s">
        <v>6948</v>
      </c>
      <c r="K3781" s="695" t="s">
        <v>5334</v>
      </c>
      <c r="L3781" s="696">
        <v>0</v>
      </c>
      <c r="M3781" s="170"/>
    </row>
    <row r="3782" spans="2:13" x14ac:dyDescent="0.2">
      <c r="B3782" s="173"/>
      <c r="C3782" s="694">
        <v>1</v>
      </c>
      <c r="D3782" s="695" t="s">
        <v>3903</v>
      </c>
      <c r="E3782" s="695">
        <v>7</v>
      </c>
      <c r="F3782" s="695" t="s">
        <v>6711</v>
      </c>
      <c r="G3782" s="695">
        <v>5</v>
      </c>
      <c r="H3782" s="695" t="s">
        <v>6654</v>
      </c>
      <c r="I3782" s="695">
        <v>75</v>
      </c>
      <c r="J3782" s="695" t="s">
        <v>6949</v>
      </c>
      <c r="K3782" s="695" t="s">
        <v>5334</v>
      </c>
      <c r="L3782" s="696">
        <v>0</v>
      </c>
      <c r="M3782" s="170"/>
    </row>
    <row r="3783" spans="2:13" x14ac:dyDescent="0.2">
      <c r="B3783" s="173"/>
      <c r="C3783" s="694">
        <v>1</v>
      </c>
      <c r="D3783" s="695" t="s">
        <v>3903</v>
      </c>
      <c r="E3783" s="695">
        <v>7</v>
      </c>
      <c r="F3783" s="695" t="s">
        <v>6711</v>
      </c>
      <c r="G3783" s="695">
        <v>5</v>
      </c>
      <c r="H3783" s="695" t="s">
        <v>6654</v>
      </c>
      <c r="I3783" s="695">
        <v>76</v>
      </c>
      <c r="J3783" s="695" t="s">
        <v>6950</v>
      </c>
      <c r="K3783" s="695" t="s">
        <v>5334</v>
      </c>
      <c r="L3783" s="696">
        <v>72</v>
      </c>
      <c r="M3783" s="170"/>
    </row>
    <row r="3784" spans="2:13" x14ac:dyDescent="0.2">
      <c r="B3784" s="173"/>
      <c r="C3784" s="694">
        <v>1</v>
      </c>
      <c r="D3784" s="695" t="s">
        <v>3903</v>
      </c>
      <c r="E3784" s="695">
        <v>7</v>
      </c>
      <c r="F3784" s="695" t="s">
        <v>6711</v>
      </c>
      <c r="G3784" s="695">
        <v>5</v>
      </c>
      <c r="H3784" s="695" t="s">
        <v>6654</v>
      </c>
      <c r="I3784" s="695">
        <v>77</v>
      </c>
      <c r="J3784" s="695" t="s">
        <v>6951</v>
      </c>
      <c r="K3784" s="695" t="s">
        <v>5334</v>
      </c>
      <c r="L3784" s="696">
        <v>0</v>
      </c>
      <c r="M3784" s="170"/>
    </row>
    <row r="3785" spans="2:13" x14ac:dyDescent="0.2">
      <c r="B3785" s="173"/>
      <c r="C3785" s="694">
        <v>1</v>
      </c>
      <c r="D3785" s="695" t="s">
        <v>3903</v>
      </c>
      <c r="E3785" s="695">
        <v>7</v>
      </c>
      <c r="F3785" s="695" t="s">
        <v>6711</v>
      </c>
      <c r="G3785" s="695">
        <v>5</v>
      </c>
      <c r="H3785" s="695" t="s">
        <v>6654</v>
      </c>
      <c r="I3785" s="695">
        <v>78</v>
      </c>
      <c r="J3785" s="695" t="s">
        <v>6952</v>
      </c>
      <c r="K3785" s="695" t="s">
        <v>5334</v>
      </c>
      <c r="L3785" s="696">
        <v>0</v>
      </c>
      <c r="M3785" s="170"/>
    </row>
    <row r="3786" spans="2:13" x14ac:dyDescent="0.2">
      <c r="B3786" s="173"/>
      <c r="C3786" s="694">
        <v>1</v>
      </c>
      <c r="D3786" s="695" t="s">
        <v>3903</v>
      </c>
      <c r="E3786" s="695">
        <v>7</v>
      </c>
      <c r="F3786" s="695" t="s">
        <v>6711</v>
      </c>
      <c r="G3786" s="695">
        <v>5</v>
      </c>
      <c r="H3786" s="695" t="s">
        <v>6654</v>
      </c>
      <c r="I3786" s="695">
        <v>79</v>
      </c>
      <c r="J3786" s="695" t="s">
        <v>6953</v>
      </c>
      <c r="K3786" s="695" t="s">
        <v>5334</v>
      </c>
      <c r="L3786" s="696">
        <v>0</v>
      </c>
      <c r="M3786" s="170"/>
    </row>
    <row r="3787" spans="2:13" x14ac:dyDescent="0.2">
      <c r="B3787" s="173"/>
      <c r="C3787" s="694">
        <v>1</v>
      </c>
      <c r="D3787" s="695" t="s">
        <v>3903</v>
      </c>
      <c r="E3787" s="695">
        <v>7</v>
      </c>
      <c r="F3787" s="695" t="s">
        <v>6711</v>
      </c>
      <c r="G3787" s="695">
        <v>5</v>
      </c>
      <c r="H3787" s="695" t="s">
        <v>6654</v>
      </c>
      <c r="I3787" s="695">
        <v>80</v>
      </c>
      <c r="J3787" s="695" t="s">
        <v>6954</v>
      </c>
      <c r="K3787" s="695" t="s">
        <v>5334</v>
      </c>
      <c r="L3787" s="696">
        <v>0</v>
      </c>
      <c r="M3787" s="170"/>
    </row>
    <row r="3788" spans="2:13" x14ac:dyDescent="0.2">
      <c r="B3788" s="173"/>
      <c r="C3788" s="694">
        <v>1</v>
      </c>
      <c r="D3788" s="695" t="s">
        <v>3903</v>
      </c>
      <c r="E3788" s="695">
        <v>7</v>
      </c>
      <c r="F3788" s="695" t="s">
        <v>6711</v>
      </c>
      <c r="G3788" s="695">
        <v>5</v>
      </c>
      <c r="H3788" s="695" t="s">
        <v>6654</v>
      </c>
      <c r="I3788" s="695">
        <v>81</v>
      </c>
      <c r="J3788" s="695" t="s">
        <v>6955</v>
      </c>
      <c r="K3788" s="695" t="s">
        <v>5334</v>
      </c>
      <c r="L3788" s="696">
        <v>67</v>
      </c>
      <c r="M3788" s="170"/>
    </row>
    <row r="3789" spans="2:13" x14ac:dyDescent="0.2">
      <c r="B3789" s="173"/>
      <c r="C3789" s="694">
        <v>1</v>
      </c>
      <c r="D3789" s="695" t="s">
        <v>3903</v>
      </c>
      <c r="E3789" s="695">
        <v>7</v>
      </c>
      <c r="F3789" s="695" t="s">
        <v>6711</v>
      </c>
      <c r="G3789" s="695">
        <v>5</v>
      </c>
      <c r="H3789" s="695" t="s">
        <v>6654</v>
      </c>
      <c r="I3789" s="695">
        <v>82</v>
      </c>
      <c r="J3789" s="695" t="s">
        <v>6956</v>
      </c>
      <c r="K3789" s="695" t="s">
        <v>5334</v>
      </c>
      <c r="L3789" s="696">
        <v>9</v>
      </c>
      <c r="M3789" s="170"/>
    </row>
    <row r="3790" spans="2:13" x14ac:dyDescent="0.2">
      <c r="B3790" s="173"/>
      <c r="C3790" s="694">
        <v>1</v>
      </c>
      <c r="D3790" s="695" t="s">
        <v>3903</v>
      </c>
      <c r="E3790" s="695">
        <v>7</v>
      </c>
      <c r="F3790" s="695" t="s">
        <v>6711</v>
      </c>
      <c r="G3790" s="695">
        <v>5</v>
      </c>
      <c r="H3790" s="695" t="s">
        <v>6654</v>
      </c>
      <c r="I3790" s="695">
        <v>83</v>
      </c>
      <c r="J3790" s="695" t="s">
        <v>6957</v>
      </c>
      <c r="K3790" s="695" t="s">
        <v>5334</v>
      </c>
      <c r="L3790" s="696">
        <v>0</v>
      </c>
      <c r="M3790" s="170"/>
    </row>
    <row r="3791" spans="2:13" x14ac:dyDescent="0.2">
      <c r="B3791" s="173"/>
      <c r="C3791" s="694">
        <v>1</v>
      </c>
      <c r="D3791" s="695" t="s">
        <v>3903</v>
      </c>
      <c r="E3791" s="695">
        <v>7</v>
      </c>
      <c r="F3791" s="695" t="s">
        <v>6711</v>
      </c>
      <c r="G3791" s="695">
        <v>5</v>
      </c>
      <c r="H3791" s="695" t="s">
        <v>6654</v>
      </c>
      <c r="I3791" s="695">
        <v>84</v>
      </c>
      <c r="J3791" s="695" t="s">
        <v>6958</v>
      </c>
      <c r="K3791" s="695" t="s">
        <v>5334</v>
      </c>
      <c r="L3791" s="696">
        <v>2</v>
      </c>
      <c r="M3791" s="170"/>
    </row>
    <row r="3792" spans="2:13" x14ac:dyDescent="0.2">
      <c r="B3792" s="173"/>
      <c r="C3792" s="694">
        <v>1</v>
      </c>
      <c r="D3792" s="695" t="s">
        <v>3903</v>
      </c>
      <c r="E3792" s="695">
        <v>7</v>
      </c>
      <c r="F3792" s="695" t="s">
        <v>6711</v>
      </c>
      <c r="G3792" s="695">
        <v>5</v>
      </c>
      <c r="H3792" s="695" t="s">
        <v>6654</v>
      </c>
      <c r="I3792" s="695">
        <v>85</v>
      </c>
      <c r="J3792" s="695" t="s">
        <v>6959</v>
      </c>
      <c r="K3792" s="695" t="s">
        <v>5334</v>
      </c>
      <c r="L3792" s="696">
        <v>0</v>
      </c>
      <c r="M3792" s="170"/>
    </row>
    <row r="3793" spans="2:13" x14ac:dyDescent="0.2">
      <c r="B3793" s="173"/>
      <c r="C3793" s="694">
        <v>1</v>
      </c>
      <c r="D3793" s="695" t="s">
        <v>3903</v>
      </c>
      <c r="E3793" s="695">
        <v>7</v>
      </c>
      <c r="F3793" s="695" t="s">
        <v>6711</v>
      </c>
      <c r="G3793" s="695">
        <v>5</v>
      </c>
      <c r="H3793" s="695" t="s">
        <v>6654</v>
      </c>
      <c r="I3793" s="695">
        <v>86</v>
      </c>
      <c r="J3793" s="695" t="s">
        <v>6960</v>
      </c>
      <c r="K3793" s="695" t="s">
        <v>5334</v>
      </c>
      <c r="L3793" s="696">
        <v>0</v>
      </c>
      <c r="M3793" s="170"/>
    </row>
    <row r="3794" spans="2:13" x14ac:dyDescent="0.2">
      <c r="B3794" s="173"/>
      <c r="C3794" s="694">
        <v>1</v>
      </c>
      <c r="D3794" s="695" t="s">
        <v>3903</v>
      </c>
      <c r="E3794" s="695">
        <v>7</v>
      </c>
      <c r="F3794" s="695" t="s">
        <v>6711</v>
      </c>
      <c r="G3794" s="695">
        <v>5</v>
      </c>
      <c r="H3794" s="695" t="s">
        <v>6654</v>
      </c>
      <c r="I3794" s="695">
        <v>87</v>
      </c>
      <c r="J3794" s="695" t="s">
        <v>6961</v>
      </c>
      <c r="K3794" s="695" t="s">
        <v>5334</v>
      </c>
      <c r="L3794" s="696">
        <v>0</v>
      </c>
      <c r="M3794" s="170"/>
    </row>
    <row r="3795" spans="2:13" x14ac:dyDescent="0.2">
      <c r="B3795" s="173"/>
      <c r="C3795" s="694">
        <v>1</v>
      </c>
      <c r="D3795" s="695" t="s">
        <v>3903</v>
      </c>
      <c r="E3795" s="695">
        <v>7</v>
      </c>
      <c r="F3795" s="695" t="s">
        <v>6711</v>
      </c>
      <c r="G3795" s="695">
        <v>5</v>
      </c>
      <c r="H3795" s="695" t="s">
        <v>6654</v>
      </c>
      <c r="I3795" s="695">
        <v>88</v>
      </c>
      <c r="J3795" s="695" t="s">
        <v>6962</v>
      </c>
      <c r="K3795" s="695" t="s">
        <v>5334</v>
      </c>
      <c r="L3795" s="696">
        <v>0</v>
      </c>
      <c r="M3795" s="170"/>
    </row>
    <row r="3796" spans="2:13" x14ac:dyDescent="0.2">
      <c r="B3796" s="173"/>
      <c r="C3796" s="694">
        <v>1</v>
      </c>
      <c r="D3796" s="695" t="s">
        <v>3903</v>
      </c>
      <c r="E3796" s="695">
        <v>7</v>
      </c>
      <c r="F3796" s="695" t="s">
        <v>6711</v>
      </c>
      <c r="G3796" s="695">
        <v>5</v>
      </c>
      <c r="H3796" s="695" t="s">
        <v>6654</v>
      </c>
      <c r="I3796" s="695">
        <v>89</v>
      </c>
      <c r="J3796" s="695" t="s">
        <v>6963</v>
      </c>
      <c r="K3796" s="695" t="s">
        <v>5334</v>
      </c>
      <c r="L3796" s="696">
        <v>2</v>
      </c>
      <c r="M3796" s="170"/>
    </row>
    <row r="3797" spans="2:13" x14ac:dyDescent="0.2">
      <c r="B3797" s="173"/>
      <c r="C3797" s="694">
        <v>1</v>
      </c>
      <c r="D3797" s="695" t="s">
        <v>3903</v>
      </c>
      <c r="E3797" s="695">
        <v>7</v>
      </c>
      <c r="F3797" s="695" t="s">
        <v>6711</v>
      </c>
      <c r="G3797" s="695">
        <v>5</v>
      </c>
      <c r="H3797" s="695" t="s">
        <v>6654</v>
      </c>
      <c r="I3797" s="695">
        <v>90</v>
      </c>
      <c r="J3797" s="695" t="s">
        <v>6964</v>
      </c>
      <c r="K3797" s="695" t="s">
        <v>5334</v>
      </c>
      <c r="L3797" s="696">
        <v>0</v>
      </c>
      <c r="M3797" s="170"/>
    </row>
    <row r="3798" spans="2:13" x14ac:dyDescent="0.2">
      <c r="B3798" s="173"/>
      <c r="C3798" s="694">
        <v>1</v>
      </c>
      <c r="D3798" s="695" t="s">
        <v>3903</v>
      </c>
      <c r="E3798" s="695">
        <v>7</v>
      </c>
      <c r="F3798" s="695" t="s">
        <v>6711</v>
      </c>
      <c r="G3798" s="695">
        <v>5</v>
      </c>
      <c r="H3798" s="695" t="s">
        <v>6654</v>
      </c>
      <c r="I3798" s="695">
        <v>91</v>
      </c>
      <c r="J3798" s="695" t="s">
        <v>6965</v>
      </c>
      <c r="K3798" s="695" t="s">
        <v>5334</v>
      </c>
      <c r="L3798" s="696">
        <v>0</v>
      </c>
      <c r="M3798" s="170"/>
    </row>
    <row r="3799" spans="2:13" x14ac:dyDescent="0.2">
      <c r="B3799" s="173"/>
      <c r="C3799" s="694">
        <v>1</v>
      </c>
      <c r="D3799" s="695" t="s">
        <v>3903</v>
      </c>
      <c r="E3799" s="695">
        <v>7</v>
      </c>
      <c r="F3799" s="695" t="s">
        <v>6711</v>
      </c>
      <c r="G3799" s="695">
        <v>5</v>
      </c>
      <c r="H3799" s="695" t="s">
        <v>6654</v>
      </c>
      <c r="I3799" s="695">
        <v>92</v>
      </c>
      <c r="J3799" s="695" t="s">
        <v>6966</v>
      </c>
      <c r="K3799" s="695" t="s">
        <v>5334</v>
      </c>
      <c r="L3799" s="696">
        <v>0</v>
      </c>
      <c r="M3799" s="170"/>
    </row>
    <row r="3800" spans="2:13" x14ac:dyDescent="0.2">
      <c r="B3800" s="173"/>
      <c r="C3800" s="694">
        <v>1</v>
      </c>
      <c r="D3800" s="695" t="s">
        <v>3903</v>
      </c>
      <c r="E3800" s="695">
        <v>7</v>
      </c>
      <c r="F3800" s="695" t="s">
        <v>6711</v>
      </c>
      <c r="G3800" s="695">
        <v>5</v>
      </c>
      <c r="H3800" s="695" t="s">
        <v>6654</v>
      </c>
      <c r="I3800" s="695">
        <v>93</v>
      </c>
      <c r="J3800" s="695" t="s">
        <v>6967</v>
      </c>
      <c r="K3800" s="695" t="s">
        <v>5334</v>
      </c>
      <c r="L3800" s="696">
        <v>15</v>
      </c>
      <c r="M3800" s="170"/>
    </row>
    <row r="3801" spans="2:13" x14ac:dyDescent="0.2">
      <c r="B3801" s="173"/>
      <c r="C3801" s="694">
        <v>1</v>
      </c>
      <c r="D3801" s="695" t="s">
        <v>3903</v>
      </c>
      <c r="E3801" s="695">
        <v>7</v>
      </c>
      <c r="F3801" s="695" t="s">
        <v>6711</v>
      </c>
      <c r="G3801" s="695">
        <v>5</v>
      </c>
      <c r="H3801" s="695" t="s">
        <v>6654</v>
      </c>
      <c r="I3801" s="695">
        <v>94</v>
      </c>
      <c r="J3801" s="695" t="s">
        <v>6968</v>
      </c>
      <c r="K3801" s="695" t="s">
        <v>5334</v>
      </c>
      <c r="L3801" s="696">
        <v>0</v>
      </c>
      <c r="M3801" s="170"/>
    </row>
    <row r="3802" spans="2:13" x14ac:dyDescent="0.2">
      <c r="B3802" s="173"/>
      <c r="C3802" s="694">
        <v>1</v>
      </c>
      <c r="D3802" s="695" t="s">
        <v>3903</v>
      </c>
      <c r="E3802" s="695">
        <v>7</v>
      </c>
      <c r="F3802" s="695" t="s">
        <v>6711</v>
      </c>
      <c r="G3802" s="695">
        <v>5</v>
      </c>
      <c r="H3802" s="695" t="s">
        <v>6654</v>
      </c>
      <c r="I3802" s="695">
        <v>95</v>
      </c>
      <c r="J3802" s="695" t="s">
        <v>6969</v>
      </c>
      <c r="K3802" s="695" t="s">
        <v>5334</v>
      </c>
      <c r="L3802" s="696">
        <v>0</v>
      </c>
      <c r="M3802" s="170"/>
    </row>
    <row r="3803" spans="2:13" x14ac:dyDescent="0.2">
      <c r="B3803" s="173"/>
      <c r="C3803" s="694">
        <v>1</v>
      </c>
      <c r="D3803" s="695" t="s">
        <v>3903</v>
      </c>
      <c r="E3803" s="695">
        <v>7</v>
      </c>
      <c r="F3803" s="695" t="s">
        <v>6711</v>
      </c>
      <c r="G3803" s="695">
        <v>5</v>
      </c>
      <c r="H3803" s="695" t="s">
        <v>6654</v>
      </c>
      <c r="I3803" s="695">
        <v>96</v>
      </c>
      <c r="J3803" s="695" t="s">
        <v>6970</v>
      </c>
      <c r="K3803" s="695" t="s">
        <v>5334</v>
      </c>
      <c r="L3803" s="696">
        <v>0</v>
      </c>
      <c r="M3803" s="170"/>
    </row>
    <row r="3804" spans="2:13" x14ac:dyDescent="0.2">
      <c r="B3804" s="173"/>
      <c r="C3804" s="694">
        <v>1</v>
      </c>
      <c r="D3804" s="695" t="s">
        <v>3903</v>
      </c>
      <c r="E3804" s="695">
        <v>7</v>
      </c>
      <c r="F3804" s="695" t="s">
        <v>6711</v>
      </c>
      <c r="G3804" s="695">
        <v>5</v>
      </c>
      <c r="H3804" s="695" t="s">
        <v>6654</v>
      </c>
      <c r="I3804" s="695">
        <v>97</v>
      </c>
      <c r="J3804" s="695" t="s">
        <v>6971</v>
      </c>
      <c r="K3804" s="695" t="s">
        <v>5334</v>
      </c>
      <c r="L3804" s="696">
        <v>0</v>
      </c>
      <c r="M3804" s="170"/>
    </row>
    <row r="3805" spans="2:13" x14ac:dyDescent="0.2">
      <c r="B3805" s="173"/>
      <c r="C3805" s="694">
        <v>1</v>
      </c>
      <c r="D3805" s="695" t="s">
        <v>3903</v>
      </c>
      <c r="E3805" s="695">
        <v>7</v>
      </c>
      <c r="F3805" s="695" t="s">
        <v>6711</v>
      </c>
      <c r="G3805" s="695">
        <v>5</v>
      </c>
      <c r="H3805" s="695" t="s">
        <v>6654</v>
      </c>
      <c r="I3805" s="695">
        <v>98</v>
      </c>
      <c r="J3805" s="695" t="s">
        <v>6972</v>
      </c>
      <c r="K3805" s="695" t="s">
        <v>5334</v>
      </c>
      <c r="L3805" s="696">
        <v>10</v>
      </c>
      <c r="M3805" s="170"/>
    </row>
    <row r="3806" spans="2:13" x14ac:dyDescent="0.2">
      <c r="B3806" s="173"/>
      <c r="C3806" s="694">
        <v>1</v>
      </c>
      <c r="D3806" s="695" t="s">
        <v>3903</v>
      </c>
      <c r="E3806" s="695">
        <v>7</v>
      </c>
      <c r="F3806" s="695" t="s">
        <v>6711</v>
      </c>
      <c r="G3806" s="695">
        <v>5</v>
      </c>
      <c r="H3806" s="695" t="s">
        <v>6654</v>
      </c>
      <c r="I3806" s="695">
        <v>99</v>
      </c>
      <c r="J3806" s="695" t="s">
        <v>6973</v>
      </c>
      <c r="K3806" s="695" t="s">
        <v>5334</v>
      </c>
      <c r="L3806" s="696">
        <v>0</v>
      </c>
      <c r="M3806" s="170"/>
    </row>
    <row r="3807" spans="2:13" x14ac:dyDescent="0.2">
      <c r="B3807" s="173"/>
      <c r="C3807" s="694">
        <v>1</v>
      </c>
      <c r="D3807" s="695" t="s">
        <v>3903</v>
      </c>
      <c r="E3807" s="695">
        <v>7</v>
      </c>
      <c r="F3807" s="695" t="s">
        <v>6711</v>
      </c>
      <c r="G3807" s="695">
        <v>5</v>
      </c>
      <c r="H3807" s="695" t="s">
        <v>6654</v>
      </c>
      <c r="I3807" s="695">
        <v>100</v>
      </c>
      <c r="J3807" s="695" t="s">
        <v>6974</v>
      </c>
      <c r="K3807" s="695" t="s">
        <v>5334</v>
      </c>
      <c r="L3807" s="696">
        <v>0</v>
      </c>
      <c r="M3807" s="170"/>
    </row>
    <row r="3808" spans="2:13" x14ac:dyDescent="0.2">
      <c r="B3808" s="173"/>
      <c r="C3808" s="694">
        <v>1</v>
      </c>
      <c r="D3808" s="695" t="s">
        <v>3903</v>
      </c>
      <c r="E3808" s="695">
        <v>7</v>
      </c>
      <c r="F3808" s="695" t="s">
        <v>6711</v>
      </c>
      <c r="G3808" s="695">
        <v>5</v>
      </c>
      <c r="H3808" s="695" t="s">
        <v>6654</v>
      </c>
      <c r="I3808" s="695">
        <v>101</v>
      </c>
      <c r="J3808" s="695" t="s">
        <v>6975</v>
      </c>
      <c r="K3808" s="695" t="s">
        <v>5334</v>
      </c>
      <c r="L3808" s="696">
        <v>0</v>
      </c>
      <c r="M3808" s="170"/>
    </row>
    <row r="3809" spans="2:13" x14ac:dyDescent="0.2">
      <c r="B3809" s="173"/>
      <c r="C3809" s="694">
        <v>1</v>
      </c>
      <c r="D3809" s="695" t="s">
        <v>3903</v>
      </c>
      <c r="E3809" s="695">
        <v>7</v>
      </c>
      <c r="F3809" s="695" t="s">
        <v>6711</v>
      </c>
      <c r="G3809" s="695">
        <v>5</v>
      </c>
      <c r="H3809" s="695" t="s">
        <v>6654</v>
      </c>
      <c r="I3809" s="695">
        <v>102</v>
      </c>
      <c r="J3809" s="695" t="s">
        <v>6976</v>
      </c>
      <c r="K3809" s="695" t="s">
        <v>5334</v>
      </c>
      <c r="L3809" s="696">
        <v>90</v>
      </c>
      <c r="M3809" s="170"/>
    </row>
    <row r="3810" spans="2:13" x14ac:dyDescent="0.2">
      <c r="B3810" s="173"/>
      <c r="C3810" s="694">
        <v>1</v>
      </c>
      <c r="D3810" s="695" t="s">
        <v>3903</v>
      </c>
      <c r="E3810" s="695">
        <v>7</v>
      </c>
      <c r="F3810" s="695" t="s">
        <v>6711</v>
      </c>
      <c r="G3810" s="695">
        <v>5</v>
      </c>
      <c r="H3810" s="695" t="s">
        <v>6654</v>
      </c>
      <c r="I3810" s="695">
        <v>103</v>
      </c>
      <c r="J3810" s="695" t="s">
        <v>6977</v>
      </c>
      <c r="K3810" s="695" t="s">
        <v>5334</v>
      </c>
      <c r="L3810" s="696">
        <v>0</v>
      </c>
      <c r="M3810" s="170"/>
    </row>
    <row r="3811" spans="2:13" x14ac:dyDescent="0.2">
      <c r="B3811" s="173"/>
      <c r="C3811" s="694">
        <v>1</v>
      </c>
      <c r="D3811" s="695" t="s">
        <v>3903</v>
      </c>
      <c r="E3811" s="695">
        <v>7</v>
      </c>
      <c r="F3811" s="695" t="s">
        <v>6711</v>
      </c>
      <c r="G3811" s="695">
        <v>5</v>
      </c>
      <c r="H3811" s="695" t="s">
        <v>6654</v>
      </c>
      <c r="I3811" s="695">
        <v>104</v>
      </c>
      <c r="J3811" s="695" t="s">
        <v>6978</v>
      </c>
      <c r="K3811" s="695" t="s">
        <v>5334</v>
      </c>
      <c r="L3811" s="696">
        <v>2</v>
      </c>
      <c r="M3811" s="170"/>
    </row>
    <row r="3812" spans="2:13" x14ac:dyDescent="0.2">
      <c r="B3812" s="173"/>
      <c r="C3812" s="694">
        <v>1</v>
      </c>
      <c r="D3812" s="695" t="s">
        <v>3903</v>
      </c>
      <c r="E3812" s="695">
        <v>7</v>
      </c>
      <c r="F3812" s="695" t="s">
        <v>6711</v>
      </c>
      <c r="G3812" s="695">
        <v>5</v>
      </c>
      <c r="H3812" s="695" t="s">
        <v>6654</v>
      </c>
      <c r="I3812" s="695">
        <v>105</v>
      </c>
      <c r="J3812" s="695" t="s">
        <v>6979</v>
      </c>
      <c r="K3812" s="695" t="s">
        <v>5334</v>
      </c>
      <c r="L3812" s="696">
        <v>0</v>
      </c>
      <c r="M3812" s="170"/>
    </row>
    <row r="3813" spans="2:13" x14ac:dyDescent="0.2">
      <c r="B3813" s="173"/>
      <c r="C3813" s="694">
        <v>1</v>
      </c>
      <c r="D3813" s="695" t="s">
        <v>3903</v>
      </c>
      <c r="E3813" s="695">
        <v>7</v>
      </c>
      <c r="F3813" s="695" t="s">
        <v>6711</v>
      </c>
      <c r="G3813" s="695">
        <v>5</v>
      </c>
      <c r="H3813" s="695" t="s">
        <v>6654</v>
      </c>
      <c r="I3813" s="695">
        <v>106</v>
      </c>
      <c r="J3813" s="695" t="s">
        <v>6980</v>
      </c>
      <c r="K3813" s="695" t="s">
        <v>5334</v>
      </c>
      <c r="L3813" s="696">
        <v>0</v>
      </c>
      <c r="M3813" s="170"/>
    </row>
    <row r="3814" spans="2:13" x14ac:dyDescent="0.2">
      <c r="B3814" s="173"/>
      <c r="C3814" s="694">
        <v>1</v>
      </c>
      <c r="D3814" s="695" t="s">
        <v>3903</v>
      </c>
      <c r="E3814" s="695">
        <v>7</v>
      </c>
      <c r="F3814" s="695" t="s">
        <v>6711</v>
      </c>
      <c r="G3814" s="695">
        <v>5</v>
      </c>
      <c r="H3814" s="695" t="s">
        <v>6654</v>
      </c>
      <c r="I3814" s="695">
        <v>107</v>
      </c>
      <c r="J3814" s="695" t="s">
        <v>6981</v>
      </c>
      <c r="K3814" s="695" t="s">
        <v>5334</v>
      </c>
      <c r="L3814" s="696">
        <v>0</v>
      </c>
      <c r="M3814" s="170"/>
    </row>
    <row r="3815" spans="2:13" x14ac:dyDescent="0.2">
      <c r="B3815" s="173"/>
      <c r="C3815" s="694">
        <v>1</v>
      </c>
      <c r="D3815" s="695" t="s">
        <v>3903</v>
      </c>
      <c r="E3815" s="695">
        <v>7</v>
      </c>
      <c r="F3815" s="695" t="s">
        <v>6711</v>
      </c>
      <c r="G3815" s="695">
        <v>5</v>
      </c>
      <c r="H3815" s="695" t="s">
        <v>6654</v>
      </c>
      <c r="I3815" s="695">
        <v>108</v>
      </c>
      <c r="J3815" s="695" t="s">
        <v>6982</v>
      </c>
      <c r="K3815" s="695" t="s">
        <v>5334</v>
      </c>
      <c r="L3815" s="696">
        <v>0</v>
      </c>
      <c r="M3815" s="170"/>
    </row>
    <row r="3816" spans="2:13" x14ac:dyDescent="0.2">
      <c r="B3816" s="173"/>
      <c r="C3816" s="694">
        <v>1</v>
      </c>
      <c r="D3816" s="695" t="s">
        <v>3903</v>
      </c>
      <c r="E3816" s="695">
        <v>7</v>
      </c>
      <c r="F3816" s="695" t="s">
        <v>6711</v>
      </c>
      <c r="G3816" s="695">
        <v>5</v>
      </c>
      <c r="H3816" s="695" t="s">
        <v>6654</v>
      </c>
      <c r="I3816" s="695">
        <v>109</v>
      </c>
      <c r="J3816" s="695" t="s">
        <v>6983</v>
      </c>
      <c r="K3816" s="695" t="s">
        <v>5334</v>
      </c>
      <c r="L3816" s="696">
        <v>0</v>
      </c>
      <c r="M3816" s="170"/>
    </row>
    <row r="3817" spans="2:13" x14ac:dyDescent="0.2">
      <c r="B3817" s="173"/>
      <c r="C3817" s="694">
        <v>1</v>
      </c>
      <c r="D3817" s="695" t="s">
        <v>3903</v>
      </c>
      <c r="E3817" s="695">
        <v>7</v>
      </c>
      <c r="F3817" s="695" t="s">
        <v>6711</v>
      </c>
      <c r="G3817" s="695">
        <v>5</v>
      </c>
      <c r="H3817" s="695" t="s">
        <v>6654</v>
      </c>
      <c r="I3817" s="695">
        <v>110</v>
      </c>
      <c r="J3817" s="695" t="s">
        <v>6984</v>
      </c>
      <c r="K3817" s="695" t="s">
        <v>5334</v>
      </c>
      <c r="L3817" s="696">
        <v>0</v>
      </c>
      <c r="M3817" s="170"/>
    </row>
    <row r="3818" spans="2:13" x14ac:dyDescent="0.2">
      <c r="B3818" s="173"/>
      <c r="C3818" s="694">
        <v>1</v>
      </c>
      <c r="D3818" s="695" t="s">
        <v>3903</v>
      </c>
      <c r="E3818" s="695">
        <v>7</v>
      </c>
      <c r="F3818" s="695" t="s">
        <v>6711</v>
      </c>
      <c r="G3818" s="695">
        <v>5</v>
      </c>
      <c r="H3818" s="695" t="s">
        <v>6654</v>
      </c>
      <c r="I3818" s="695">
        <v>111</v>
      </c>
      <c r="J3818" s="695" t="s">
        <v>6985</v>
      </c>
      <c r="K3818" s="695" t="s">
        <v>5334</v>
      </c>
      <c r="L3818" s="696">
        <v>0</v>
      </c>
      <c r="M3818" s="170"/>
    </row>
    <row r="3819" spans="2:13" x14ac:dyDescent="0.2">
      <c r="B3819" s="173"/>
      <c r="C3819" s="694">
        <v>1</v>
      </c>
      <c r="D3819" s="695" t="s">
        <v>3903</v>
      </c>
      <c r="E3819" s="695">
        <v>7</v>
      </c>
      <c r="F3819" s="695" t="s">
        <v>6711</v>
      </c>
      <c r="G3819" s="695">
        <v>5</v>
      </c>
      <c r="H3819" s="695" t="s">
        <v>6654</v>
      </c>
      <c r="I3819" s="695">
        <v>112</v>
      </c>
      <c r="J3819" s="695" t="s">
        <v>6986</v>
      </c>
      <c r="K3819" s="695" t="s">
        <v>5334</v>
      </c>
      <c r="L3819" s="696">
        <v>0</v>
      </c>
      <c r="M3819" s="170"/>
    </row>
    <row r="3820" spans="2:13" x14ac:dyDescent="0.2">
      <c r="B3820" s="173"/>
      <c r="C3820" s="694">
        <v>1</v>
      </c>
      <c r="D3820" s="695" t="s">
        <v>3903</v>
      </c>
      <c r="E3820" s="695">
        <v>7</v>
      </c>
      <c r="F3820" s="695" t="s">
        <v>6711</v>
      </c>
      <c r="G3820" s="695">
        <v>5</v>
      </c>
      <c r="H3820" s="695" t="s">
        <v>6654</v>
      </c>
      <c r="I3820" s="695">
        <v>113</v>
      </c>
      <c r="J3820" s="695" t="s">
        <v>6987</v>
      </c>
      <c r="K3820" s="695" t="s">
        <v>5334</v>
      </c>
      <c r="L3820" s="696">
        <v>15</v>
      </c>
      <c r="M3820" s="170"/>
    </row>
    <row r="3821" spans="2:13" x14ac:dyDescent="0.2">
      <c r="B3821" s="173"/>
      <c r="C3821" s="694">
        <v>1</v>
      </c>
      <c r="D3821" s="695" t="s">
        <v>3903</v>
      </c>
      <c r="E3821" s="695">
        <v>7</v>
      </c>
      <c r="F3821" s="695" t="s">
        <v>6711</v>
      </c>
      <c r="G3821" s="695">
        <v>5</v>
      </c>
      <c r="H3821" s="695" t="s">
        <v>6654</v>
      </c>
      <c r="I3821" s="695">
        <v>114</v>
      </c>
      <c r="J3821" s="695" t="s">
        <v>6988</v>
      </c>
      <c r="K3821" s="695" t="s">
        <v>5334</v>
      </c>
      <c r="L3821" s="696">
        <v>3</v>
      </c>
      <c r="M3821" s="170"/>
    </row>
    <row r="3822" spans="2:13" x14ac:dyDescent="0.2">
      <c r="B3822" s="173"/>
      <c r="C3822" s="694">
        <v>1</v>
      </c>
      <c r="D3822" s="695" t="s">
        <v>3903</v>
      </c>
      <c r="E3822" s="695">
        <v>7</v>
      </c>
      <c r="F3822" s="695" t="s">
        <v>6711</v>
      </c>
      <c r="G3822" s="695">
        <v>5</v>
      </c>
      <c r="H3822" s="695" t="s">
        <v>6654</v>
      </c>
      <c r="I3822" s="695">
        <v>115</v>
      </c>
      <c r="J3822" s="695" t="s">
        <v>6989</v>
      </c>
      <c r="K3822" s="695" t="s">
        <v>5334</v>
      </c>
      <c r="L3822" s="696">
        <v>2</v>
      </c>
      <c r="M3822" s="170"/>
    </row>
    <row r="3823" spans="2:13" x14ac:dyDescent="0.2">
      <c r="B3823" s="173"/>
      <c r="C3823" s="694">
        <v>1</v>
      </c>
      <c r="D3823" s="695" t="s">
        <v>3903</v>
      </c>
      <c r="E3823" s="695">
        <v>7</v>
      </c>
      <c r="F3823" s="695" t="s">
        <v>6711</v>
      </c>
      <c r="G3823" s="695">
        <v>5</v>
      </c>
      <c r="H3823" s="695" t="s">
        <v>6654</v>
      </c>
      <c r="I3823" s="695">
        <v>116</v>
      </c>
      <c r="J3823" s="695" t="s">
        <v>6990</v>
      </c>
      <c r="K3823" s="695" t="s">
        <v>5334</v>
      </c>
      <c r="L3823" s="696">
        <v>4</v>
      </c>
      <c r="M3823" s="170"/>
    </row>
    <row r="3824" spans="2:13" x14ac:dyDescent="0.2">
      <c r="B3824" s="173"/>
      <c r="C3824" s="694">
        <v>1</v>
      </c>
      <c r="D3824" s="695" t="s">
        <v>3903</v>
      </c>
      <c r="E3824" s="695">
        <v>7</v>
      </c>
      <c r="F3824" s="695" t="s">
        <v>6711</v>
      </c>
      <c r="G3824" s="695">
        <v>5</v>
      </c>
      <c r="H3824" s="695" t="s">
        <v>6654</v>
      </c>
      <c r="I3824" s="695">
        <v>117</v>
      </c>
      <c r="J3824" s="695" t="s">
        <v>6991</v>
      </c>
      <c r="K3824" s="695" t="s">
        <v>5334</v>
      </c>
      <c r="L3824" s="696">
        <v>5</v>
      </c>
      <c r="M3824" s="170"/>
    </row>
    <row r="3825" spans="2:13" x14ac:dyDescent="0.2">
      <c r="B3825" s="173"/>
      <c r="C3825" s="694">
        <v>1</v>
      </c>
      <c r="D3825" s="695" t="s">
        <v>3903</v>
      </c>
      <c r="E3825" s="695">
        <v>7</v>
      </c>
      <c r="F3825" s="695" t="s">
        <v>6711</v>
      </c>
      <c r="G3825" s="695">
        <v>5</v>
      </c>
      <c r="H3825" s="695" t="s">
        <v>6654</v>
      </c>
      <c r="I3825" s="695">
        <v>118</v>
      </c>
      <c r="J3825" s="695" t="s">
        <v>6992</v>
      </c>
      <c r="K3825" s="695" t="s">
        <v>5334</v>
      </c>
      <c r="L3825" s="696">
        <v>0</v>
      </c>
      <c r="M3825" s="170"/>
    </row>
    <row r="3826" spans="2:13" x14ac:dyDescent="0.2">
      <c r="B3826" s="173"/>
      <c r="C3826" s="694">
        <v>1</v>
      </c>
      <c r="D3826" s="695" t="s">
        <v>3903</v>
      </c>
      <c r="E3826" s="695">
        <v>7</v>
      </c>
      <c r="F3826" s="695" t="s">
        <v>6711</v>
      </c>
      <c r="G3826" s="695">
        <v>5</v>
      </c>
      <c r="H3826" s="695" t="s">
        <v>6654</v>
      </c>
      <c r="I3826" s="695">
        <v>119</v>
      </c>
      <c r="J3826" s="695" t="s">
        <v>6993</v>
      </c>
      <c r="K3826" s="695" t="s">
        <v>5334</v>
      </c>
      <c r="L3826" s="696">
        <v>2</v>
      </c>
      <c r="M3826" s="170"/>
    </row>
    <row r="3827" spans="2:13" x14ac:dyDescent="0.2">
      <c r="B3827" s="173"/>
      <c r="C3827" s="694">
        <v>1</v>
      </c>
      <c r="D3827" s="695" t="s">
        <v>3903</v>
      </c>
      <c r="E3827" s="695">
        <v>7</v>
      </c>
      <c r="F3827" s="695" t="s">
        <v>6711</v>
      </c>
      <c r="G3827" s="695">
        <v>5</v>
      </c>
      <c r="H3827" s="695" t="s">
        <v>6654</v>
      </c>
      <c r="I3827" s="695">
        <v>120</v>
      </c>
      <c r="J3827" s="695" t="s">
        <v>6994</v>
      </c>
      <c r="K3827" s="695" t="s">
        <v>5334</v>
      </c>
      <c r="L3827" s="696">
        <v>0</v>
      </c>
      <c r="M3827" s="170"/>
    </row>
    <row r="3828" spans="2:13" x14ac:dyDescent="0.2">
      <c r="B3828" s="173"/>
      <c r="C3828" s="694">
        <v>1</v>
      </c>
      <c r="D3828" s="695" t="s">
        <v>3903</v>
      </c>
      <c r="E3828" s="695">
        <v>7</v>
      </c>
      <c r="F3828" s="695" t="s">
        <v>6711</v>
      </c>
      <c r="G3828" s="695">
        <v>5</v>
      </c>
      <c r="H3828" s="695" t="s">
        <v>6654</v>
      </c>
      <c r="I3828" s="695">
        <v>121</v>
      </c>
      <c r="J3828" s="695" t="s">
        <v>6995</v>
      </c>
      <c r="K3828" s="695" t="s">
        <v>5334</v>
      </c>
      <c r="L3828" s="696">
        <v>0</v>
      </c>
      <c r="M3828" s="170"/>
    </row>
    <row r="3829" spans="2:13" x14ac:dyDescent="0.2">
      <c r="B3829" s="173"/>
      <c r="C3829" s="694">
        <v>1</v>
      </c>
      <c r="D3829" s="695" t="s">
        <v>3903</v>
      </c>
      <c r="E3829" s="695">
        <v>7</v>
      </c>
      <c r="F3829" s="695" t="s">
        <v>6711</v>
      </c>
      <c r="G3829" s="695">
        <v>5</v>
      </c>
      <c r="H3829" s="695" t="s">
        <v>6654</v>
      </c>
      <c r="I3829" s="695">
        <v>122</v>
      </c>
      <c r="J3829" s="695" t="s">
        <v>6996</v>
      </c>
      <c r="K3829" s="695" t="s">
        <v>5334</v>
      </c>
      <c r="L3829" s="696">
        <v>2</v>
      </c>
      <c r="M3829" s="170"/>
    </row>
    <row r="3830" spans="2:13" x14ac:dyDescent="0.2">
      <c r="B3830" s="173"/>
      <c r="C3830" s="694">
        <v>1</v>
      </c>
      <c r="D3830" s="695" t="s">
        <v>3903</v>
      </c>
      <c r="E3830" s="695">
        <v>7</v>
      </c>
      <c r="F3830" s="695" t="s">
        <v>6711</v>
      </c>
      <c r="G3830" s="695">
        <v>5</v>
      </c>
      <c r="H3830" s="695" t="s">
        <v>6654</v>
      </c>
      <c r="I3830" s="695">
        <v>123</v>
      </c>
      <c r="J3830" s="695" t="s">
        <v>6997</v>
      </c>
      <c r="K3830" s="695" t="s">
        <v>5334</v>
      </c>
      <c r="L3830" s="696">
        <v>0</v>
      </c>
      <c r="M3830" s="170"/>
    </row>
    <row r="3831" spans="2:13" x14ac:dyDescent="0.2">
      <c r="B3831" s="173"/>
      <c r="C3831" s="694">
        <v>1</v>
      </c>
      <c r="D3831" s="695" t="s">
        <v>3903</v>
      </c>
      <c r="E3831" s="695">
        <v>7</v>
      </c>
      <c r="F3831" s="695" t="s">
        <v>6711</v>
      </c>
      <c r="G3831" s="695">
        <v>5</v>
      </c>
      <c r="H3831" s="695" t="s">
        <v>6654</v>
      </c>
      <c r="I3831" s="695">
        <v>124</v>
      </c>
      <c r="J3831" s="695" t="s">
        <v>6998</v>
      </c>
      <c r="K3831" s="695" t="s">
        <v>5334</v>
      </c>
      <c r="L3831" s="696">
        <v>1</v>
      </c>
      <c r="M3831" s="170"/>
    </row>
    <row r="3832" spans="2:13" x14ac:dyDescent="0.2">
      <c r="B3832" s="173"/>
      <c r="C3832" s="694">
        <v>1</v>
      </c>
      <c r="D3832" s="695" t="s">
        <v>3903</v>
      </c>
      <c r="E3832" s="695">
        <v>7</v>
      </c>
      <c r="F3832" s="695" t="s">
        <v>6711</v>
      </c>
      <c r="G3832" s="695">
        <v>5</v>
      </c>
      <c r="H3832" s="695" t="s">
        <v>6654</v>
      </c>
      <c r="I3832" s="695">
        <v>125</v>
      </c>
      <c r="J3832" s="695" t="s">
        <v>6999</v>
      </c>
      <c r="K3832" s="695" t="s">
        <v>5334</v>
      </c>
      <c r="L3832" s="696">
        <v>0</v>
      </c>
      <c r="M3832" s="170"/>
    </row>
    <row r="3833" spans="2:13" x14ac:dyDescent="0.2">
      <c r="B3833" s="173"/>
      <c r="C3833" s="694">
        <v>1</v>
      </c>
      <c r="D3833" s="695" t="s">
        <v>3903</v>
      </c>
      <c r="E3833" s="695">
        <v>7</v>
      </c>
      <c r="F3833" s="695" t="s">
        <v>6711</v>
      </c>
      <c r="G3833" s="695">
        <v>5</v>
      </c>
      <c r="H3833" s="695" t="s">
        <v>6654</v>
      </c>
      <c r="I3833" s="695">
        <v>126</v>
      </c>
      <c r="J3833" s="695" t="s">
        <v>7000</v>
      </c>
      <c r="K3833" s="695" t="s">
        <v>5334</v>
      </c>
      <c r="L3833" s="696">
        <v>0</v>
      </c>
      <c r="M3833" s="170"/>
    </row>
    <row r="3834" spans="2:13" x14ac:dyDescent="0.2">
      <c r="B3834" s="173"/>
      <c r="C3834" s="694">
        <v>1</v>
      </c>
      <c r="D3834" s="695" t="s">
        <v>3903</v>
      </c>
      <c r="E3834" s="695">
        <v>7</v>
      </c>
      <c r="F3834" s="695" t="s">
        <v>6711</v>
      </c>
      <c r="G3834" s="695">
        <v>5</v>
      </c>
      <c r="H3834" s="695" t="s">
        <v>6654</v>
      </c>
      <c r="I3834" s="695">
        <v>127</v>
      </c>
      <c r="J3834" s="695" t="s">
        <v>7001</v>
      </c>
      <c r="K3834" s="695" t="s">
        <v>5334</v>
      </c>
      <c r="L3834" s="696">
        <v>0</v>
      </c>
      <c r="M3834" s="170"/>
    </row>
    <row r="3835" spans="2:13" x14ac:dyDescent="0.2">
      <c r="B3835" s="173"/>
      <c r="C3835" s="694">
        <v>1</v>
      </c>
      <c r="D3835" s="695" t="s">
        <v>3903</v>
      </c>
      <c r="E3835" s="695">
        <v>7</v>
      </c>
      <c r="F3835" s="695" t="s">
        <v>6711</v>
      </c>
      <c r="G3835" s="695">
        <v>5</v>
      </c>
      <c r="H3835" s="695" t="s">
        <v>6654</v>
      </c>
      <c r="I3835" s="695">
        <v>128</v>
      </c>
      <c r="J3835" s="695" t="s">
        <v>7002</v>
      </c>
      <c r="K3835" s="695" t="s">
        <v>5334</v>
      </c>
      <c r="L3835" s="696">
        <v>0</v>
      </c>
      <c r="M3835" s="170"/>
    </row>
    <row r="3836" spans="2:13" x14ac:dyDescent="0.2">
      <c r="B3836" s="173"/>
      <c r="C3836" s="694">
        <v>1</v>
      </c>
      <c r="D3836" s="695" t="s">
        <v>3903</v>
      </c>
      <c r="E3836" s="695">
        <v>7</v>
      </c>
      <c r="F3836" s="695" t="s">
        <v>6711</v>
      </c>
      <c r="G3836" s="695">
        <v>5</v>
      </c>
      <c r="H3836" s="695" t="s">
        <v>6654</v>
      </c>
      <c r="I3836" s="695">
        <v>129</v>
      </c>
      <c r="J3836" s="695" t="s">
        <v>7003</v>
      </c>
      <c r="K3836" s="695" t="s">
        <v>5334</v>
      </c>
      <c r="L3836" s="696">
        <v>0</v>
      </c>
      <c r="M3836" s="170"/>
    </row>
    <row r="3837" spans="2:13" x14ac:dyDescent="0.2">
      <c r="B3837" s="173"/>
      <c r="C3837" s="694">
        <v>1</v>
      </c>
      <c r="D3837" s="695" t="s">
        <v>3903</v>
      </c>
      <c r="E3837" s="695">
        <v>7</v>
      </c>
      <c r="F3837" s="695" t="s">
        <v>6711</v>
      </c>
      <c r="G3837" s="695">
        <v>5</v>
      </c>
      <c r="H3837" s="695" t="s">
        <v>6654</v>
      </c>
      <c r="I3837" s="695">
        <v>130</v>
      </c>
      <c r="J3837" s="695" t="s">
        <v>7004</v>
      </c>
      <c r="K3837" s="695" t="s">
        <v>5334</v>
      </c>
      <c r="L3837" s="696">
        <v>0</v>
      </c>
      <c r="M3837" s="170"/>
    </row>
    <row r="3838" spans="2:13" x14ac:dyDescent="0.2">
      <c r="B3838" s="173"/>
      <c r="C3838" s="694">
        <v>1</v>
      </c>
      <c r="D3838" s="695" t="s">
        <v>3903</v>
      </c>
      <c r="E3838" s="695">
        <v>7</v>
      </c>
      <c r="F3838" s="695" t="s">
        <v>6711</v>
      </c>
      <c r="G3838" s="695">
        <v>5</v>
      </c>
      <c r="H3838" s="695" t="s">
        <v>6654</v>
      </c>
      <c r="I3838" s="695">
        <v>131</v>
      </c>
      <c r="J3838" s="695" t="s">
        <v>7005</v>
      </c>
      <c r="K3838" s="695" t="s">
        <v>5334</v>
      </c>
      <c r="L3838" s="696">
        <v>0</v>
      </c>
      <c r="M3838" s="170"/>
    </row>
    <row r="3839" spans="2:13" x14ac:dyDescent="0.2">
      <c r="B3839" s="173"/>
      <c r="C3839" s="694">
        <v>1</v>
      </c>
      <c r="D3839" s="695" t="s">
        <v>3903</v>
      </c>
      <c r="E3839" s="695">
        <v>7</v>
      </c>
      <c r="F3839" s="695" t="s">
        <v>6711</v>
      </c>
      <c r="G3839" s="695">
        <v>5</v>
      </c>
      <c r="H3839" s="695" t="s">
        <v>6654</v>
      </c>
      <c r="I3839" s="695">
        <v>132</v>
      </c>
      <c r="J3839" s="695" t="s">
        <v>7006</v>
      </c>
      <c r="K3839" s="695" t="s">
        <v>5334</v>
      </c>
      <c r="L3839" s="696">
        <v>0</v>
      </c>
      <c r="M3839" s="170"/>
    </row>
    <row r="3840" spans="2:13" x14ac:dyDescent="0.2">
      <c r="B3840" s="173"/>
      <c r="C3840" s="694">
        <v>1</v>
      </c>
      <c r="D3840" s="695" t="s">
        <v>3903</v>
      </c>
      <c r="E3840" s="695">
        <v>7</v>
      </c>
      <c r="F3840" s="695" t="s">
        <v>6711</v>
      </c>
      <c r="G3840" s="695">
        <v>5</v>
      </c>
      <c r="H3840" s="695" t="s">
        <v>6654</v>
      </c>
      <c r="I3840" s="695">
        <v>133</v>
      </c>
      <c r="J3840" s="695" t="s">
        <v>7007</v>
      </c>
      <c r="K3840" s="695" t="s">
        <v>5334</v>
      </c>
      <c r="L3840" s="696">
        <v>0</v>
      </c>
      <c r="M3840" s="170"/>
    </row>
    <row r="3841" spans="2:13" x14ac:dyDescent="0.2">
      <c r="B3841" s="173"/>
      <c r="C3841" s="694">
        <v>1</v>
      </c>
      <c r="D3841" s="695" t="s">
        <v>3903</v>
      </c>
      <c r="E3841" s="695">
        <v>7</v>
      </c>
      <c r="F3841" s="695" t="s">
        <v>6711</v>
      </c>
      <c r="G3841" s="695">
        <v>5</v>
      </c>
      <c r="H3841" s="695" t="s">
        <v>6654</v>
      </c>
      <c r="I3841" s="695">
        <v>134</v>
      </c>
      <c r="J3841" s="695" t="s">
        <v>7008</v>
      </c>
      <c r="K3841" s="695" t="s">
        <v>5334</v>
      </c>
      <c r="L3841" s="696">
        <v>0</v>
      </c>
      <c r="M3841" s="170"/>
    </row>
    <row r="3842" spans="2:13" x14ac:dyDescent="0.2">
      <c r="B3842" s="173"/>
      <c r="C3842" s="694">
        <v>1</v>
      </c>
      <c r="D3842" s="695" t="s">
        <v>3903</v>
      </c>
      <c r="E3842" s="695">
        <v>7</v>
      </c>
      <c r="F3842" s="695" t="s">
        <v>6711</v>
      </c>
      <c r="G3842" s="695">
        <v>5</v>
      </c>
      <c r="H3842" s="695" t="s">
        <v>6654</v>
      </c>
      <c r="I3842" s="695">
        <v>135</v>
      </c>
      <c r="J3842" s="695" t="s">
        <v>7009</v>
      </c>
      <c r="K3842" s="695" t="s">
        <v>5334</v>
      </c>
      <c r="L3842" s="696">
        <v>0</v>
      </c>
      <c r="M3842" s="170"/>
    </row>
    <row r="3843" spans="2:13" x14ac:dyDescent="0.2">
      <c r="B3843" s="173"/>
      <c r="C3843" s="694">
        <v>1</v>
      </c>
      <c r="D3843" s="695" t="s">
        <v>3903</v>
      </c>
      <c r="E3843" s="695">
        <v>7</v>
      </c>
      <c r="F3843" s="695" t="s">
        <v>6711</v>
      </c>
      <c r="G3843" s="695">
        <v>5</v>
      </c>
      <c r="H3843" s="695" t="s">
        <v>6654</v>
      </c>
      <c r="I3843" s="695">
        <v>136</v>
      </c>
      <c r="J3843" s="695" t="s">
        <v>7010</v>
      </c>
      <c r="K3843" s="695" t="s">
        <v>5334</v>
      </c>
      <c r="L3843" s="696">
        <v>2</v>
      </c>
      <c r="M3843" s="170"/>
    </row>
    <row r="3844" spans="2:13" x14ac:dyDescent="0.2">
      <c r="B3844" s="173"/>
      <c r="C3844" s="694">
        <v>1</v>
      </c>
      <c r="D3844" s="695" t="s">
        <v>3903</v>
      </c>
      <c r="E3844" s="695">
        <v>7</v>
      </c>
      <c r="F3844" s="695" t="s">
        <v>6711</v>
      </c>
      <c r="G3844" s="695">
        <v>5</v>
      </c>
      <c r="H3844" s="695" t="s">
        <v>6654</v>
      </c>
      <c r="I3844" s="695">
        <v>137</v>
      </c>
      <c r="J3844" s="695" t="s">
        <v>7011</v>
      </c>
      <c r="K3844" s="695" t="s">
        <v>5334</v>
      </c>
      <c r="L3844" s="696">
        <v>0</v>
      </c>
      <c r="M3844" s="170"/>
    </row>
    <row r="3845" spans="2:13" x14ac:dyDescent="0.2">
      <c r="B3845" s="173"/>
      <c r="C3845" s="694">
        <v>1</v>
      </c>
      <c r="D3845" s="695" t="s">
        <v>3903</v>
      </c>
      <c r="E3845" s="695">
        <v>7</v>
      </c>
      <c r="F3845" s="695" t="s">
        <v>6711</v>
      </c>
      <c r="G3845" s="695">
        <v>5</v>
      </c>
      <c r="H3845" s="695" t="s">
        <v>6654</v>
      </c>
      <c r="I3845" s="695">
        <v>138</v>
      </c>
      <c r="J3845" s="695" t="s">
        <v>7012</v>
      </c>
      <c r="K3845" s="695" t="s">
        <v>5334</v>
      </c>
      <c r="L3845" s="696">
        <v>0</v>
      </c>
      <c r="M3845" s="170"/>
    </row>
    <row r="3846" spans="2:13" x14ac:dyDescent="0.2">
      <c r="B3846" s="173"/>
      <c r="C3846" s="694">
        <v>1</v>
      </c>
      <c r="D3846" s="695" t="s">
        <v>3903</v>
      </c>
      <c r="E3846" s="695">
        <v>7</v>
      </c>
      <c r="F3846" s="695" t="s">
        <v>6711</v>
      </c>
      <c r="G3846" s="695">
        <v>5</v>
      </c>
      <c r="H3846" s="695" t="s">
        <v>6654</v>
      </c>
      <c r="I3846" s="695">
        <v>139</v>
      </c>
      <c r="J3846" s="695" t="s">
        <v>7013</v>
      </c>
      <c r="K3846" s="695" t="s">
        <v>5334</v>
      </c>
      <c r="L3846" s="696">
        <v>0</v>
      </c>
      <c r="M3846" s="170"/>
    </row>
    <row r="3847" spans="2:13" x14ac:dyDescent="0.2">
      <c r="B3847" s="173"/>
      <c r="C3847" s="694">
        <v>1</v>
      </c>
      <c r="D3847" s="695" t="s">
        <v>3903</v>
      </c>
      <c r="E3847" s="695">
        <v>7</v>
      </c>
      <c r="F3847" s="695" t="s">
        <v>6711</v>
      </c>
      <c r="G3847" s="695">
        <v>5</v>
      </c>
      <c r="H3847" s="695" t="s">
        <v>6654</v>
      </c>
      <c r="I3847" s="695">
        <v>140</v>
      </c>
      <c r="J3847" s="695" t="s">
        <v>7014</v>
      </c>
      <c r="K3847" s="695" t="s">
        <v>5334</v>
      </c>
      <c r="L3847" s="696">
        <v>0</v>
      </c>
      <c r="M3847" s="170"/>
    </row>
    <row r="3848" spans="2:13" x14ac:dyDescent="0.2">
      <c r="B3848" s="173"/>
      <c r="C3848" s="694">
        <v>1</v>
      </c>
      <c r="D3848" s="695" t="s">
        <v>3903</v>
      </c>
      <c r="E3848" s="695">
        <v>7</v>
      </c>
      <c r="F3848" s="695" t="s">
        <v>6711</v>
      </c>
      <c r="G3848" s="695">
        <v>5</v>
      </c>
      <c r="H3848" s="695" t="s">
        <v>6654</v>
      </c>
      <c r="I3848" s="695">
        <v>141</v>
      </c>
      <c r="J3848" s="695" t="s">
        <v>7015</v>
      </c>
      <c r="K3848" s="695" t="s">
        <v>5334</v>
      </c>
      <c r="L3848" s="696">
        <v>0</v>
      </c>
      <c r="M3848" s="170"/>
    </row>
    <row r="3849" spans="2:13" x14ac:dyDescent="0.2">
      <c r="B3849" s="173"/>
      <c r="C3849" s="694">
        <v>1</v>
      </c>
      <c r="D3849" s="695" t="s">
        <v>3903</v>
      </c>
      <c r="E3849" s="695">
        <v>7</v>
      </c>
      <c r="F3849" s="695" t="s">
        <v>6711</v>
      </c>
      <c r="G3849" s="695">
        <v>5</v>
      </c>
      <c r="H3849" s="695" t="s">
        <v>6654</v>
      </c>
      <c r="I3849" s="695">
        <v>142</v>
      </c>
      <c r="J3849" s="695" t="s">
        <v>7016</v>
      </c>
      <c r="K3849" s="695" t="s">
        <v>5334</v>
      </c>
      <c r="L3849" s="696">
        <v>0</v>
      </c>
      <c r="M3849" s="170"/>
    </row>
    <row r="3850" spans="2:13" x14ac:dyDescent="0.2">
      <c r="B3850" s="173"/>
      <c r="C3850" s="694">
        <v>1</v>
      </c>
      <c r="D3850" s="695" t="s">
        <v>3903</v>
      </c>
      <c r="E3850" s="695">
        <v>7</v>
      </c>
      <c r="F3850" s="695" t="s">
        <v>6711</v>
      </c>
      <c r="G3850" s="695">
        <v>5</v>
      </c>
      <c r="H3850" s="695" t="s">
        <v>6654</v>
      </c>
      <c r="I3850" s="695">
        <v>143</v>
      </c>
      <c r="J3850" s="695" t="s">
        <v>6299</v>
      </c>
      <c r="K3850" s="695" t="s">
        <v>5334</v>
      </c>
      <c r="L3850" s="696">
        <v>325</v>
      </c>
      <c r="M3850" s="170"/>
    </row>
    <row r="3851" spans="2:13" x14ac:dyDescent="0.2">
      <c r="B3851" s="173"/>
      <c r="C3851" s="694">
        <v>1</v>
      </c>
      <c r="D3851" s="695" t="s">
        <v>3903</v>
      </c>
      <c r="E3851" s="695">
        <v>7</v>
      </c>
      <c r="F3851" s="695" t="s">
        <v>6711</v>
      </c>
      <c r="G3851" s="695">
        <v>5</v>
      </c>
      <c r="H3851" s="695" t="s">
        <v>6654</v>
      </c>
      <c r="I3851" s="695">
        <v>144</v>
      </c>
      <c r="J3851" s="695" t="s">
        <v>6335</v>
      </c>
      <c r="K3851" s="695" t="s">
        <v>5334</v>
      </c>
      <c r="L3851" s="696">
        <v>0</v>
      </c>
      <c r="M3851" s="170"/>
    </row>
    <row r="3852" spans="2:13" x14ac:dyDescent="0.2">
      <c r="B3852" s="173"/>
      <c r="C3852" s="694">
        <v>1</v>
      </c>
      <c r="D3852" s="695" t="s">
        <v>3903</v>
      </c>
      <c r="E3852" s="695">
        <v>7</v>
      </c>
      <c r="F3852" s="695" t="s">
        <v>6711</v>
      </c>
      <c r="G3852" s="695">
        <v>5</v>
      </c>
      <c r="H3852" s="695" t="s">
        <v>6654</v>
      </c>
      <c r="I3852" s="695">
        <v>145</v>
      </c>
      <c r="J3852" s="695" t="s">
        <v>7017</v>
      </c>
      <c r="K3852" s="695" t="s">
        <v>5334</v>
      </c>
      <c r="L3852" s="696">
        <v>0</v>
      </c>
      <c r="M3852" s="170"/>
    </row>
    <row r="3853" spans="2:13" x14ac:dyDescent="0.2">
      <c r="B3853" s="173"/>
      <c r="C3853" s="694">
        <v>1</v>
      </c>
      <c r="D3853" s="695" t="s">
        <v>3903</v>
      </c>
      <c r="E3853" s="695">
        <v>7</v>
      </c>
      <c r="F3853" s="695" t="s">
        <v>6711</v>
      </c>
      <c r="G3853" s="695">
        <v>5</v>
      </c>
      <c r="H3853" s="695" t="s">
        <v>6654</v>
      </c>
      <c r="I3853" s="695">
        <v>146</v>
      </c>
      <c r="J3853" s="695" t="s">
        <v>7018</v>
      </c>
      <c r="K3853" s="695" t="s">
        <v>5334</v>
      </c>
      <c r="L3853" s="696">
        <v>0</v>
      </c>
      <c r="M3853" s="170"/>
    </row>
    <row r="3854" spans="2:13" x14ac:dyDescent="0.2">
      <c r="B3854" s="173"/>
      <c r="C3854" s="694">
        <v>1</v>
      </c>
      <c r="D3854" s="695" t="s">
        <v>3903</v>
      </c>
      <c r="E3854" s="695">
        <v>7</v>
      </c>
      <c r="F3854" s="695" t="s">
        <v>6711</v>
      </c>
      <c r="G3854" s="695">
        <v>5</v>
      </c>
      <c r="H3854" s="695" t="s">
        <v>6654</v>
      </c>
      <c r="I3854" s="695">
        <v>147</v>
      </c>
      <c r="J3854" s="695" t="s">
        <v>7019</v>
      </c>
      <c r="K3854" s="695" t="s">
        <v>5334</v>
      </c>
      <c r="L3854" s="696">
        <v>0</v>
      </c>
      <c r="M3854" s="170"/>
    </row>
    <row r="3855" spans="2:13" x14ac:dyDescent="0.2">
      <c r="B3855" s="173"/>
      <c r="C3855" s="694">
        <v>1</v>
      </c>
      <c r="D3855" s="695" t="s">
        <v>3903</v>
      </c>
      <c r="E3855" s="695">
        <v>7</v>
      </c>
      <c r="F3855" s="695" t="s">
        <v>6711</v>
      </c>
      <c r="G3855" s="695">
        <v>5</v>
      </c>
      <c r="H3855" s="695" t="s">
        <v>6654</v>
      </c>
      <c r="I3855" s="695">
        <v>148</v>
      </c>
      <c r="J3855" s="695" t="s">
        <v>7020</v>
      </c>
      <c r="K3855" s="695" t="s">
        <v>5334</v>
      </c>
      <c r="L3855" s="696">
        <v>0</v>
      </c>
      <c r="M3855" s="170"/>
    </row>
    <row r="3856" spans="2:13" x14ac:dyDescent="0.2">
      <c r="B3856" s="173"/>
      <c r="C3856" s="694">
        <v>1</v>
      </c>
      <c r="D3856" s="695" t="s">
        <v>3903</v>
      </c>
      <c r="E3856" s="695">
        <v>7</v>
      </c>
      <c r="F3856" s="695" t="s">
        <v>6711</v>
      </c>
      <c r="G3856" s="695">
        <v>5</v>
      </c>
      <c r="H3856" s="695" t="s">
        <v>6654</v>
      </c>
      <c r="I3856" s="695">
        <v>149</v>
      </c>
      <c r="J3856" s="695" t="s">
        <v>7021</v>
      </c>
      <c r="K3856" s="695" t="s">
        <v>5334</v>
      </c>
      <c r="L3856" s="696">
        <v>0</v>
      </c>
      <c r="M3856" s="170"/>
    </row>
    <row r="3857" spans="2:13" x14ac:dyDescent="0.2">
      <c r="B3857" s="173"/>
      <c r="C3857" s="694">
        <v>1</v>
      </c>
      <c r="D3857" s="695" t="s">
        <v>3903</v>
      </c>
      <c r="E3857" s="695">
        <v>7</v>
      </c>
      <c r="F3857" s="695" t="s">
        <v>6711</v>
      </c>
      <c r="G3857" s="695">
        <v>5</v>
      </c>
      <c r="H3857" s="695" t="s">
        <v>6654</v>
      </c>
      <c r="I3857" s="695">
        <v>150</v>
      </c>
      <c r="J3857" s="695" t="s">
        <v>7022</v>
      </c>
      <c r="K3857" s="695" t="s">
        <v>5334</v>
      </c>
      <c r="L3857" s="696">
        <v>0</v>
      </c>
      <c r="M3857" s="170"/>
    </row>
    <row r="3858" spans="2:13" x14ac:dyDescent="0.2">
      <c r="B3858" s="173"/>
      <c r="C3858" s="694">
        <v>1</v>
      </c>
      <c r="D3858" s="695" t="s">
        <v>3903</v>
      </c>
      <c r="E3858" s="695">
        <v>7</v>
      </c>
      <c r="F3858" s="695" t="s">
        <v>6711</v>
      </c>
      <c r="G3858" s="695">
        <v>5</v>
      </c>
      <c r="H3858" s="695" t="s">
        <v>6654</v>
      </c>
      <c r="I3858" s="695">
        <v>151</v>
      </c>
      <c r="J3858" s="695" t="s">
        <v>7023</v>
      </c>
      <c r="K3858" s="695" t="s">
        <v>5334</v>
      </c>
      <c r="L3858" s="696">
        <v>8</v>
      </c>
      <c r="M3858" s="170"/>
    </row>
    <row r="3859" spans="2:13" x14ac:dyDescent="0.2">
      <c r="B3859" s="173"/>
      <c r="C3859" s="694">
        <v>1</v>
      </c>
      <c r="D3859" s="695" t="s">
        <v>3903</v>
      </c>
      <c r="E3859" s="695">
        <v>7</v>
      </c>
      <c r="F3859" s="695" t="s">
        <v>6711</v>
      </c>
      <c r="G3859" s="695">
        <v>5</v>
      </c>
      <c r="H3859" s="695" t="s">
        <v>6654</v>
      </c>
      <c r="I3859" s="695">
        <v>152</v>
      </c>
      <c r="J3859" s="695" t="s">
        <v>7024</v>
      </c>
      <c r="K3859" s="695" t="s">
        <v>5334</v>
      </c>
      <c r="L3859" s="696">
        <v>9</v>
      </c>
      <c r="M3859" s="170"/>
    </row>
    <row r="3860" spans="2:13" x14ac:dyDescent="0.2">
      <c r="B3860" s="173"/>
      <c r="C3860" s="694">
        <v>1</v>
      </c>
      <c r="D3860" s="695" t="s">
        <v>3903</v>
      </c>
      <c r="E3860" s="695">
        <v>7</v>
      </c>
      <c r="F3860" s="695" t="s">
        <v>6711</v>
      </c>
      <c r="G3860" s="695">
        <v>5</v>
      </c>
      <c r="H3860" s="695" t="s">
        <v>6654</v>
      </c>
      <c r="I3860" s="695">
        <v>153</v>
      </c>
      <c r="J3860" s="695" t="s">
        <v>7025</v>
      </c>
      <c r="K3860" s="695" t="s">
        <v>5334</v>
      </c>
      <c r="L3860" s="696">
        <v>0</v>
      </c>
      <c r="M3860" s="170"/>
    </row>
    <row r="3861" spans="2:13" x14ac:dyDescent="0.2">
      <c r="B3861" s="173"/>
      <c r="C3861" s="694">
        <v>1</v>
      </c>
      <c r="D3861" s="695" t="s">
        <v>3903</v>
      </c>
      <c r="E3861" s="695">
        <v>7</v>
      </c>
      <c r="F3861" s="695" t="s">
        <v>6711</v>
      </c>
      <c r="G3861" s="695">
        <v>5</v>
      </c>
      <c r="H3861" s="695" t="s">
        <v>6654</v>
      </c>
      <c r="I3861" s="695">
        <v>154</v>
      </c>
      <c r="J3861" s="695" t="s">
        <v>7026</v>
      </c>
      <c r="K3861" s="695" t="s">
        <v>5334</v>
      </c>
      <c r="L3861" s="696">
        <v>0</v>
      </c>
      <c r="M3861" s="170"/>
    </row>
    <row r="3862" spans="2:13" x14ac:dyDescent="0.2">
      <c r="B3862" s="173"/>
      <c r="C3862" s="694">
        <v>1</v>
      </c>
      <c r="D3862" s="695" t="s">
        <v>3903</v>
      </c>
      <c r="E3862" s="695">
        <v>7</v>
      </c>
      <c r="F3862" s="695" t="s">
        <v>6711</v>
      </c>
      <c r="G3862" s="695">
        <v>5</v>
      </c>
      <c r="H3862" s="695" t="s">
        <v>6654</v>
      </c>
      <c r="I3862" s="695">
        <v>155</v>
      </c>
      <c r="J3862" s="695" t="s">
        <v>7027</v>
      </c>
      <c r="K3862" s="695" t="s">
        <v>5334</v>
      </c>
      <c r="L3862" s="696">
        <v>1</v>
      </c>
      <c r="M3862" s="170"/>
    </row>
    <row r="3863" spans="2:13" x14ac:dyDescent="0.2">
      <c r="B3863" s="173"/>
      <c r="C3863" s="694">
        <v>1</v>
      </c>
      <c r="D3863" s="695" t="s">
        <v>3903</v>
      </c>
      <c r="E3863" s="695">
        <v>7</v>
      </c>
      <c r="F3863" s="695" t="s">
        <v>6711</v>
      </c>
      <c r="G3863" s="695">
        <v>5</v>
      </c>
      <c r="H3863" s="695" t="s">
        <v>6654</v>
      </c>
      <c r="I3863" s="695">
        <v>156</v>
      </c>
      <c r="J3863" s="695" t="s">
        <v>7028</v>
      </c>
      <c r="K3863" s="695" t="s">
        <v>5334</v>
      </c>
      <c r="L3863" s="696">
        <v>0</v>
      </c>
      <c r="M3863" s="170"/>
    </row>
    <row r="3864" spans="2:13" x14ac:dyDescent="0.2">
      <c r="B3864" s="173"/>
      <c r="C3864" s="694">
        <v>1</v>
      </c>
      <c r="D3864" s="695" t="s">
        <v>3903</v>
      </c>
      <c r="E3864" s="695">
        <v>7</v>
      </c>
      <c r="F3864" s="695" t="s">
        <v>6711</v>
      </c>
      <c r="G3864" s="695">
        <v>5</v>
      </c>
      <c r="H3864" s="695" t="s">
        <v>6654</v>
      </c>
      <c r="I3864" s="695">
        <v>157</v>
      </c>
      <c r="J3864" s="695" t="s">
        <v>7029</v>
      </c>
      <c r="K3864" s="695" t="s">
        <v>5334</v>
      </c>
      <c r="L3864" s="696">
        <v>1</v>
      </c>
      <c r="M3864" s="170"/>
    </row>
    <row r="3865" spans="2:13" x14ac:dyDescent="0.2">
      <c r="B3865" s="173"/>
      <c r="C3865" s="694">
        <v>1</v>
      </c>
      <c r="D3865" s="695" t="s">
        <v>3903</v>
      </c>
      <c r="E3865" s="695">
        <v>7</v>
      </c>
      <c r="F3865" s="695" t="s">
        <v>6711</v>
      </c>
      <c r="G3865" s="695">
        <v>5</v>
      </c>
      <c r="H3865" s="695" t="s">
        <v>6654</v>
      </c>
      <c r="I3865" s="695">
        <v>158</v>
      </c>
      <c r="J3865" s="695" t="s">
        <v>7030</v>
      </c>
      <c r="K3865" s="695" t="s">
        <v>5334</v>
      </c>
      <c r="L3865" s="696">
        <v>4</v>
      </c>
      <c r="M3865" s="170"/>
    </row>
    <row r="3866" spans="2:13" x14ac:dyDescent="0.2">
      <c r="B3866" s="173"/>
      <c r="C3866" s="694">
        <v>1</v>
      </c>
      <c r="D3866" s="695" t="s">
        <v>3903</v>
      </c>
      <c r="E3866" s="695">
        <v>7</v>
      </c>
      <c r="F3866" s="695" t="s">
        <v>6711</v>
      </c>
      <c r="G3866" s="695">
        <v>5</v>
      </c>
      <c r="H3866" s="695" t="s">
        <v>6654</v>
      </c>
      <c r="I3866" s="695">
        <v>159</v>
      </c>
      <c r="J3866" s="695" t="s">
        <v>7031</v>
      </c>
      <c r="K3866" s="695" t="s">
        <v>5334</v>
      </c>
      <c r="L3866" s="696">
        <v>0</v>
      </c>
      <c r="M3866" s="170"/>
    </row>
    <row r="3867" spans="2:13" x14ac:dyDescent="0.2">
      <c r="B3867" s="173"/>
      <c r="C3867" s="694">
        <v>1</v>
      </c>
      <c r="D3867" s="695" t="s">
        <v>3903</v>
      </c>
      <c r="E3867" s="695">
        <v>7</v>
      </c>
      <c r="F3867" s="695" t="s">
        <v>6711</v>
      </c>
      <c r="G3867" s="695">
        <v>5</v>
      </c>
      <c r="H3867" s="695" t="s">
        <v>6654</v>
      </c>
      <c r="I3867" s="695">
        <v>160</v>
      </c>
      <c r="J3867" s="695" t="s">
        <v>7032</v>
      </c>
      <c r="K3867" s="695" t="s">
        <v>5334</v>
      </c>
      <c r="L3867" s="696">
        <v>0</v>
      </c>
      <c r="M3867" s="170"/>
    </row>
    <row r="3868" spans="2:13" x14ac:dyDescent="0.2">
      <c r="B3868" s="173"/>
      <c r="C3868" s="694">
        <v>1</v>
      </c>
      <c r="D3868" s="695" t="s">
        <v>3903</v>
      </c>
      <c r="E3868" s="695">
        <v>7</v>
      </c>
      <c r="F3868" s="695" t="s">
        <v>6711</v>
      </c>
      <c r="G3868" s="695">
        <v>5</v>
      </c>
      <c r="H3868" s="695" t="s">
        <v>6654</v>
      </c>
      <c r="I3868" s="695">
        <v>161</v>
      </c>
      <c r="J3868" s="695" t="s">
        <v>7033</v>
      </c>
      <c r="K3868" s="695" t="s">
        <v>5334</v>
      </c>
      <c r="L3868" s="696">
        <v>0</v>
      </c>
      <c r="M3868" s="170"/>
    </row>
    <row r="3869" spans="2:13" x14ac:dyDescent="0.2">
      <c r="B3869" s="173"/>
      <c r="C3869" s="694">
        <v>1</v>
      </c>
      <c r="D3869" s="695" t="s">
        <v>3903</v>
      </c>
      <c r="E3869" s="695">
        <v>7</v>
      </c>
      <c r="F3869" s="695" t="s">
        <v>6711</v>
      </c>
      <c r="G3869" s="695">
        <v>5</v>
      </c>
      <c r="H3869" s="695" t="s">
        <v>6654</v>
      </c>
      <c r="I3869" s="695">
        <v>162</v>
      </c>
      <c r="J3869" s="695" t="s">
        <v>7034</v>
      </c>
      <c r="K3869" s="695" t="s">
        <v>5334</v>
      </c>
      <c r="L3869" s="696">
        <v>2</v>
      </c>
      <c r="M3869" s="170"/>
    </row>
    <row r="3870" spans="2:13" x14ac:dyDescent="0.2">
      <c r="B3870" s="173"/>
      <c r="C3870" s="694">
        <v>1</v>
      </c>
      <c r="D3870" s="695" t="s">
        <v>3903</v>
      </c>
      <c r="E3870" s="695">
        <v>7</v>
      </c>
      <c r="F3870" s="695" t="s">
        <v>6711</v>
      </c>
      <c r="G3870" s="695">
        <v>5</v>
      </c>
      <c r="H3870" s="695" t="s">
        <v>6654</v>
      </c>
      <c r="I3870" s="695">
        <v>163</v>
      </c>
      <c r="J3870" s="695" t="s">
        <v>7035</v>
      </c>
      <c r="K3870" s="695" t="s">
        <v>5334</v>
      </c>
      <c r="L3870" s="696">
        <v>0</v>
      </c>
      <c r="M3870" s="170"/>
    </row>
    <row r="3871" spans="2:13" x14ac:dyDescent="0.2">
      <c r="B3871" s="173"/>
      <c r="C3871" s="694">
        <v>1</v>
      </c>
      <c r="D3871" s="695" t="s">
        <v>3903</v>
      </c>
      <c r="E3871" s="695">
        <v>7</v>
      </c>
      <c r="F3871" s="695" t="s">
        <v>6711</v>
      </c>
      <c r="G3871" s="695">
        <v>5</v>
      </c>
      <c r="H3871" s="695" t="s">
        <v>6654</v>
      </c>
      <c r="I3871" s="695">
        <v>164</v>
      </c>
      <c r="J3871" s="695" t="s">
        <v>7036</v>
      </c>
      <c r="K3871" s="695" t="s">
        <v>5334</v>
      </c>
      <c r="L3871" s="696">
        <v>0</v>
      </c>
      <c r="M3871" s="170"/>
    </row>
    <row r="3872" spans="2:13" x14ac:dyDescent="0.2">
      <c r="B3872" s="173"/>
      <c r="C3872" s="694">
        <v>1</v>
      </c>
      <c r="D3872" s="695" t="s">
        <v>3903</v>
      </c>
      <c r="E3872" s="695">
        <v>7</v>
      </c>
      <c r="F3872" s="695" t="s">
        <v>6711</v>
      </c>
      <c r="G3872" s="695">
        <v>5</v>
      </c>
      <c r="H3872" s="695" t="s">
        <v>6654</v>
      </c>
      <c r="I3872" s="695">
        <v>165</v>
      </c>
      <c r="J3872" s="695" t="s">
        <v>7037</v>
      </c>
      <c r="K3872" s="695" t="s">
        <v>5334</v>
      </c>
      <c r="L3872" s="696">
        <v>0</v>
      </c>
      <c r="M3872" s="170"/>
    </row>
    <row r="3873" spans="2:13" x14ac:dyDescent="0.2">
      <c r="B3873" s="173"/>
      <c r="C3873" s="694">
        <v>1</v>
      </c>
      <c r="D3873" s="695" t="s">
        <v>3903</v>
      </c>
      <c r="E3873" s="695">
        <v>7</v>
      </c>
      <c r="F3873" s="695" t="s">
        <v>6711</v>
      </c>
      <c r="G3873" s="695">
        <v>5</v>
      </c>
      <c r="H3873" s="695" t="s">
        <v>6654</v>
      </c>
      <c r="I3873" s="695">
        <v>166</v>
      </c>
      <c r="J3873" s="695" t="s">
        <v>7038</v>
      </c>
      <c r="K3873" s="695" t="s">
        <v>5334</v>
      </c>
      <c r="L3873" s="696">
        <v>10</v>
      </c>
      <c r="M3873" s="170"/>
    </row>
    <row r="3874" spans="2:13" x14ac:dyDescent="0.2">
      <c r="B3874" s="173"/>
      <c r="C3874" s="694">
        <v>1</v>
      </c>
      <c r="D3874" s="695" t="s">
        <v>3903</v>
      </c>
      <c r="E3874" s="695">
        <v>7</v>
      </c>
      <c r="F3874" s="695" t="s">
        <v>6711</v>
      </c>
      <c r="G3874" s="695">
        <v>5</v>
      </c>
      <c r="H3874" s="695" t="s">
        <v>6654</v>
      </c>
      <c r="I3874" s="695">
        <v>167</v>
      </c>
      <c r="J3874" s="695" t="s">
        <v>7039</v>
      </c>
      <c r="K3874" s="695" t="s">
        <v>5334</v>
      </c>
      <c r="L3874" s="696">
        <v>8</v>
      </c>
      <c r="M3874" s="170"/>
    </row>
    <row r="3875" spans="2:13" x14ac:dyDescent="0.2">
      <c r="B3875" s="173"/>
      <c r="C3875" s="694">
        <v>1</v>
      </c>
      <c r="D3875" s="695" t="s">
        <v>3903</v>
      </c>
      <c r="E3875" s="695">
        <v>7</v>
      </c>
      <c r="F3875" s="695" t="s">
        <v>6711</v>
      </c>
      <c r="G3875" s="695">
        <v>5</v>
      </c>
      <c r="H3875" s="695" t="s">
        <v>6654</v>
      </c>
      <c r="I3875" s="695">
        <v>168</v>
      </c>
      <c r="J3875" s="695" t="s">
        <v>7040</v>
      </c>
      <c r="K3875" s="695" t="s">
        <v>5334</v>
      </c>
      <c r="L3875" s="696">
        <v>1</v>
      </c>
      <c r="M3875" s="170"/>
    </row>
    <row r="3876" spans="2:13" x14ac:dyDescent="0.2">
      <c r="B3876" s="173"/>
      <c r="C3876" s="694">
        <v>1</v>
      </c>
      <c r="D3876" s="695" t="s">
        <v>3903</v>
      </c>
      <c r="E3876" s="695">
        <v>7</v>
      </c>
      <c r="F3876" s="695" t="s">
        <v>6711</v>
      </c>
      <c r="G3876" s="695">
        <v>5</v>
      </c>
      <c r="H3876" s="695" t="s">
        <v>6654</v>
      </c>
      <c r="I3876" s="695">
        <v>169</v>
      </c>
      <c r="J3876" s="695" t="s">
        <v>7041</v>
      </c>
      <c r="K3876" s="695" t="s">
        <v>5334</v>
      </c>
      <c r="L3876" s="696">
        <v>0</v>
      </c>
      <c r="M3876" s="170"/>
    </row>
    <row r="3877" spans="2:13" x14ac:dyDescent="0.2">
      <c r="B3877" s="173"/>
      <c r="C3877" s="694">
        <v>1</v>
      </c>
      <c r="D3877" s="695" t="s">
        <v>3903</v>
      </c>
      <c r="E3877" s="695">
        <v>7</v>
      </c>
      <c r="F3877" s="695" t="s">
        <v>6711</v>
      </c>
      <c r="G3877" s="695">
        <v>5</v>
      </c>
      <c r="H3877" s="695" t="s">
        <v>6654</v>
      </c>
      <c r="I3877" s="695">
        <v>170</v>
      </c>
      <c r="J3877" s="695" t="s">
        <v>9179</v>
      </c>
      <c r="K3877" s="695" t="s">
        <v>5334</v>
      </c>
      <c r="L3877" s="696">
        <v>0</v>
      </c>
      <c r="M3877" s="170"/>
    </row>
    <row r="3878" spans="2:13" x14ac:dyDescent="0.2">
      <c r="B3878" s="173"/>
      <c r="C3878" s="694">
        <v>1</v>
      </c>
      <c r="D3878" s="695" t="s">
        <v>3903</v>
      </c>
      <c r="E3878" s="695">
        <v>7</v>
      </c>
      <c r="F3878" s="695" t="s">
        <v>6711</v>
      </c>
      <c r="G3878" s="695">
        <v>5</v>
      </c>
      <c r="H3878" s="695" t="s">
        <v>6654</v>
      </c>
      <c r="I3878" s="695">
        <v>171</v>
      </c>
      <c r="J3878" s="695" t="s">
        <v>9180</v>
      </c>
      <c r="K3878" s="695" t="s">
        <v>5334</v>
      </c>
      <c r="L3878" s="696">
        <v>5</v>
      </c>
      <c r="M3878" s="170"/>
    </row>
    <row r="3879" spans="2:13" x14ac:dyDescent="0.2">
      <c r="B3879" s="173"/>
      <c r="C3879" s="694">
        <v>1</v>
      </c>
      <c r="D3879" s="695" t="s">
        <v>3903</v>
      </c>
      <c r="E3879" s="695">
        <v>7</v>
      </c>
      <c r="F3879" s="695" t="s">
        <v>6711</v>
      </c>
      <c r="G3879" s="695">
        <v>5</v>
      </c>
      <c r="H3879" s="695" t="s">
        <v>6654</v>
      </c>
      <c r="I3879" s="695">
        <v>172</v>
      </c>
      <c r="J3879" s="695" t="s">
        <v>9181</v>
      </c>
      <c r="K3879" s="695" t="s">
        <v>4057</v>
      </c>
      <c r="L3879" s="696">
        <v>0</v>
      </c>
      <c r="M3879" s="170"/>
    </row>
    <row r="3880" spans="2:13" x14ac:dyDescent="0.2">
      <c r="B3880" s="173"/>
      <c r="C3880" s="694">
        <v>1</v>
      </c>
      <c r="D3880" s="695" t="s">
        <v>3903</v>
      </c>
      <c r="E3880" s="695">
        <v>7</v>
      </c>
      <c r="F3880" s="695" t="s">
        <v>6711</v>
      </c>
      <c r="G3880" s="695">
        <v>5</v>
      </c>
      <c r="H3880" s="695" t="s">
        <v>6654</v>
      </c>
      <c r="I3880" s="695">
        <v>173</v>
      </c>
      <c r="J3880" s="695" t="s">
        <v>9182</v>
      </c>
      <c r="K3880" s="695" t="s">
        <v>4117</v>
      </c>
      <c r="L3880" s="696">
        <v>3</v>
      </c>
      <c r="M3880" s="170"/>
    </row>
    <row r="3881" spans="2:13" x14ac:dyDescent="0.2">
      <c r="B3881" s="173"/>
      <c r="C3881" s="694">
        <v>1</v>
      </c>
      <c r="D3881" s="695" t="s">
        <v>3903</v>
      </c>
      <c r="E3881" s="695">
        <v>7</v>
      </c>
      <c r="F3881" s="695" t="s">
        <v>6711</v>
      </c>
      <c r="G3881" s="695">
        <v>5</v>
      </c>
      <c r="H3881" s="695" t="s">
        <v>6654</v>
      </c>
      <c r="I3881" s="695">
        <v>174</v>
      </c>
      <c r="J3881" s="695" t="s">
        <v>9183</v>
      </c>
      <c r="K3881" s="695" t="s">
        <v>5334</v>
      </c>
      <c r="L3881" s="696">
        <v>0</v>
      </c>
      <c r="M3881" s="170"/>
    </row>
    <row r="3882" spans="2:13" x14ac:dyDescent="0.2">
      <c r="B3882" s="173"/>
      <c r="C3882" s="694">
        <v>1</v>
      </c>
      <c r="D3882" s="695" t="s">
        <v>3903</v>
      </c>
      <c r="E3882" s="695">
        <v>7</v>
      </c>
      <c r="F3882" s="695" t="s">
        <v>6711</v>
      </c>
      <c r="G3882" s="695">
        <v>5</v>
      </c>
      <c r="H3882" s="695" t="s">
        <v>6654</v>
      </c>
      <c r="I3882" s="695">
        <v>175</v>
      </c>
      <c r="J3882" s="695" t="s">
        <v>9184</v>
      </c>
      <c r="K3882" s="695" t="s">
        <v>5334</v>
      </c>
      <c r="L3882" s="696">
        <v>1</v>
      </c>
      <c r="M3882" s="170"/>
    </row>
    <row r="3883" spans="2:13" x14ac:dyDescent="0.2">
      <c r="B3883" s="173"/>
      <c r="C3883" s="694">
        <v>1</v>
      </c>
      <c r="D3883" s="695" t="s">
        <v>3903</v>
      </c>
      <c r="E3883" s="695">
        <v>7</v>
      </c>
      <c r="F3883" s="695" t="s">
        <v>6711</v>
      </c>
      <c r="G3883" s="695">
        <v>5</v>
      </c>
      <c r="H3883" s="695" t="s">
        <v>6654</v>
      </c>
      <c r="I3883" s="695">
        <v>176</v>
      </c>
      <c r="J3883" s="695" t="s">
        <v>4806</v>
      </c>
      <c r="K3883" s="695" t="s">
        <v>5334</v>
      </c>
      <c r="L3883" s="696">
        <v>1</v>
      </c>
      <c r="M3883" s="170"/>
    </row>
    <row r="3884" spans="2:13" x14ac:dyDescent="0.2">
      <c r="B3884" s="173"/>
      <c r="C3884" s="694">
        <v>1</v>
      </c>
      <c r="D3884" s="695" t="s">
        <v>3903</v>
      </c>
      <c r="E3884" s="695">
        <v>7</v>
      </c>
      <c r="F3884" s="695" t="s">
        <v>6711</v>
      </c>
      <c r="G3884" s="695">
        <v>6</v>
      </c>
      <c r="H3884" s="695" t="s">
        <v>6660</v>
      </c>
      <c r="I3884" s="695">
        <v>1</v>
      </c>
      <c r="J3884" s="695" t="s">
        <v>7042</v>
      </c>
      <c r="K3884" s="695" t="s">
        <v>5334</v>
      </c>
      <c r="L3884" s="696">
        <v>1</v>
      </c>
      <c r="M3884" s="170"/>
    </row>
    <row r="3885" spans="2:13" x14ac:dyDescent="0.2">
      <c r="B3885" s="173"/>
      <c r="C3885" s="694">
        <v>1</v>
      </c>
      <c r="D3885" s="695" t="s">
        <v>3903</v>
      </c>
      <c r="E3885" s="695">
        <v>7</v>
      </c>
      <c r="F3885" s="695" t="s">
        <v>6711</v>
      </c>
      <c r="G3885" s="695">
        <v>6</v>
      </c>
      <c r="H3885" s="695" t="s">
        <v>6660</v>
      </c>
      <c r="I3885" s="695">
        <v>2</v>
      </c>
      <c r="J3885" s="695" t="s">
        <v>7043</v>
      </c>
      <c r="K3885" s="695" t="s">
        <v>5334</v>
      </c>
      <c r="L3885" s="696">
        <v>0</v>
      </c>
      <c r="M3885" s="170"/>
    </row>
    <row r="3886" spans="2:13" x14ac:dyDescent="0.2">
      <c r="B3886" s="173"/>
      <c r="C3886" s="694">
        <v>1</v>
      </c>
      <c r="D3886" s="695" t="s">
        <v>3903</v>
      </c>
      <c r="E3886" s="695">
        <v>7</v>
      </c>
      <c r="F3886" s="695" t="s">
        <v>6711</v>
      </c>
      <c r="G3886" s="695">
        <v>6</v>
      </c>
      <c r="H3886" s="695" t="s">
        <v>6660</v>
      </c>
      <c r="I3886" s="695">
        <v>3</v>
      </c>
      <c r="J3886" s="695" t="s">
        <v>7044</v>
      </c>
      <c r="K3886" s="695" t="s">
        <v>5334</v>
      </c>
      <c r="L3886" s="696">
        <v>3</v>
      </c>
      <c r="M3886" s="170"/>
    </row>
    <row r="3887" spans="2:13" x14ac:dyDescent="0.2">
      <c r="B3887" s="173"/>
      <c r="C3887" s="694">
        <v>1</v>
      </c>
      <c r="D3887" s="695" t="s">
        <v>3903</v>
      </c>
      <c r="E3887" s="695">
        <v>7</v>
      </c>
      <c r="F3887" s="695" t="s">
        <v>6711</v>
      </c>
      <c r="G3887" s="695">
        <v>6</v>
      </c>
      <c r="H3887" s="695" t="s">
        <v>6660</v>
      </c>
      <c r="I3887" s="695">
        <v>4</v>
      </c>
      <c r="J3887" s="695" t="s">
        <v>7045</v>
      </c>
      <c r="K3887" s="695" t="s">
        <v>5334</v>
      </c>
      <c r="L3887" s="696">
        <v>0</v>
      </c>
      <c r="M3887" s="170"/>
    </row>
    <row r="3888" spans="2:13" x14ac:dyDescent="0.2">
      <c r="B3888" s="173"/>
      <c r="C3888" s="694">
        <v>1</v>
      </c>
      <c r="D3888" s="695" t="s">
        <v>3903</v>
      </c>
      <c r="E3888" s="695">
        <v>7</v>
      </c>
      <c r="F3888" s="695" t="s">
        <v>6711</v>
      </c>
      <c r="G3888" s="695">
        <v>6</v>
      </c>
      <c r="H3888" s="695" t="s">
        <v>6660</v>
      </c>
      <c r="I3888" s="695">
        <v>5</v>
      </c>
      <c r="J3888" s="695" t="s">
        <v>7046</v>
      </c>
      <c r="K3888" s="695" t="s">
        <v>5334</v>
      </c>
      <c r="L3888" s="696">
        <v>13</v>
      </c>
      <c r="M3888" s="170"/>
    </row>
    <row r="3889" spans="2:13" x14ac:dyDescent="0.2">
      <c r="B3889" s="173"/>
      <c r="C3889" s="694">
        <v>1</v>
      </c>
      <c r="D3889" s="695" t="s">
        <v>3903</v>
      </c>
      <c r="E3889" s="695">
        <v>7</v>
      </c>
      <c r="F3889" s="695" t="s">
        <v>6711</v>
      </c>
      <c r="G3889" s="695">
        <v>6</v>
      </c>
      <c r="H3889" s="695" t="s">
        <v>6660</v>
      </c>
      <c r="I3889" s="695">
        <v>6</v>
      </c>
      <c r="J3889" s="695" t="s">
        <v>7047</v>
      </c>
      <c r="K3889" s="695" t="s">
        <v>5334</v>
      </c>
      <c r="L3889" s="696">
        <v>0</v>
      </c>
      <c r="M3889" s="170"/>
    </row>
    <row r="3890" spans="2:13" x14ac:dyDescent="0.2">
      <c r="B3890" s="173"/>
      <c r="C3890" s="694">
        <v>1</v>
      </c>
      <c r="D3890" s="695" t="s">
        <v>3903</v>
      </c>
      <c r="E3890" s="695">
        <v>7</v>
      </c>
      <c r="F3890" s="695" t="s">
        <v>6711</v>
      </c>
      <c r="G3890" s="695">
        <v>6</v>
      </c>
      <c r="H3890" s="695" t="s">
        <v>6660</v>
      </c>
      <c r="I3890" s="695">
        <v>7</v>
      </c>
      <c r="J3890" s="695" t="s">
        <v>7048</v>
      </c>
      <c r="K3890" s="695" t="s">
        <v>5334</v>
      </c>
      <c r="L3890" s="696">
        <v>0</v>
      </c>
      <c r="M3890" s="170"/>
    </row>
    <row r="3891" spans="2:13" x14ac:dyDescent="0.2">
      <c r="B3891" s="173"/>
      <c r="C3891" s="694">
        <v>1</v>
      </c>
      <c r="D3891" s="695" t="s">
        <v>3903</v>
      </c>
      <c r="E3891" s="695">
        <v>7</v>
      </c>
      <c r="F3891" s="695" t="s">
        <v>6711</v>
      </c>
      <c r="G3891" s="695">
        <v>6</v>
      </c>
      <c r="H3891" s="695" t="s">
        <v>6660</v>
      </c>
      <c r="I3891" s="695">
        <v>8</v>
      </c>
      <c r="J3891" s="695" t="s">
        <v>7049</v>
      </c>
      <c r="K3891" s="695" t="s">
        <v>5334</v>
      </c>
      <c r="L3891" s="696">
        <v>0</v>
      </c>
      <c r="M3891" s="170"/>
    </row>
    <row r="3892" spans="2:13" x14ac:dyDescent="0.2">
      <c r="B3892" s="173"/>
      <c r="C3892" s="694">
        <v>1</v>
      </c>
      <c r="D3892" s="695" t="s">
        <v>3903</v>
      </c>
      <c r="E3892" s="695">
        <v>7</v>
      </c>
      <c r="F3892" s="695" t="s">
        <v>6711</v>
      </c>
      <c r="G3892" s="695">
        <v>6</v>
      </c>
      <c r="H3892" s="695" t="s">
        <v>6660</v>
      </c>
      <c r="I3892" s="695">
        <v>9</v>
      </c>
      <c r="J3892" s="695" t="s">
        <v>7050</v>
      </c>
      <c r="K3892" s="695" t="s">
        <v>5334</v>
      </c>
      <c r="L3892" s="696">
        <v>0</v>
      </c>
      <c r="M3892" s="170"/>
    </row>
    <row r="3893" spans="2:13" x14ac:dyDescent="0.2">
      <c r="B3893" s="173"/>
      <c r="C3893" s="694">
        <v>1</v>
      </c>
      <c r="D3893" s="695" t="s">
        <v>3903</v>
      </c>
      <c r="E3893" s="695">
        <v>7</v>
      </c>
      <c r="F3893" s="695" t="s">
        <v>6711</v>
      </c>
      <c r="G3893" s="695">
        <v>6</v>
      </c>
      <c r="H3893" s="695" t="s">
        <v>6660</v>
      </c>
      <c r="I3893" s="695">
        <v>10</v>
      </c>
      <c r="J3893" s="695" t="s">
        <v>7051</v>
      </c>
      <c r="K3893" s="695" t="s">
        <v>5334</v>
      </c>
      <c r="L3893" s="696">
        <v>0</v>
      </c>
      <c r="M3893" s="170"/>
    </row>
    <row r="3894" spans="2:13" x14ac:dyDescent="0.2">
      <c r="B3894" s="173"/>
      <c r="C3894" s="694">
        <v>1</v>
      </c>
      <c r="D3894" s="695" t="s">
        <v>3903</v>
      </c>
      <c r="E3894" s="695">
        <v>7</v>
      </c>
      <c r="F3894" s="695" t="s">
        <v>6711</v>
      </c>
      <c r="G3894" s="695">
        <v>6</v>
      </c>
      <c r="H3894" s="695" t="s">
        <v>6660</v>
      </c>
      <c r="I3894" s="695">
        <v>11</v>
      </c>
      <c r="J3894" s="695" t="s">
        <v>7052</v>
      </c>
      <c r="K3894" s="695" t="s">
        <v>5334</v>
      </c>
      <c r="L3894" s="696">
        <v>0</v>
      </c>
      <c r="M3894" s="170"/>
    </row>
    <row r="3895" spans="2:13" x14ac:dyDescent="0.2">
      <c r="B3895" s="173"/>
      <c r="C3895" s="694">
        <v>1</v>
      </c>
      <c r="D3895" s="695" t="s">
        <v>3903</v>
      </c>
      <c r="E3895" s="695">
        <v>7</v>
      </c>
      <c r="F3895" s="695" t="s">
        <v>6711</v>
      </c>
      <c r="G3895" s="695">
        <v>6</v>
      </c>
      <c r="H3895" s="695" t="s">
        <v>6660</v>
      </c>
      <c r="I3895" s="695">
        <v>12</v>
      </c>
      <c r="J3895" s="695" t="s">
        <v>7053</v>
      </c>
      <c r="K3895" s="695" t="s">
        <v>5334</v>
      </c>
      <c r="L3895" s="696">
        <v>0</v>
      </c>
      <c r="M3895" s="170"/>
    </row>
    <row r="3896" spans="2:13" x14ac:dyDescent="0.2">
      <c r="B3896" s="173"/>
      <c r="C3896" s="694">
        <v>1</v>
      </c>
      <c r="D3896" s="695" t="s">
        <v>3903</v>
      </c>
      <c r="E3896" s="695">
        <v>7</v>
      </c>
      <c r="F3896" s="695" t="s">
        <v>6711</v>
      </c>
      <c r="G3896" s="695">
        <v>6</v>
      </c>
      <c r="H3896" s="695" t="s">
        <v>6660</v>
      </c>
      <c r="I3896" s="695">
        <v>13</v>
      </c>
      <c r="J3896" s="695" t="s">
        <v>7054</v>
      </c>
      <c r="K3896" s="695" t="s">
        <v>5334</v>
      </c>
      <c r="L3896" s="696">
        <v>0</v>
      </c>
      <c r="M3896" s="170"/>
    </row>
    <row r="3897" spans="2:13" x14ac:dyDescent="0.2">
      <c r="B3897" s="173"/>
      <c r="C3897" s="694">
        <v>1</v>
      </c>
      <c r="D3897" s="695" t="s">
        <v>3903</v>
      </c>
      <c r="E3897" s="695">
        <v>7</v>
      </c>
      <c r="F3897" s="695" t="s">
        <v>6711</v>
      </c>
      <c r="G3897" s="695">
        <v>6</v>
      </c>
      <c r="H3897" s="695" t="s">
        <v>6660</v>
      </c>
      <c r="I3897" s="695">
        <v>14</v>
      </c>
      <c r="J3897" s="695" t="s">
        <v>7055</v>
      </c>
      <c r="K3897" s="695" t="s">
        <v>5334</v>
      </c>
      <c r="L3897" s="696">
        <v>0</v>
      </c>
      <c r="M3897" s="170"/>
    </row>
    <row r="3898" spans="2:13" x14ac:dyDescent="0.2">
      <c r="B3898" s="173"/>
      <c r="C3898" s="694">
        <v>1</v>
      </c>
      <c r="D3898" s="695" t="s">
        <v>3903</v>
      </c>
      <c r="E3898" s="695">
        <v>7</v>
      </c>
      <c r="F3898" s="695" t="s">
        <v>6711</v>
      </c>
      <c r="G3898" s="695">
        <v>6</v>
      </c>
      <c r="H3898" s="695" t="s">
        <v>6660</v>
      </c>
      <c r="I3898" s="695">
        <v>15</v>
      </c>
      <c r="J3898" s="695" t="s">
        <v>7056</v>
      </c>
      <c r="K3898" s="695" t="s">
        <v>5334</v>
      </c>
      <c r="L3898" s="696">
        <v>2</v>
      </c>
      <c r="M3898" s="170"/>
    </row>
    <row r="3899" spans="2:13" x14ac:dyDescent="0.2">
      <c r="B3899" s="173"/>
      <c r="C3899" s="694">
        <v>1</v>
      </c>
      <c r="D3899" s="695" t="s">
        <v>3903</v>
      </c>
      <c r="E3899" s="695">
        <v>7</v>
      </c>
      <c r="F3899" s="695" t="s">
        <v>6711</v>
      </c>
      <c r="G3899" s="695">
        <v>6</v>
      </c>
      <c r="H3899" s="695" t="s">
        <v>6660</v>
      </c>
      <c r="I3899" s="695">
        <v>16</v>
      </c>
      <c r="J3899" s="695" t="s">
        <v>7057</v>
      </c>
      <c r="K3899" s="695" t="s">
        <v>5334</v>
      </c>
      <c r="L3899" s="696">
        <v>2</v>
      </c>
      <c r="M3899" s="170"/>
    </row>
    <row r="3900" spans="2:13" x14ac:dyDescent="0.2">
      <c r="B3900" s="173"/>
      <c r="C3900" s="694">
        <v>1</v>
      </c>
      <c r="D3900" s="695" t="s">
        <v>3903</v>
      </c>
      <c r="E3900" s="695">
        <v>7</v>
      </c>
      <c r="F3900" s="695" t="s">
        <v>6711</v>
      </c>
      <c r="G3900" s="695">
        <v>7</v>
      </c>
      <c r="H3900" s="695" t="s">
        <v>6662</v>
      </c>
      <c r="I3900" s="695">
        <v>1</v>
      </c>
      <c r="J3900" s="695" t="s">
        <v>7058</v>
      </c>
      <c r="K3900" s="695" t="s">
        <v>5334</v>
      </c>
      <c r="L3900" s="696">
        <v>0</v>
      </c>
      <c r="M3900" s="170"/>
    </row>
    <row r="3901" spans="2:13" x14ac:dyDescent="0.2">
      <c r="B3901" s="173"/>
      <c r="C3901" s="694">
        <v>1</v>
      </c>
      <c r="D3901" s="695" t="s">
        <v>3903</v>
      </c>
      <c r="E3901" s="695">
        <v>7</v>
      </c>
      <c r="F3901" s="695" t="s">
        <v>6711</v>
      </c>
      <c r="G3901" s="695">
        <v>7</v>
      </c>
      <c r="H3901" s="695" t="s">
        <v>6662</v>
      </c>
      <c r="I3901" s="695">
        <v>2</v>
      </c>
      <c r="J3901" s="695" t="s">
        <v>7059</v>
      </c>
      <c r="K3901" s="695" t="s">
        <v>5334</v>
      </c>
      <c r="L3901" s="696">
        <v>0</v>
      </c>
      <c r="M3901" s="170"/>
    </row>
    <row r="3902" spans="2:13" x14ac:dyDescent="0.2">
      <c r="B3902" s="173"/>
      <c r="C3902" s="694">
        <v>1</v>
      </c>
      <c r="D3902" s="695" t="s">
        <v>3903</v>
      </c>
      <c r="E3902" s="695">
        <v>7</v>
      </c>
      <c r="F3902" s="695" t="s">
        <v>6711</v>
      </c>
      <c r="G3902" s="695">
        <v>7</v>
      </c>
      <c r="H3902" s="695" t="s">
        <v>6662</v>
      </c>
      <c r="I3902" s="695">
        <v>3</v>
      </c>
      <c r="J3902" s="695" t="s">
        <v>7060</v>
      </c>
      <c r="K3902" s="695" t="s">
        <v>5334</v>
      </c>
      <c r="L3902" s="696">
        <v>0</v>
      </c>
      <c r="M3902" s="170"/>
    </row>
    <row r="3903" spans="2:13" x14ac:dyDescent="0.2">
      <c r="B3903" s="173"/>
      <c r="C3903" s="694">
        <v>1</v>
      </c>
      <c r="D3903" s="695" t="s">
        <v>3903</v>
      </c>
      <c r="E3903" s="695">
        <v>7</v>
      </c>
      <c r="F3903" s="695" t="s">
        <v>6711</v>
      </c>
      <c r="G3903" s="695">
        <v>7</v>
      </c>
      <c r="H3903" s="695" t="s">
        <v>6662</v>
      </c>
      <c r="I3903" s="695">
        <v>4</v>
      </c>
      <c r="J3903" s="695" t="s">
        <v>7061</v>
      </c>
      <c r="K3903" s="695" t="s">
        <v>5334</v>
      </c>
      <c r="L3903" s="696">
        <v>0</v>
      </c>
      <c r="M3903" s="170"/>
    </row>
    <row r="3904" spans="2:13" x14ac:dyDescent="0.2">
      <c r="B3904" s="173"/>
      <c r="C3904" s="694">
        <v>1</v>
      </c>
      <c r="D3904" s="695" t="s">
        <v>3903</v>
      </c>
      <c r="E3904" s="695">
        <v>7</v>
      </c>
      <c r="F3904" s="695" t="s">
        <v>6711</v>
      </c>
      <c r="G3904" s="695">
        <v>7</v>
      </c>
      <c r="H3904" s="695" t="s">
        <v>6662</v>
      </c>
      <c r="I3904" s="695">
        <v>5</v>
      </c>
      <c r="J3904" s="695" t="s">
        <v>7062</v>
      </c>
      <c r="K3904" s="695" t="s">
        <v>5334</v>
      </c>
      <c r="L3904" s="696">
        <v>1</v>
      </c>
      <c r="M3904" s="170"/>
    </row>
    <row r="3905" spans="2:13" x14ac:dyDescent="0.2">
      <c r="B3905" s="173"/>
      <c r="C3905" s="694">
        <v>1</v>
      </c>
      <c r="D3905" s="695" t="s">
        <v>3903</v>
      </c>
      <c r="E3905" s="695">
        <v>7</v>
      </c>
      <c r="F3905" s="695" t="s">
        <v>6711</v>
      </c>
      <c r="G3905" s="695">
        <v>7</v>
      </c>
      <c r="H3905" s="695" t="s">
        <v>6662</v>
      </c>
      <c r="I3905" s="695">
        <v>6</v>
      </c>
      <c r="J3905" s="695" t="s">
        <v>7063</v>
      </c>
      <c r="K3905" s="695" t="s">
        <v>5334</v>
      </c>
      <c r="L3905" s="696">
        <v>1</v>
      </c>
      <c r="M3905" s="170"/>
    </row>
    <row r="3906" spans="2:13" x14ac:dyDescent="0.2">
      <c r="B3906" s="173"/>
      <c r="C3906" s="694">
        <v>1</v>
      </c>
      <c r="D3906" s="695" t="s">
        <v>3903</v>
      </c>
      <c r="E3906" s="695">
        <v>7</v>
      </c>
      <c r="F3906" s="695" t="s">
        <v>6711</v>
      </c>
      <c r="G3906" s="695">
        <v>7</v>
      </c>
      <c r="H3906" s="695" t="s">
        <v>6662</v>
      </c>
      <c r="I3906" s="695">
        <v>8</v>
      </c>
      <c r="J3906" s="695" t="s">
        <v>7064</v>
      </c>
      <c r="K3906" s="695" t="s">
        <v>5334</v>
      </c>
      <c r="L3906" s="696">
        <v>2</v>
      </c>
      <c r="M3906" s="170"/>
    </row>
    <row r="3907" spans="2:13" x14ac:dyDescent="0.2">
      <c r="B3907" s="173"/>
      <c r="C3907" s="694">
        <v>1</v>
      </c>
      <c r="D3907" s="695" t="s">
        <v>3903</v>
      </c>
      <c r="E3907" s="695">
        <v>7</v>
      </c>
      <c r="F3907" s="695" t="s">
        <v>6711</v>
      </c>
      <c r="G3907" s="695">
        <v>7</v>
      </c>
      <c r="H3907" s="695" t="s">
        <v>6662</v>
      </c>
      <c r="I3907" s="695">
        <v>9</v>
      </c>
      <c r="J3907" s="695" t="s">
        <v>7065</v>
      </c>
      <c r="K3907" s="695" t="s">
        <v>5334</v>
      </c>
      <c r="L3907" s="696">
        <v>1</v>
      </c>
      <c r="M3907" s="170"/>
    </row>
    <row r="3908" spans="2:13" x14ac:dyDescent="0.2">
      <c r="B3908" s="173"/>
      <c r="C3908" s="694">
        <v>1</v>
      </c>
      <c r="D3908" s="695" t="s">
        <v>3903</v>
      </c>
      <c r="E3908" s="695">
        <v>7</v>
      </c>
      <c r="F3908" s="695" t="s">
        <v>6711</v>
      </c>
      <c r="G3908" s="695">
        <v>7</v>
      </c>
      <c r="H3908" s="695" t="s">
        <v>6662</v>
      </c>
      <c r="I3908" s="695">
        <v>10</v>
      </c>
      <c r="J3908" s="695" t="s">
        <v>7066</v>
      </c>
      <c r="K3908" s="695" t="s">
        <v>5334</v>
      </c>
      <c r="L3908" s="696">
        <v>0</v>
      </c>
      <c r="M3908" s="170"/>
    </row>
    <row r="3909" spans="2:13" x14ac:dyDescent="0.2">
      <c r="B3909" s="173"/>
      <c r="C3909" s="694">
        <v>1</v>
      </c>
      <c r="D3909" s="695" t="s">
        <v>3903</v>
      </c>
      <c r="E3909" s="695">
        <v>7</v>
      </c>
      <c r="F3909" s="695" t="s">
        <v>6711</v>
      </c>
      <c r="G3909" s="695">
        <v>7</v>
      </c>
      <c r="H3909" s="695" t="s">
        <v>6662</v>
      </c>
      <c r="I3909" s="695">
        <v>11</v>
      </c>
      <c r="J3909" s="695" t="s">
        <v>7067</v>
      </c>
      <c r="K3909" s="695" t="s">
        <v>5334</v>
      </c>
      <c r="L3909" s="696">
        <v>1</v>
      </c>
      <c r="M3909" s="170"/>
    </row>
    <row r="3910" spans="2:13" x14ac:dyDescent="0.2">
      <c r="B3910" s="173"/>
      <c r="C3910" s="694">
        <v>1</v>
      </c>
      <c r="D3910" s="695" t="s">
        <v>3903</v>
      </c>
      <c r="E3910" s="695">
        <v>7</v>
      </c>
      <c r="F3910" s="695" t="s">
        <v>6711</v>
      </c>
      <c r="G3910" s="695">
        <v>7</v>
      </c>
      <c r="H3910" s="695" t="s">
        <v>6662</v>
      </c>
      <c r="I3910" s="695">
        <v>12</v>
      </c>
      <c r="J3910" s="695" t="s">
        <v>7068</v>
      </c>
      <c r="K3910" s="695" t="s">
        <v>5334</v>
      </c>
      <c r="L3910" s="696">
        <v>0</v>
      </c>
      <c r="M3910" s="170"/>
    </row>
    <row r="3911" spans="2:13" x14ac:dyDescent="0.2">
      <c r="B3911" s="173"/>
      <c r="C3911" s="694">
        <v>1</v>
      </c>
      <c r="D3911" s="695" t="s">
        <v>3903</v>
      </c>
      <c r="E3911" s="695">
        <v>7</v>
      </c>
      <c r="F3911" s="695" t="s">
        <v>6711</v>
      </c>
      <c r="G3911" s="695">
        <v>7</v>
      </c>
      <c r="H3911" s="695" t="s">
        <v>6662</v>
      </c>
      <c r="I3911" s="695">
        <v>13</v>
      </c>
      <c r="J3911" s="695" t="s">
        <v>7069</v>
      </c>
      <c r="K3911" s="695" t="s">
        <v>5334</v>
      </c>
      <c r="L3911" s="696">
        <v>0</v>
      </c>
      <c r="M3911" s="170"/>
    </row>
    <row r="3912" spans="2:13" x14ac:dyDescent="0.2">
      <c r="B3912" s="173"/>
      <c r="C3912" s="694">
        <v>1</v>
      </c>
      <c r="D3912" s="695" t="s">
        <v>3903</v>
      </c>
      <c r="E3912" s="695">
        <v>7</v>
      </c>
      <c r="F3912" s="695" t="s">
        <v>6711</v>
      </c>
      <c r="G3912" s="695">
        <v>7</v>
      </c>
      <c r="H3912" s="695" t="s">
        <v>6662</v>
      </c>
      <c r="I3912" s="695">
        <v>14</v>
      </c>
      <c r="J3912" s="695" t="s">
        <v>7070</v>
      </c>
      <c r="K3912" s="695" t="s">
        <v>5334</v>
      </c>
      <c r="L3912" s="696">
        <v>0</v>
      </c>
      <c r="M3912" s="170"/>
    </row>
    <row r="3913" spans="2:13" x14ac:dyDescent="0.2">
      <c r="B3913" s="173"/>
      <c r="C3913" s="694">
        <v>1</v>
      </c>
      <c r="D3913" s="695" t="s">
        <v>3903</v>
      </c>
      <c r="E3913" s="695">
        <v>7</v>
      </c>
      <c r="F3913" s="695" t="s">
        <v>6711</v>
      </c>
      <c r="G3913" s="695">
        <v>7</v>
      </c>
      <c r="H3913" s="695" t="s">
        <v>6662</v>
      </c>
      <c r="I3913" s="695">
        <v>15</v>
      </c>
      <c r="J3913" s="695" t="s">
        <v>6463</v>
      </c>
      <c r="K3913" s="695" t="s">
        <v>5334</v>
      </c>
      <c r="L3913" s="696">
        <v>5</v>
      </c>
      <c r="M3913" s="170"/>
    </row>
    <row r="3914" spans="2:13" x14ac:dyDescent="0.2">
      <c r="B3914" s="173"/>
      <c r="C3914" s="694">
        <v>1</v>
      </c>
      <c r="D3914" s="695" t="s">
        <v>3903</v>
      </c>
      <c r="E3914" s="695">
        <v>7</v>
      </c>
      <c r="F3914" s="695" t="s">
        <v>6711</v>
      </c>
      <c r="G3914" s="695">
        <v>7</v>
      </c>
      <c r="H3914" s="695" t="s">
        <v>6662</v>
      </c>
      <c r="I3914" s="695">
        <v>16</v>
      </c>
      <c r="J3914" s="695" t="s">
        <v>7071</v>
      </c>
      <c r="K3914" s="695" t="s">
        <v>5334</v>
      </c>
      <c r="L3914" s="696">
        <v>0</v>
      </c>
      <c r="M3914" s="170"/>
    </row>
    <row r="3915" spans="2:13" x14ac:dyDescent="0.2">
      <c r="B3915" s="173"/>
      <c r="C3915" s="694">
        <v>1</v>
      </c>
      <c r="D3915" s="695" t="s">
        <v>3903</v>
      </c>
      <c r="E3915" s="695">
        <v>7</v>
      </c>
      <c r="F3915" s="695" t="s">
        <v>6711</v>
      </c>
      <c r="G3915" s="695">
        <v>7</v>
      </c>
      <c r="H3915" s="695" t="s">
        <v>6662</v>
      </c>
      <c r="I3915" s="695">
        <v>17</v>
      </c>
      <c r="J3915" s="695" t="s">
        <v>7072</v>
      </c>
      <c r="K3915" s="695" t="s">
        <v>5334</v>
      </c>
      <c r="L3915" s="696">
        <v>0</v>
      </c>
      <c r="M3915" s="170"/>
    </row>
    <row r="3916" spans="2:13" x14ac:dyDescent="0.2">
      <c r="B3916" s="173"/>
      <c r="C3916" s="694">
        <v>1</v>
      </c>
      <c r="D3916" s="695" t="s">
        <v>3903</v>
      </c>
      <c r="E3916" s="695">
        <v>7</v>
      </c>
      <c r="F3916" s="695" t="s">
        <v>6711</v>
      </c>
      <c r="G3916" s="695">
        <v>7</v>
      </c>
      <c r="H3916" s="695" t="s">
        <v>6662</v>
      </c>
      <c r="I3916" s="695">
        <v>18</v>
      </c>
      <c r="J3916" s="695" t="s">
        <v>7073</v>
      </c>
      <c r="K3916" s="695" t="s">
        <v>5334</v>
      </c>
      <c r="L3916" s="696">
        <v>0</v>
      </c>
      <c r="M3916" s="170"/>
    </row>
    <row r="3917" spans="2:13" x14ac:dyDescent="0.2">
      <c r="B3917" s="173"/>
      <c r="C3917" s="694">
        <v>1</v>
      </c>
      <c r="D3917" s="695" t="s">
        <v>3903</v>
      </c>
      <c r="E3917" s="695">
        <v>7</v>
      </c>
      <c r="F3917" s="695" t="s">
        <v>6711</v>
      </c>
      <c r="G3917" s="695">
        <v>7</v>
      </c>
      <c r="H3917" s="695" t="s">
        <v>6662</v>
      </c>
      <c r="I3917" s="695">
        <v>19</v>
      </c>
      <c r="J3917" s="695" t="s">
        <v>7074</v>
      </c>
      <c r="K3917" s="695" t="s">
        <v>5334</v>
      </c>
      <c r="L3917" s="696">
        <v>0</v>
      </c>
      <c r="M3917" s="170"/>
    </row>
    <row r="3918" spans="2:13" x14ac:dyDescent="0.2">
      <c r="B3918" s="173"/>
      <c r="C3918" s="694">
        <v>1</v>
      </c>
      <c r="D3918" s="695" t="s">
        <v>3903</v>
      </c>
      <c r="E3918" s="695">
        <v>7</v>
      </c>
      <c r="F3918" s="695" t="s">
        <v>6711</v>
      </c>
      <c r="G3918" s="695">
        <v>7</v>
      </c>
      <c r="H3918" s="695" t="s">
        <v>6662</v>
      </c>
      <c r="I3918" s="695">
        <v>20</v>
      </c>
      <c r="J3918" s="695" t="s">
        <v>7075</v>
      </c>
      <c r="K3918" s="695" t="s">
        <v>5334</v>
      </c>
      <c r="L3918" s="696">
        <v>3</v>
      </c>
      <c r="M3918" s="170"/>
    </row>
    <row r="3919" spans="2:13" x14ac:dyDescent="0.2">
      <c r="B3919" s="173"/>
      <c r="C3919" s="694">
        <v>1</v>
      </c>
      <c r="D3919" s="695" t="s">
        <v>3903</v>
      </c>
      <c r="E3919" s="695">
        <v>7</v>
      </c>
      <c r="F3919" s="695" t="s">
        <v>6711</v>
      </c>
      <c r="G3919" s="695">
        <v>7</v>
      </c>
      <c r="H3919" s="695" t="s">
        <v>6662</v>
      </c>
      <c r="I3919" s="695">
        <v>21</v>
      </c>
      <c r="J3919" s="695" t="s">
        <v>7076</v>
      </c>
      <c r="K3919" s="695" t="s">
        <v>5334</v>
      </c>
      <c r="L3919" s="696">
        <v>0</v>
      </c>
      <c r="M3919" s="170"/>
    </row>
    <row r="3920" spans="2:13" x14ac:dyDescent="0.2">
      <c r="B3920" s="173"/>
      <c r="C3920" s="694">
        <v>1</v>
      </c>
      <c r="D3920" s="695" t="s">
        <v>3903</v>
      </c>
      <c r="E3920" s="695">
        <v>7</v>
      </c>
      <c r="F3920" s="695" t="s">
        <v>6711</v>
      </c>
      <c r="G3920" s="695">
        <v>7</v>
      </c>
      <c r="H3920" s="695" t="s">
        <v>6662</v>
      </c>
      <c r="I3920" s="695">
        <v>22</v>
      </c>
      <c r="J3920" s="695" t="s">
        <v>7077</v>
      </c>
      <c r="K3920" s="695" t="s">
        <v>5334</v>
      </c>
      <c r="L3920" s="696">
        <v>0</v>
      </c>
      <c r="M3920" s="170"/>
    </row>
    <row r="3921" spans="2:13" x14ac:dyDescent="0.2">
      <c r="B3921" s="173"/>
      <c r="C3921" s="694">
        <v>1</v>
      </c>
      <c r="D3921" s="695" t="s">
        <v>3903</v>
      </c>
      <c r="E3921" s="695">
        <v>7</v>
      </c>
      <c r="F3921" s="695" t="s">
        <v>6711</v>
      </c>
      <c r="G3921" s="695">
        <v>7</v>
      </c>
      <c r="H3921" s="695" t="s">
        <v>6662</v>
      </c>
      <c r="I3921" s="695">
        <v>23</v>
      </c>
      <c r="J3921" s="695" t="s">
        <v>7078</v>
      </c>
      <c r="K3921" s="695" t="s">
        <v>5334</v>
      </c>
      <c r="L3921" s="696">
        <v>0</v>
      </c>
      <c r="M3921" s="170"/>
    </row>
    <row r="3922" spans="2:13" x14ac:dyDescent="0.2">
      <c r="B3922" s="173"/>
      <c r="C3922" s="694">
        <v>1</v>
      </c>
      <c r="D3922" s="695" t="s">
        <v>3903</v>
      </c>
      <c r="E3922" s="695">
        <v>7</v>
      </c>
      <c r="F3922" s="695" t="s">
        <v>6711</v>
      </c>
      <c r="G3922" s="695">
        <v>7</v>
      </c>
      <c r="H3922" s="695" t="s">
        <v>6662</v>
      </c>
      <c r="I3922" s="695">
        <v>24</v>
      </c>
      <c r="J3922" s="695" t="s">
        <v>7079</v>
      </c>
      <c r="K3922" s="695" t="s">
        <v>5334</v>
      </c>
      <c r="L3922" s="696">
        <v>0</v>
      </c>
      <c r="M3922" s="170"/>
    </row>
    <row r="3923" spans="2:13" x14ac:dyDescent="0.2">
      <c r="B3923" s="173"/>
      <c r="C3923" s="694">
        <v>1</v>
      </c>
      <c r="D3923" s="695" t="s">
        <v>3903</v>
      </c>
      <c r="E3923" s="695">
        <v>7</v>
      </c>
      <c r="F3923" s="695" t="s">
        <v>6711</v>
      </c>
      <c r="G3923" s="695">
        <v>7</v>
      </c>
      <c r="H3923" s="695" t="s">
        <v>6662</v>
      </c>
      <c r="I3923" s="695">
        <v>25</v>
      </c>
      <c r="J3923" s="695" t="s">
        <v>7080</v>
      </c>
      <c r="K3923" s="695" t="s">
        <v>5334</v>
      </c>
      <c r="L3923" s="696">
        <v>0</v>
      </c>
      <c r="M3923" s="170"/>
    </row>
    <row r="3924" spans="2:13" x14ac:dyDescent="0.2">
      <c r="B3924" s="173"/>
      <c r="C3924" s="694">
        <v>1</v>
      </c>
      <c r="D3924" s="695" t="s">
        <v>3903</v>
      </c>
      <c r="E3924" s="695">
        <v>7</v>
      </c>
      <c r="F3924" s="695" t="s">
        <v>6711</v>
      </c>
      <c r="G3924" s="695">
        <v>7</v>
      </c>
      <c r="H3924" s="695" t="s">
        <v>6662</v>
      </c>
      <c r="I3924" s="695">
        <v>26</v>
      </c>
      <c r="J3924" s="695" t="s">
        <v>7081</v>
      </c>
      <c r="K3924" s="695" t="s">
        <v>5334</v>
      </c>
      <c r="L3924" s="696">
        <v>0</v>
      </c>
      <c r="M3924" s="170"/>
    </row>
    <row r="3925" spans="2:13" x14ac:dyDescent="0.2">
      <c r="B3925" s="173"/>
      <c r="C3925" s="694">
        <v>1</v>
      </c>
      <c r="D3925" s="695" t="s">
        <v>3903</v>
      </c>
      <c r="E3925" s="695">
        <v>7</v>
      </c>
      <c r="F3925" s="695" t="s">
        <v>6711</v>
      </c>
      <c r="G3925" s="695">
        <v>7</v>
      </c>
      <c r="H3925" s="695" t="s">
        <v>6662</v>
      </c>
      <c r="I3925" s="695">
        <v>27</v>
      </c>
      <c r="J3925" s="695" t="s">
        <v>7082</v>
      </c>
      <c r="K3925" s="695" t="s">
        <v>5334</v>
      </c>
      <c r="L3925" s="696">
        <v>0</v>
      </c>
      <c r="M3925" s="170"/>
    </row>
    <row r="3926" spans="2:13" x14ac:dyDescent="0.2">
      <c r="B3926" s="173"/>
      <c r="C3926" s="694">
        <v>1</v>
      </c>
      <c r="D3926" s="695" t="s">
        <v>3903</v>
      </c>
      <c r="E3926" s="695">
        <v>7</v>
      </c>
      <c r="F3926" s="695" t="s">
        <v>6711</v>
      </c>
      <c r="G3926" s="695">
        <v>7</v>
      </c>
      <c r="H3926" s="695" t="s">
        <v>6662</v>
      </c>
      <c r="I3926" s="695">
        <v>28</v>
      </c>
      <c r="J3926" s="695" t="s">
        <v>7083</v>
      </c>
      <c r="K3926" s="695" t="s">
        <v>5334</v>
      </c>
      <c r="L3926" s="696">
        <v>0</v>
      </c>
      <c r="M3926" s="170"/>
    </row>
    <row r="3927" spans="2:13" x14ac:dyDescent="0.2">
      <c r="B3927" s="173"/>
      <c r="C3927" s="694">
        <v>1</v>
      </c>
      <c r="D3927" s="695" t="s">
        <v>3903</v>
      </c>
      <c r="E3927" s="695">
        <v>7</v>
      </c>
      <c r="F3927" s="695" t="s">
        <v>6711</v>
      </c>
      <c r="G3927" s="695">
        <v>7</v>
      </c>
      <c r="H3927" s="695" t="s">
        <v>6662</v>
      </c>
      <c r="I3927" s="695">
        <v>29</v>
      </c>
      <c r="J3927" s="695" t="s">
        <v>7084</v>
      </c>
      <c r="K3927" s="695" t="s">
        <v>5334</v>
      </c>
      <c r="L3927" s="696">
        <v>5</v>
      </c>
      <c r="M3927" s="170"/>
    </row>
    <row r="3928" spans="2:13" x14ac:dyDescent="0.2">
      <c r="B3928" s="173"/>
      <c r="C3928" s="694">
        <v>1</v>
      </c>
      <c r="D3928" s="695" t="s">
        <v>3903</v>
      </c>
      <c r="E3928" s="695">
        <v>7</v>
      </c>
      <c r="F3928" s="695" t="s">
        <v>6711</v>
      </c>
      <c r="G3928" s="695">
        <v>7</v>
      </c>
      <c r="H3928" s="695" t="s">
        <v>6662</v>
      </c>
      <c r="I3928" s="695">
        <v>30</v>
      </c>
      <c r="J3928" s="695" t="s">
        <v>7085</v>
      </c>
      <c r="K3928" s="695" t="s">
        <v>5334</v>
      </c>
      <c r="L3928" s="696">
        <v>0</v>
      </c>
      <c r="M3928" s="170"/>
    </row>
    <row r="3929" spans="2:13" x14ac:dyDescent="0.2">
      <c r="B3929" s="173"/>
      <c r="C3929" s="694">
        <v>1</v>
      </c>
      <c r="D3929" s="695" t="s">
        <v>3903</v>
      </c>
      <c r="E3929" s="695">
        <v>7</v>
      </c>
      <c r="F3929" s="695" t="s">
        <v>6711</v>
      </c>
      <c r="G3929" s="695">
        <v>7</v>
      </c>
      <c r="H3929" s="695" t="s">
        <v>6662</v>
      </c>
      <c r="I3929" s="695">
        <v>31</v>
      </c>
      <c r="J3929" s="695" t="s">
        <v>7086</v>
      </c>
      <c r="K3929" s="695" t="s">
        <v>5334</v>
      </c>
      <c r="L3929" s="696">
        <v>0</v>
      </c>
      <c r="M3929" s="170"/>
    </row>
    <row r="3930" spans="2:13" x14ac:dyDescent="0.2">
      <c r="B3930" s="173"/>
      <c r="C3930" s="694">
        <v>1</v>
      </c>
      <c r="D3930" s="695" t="s">
        <v>3903</v>
      </c>
      <c r="E3930" s="695">
        <v>7</v>
      </c>
      <c r="F3930" s="695" t="s">
        <v>6711</v>
      </c>
      <c r="G3930" s="695">
        <v>7</v>
      </c>
      <c r="H3930" s="695" t="s">
        <v>6662</v>
      </c>
      <c r="I3930" s="695">
        <v>32</v>
      </c>
      <c r="J3930" s="695" t="s">
        <v>7087</v>
      </c>
      <c r="K3930" s="695" t="s">
        <v>5334</v>
      </c>
      <c r="L3930" s="696">
        <v>0</v>
      </c>
      <c r="M3930" s="170"/>
    </row>
    <row r="3931" spans="2:13" x14ac:dyDescent="0.2">
      <c r="B3931" s="173"/>
      <c r="C3931" s="694">
        <v>1</v>
      </c>
      <c r="D3931" s="695" t="s">
        <v>3903</v>
      </c>
      <c r="E3931" s="695">
        <v>7</v>
      </c>
      <c r="F3931" s="695" t="s">
        <v>6711</v>
      </c>
      <c r="G3931" s="695">
        <v>7</v>
      </c>
      <c r="H3931" s="695" t="s">
        <v>6662</v>
      </c>
      <c r="I3931" s="695">
        <v>33</v>
      </c>
      <c r="J3931" s="695" t="s">
        <v>7088</v>
      </c>
      <c r="K3931" s="695" t="s">
        <v>5334</v>
      </c>
      <c r="L3931" s="696">
        <v>1</v>
      </c>
      <c r="M3931" s="170"/>
    </row>
    <row r="3932" spans="2:13" x14ac:dyDescent="0.2">
      <c r="B3932" s="173"/>
      <c r="C3932" s="694">
        <v>1</v>
      </c>
      <c r="D3932" s="695" t="s">
        <v>3903</v>
      </c>
      <c r="E3932" s="695">
        <v>7</v>
      </c>
      <c r="F3932" s="695" t="s">
        <v>6711</v>
      </c>
      <c r="G3932" s="695">
        <v>7</v>
      </c>
      <c r="H3932" s="695" t="s">
        <v>6662</v>
      </c>
      <c r="I3932" s="695">
        <v>34</v>
      </c>
      <c r="J3932" s="695" t="s">
        <v>7089</v>
      </c>
      <c r="K3932" s="695" t="s">
        <v>5334</v>
      </c>
      <c r="L3932" s="696">
        <v>0</v>
      </c>
      <c r="M3932" s="170"/>
    </row>
    <row r="3933" spans="2:13" x14ac:dyDescent="0.2">
      <c r="B3933" s="173"/>
      <c r="C3933" s="694">
        <v>1</v>
      </c>
      <c r="D3933" s="695" t="s">
        <v>3903</v>
      </c>
      <c r="E3933" s="695">
        <v>7</v>
      </c>
      <c r="F3933" s="695" t="s">
        <v>6711</v>
      </c>
      <c r="G3933" s="695">
        <v>7</v>
      </c>
      <c r="H3933" s="695" t="s">
        <v>6662</v>
      </c>
      <c r="I3933" s="695">
        <v>35</v>
      </c>
      <c r="J3933" s="695" t="s">
        <v>7090</v>
      </c>
      <c r="K3933" s="695" t="s">
        <v>5334</v>
      </c>
      <c r="L3933" s="696">
        <v>1</v>
      </c>
      <c r="M3933" s="170"/>
    </row>
    <row r="3934" spans="2:13" x14ac:dyDescent="0.2">
      <c r="B3934" s="173"/>
      <c r="C3934" s="694">
        <v>1</v>
      </c>
      <c r="D3934" s="695" t="s">
        <v>3903</v>
      </c>
      <c r="E3934" s="695">
        <v>7</v>
      </c>
      <c r="F3934" s="695" t="s">
        <v>6711</v>
      </c>
      <c r="G3934" s="695">
        <v>7</v>
      </c>
      <c r="H3934" s="695" t="s">
        <v>6662</v>
      </c>
      <c r="I3934" s="695">
        <v>36</v>
      </c>
      <c r="J3934" s="695" t="s">
        <v>7091</v>
      </c>
      <c r="K3934" s="695" t="s">
        <v>5334</v>
      </c>
      <c r="L3934" s="696">
        <v>0</v>
      </c>
      <c r="M3934" s="170"/>
    </row>
    <row r="3935" spans="2:13" x14ac:dyDescent="0.2">
      <c r="B3935" s="173"/>
      <c r="C3935" s="694">
        <v>1</v>
      </c>
      <c r="D3935" s="695" t="s">
        <v>3903</v>
      </c>
      <c r="E3935" s="695">
        <v>7</v>
      </c>
      <c r="F3935" s="695" t="s">
        <v>6711</v>
      </c>
      <c r="G3935" s="695">
        <v>7</v>
      </c>
      <c r="H3935" s="695" t="s">
        <v>6662</v>
      </c>
      <c r="I3935" s="695">
        <v>37</v>
      </c>
      <c r="J3935" s="695" t="s">
        <v>7092</v>
      </c>
      <c r="K3935" s="695" t="s">
        <v>5334</v>
      </c>
      <c r="L3935" s="696">
        <v>0</v>
      </c>
      <c r="M3935" s="170"/>
    </row>
    <row r="3936" spans="2:13" x14ac:dyDescent="0.2">
      <c r="B3936" s="173"/>
      <c r="C3936" s="694">
        <v>1</v>
      </c>
      <c r="D3936" s="695" t="s">
        <v>3903</v>
      </c>
      <c r="E3936" s="695">
        <v>7</v>
      </c>
      <c r="F3936" s="695" t="s">
        <v>6711</v>
      </c>
      <c r="G3936" s="695">
        <v>7</v>
      </c>
      <c r="H3936" s="695" t="s">
        <v>6662</v>
      </c>
      <c r="I3936" s="695">
        <v>38</v>
      </c>
      <c r="J3936" s="695" t="s">
        <v>7093</v>
      </c>
      <c r="K3936" s="695" t="s">
        <v>5334</v>
      </c>
      <c r="L3936" s="696">
        <v>0</v>
      </c>
      <c r="M3936" s="170"/>
    </row>
    <row r="3937" spans="2:13" x14ac:dyDescent="0.2">
      <c r="B3937" s="173"/>
      <c r="C3937" s="694">
        <v>1</v>
      </c>
      <c r="D3937" s="695" t="s">
        <v>3903</v>
      </c>
      <c r="E3937" s="695">
        <v>7</v>
      </c>
      <c r="F3937" s="695" t="s">
        <v>6711</v>
      </c>
      <c r="G3937" s="695">
        <v>7</v>
      </c>
      <c r="H3937" s="695" t="s">
        <v>6662</v>
      </c>
      <c r="I3937" s="695">
        <v>39</v>
      </c>
      <c r="J3937" s="695" t="s">
        <v>7094</v>
      </c>
      <c r="K3937" s="695" t="s">
        <v>5334</v>
      </c>
      <c r="L3937" s="696">
        <v>1</v>
      </c>
      <c r="M3937" s="170"/>
    </row>
    <row r="3938" spans="2:13" x14ac:dyDescent="0.2">
      <c r="B3938" s="173"/>
      <c r="C3938" s="694">
        <v>1</v>
      </c>
      <c r="D3938" s="695" t="s">
        <v>3903</v>
      </c>
      <c r="E3938" s="695">
        <v>7</v>
      </c>
      <c r="F3938" s="695" t="s">
        <v>6711</v>
      </c>
      <c r="G3938" s="695">
        <v>7</v>
      </c>
      <c r="H3938" s="695" t="s">
        <v>6662</v>
      </c>
      <c r="I3938" s="695">
        <v>40</v>
      </c>
      <c r="J3938" s="695" t="s">
        <v>7095</v>
      </c>
      <c r="K3938" s="695" t="s">
        <v>5334</v>
      </c>
      <c r="L3938" s="696">
        <v>1</v>
      </c>
      <c r="M3938" s="170"/>
    </row>
    <row r="3939" spans="2:13" x14ac:dyDescent="0.2">
      <c r="B3939" s="173"/>
      <c r="C3939" s="694">
        <v>1</v>
      </c>
      <c r="D3939" s="695" t="s">
        <v>3903</v>
      </c>
      <c r="E3939" s="695">
        <v>7</v>
      </c>
      <c r="F3939" s="695" t="s">
        <v>6711</v>
      </c>
      <c r="G3939" s="695">
        <v>7</v>
      </c>
      <c r="H3939" s="695" t="s">
        <v>6662</v>
      </c>
      <c r="I3939" s="695">
        <v>41</v>
      </c>
      <c r="J3939" s="695" t="s">
        <v>7096</v>
      </c>
      <c r="K3939" s="695" t="s">
        <v>5334</v>
      </c>
      <c r="L3939" s="696">
        <v>0</v>
      </c>
      <c r="M3939" s="170"/>
    </row>
    <row r="3940" spans="2:13" x14ac:dyDescent="0.2">
      <c r="B3940" s="173"/>
      <c r="C3940" s="694">
        <v>1</v>
      </c>
      <c r="D3940" s="695" t="s">
        <v>3903</v>
      </c>
      <c r="E3940" s="695">
        <v>7</v>
      </c>
      <c r="F3940" s="695" t="s">
        <v>6711</v>
      </c>
      <c r="G3940" s="695">
        <v>7</v>
      </c>
      <c r="H3940" s="695" t="s">
        <v>6662</v>
      </c>
      <c r="I3940" s="695">
        <v>42</v>
      </c>
      <c r="J3940" s="695" t="s">
        <v>7097</v>
      </c>
      <c r="K3940" s="695" t="s">
        <v>5334</v>
      </c>
      <c r="L3940" s="696">
        <v>3</v>
      </c>
      <c r="M3940" s="170"/>
    </row>
    <row r="3941" spans="2:13" x14ac:dyDescent="0.2">
      <c r="B3941" s="173"/>
      <c r="C3941" s="694">
        <v>1</v>
      </c>
      <c r="D3941" s="695" t="s">
        <v>3903</v>
      </c>
      <c r="E3941" s="695">
        <v>7</v>
      </c>
      <c r="F3941" s="695" t="s">
        <v>6711</v>
      </c>
      <c r="G3941" s="695">
        <v>7</v>
      </c>
      <c r="H3941" s="695" t="s">
        <v>6662</v>
      </c>
      <c r="I3941" s="695">
        <v>43</v>
      </c>
      <c r="J3941" s="695" t="s">
        <v>7098</v>
      </c>
      <c r="K3941" s="695" t="s">
        <v>5334</v>
      </c>
      <c r="L3941" s="696">
        <v>0</v>
      </c>
      <c r="M3941" s="170"/>
    </row>
    <row r="3942" spans="2:13" x14ac:dyDescent="0.2">
      <c r="B3942" s="173"/>
      <c r="C3942" s="694">
        <v>1</v>
      </c>
      <c r="D3942" s="695" t="s">
        <v>3903</v>
      </c>
      <c r="E3942" s="695">
        <v>7</v>
      </c>
      <c r="F3942" s="695" t="s">
        <v>6711</v>
      </c>
      <c r="G3942" s="695">
        <v>7</v>
      </c>
      <c r="H3942" s="695" t="s">
        <v>6662</v>
      </c>
      <c r="I3942" s="695">
        <v>44</v>
      </c>
      <c r="J3942" s="695" t="s">
        <v>7099</v>
      </c>
      <c r="K3942" s="695" t="s">
        <v>5334</v>
      </c>
      <c r="L3942" s="696">
        <v>0</v>
      </c>
      <c r="M3942" s="170"/>
    </row>
    <row r="3943" spans="2:13" x14ac:dyDescent="0.2">
      <c r="B3943" s="173"/>
      <c r="C3943" s="694">
        <v>1</v>
      </c>
      <c r="D3943" s="695" t="s">
        <v>3903</v>
      </c>
      <c r="E3943" s="695">
        <v>7</v>
      </c>
      <c r="F3943" s="695" t="s">
        <v>6711</v>
      </c>
      <c r="G3943" s="695">
        <v>7</v>
      </c>
      <c r="H3943" s="695" t="s">
        <v>6662</v>
      </c>
      <c r="I3943" s="695">
        <v>45</v>
      </c>
      <c r="J3943" s="695" t="s">
        <v>7100</v>
      </c>
      <c r="K3943" s="695" t="s">
        <v>5334</v>
      </c>
      <c r="L3943" s="696">
        <v>0</v>
      </c>
      <c r="M3943" s="170"/>
    </row>
    <row r="3944" spans="2:13" x14ac:dyDescent="0.2">
      <c r="B3944" s="173"/>
      <c r="C3944" s="694">
        <v>1</v>
      </c>
      <c r="D3944" s="695" t="s">
        <v>3903</v>
      </c>
      <c r="E3944" s="695">
        <v>7</v>
      </c>
      <c r="F3944" s="695" t="s">
        <v>6711</v>
      </c>
      <c r="G3944" s="695">
        <v>7</v>
      </c>
      <c r="H3944" s="695" t="s">
        <v>6662</v>
      </c>
      <c r="I3944" s="695">
        <v>46</v>
      </c>
      <c r="J3944" s="695" t="s">
        <v>7101</v>
      </c>
      <c r="K3944" s="695" t="s">
        <v>5334</v>
      </c>
      <c r="L3944" s="696">
        <v>0</v>
      </c>
      <c r="M3944" s="170"/>
    </row>
    <row r="3945" spans="2:13" x14ac:dyDescent="0.2">
      <c r="B3945" s="173"/>
      <c r="C3945" s="694">
        <v>1</v>
      </c>
      <c r="D3945" s="695" t="s">
        <v>3903</v>
      </c>
      <c r="E3945" s="695">
        <v>7</v>
      </c>
      <c r="F3945" s="695" t="s">
        <v>6711</v>
      </c>
      <c r="G3945" s="695">
        <v>7</v>
      </c>
      <c r="H3945" s="695" t="s">
        <v>6662</v>
      </c>
      <c r="I3945" s="695">
        <v>47</v>
      </c>
      <c r="J3945" s="695" t="s">
        <v>7102</v>
      </c>
      <c r="K3945" s="695" t="s">
        <v>5334</v>
      </c>
      <c r="L3945" s="696">
        <v>0</v>
      </c>
      <c r="M3945" s="170"/>
    </row>
    <row r="3946" spans="2:13" x14ac:dyDescent="0.2">
      <c r="B3946" s="173"/>
      <c r="C3946" s="694">
        <v>1</v>
      </c>
      <c r="D3946" s="695" t="s">
        <v>3903</v>
      </c>
      <c r="E3946" s="695">
        <v>7</v>
      </c>
      <c r="F3946" s="695" t="s">
        <v>6711</v>
      </c>
      <c r="G3946" s="695">
        <v>7</v>
      </c>
      <c r="H3946" s="695" t="s">
        <v>6662</v>
      </c>
      <c r="I3946" s="695">
        <v>48</v>
      </c>
      <c r="J3946" s="695" t="s">
        <v>7103</v>
      </c>
      <c r="K3946" s="695" t="s">
        <v>5334</v>
      </c>
      <c r="L3946" s="696">
        <v>0</v>
      </c>
      <c r="M3946" s="170"/>
    </row>
    <row r="3947" spans="2:13" x14ac:dyDescent="0.2">
      <c r="B3947" s="173"/>
      <c r="C3947" s="694">
        <v>1</v>
      </c>
      <c r="D3947" s="695" t="s">
        <v>3903</v>
      </c>
      <c r="E3947" s="695">
        <v>7</v>
      </c>
      <c r="F3947" s="695" t="s">
        <v>6711</v>
      </c>
      <c r="G3947" s="695">
        <v>7</v>
      </c>
      <c r="H3947" s="695" t="s">
        <v>6662</v>
      </c>
      <c r="I3947" s="695">
        <v>49</v>
      </c>
      <c r="J3947" s="695" t="s">
        <v>7104</v>
      </c>
      <c r="K3947" s="695" t="s">
        <v>5334</v>
      </c>
      <c r="L3947" s="696">
        <v>0</v>
      </c>
      <c r="M3947" s="170"/>
    </row>
    <row r="3948" spans="2:13" x14ac:dyDescent="0.2">
      <c r="B3948" s="173"/>
      <c r="C3948" s="694">
        <v>1</v>
      </c>
      <c r="D3948" s="695" t="s">
        <v>3903</v>
      </c>
      <c r="E3948" s="695">
        <v>7</v>
      </c>
      <c r="F3948" s="695" t="s">
        <v>6711</v>
      </c>
      <c r="G3948" s="695">
        <v>7</v>
      </c>
      <c r="H3948" s="695" t="s">
        <v>6662</v>
      </c>
      <c r="I3948" s="695">
        <v>50</v>
      </c>
      <c r="J3948" s="695" t="s">
        <v>7105</v>
      </c>
      <c r="K3948" s="695" t="s">
        <v>5334</v>
      </c>
      <c r="L3948" s="696">
        <v>0</v>
      </c>
      <c r="M3948" s="170"/>
    </row>
    <row r="3949" spans="2:13" x14ac:dyDescent="0.2">
      <c r="B3949" s="173"/>
      <c r="C3949" s="694">
        <v>1</v>
      </c>
      <c r="D3949" s="695" t="s">
        <v>3903</v>
      </c>
      <c r="E3949" s="695">
        <v>7</v>
      </c>
      <c r="F3949" s="695" t="s">
        <v>6711</v>
      </c>
      <c r="G3949" s="695">
        <v>7</v>
      </c>
      <c r="H3949" s="695" t="s">
        <v>6662</v>
      </c>
      <c r="I3949" s="695">
        <v>51</v>
      </c>
      <c r="J3949" s="695" t="s">
        <v>7106</v>
      </c>
      <c r="K3949" s="695" t="s">
        <v>5334</v>
      </c>
      <c r="L3949" s="696">
        <v>0</v>
      </c>
      <c r="M3949" s="170"/>
    </row>
    <row r="3950" spans="2:13" x14ac:dyDescent="0.2">
      <c r="B3950" s="173"/>
      <c r="C3950" s="694">
        <v>1</v>
      </c>
      <c r="D3950" s="695" t="s">
        <v>3903</v>
      </c>
      <c r="E3950" s="695">
        <v>7</v>
      </c>
      <c r="F3950" s="695" t="s">
        <v>6711</v>
      </c>
      <c r="G3950" s="695">
        <v>7</v>
      </c>
      <c r="H3950" s="695" t="s">
        <v>6662</v>
      </c>
      <c r="I3950" s="695">
        <v>52</v>
      </c>
      <c r="J3950" s="695" t="s">
        <v>7107</v>
      </c>
      <c r="K3950" s="695" t="s">
        <v>5334</v>
      </c>
      <c r="L3950" s="696">
        <v>0</v>
      </c>
      <c r="M3950" s="170"/>
    </row>
    <row r="3951" spans="2:13" x14ac:dyDescent="0.2">
      <c r="B3951" s="173"/>
      <c r="C3951" s="694">
        <v>1</v>
      </c>
      <c r="D3951" s="695" t="s">
        <v>3903</v>
      </c>
      <c r="E3951" s="695">
        <v>7</v>
      </c>
      <c r="F3951" s="695" t="s">
        <v>6711</v>
      </c>
      <c r="G3951" s="695">
        <v>7</v>
      </c>
      <c r="H3951" s="695" t="s">
        <v>6662</v>
      </c>
      <c r="I3951" s="695">
        <v>53</v>
      </c>
      <c r="J3951" s="695" t="s">
        <v>7108</v>
      </c>
      <c r="K3951" s="695" t="s">
        <v>5334</v>
      </c>
      <c r="L3951" s="696">
        <v>0</v>
      </c>
      <c r="M3951" s="170"/>
    </row>
    <row r="3952" spans="2:13" x14ac:dyDescent="0.2">
      <c r="B3952" s="173"/>
      <c r="C3952" s="694">
        <v>1</v>
      </c>
      <c r="D3952" s="695" t="s">
        <v>3903</v>
      </c>
      <c r="E3952" s="695">
        <v>7</v>
      </c>
      <c r="F3952" s="695" t="s">
        <v>6711</v>
      </c>
      <c r="G3952" s="695">
        <v>7</v>
      </c>
      <c r="H3952" s="695" t="s">
        <v>6662</v>
      </c>
      <c r="I3952" s="695">
        <v>54</v>
      </c>
      <c r="J3952" s="695" t="s">
        <v>7109</v>
      </c>
      <c r="K3952" s="695" t="s">
        <v>5334</v>
      </c>
      <c r="L3952" s="696">
        <v>0</v>
      </c>
      <c r="M3952" s="170"/>
    </row>
    <row r="3953" spans="2:13" x14ac:dyDescent="0.2">
      <c r="B3953" s="173"/>
      <c r="C3953" s="694">
        <v>1</v>
      </c>
      <c r="D3953" s="695" t="s">
        <v>3903</v>
      </c>
      <c r="E3953" s="695">
        <v>7</v>
      </c>
      <c r="F3953" s="695" t="s">
        <v>6711</v>
      </c>
      <c r="G3953" s="695">
        <v>7</v>
      </c>
      <c r="H3953" s="695" t="s">
        <v>6662</v>
      </c>
      <c r="I3953" s="695">
        <v>55</v>
      </c>
      <c r="J3953" s="695" t="s">
        <v>7110</v>
      </c>
      <c r="K3953" s="695" t="s">
        <v>5334</v>
      </c>
      <c r="L3953" s="696">
        <v>0</v>
      </c>
      <c r="M3953" s="170"/>
    </row>
    <row r="3954" spans="2:13" x14ac:dyDescent="0.2">
      <c r="B3954" s="173"/>
      <c r="C3954" s="694">
        <v>1</v>
      </c>
      <c r="D3954" s="695" t="s">
        <v>3903</v>
      </c>
      <c r="E3954" s="695">
        <v>7</v>
      </c>
      <c r="F3954" s="695" t="s">
        <v>6711</v>
      </c>
      <c r="G3954" s="695">
        <v>7</v>
      </c>
      <c r="H3954" s="695" t="s">
        <v>6662</v>
      </c>
      <c r="I3954" s="695">
        <v>56</v>
      </c>
      <c r="J3954" s="695" t="s">
        <v>7111</v>
      </c>
      <c r="K3954" s="695" t="s">
        <v>5334</v>
      </c>
      <c r="L3954" s="696">
        <v>0</v>
      </c>
      <c r="M3954" s="170"/>
    </row>
    <row r="3955" spans="2:13" x14ac:dyDescent="0.2">
      <c r="B3955" s="173"/>
      <c r="C3955" s="694">
        <v>1</v>
      </c>
      <c r="D3955" s="695" t="s">
        <v>3903</v>
      </c>
      <c r="E3955" s="695">
        <v>7</v>
      </c>
      <c r="F3955" s="695" t="s">
        <v>6711</v>
      </c>
      <c r="G3955" s="695">
        <v>7</v>
      </c>
      <c r="H3955" s="695" t="s">
        <v>6662</v>
      </c>
      <c r="I3955" s="695">
        <v>57</v>
      </c>
      <c r="J3955" s="695" t="s">
        <v>7112</v>
      </c>
      <c r="K3955" s="695" t="s">
        <v>5334</v>
      </c>
      <c r="L3955" s="696">
        <v>0</v>
      </c>
      <c r="M3955" s="170"/>
    </row>
    <row r="3956" spans="2:13" x14ac:dyDescent="0.2">
      <c r="B3956" s="173"/>
      <c r="C3956" s="694">
        <v>1</v>
      </c>
      <c r="D3956" s="695" t="s">
        <v>3903</v>
      </c>
      <c r="E3956" s="695">
        <v>7</v>
      </c>
      <c r="F3956" s="695" t="s">
        <v>6711</v>
      </c>
      <c r="G3956" s="695">
        <v>7</v>
      </c>
      <c r="H3956" s="695" t="s">
        <v>6662</v>
      </c>
      <c r="I3956" s="695">
        <v>58</v>
      </c>
      <c r="J3956" s="695" t="s">
        <v>7113</v>
      </c>
      <c r="K3956" s="695" t="s">
        <v>5334</v>
      </c>
      <c r="L3956" s="696">
        <v>0</v>
      </c>
      <c r="M3956" s="170"/>
    </row>
    <row r="3957" spans="2:13" x14ac:dyDescent="0.2">
      <c r="B3957" s="173"/>
      <c r="C3957" s="694">
        <v>1</v>
      </c>
      <c r="D3957" s="695" t="s">
        <v>3903</v>
      </c>
      <c r="E3957" s="695">
        <v>7</v>
      </c>
      <c r="F3957" s="695" t="s">
        <v>6711</v>
      </c>
      <c r="G3957" s="695">
        <v>7</v>
      </c>
      <c r="H3957" s="695" t="s">
        <v>6662</v>
      </c>
      <c r="I3957" s="695">
        <v>59</v>
      </c>
      <c r="J3957" s="695" t="s">
        <v>7114</v>
      </c>
      <c r="K3957" s="695" t="s">
        <v>5334</v>
      </c>
      <c r="L3957" s="696">
        <v>0</v>
      </c>
      <c r="M3957" s="170"/>
    </row>
    <row r="3958" spans="2:13" x14ac:dyDescent="0.2">
      <c r="B3958" s="173"/>
      <c r="C3958" s="694">
        <v>1</v>
      </c>
      <c r="D3958" s="695" t="s">
        <v>3903</v>
      </c>
      <c r="E3958" s="695">
        <v>7</v>
      </c>
      <c r="F3958" s="695" t="s">
        <v>6711</v>
      </c>
      <c r="G3958" s="695">
        <v>7</v>
      </c>
      <c r="H3958" s="695" t="s">
        <v>6662</v>
      </c>
      <c r="I3958" s="695">
        <v>60</v>
      </c>
      <c r="J3958" s="695" t="s">
        <v>7115</v>
      </c>
      <c r="K3958" s="695" t="s">
        <v>5334</v>
      </c>
      <c r="L3958" s="696">
        <v>0</v>
      </c>
      <c r="M3958" s="170"/>
    </row>
    <row r="3959" spans="2:13" x14ac:dyDescent="0.2">
      <c r="B3959" s="173"/>
      <c r="C3959" s="694">
        <v>1</v>
      </c>
      <c r="D3959" s="695" t="s">
        <v>3903</v>
      </c>
      <c r="E3959" s="695">
        <v>7</v>
      </c>
      <c r="F3959" s="695" t="s">
        <v>6711</v>
      </c>
      <c r="G3959" s="695">
        <v>7</v>
      </c>
      <c r="H3959" s="695" t="s">
        <v>6662</v>
      </c>
      <c r="I3959" s="695">
        <v>61</v>
      </c>
      <c r="J3959" s="695" t="s">
        <v>7116</v>
      </c>
      <c r="K3959" s="695" t="s">
        <v>5334</v>
      </c>
      <c r="L3959" s="696">
        <v>0</v>
      </c>
      <c r="M3959" s="170"/>
    </row>
    <row r="3960" spans="2:13" x14ac:dyDescent="0.2">
      <c r="B3960" s="173"/>
      <c r="C3960" s="694">
        <v>1</v>
      </c>
      <c r="D3960" s="695" t="s">
        <v>3903</v>
      </c>
      <c r="E3960" s="695">
        <v>7</v>
      </c>
      <c r="F3960" s="695" t="s">
        <v>6711</v>
      </c>
      <c r="G3960" s="695">
        <v>7</v>
      </c>
      <c r="H3960" s="695" t="s">
        <v>6662</v>
      </c>
      <c r="I3960" s="695">
        <v>62</v>
      </c>
      <c r="J3960" s="695" t="s">
        <v>7117</v>
      </c>
      <c r="K3960" s="695" t="s">
        <v>5334</v>
      </c>
      <c r="L3960" s="696">
        <v>0</v>
      </c>
      <c r="M3960" s="170"/>
    </row>
    <row r="3961" spans="2:13" x14ac:dyDescent="0.2">
      <c r="B3961" s="173"/>
      <c r="C3961" s="694">
        <v>1</v>
      </c>
      <c r="D3961" s="695" t="s">
        <v>3903</v>
      </c>
      <c r="E3961" s="695">
        <v>7</v>
      </c>
      <c r="F3961" s="695" t="s">
        <v>6711</v>
      </c>
      <c r="G3961" s="695">
        <v>7</v>
      </c>
      <c r="H3961" s="695" t="s">
        <v>6662</v>
      </c>
      <c r="I3961" s="695">
        <v>63</v>
      </c>
      <c r="J3961" s="695" t="s">
        <v>7118</v>
      </c>
      <c r="K3961" s="695" t="s">
        <v>5334</v>
      </c>
      <c r="L3961" s="696">
        <v>0</v>
      </c>
      <c r="M3961" s="170"/>
    </row>
    <row r="3962" spans="2:13" x14ac:dyDescent="0.2">
      <c r="B3962" s="173"/>
      <c r="C3962" s="694">
        <v>1</v>
      </c>
      <c r="D3962" s="695" t="s">
        <v>3903</v>
      </c>
      <c r="E3962" s="695">
        <v>7</v>
      </c>
      <c r="F3962" s="695" t="s">
        <v>6711</v>
      </c>
      <c r="G3962" s="695">
        <v>7</v>
      </c>
      <c r="H3962" s="695" t="s">
        <v>6662</v>
      </c>
      <c r="I3962" s="695">
        <v>64</v>
      </c>
      <c r="J3962" s="695" t="s">
        <v>7119</v>
      </c>
      <c r="K3962" s="695" t="s">
        <v>5334</v>
      </c>
      <c r="L3962" s="696">
        <v>0</v>
      </c>
      <c r="M3962" s="170"/>
    </row>
    <row r="3963" spans="2:13" x14ac:dyDescent="0.2">
      <c r="B3963" s="173"/>
      <c r="C3963" s="694">
        <v>1</v>
      </c>
      <c r="D3963" s="695" t="s">
        <v>3903</v>
      </c>
      <c r="E3963" s="695">
        <v>7</v>
      </c>
      <c r="F3963" s="695" t="s">
        <v>6711</v>
      </c>
      <c r="G3963" s="695">
        <v>7</v>
      </c>
      <c r="H3963" s="695" t="s">
        <v>6662</v>
      </c>
      <c r="I3963" s="695">
        <v>65</v>
      </c>
      <c r="J3963" s="695" t="s">
        <v>7120</v>
      </c>
      <c r="K3963" s="695" t="s">
        <v>5334</v>
      </c>
      <c r="L3963" s="696">
        <v>0</v>
      </c>
      <c r="M3963" s="170"/>
    </row>
    <row r="3964" spans="2:13" x14ac:dyDescent="0.2">
      <c r="B3964" s="173"/>
      <c r="C3964" s="694">
        <v>1</v>
      </c>
      <c r="D3964" s="695" t="s">
        <v>3903</v>
      </c>
      <c r="E3964" s="695">
        <v>7</v>
      </c>
      <c r="F3964" s="695" t="s">
        <v>6711</v>
      </c>
      <c r="G3964" s="695">
        <v>7</v>
      </c>
      <c r="H3964" s="695" t="s">
        <v>6662</v>
      </c>
      <c r="I3964" s="695">
        <v>66</v>
      </c>
      <c r="J3964" s="695" t="s">
        <v>7121</v>
      </c>
      <c r="K3964" s="695" t="s">
        <v>5334</v>
      </c>
      <c r="L3964" s="696">
        <v>0</v>
      </c>
      <c r="M3964" s="170"/>
    </row>
    <row r="3965" spans="2:13" x14ac:dyDescent="0.2">
      <c r="B3965" s="173"/>
      <c r="C3965" s="694">
        <v>1</v>
      </c>
      <c r="D3965" s="695" t="s">
        <v>3903</v>
      </c>
      <c r="E3965" s="695">
        <v>7</v>
      </c>
      <c r="F3965" s="695" t="s">
        <v>6711</v>
      </c>
      <c r="G3965" s="695">
        <v>7</v>
      </c>
      <c r="H3965" s="695" t="s">
        <v>6662</v>
      </c>
      <c r="I3965" s="695">
        <v>67</v>
      </c>
      <c r="J3965" s="695" t="s">
        <v>7122</v>
      </c>
      <c r="K3965" s="695" t="s">
        <v>5334</v>
      </c>
      <c r="L3965" s="696">
        <v>0</v>
      </c>
      <c r="M3965" s="170"/>
    </row>
    <row r="3966" spans="2:13" x14ac:dyDescent="0.2">
      <c r="B3966" s="173"/>
      <c r="C3966" s="694">
        <v>1</v>
      </c>
      <c r="D3966" s="695" t="s">
        <v>3903</v>
      </c>
      <c r="E3966" s="695">
        <v>7</v>
      </c>
      <c r="F3966" s="695" t="s">
        <v>6711</v>
      </c>
      <c r="G3966" s="695">
        <v>7</v>
      </c>
      <c r="H3966" s="695" t="s">
        <v>6662</v>
      </c>
      <c r="I3966" s="695">
        <v>68</v>
      </c>
      <c r="J3966" s="695" t="s">
        <v>7123</v>
      </c>
      <c r="K3966" s="695" t="s">
        <v>5334</v>
      </c>
      <c r="L3966" s="696">
        <v>0</v>
      </c>
      <c r="M3966" s="170"/>
    </row>
    <row r="3967" spans="2:13" x14ac:dyDescent="0.2">
      <c r="B3967" s="173"/>
      <c r="C3967" s="694">
        <v>1</v>
      </c>
      <c r="D3967" s="695" t="s">
        <v>3903</v>
      </c>
      <c r="E3967" s="695">
        <v>7</v>
      </c>
      <c r="F3967" s="695" t="s">
        <v>6711</v>
      </c>
      <c r="G3967" s="695">
        <v>7</v>
      </c>
      <c r="H3967" s="695" t="s">
        <v>6662</v>
      </c>
      <c r="I3967" s="695">
        <v>69</v>
      </c>
      <c r="J3967" s="695" t="s">
        <v>7124</v>
      </c>
      <c r="K3967" s="695" t="s">
        <v>5334</v>
      </c>
      <c r="L3967" s="696">
        <v>0</v>
      </c>
      <c r="M3967" s="170"/>
    </row>
    <row r="3968" spans="2:13" x14ac:dyDescent="0.2">
      <c r="B3968" s="173"/>
      <c r="C3968" s="694">
        <v>1</v>
      </c>
      <c r="D3968" s="695" t="s">
        <v>3903</v>
      </c>
      <c r="E3968" s="695">
        <v>7</v>
      </c>
      <c r="F3968" s="695" t="s">
        <v>6711</v>
      </c>
      <c r="G3968" s="695">
        <v>7</v>
      </c>
      <c r="H3968" s="695" t="s">
        <v>6662</v>
      </c>
      <c r="I3968" s="695">
        <v>70</v>
      </c>
      <c r="J3968" s="695" t="s">
        <v>7125</v>
      </c>
      <c r="K3968" s="695" t="s">
        <v>5334</v>
      </c>
      <c r="L3968" s="696">
        <v>0</v>
      </c>
      <c r="M3968" s="170"/>
    </row>
    <row r="3969" spans="2:13" x14ac:dyDescent="0.2">
      <c r="B3969" s="173"/>
      <c r="C3969" s="694">
        <v>1</v>
      </c>
      <c r="D3969" s="695" t="s">
        <v>3903</v>
      </c>
      <c r="E3969" s="695">
        <v>7</v>
      </c>
      <c r="F3969" s="695" t="s">
        <v>6711</v>
      </c>
      <c r="G3969" s="695">
        <v>7</v>
      </c>
      <c r="H3969" s="695" t="s">
        <v>6662</v>
      </c>
      <c r="I3969" s="695">
        <v>71</v>
      </c>
      <c r="J3969" s="695" t="s">
        <v>7125</v>
      </c>
      <c r="K3969" s="695" t="s">
        <v>5334</v>
      </c>
      <c r="L3969" s="696">
        <v>0</v>
      </c>
      <c r="M3969" s="170"/>
    </row>
    <row r="3970" spans="2:13" x14ac:dyDescent="0.2">
      <c r="B3970" s="173"/>
      <c r="C3970" s="694">
        <v>1</v>
      </c>
      <c r="D3970" s="695" t="s">
        <v>3903</v>
      </c>
      <c r="E3970" s="695">
        <v>7</v>
      </c>
      <c r="F3970" s="695" t="s">
        <v>6711</v>
      </c>
      <c r="G3970" s="695">
        <v>7</v>
      </c>
      <c r="H3970" s="695" t="s">
        <v>6662</v>
      </c>
      <c r="I3970" s="695">
        <v>72</v>
      </c>
      <c r="J3970" s="695" t="s">
        <v>7126</v>
      </c>
      <c r="K3970" s="695" t="s">
        <v>5334</v>
      </c>
      <c r="L3970" s="696">
        <v>0</v>
      </c>
      <c r="M3970" s="170"/>
    </row>
    <row r="3971" spans="2:13" x14ac:dyDescent="0.2">
      <c r="B3971" s="173"/>
      <c r="C3971" s="694">
        <v>1</v>
      </c>
      <c r="D3971" s="695" t="s">
        <v>3903</v>
      </c>
      <c r="E3971" s="695">
        <v>7</v>
      </c>
      <c r="F3971" s="695" t="s">
        <v>6711</v>
      </c>
      <c r="G3971" s="695">
        <v>7</v>
      </c>
      <c r="H3971" s="695" t="s">
        <v>6662</v>
      </c>
      <c r="I3971" s="695">
        <v>73</v>
      </c>
      <c r="J3971" s="695" t="s">
        <v>7127</v>
      </c>
      <c r="K3971" s="695" t="s">
        <v>5334</v>
      </c>
      <c r="L3971" s="696">
        <v>0</v>
      </c>
      <c r="M3971" s="170"/>
    </row>
    <row r="3972" spans="2:13" x14ac:dyDescent="0.2">
      <c r="B3972" s="173"/>
      <c r="C3972" s="694">
        <v>1</v>
      </c>
      <c r="D3972" s="695" t="s">
        <v>3903</v>
      </c>
      <c r="E3972" s="695">
        <v>7</v>
      </c>
      <c r="F3972" s="695" t="s">
        <v>6711</v>
      </c>
      <c r="G3972" s="695">
        <v>7</v>
      </c>
      <c r="H3972" s="695" t="s">
        <v>6662</v>
      </c>
      <c r="I3972" s="695">
        <v>74</v>
      </c>
      <c r="J3972" s="695" t="s">
        <v>7128</v>
      </c>
      <c r="K3972" s="695" t="s">
        <v>5334</v>
      </c>
      <c r="L3972" s="696">
        <v>0</v>
      </c>
      <c r="M3972" s="170"/>
    </row>
    <row r="3973" spans="2:13" x14ac:dyDescent="0.2">
      <c r="B3973" s="173"/>
      <c r="C3973" s="694">
        <v>1</v>
      </c>
      <c r="D3973" s="695" t="s">
        <v>3903</v>
      </c>
      <c r="E3973" s="695">
        <v>7</v>
      </c>
      <c r="F3973" s="695" t="s">
        <v>6711</v>
      </c>
      <c r="G3973" s="695">
        <v>7</v>
      </c>
      <c r="H3973" s="695" t="s">
        <v>6662</v>
      </c>
      <c r="I3973" s="695">
        <v>75</v>
      </c>
      <c r="J3973" s="695" t="s">
        <v>7129</v>
      </c>
      <c r="K3973" s="695" t="s">
        <v>5334</v>
      </c>
      <c r="L3973" s="696">
        <v>0</v>
      </c>
      <c r="M3973" s="170"/>
    </row>
    <row r="3974" spans="2:13" x14ac:dyDescent="0.2">
      <c r="B3974" s="173"/>
      <c r="C3974" s="694">
        <v>1</v>
      </c>
      <c r="D3974" s="695" t="s">
        <v>3903</v>
      </c>
      <c r="E3974" s="695">
        <v>7</v>
      </c>
      <c r="F3974" s="695" t="s">
        <v>6711</v>
      </c>
      <c r="G3974" s="695">
        <v>7</v>
      </c>
      <c r="H3974" s="695" t="s">
        <v>6662</v>
      </c>
      <c r="I3974" s="695">
        <v>76</v>
      </c>
      <c r="J3974" s="695" t="s">
        <v>7130</v>
      </c>
      <c r="K3974" s="695" t="s">
        <v>5334</v>
      </c>
      <c r="L3974" s="696">
        <v>0</v>
      </c>
      <c r="M3974" s="170"/>
    </row>
    <row r="3975" spans="2:13" x14ac:dyDescent="0.2">
      <c r="B3975" s="173"/>
      <c r="C3975" s="694">
        <v>1</v>
      </c>
      <c r="D3975" s="695" t="s">
        <v>3903</v>
      </c>
      <c r="E3975" s="695">
        <v>7</v>
      </c>
      <c r="F3975" s="695" t="s">
        <v>6711</v>
      </c>
      <c r="G3975" s="695">
        <v>7</v>
      </c>
      <c r="H3975" s="695" t="s">
        <v>6662</v>
      </c>
      <c r="I3975" s="695">
        <v>77</v>
      </c>
      <c r="J3975" s="695" t="s">
        <v>7131</v>
      </c>
      <c r="K3975" s="695" t="s">
        <v>5334</v>
      </c>
      <c r="L3975" s="696">
        <v>0</v>
      </c>
      <c r="M3975" s="170"/>
    </row>
    <row r="3976" spans="2:13" x14ac:dyDescent="0.2">
      <c r="B3976" s="173"/>
      <c r="C3976" s="694">
        <v>1</v>
      </c>
      <c r="D3976" s="695" t="s">
        <v>3903</v>
      </c>
      <c r="E3976" s="695">
        <v>7</v>
      </c>
      <c r="F3976" s="695" t="s">
        <v>6711</v>
      </c>
      <c r="G3976" s="695">
        <v>7</v>
      </c>
      <c r="H3976" s="695" t="s">
        <v>6662</v>
      </c>
      <c r="I3976" s="695">
        <v>78</v>
      </c>
      <c r="J3976" s="695" t="s">
        <v>7132</v>
      </c>
      <c r="K3976" s="695" t="s">
        <v>5334</v>
      </c>
      <c r="L3976" s="696">
        <v>0</v>
      </c>
      <c r="M3976" s="170"/>
    </row>
    <row r="3977" spans="2:13" x14ac:dyDescent="0.2">
      <c r="B3977" s="173"/>
      <c r="C3977" s="694">
        <v>1</v>
      </c>
      <c r="D3977" s="695" t="s">
        <v>3903</v>
      </c>
      <c r="E3977" s="695">
        <v>7</v>
      </c>
      <c r="F3977" s="695" t="s">
        <v>6711</v>
      </c>
      <c r="G3977" s="695">
        <v>7</v>
      </c>
      <c r="H3977" s="695" t="s">
        <v>6662</v>
      </c>
      <c r="I3977" s="695">
        <v>79</v>
      </c>
      <c r="J3977" s="695" t="s">
        <v>7133</v>
      </c>
      <c r="K3977" s="695" t="s">
        <v>5334</v>
      </c>
      <c r="L3977" s="696">
        <v>0</v>
      </c>
      <c r="M3977" s="170"/>
    </row>
    <row r="3978" spans="2:13" x14ac:dyDescent="0.2">
      <c r="B3978" s="173"/>
      <c r="C3978" s="694">
        <v>1</v>
      </c>
      <c r="D3978" s="695" t="s">
        <v>3903</v>
      </c>
      <c r="E3978" s="695">
        <v>7</v>
      </c>
      <c r="F3978" s="695" t="s">
        <v>6711</v>
      </c>
      <c r="G3978" s="695">
        <v>7</v>
      </c>
      <c r="H3978" s="695" t="s">
        <v>6662</v>
      </c>
      <c r="I3978" s="695">
        <v>80</v>
      </c>
      <c r="J3978" s="695" t="s">
        <v>7134</v>
      </c>
      <c r="K3978" s="695" t="s">
        <v>5334</v>
      </c>
      <c r="L3978" s="696">
        <v>0</v>
      </c>
      <c r="M3978" s="170"/>
    </row>
    <row r="3979" spans="2:13" x14ac:dyDescent="0.2">
      <c r="B3979" s="173"/>
      <c r="C3979" s="694">
        <v>1</v>
      </c>
      <c r="D3979" s="695" t="s">
        <v>3903</v>
      </c>
      <c r="E3979" s="695">
        <v>7</v>
      </c>
      <c r="F3979" s="695" t="s">
        <v>6711</v>
      </c>
      <c r="G3979" s="695">
        <v>7</v>
      </c>
      <c r="H3979" s="695" t="s">
        <v>6662</v>
      </c>
      <c r="I3979" s="695">
        <v>81</v>
      </c>
      <c r="J3979" s="695" t="s">
        <v>7135</v>
      </c>
      <c r="K3979" s="695" t="s">
        <v>5334</v>
      </c>
      <c r="L3979" s="696">
        <v>5</v>
      </c>
      <c r="M3979" s="170"/>
    </row>
    <row r="3980" spans="2:13" x14ac:dyDescent="0.2">
      <c r="B3980" s="173"/>
      <c r="C3980" s="694">
        <v>1</v>
      </c>
      <c r="D3980" s="695" t="s">
        <v>3903</v>
      </c>
      <c r="E3980" s="695">
        <v>7</v>
      </c>
      <c r="F3980" s="695" t="s">
        <v>6711</v>
      </c>
      <c r="G3980" s="695">
        <v>7</v>
      </c>
      <c r="H3980" s="695" t="s">
        <v>6662</v>
      </c>
      <c r="I3980" s="695">
        <v>82</v>
      </c>
      <c r="J3980" s="695" t="s">
        <v>7136</v>
      </c>
      <c r="K3980" s="695" t="s">
        <v>5334</v>
      </c>
      <c r="L3980" s="696">
        <v>1</v>
      </c>
      <c r="M3980" s="170"/>
    </row>
    <row r="3981" spans="2:13" x14ac:dyDescent="0.2">
      <c r="B3981" s="173"/>
      <c r="C3981" s="694">
        <v>1</v>
      </c>
      <c r="D3981" s="695" t="s">
        <v>3903</v>
      </c>
      <c r="E3981" s="695">
        <v>7</v>
      </c>
      <c r="F3981" s="695" t="s">
        <v>6711</v>
      </c>
      <c r="G3981" s="695">
        <v>7</v>
      </c>
      <c r="H3981" s="695" t="s">
        <v>6662</v>
      </c>
      <c r="I3981" s="695">
        <v>83</v>
      </c>
      <c r="J3981" s="695" t="s">
        <v>7137</v>
      </c>
      <c r="K3981" s="695" t="s">
        <v>5334</v>
      </c>
      <c r="L3981" s="696">
        <v>2</v>
      </c>
      <c r="M3981" s="170"/>
    </row>
    <row r="3982" spans="2:13" x14ac:dyDescent="0.2">
      <c r="B3982" s="173"/>
      <c r="C3982" s="694">
        <v>1</v>
      </c>
      <c r="D3982" s="695" t="s">
        <v>3903</v>
      </c>
      <c r="E3982" s="695">
        <v>7</v>
      </c>
      <c r="F3982" s="695" t="s">
        <v>6711</v>
      </c>
      <c r="G3982" s="695">
        <v>7</v>
      </c>
      <c r="H3982" s="695" t="s">
        <v>6662</v>
      </c>
      <c r="I3982" s="695">
        <v>84</v>
      </c>
      <c r="J3982" s="695" t="s">
        <v>7138</v>
      </c>
      <c r="K3982" s="695" t="s">
        <v>5334</v>
      </c>
      <c r="L3982" s="696">
        <v>1</v>
      </c>
      <c r="M3982" s="170"/>
    </row>
    <row r="3983" spans="2:13" x14ac:dyDescent="0.2">
      <c r="B3983" s="173"/>
      <c r="C3983" s="694">
        <v>1</v>
      </c>
      <c r="D3983" s="695" t="s">
        <v>3903</v>
      </c>
      <c r="E3983" s="695">
        <v>7</v>
      </c>
      <c r="F3983" s="695" t="s">
        <v>6711</v>
      </c>
      <c r="G3983" s="695">
        <v>7</v>
      </c>
      <c r="H3983" s="695" t="s">
        <v>6662</v>
      </c>
      <c r="I3983" s="695">
        <v>85</v>
      </c>
      <c r="J3983" s="695" t="s">
        <v>7139</v>
      </c>
      <c r="K3983" s="695" t="s">
        <v>5334</v>
      </c>
      <c r="L3983" s="696">
        <v>1</v>
      </c>
      <c r="M3983" s="170"/>
    </row>
    <row r="3984" spans="2:13" x14ac:dyDescent="0.2">
      <c r="B3984" s="173"/>
      <c r="C3984" s="694">
        <v>1</v>
      </c>
      <c r="D3984" s="695" t="s">
        <v>3903</v>
      </c>
      <c r="E3984" s="695">
        <v>7</v>
      </c>
      <c r="F3984" s="695" t="s">
        <v>6711</v>
      </c>
      <c r="G3984" s="695">
        <v>7</v>
      </c>
      <c r="H3984" s="695" t="s">
        <v>6662</v>
      </c>
      <c r="I3984" s="695">
        <v>86</v>
      </c>
      <c r="J3984" s="695" t="s">
        <v>7140</v>
      </c>
      <c r="K3984" s="695" t="s">
        <v>5334</v>
      </c>
      <c r="L3984" s="696">
        <v>0</v>
      </c>
      <c r="M3984" s="170"/>
    </row>
    <row r="3985" spans="2:13" x14ac:dyDescent="0.2">
      <c r="B3985" s="173"/>
      <c r="C3985" s="694">
        <v>1</v>
      </c>
      <c r="D3985" s="695" t="s">
        <v>3903</v>
      </c>
      <c r="E3985" s="695">
        <v>7</v>
      </c>
      <c r="F3985" s="695" t="s">
        <v>6711</v>
      </c>
      <c r="G3985" s="695">
        <v>7</v>
      </c>
      <c r="H3985" s="695" t="s">
        <v>6662</v>
      </c>
      <c r="I3985" s="695">
        <v>87</v>
      </c>
      <c r="J3985" s="695" t="s">
        <v>7141</v>
      </c>
      <c r="K3985" s="695" t="s">
        <v>5334</v>
      </c>
      <c r="L3985" s="696">
        <v>0</v>
      </c>
      <c r="M3985" s="170"/>
    </row>
    <row r="3986" spans="2:13" x14ac:dyDescent="0.2">
      <c r="B3986" s="173"/>
      <c r="C3986" s="694">
        <v>1</v>
      </c>
      <c r="D3986" s="695" t="s">
        <v>3903</v>
      </c>
      <c r="E3986" s="695">
        <v>7</v>
      </c>
      <c r="F3986" s="695" t="s">
        <v>6711</v>
      </c>
      <c r="G3986" s="695">
        <v>7</v>
      </c>
      <c r="H3986" s="695" t="s">
        <v>6662</v>
      </c>
      <c r="I3986" s="695">
        <v>88</v>
      </c>
      <c r="J3986" s="695" t="s">
        <v>7142</v>
      </c>
      <c r="K3986" s="695" t="s">
        <v>5334</v>
      </c>
      <c r="L3986" s="696">
        <v>1</v>
      </c>
      <c r="M3986" s="170"/>
    </row>
    <row r="3987" spans="2:13" x14ac:dyDescent="0.2">
      <c r="B3987" s="173"/>
      <c r="C3987" s="694">
        <v>1</v>
      </c>
      <c r="D3987" s="695" t="s">
        <v>3903</v>
      </c>
      <c r="E3987" s="695">
        <v>7</v>
      </c>
      <c r="F3987" s="695" t="s">
        <v>6711</v>
      </c>
      <c r="G3987" s="695">
        <v>7</v>
      </c>
      <c r="H3987" s="695" t="s">
        <v>6662</v>
      </c>
      <c r="I3987" s="695">
        <v>89</v>
      </c>
      <c r="J3987" s="695" t="s">
        <v>7143</v>
      </c>
      <c r="K3987" s="695" t="s">
        <v>5334</v>
      </c>
      <c r="L3987" s="696">
        <v>0</v>
      </c>
      <c r="M3987" s="170"/>
    </row>
    <row r="3988" spans="2:13" x14ac:dyDescent="0.2">
      <c r="B3988" s="173"/>
      <c r="C3988" s="694">
        <v>1</v>
      </c>
      <c r="D3988" s="695" t="s">
        <v>3903</v>
      </c>
      <c r="E3988" s="695">
        <v>7</v>
      </c>
      <c r="F3988" s="695" t="s">
        <v>6711</v>
      </c>
      <c r="G3988" s="695">
        <v>7</v>
      </c>
      <c r="H3988" s="695" t="s">
        <v>6662</v>
      </c>
      <c r="I3988" s="695">
        <v>90</v>
      </c>
      <c r="J3988" s="695" t="s">
        <v>7144</v>
      </c>
      <c r="K3988" s="695" t="s">
        <v>5334</v>
      </c>
      <c r="L3988" s="696">
        <v>0</v>
      </c>
      <c r="M3988" s="170"/>
    </row>
    <row r="3989" spans="2:13" x14ac:dyDescent="0.2">
      <c r="B3989" s="173"/>
      <c r="C3989" s="694">
        <v>1</v>
      </c>
      <c r="D3989" s="695" t="s">
        <v>3903</v>
      </c>
      <c r="E3989" s="695">
        <v>7</v>
      </c>
      <c r="F3989" s="695" t="s">
        <v>6711</v>
      </c>
      <c r="G3989" s="695">
        <v>7</v>
      </c>
      <c r="H3989" s="695" t="s">
        <v>6662</v>
      </c>
      <c r="I3989" s="695">
        <v>91</v>
      </c>
      <c r="J3989" s="695" t="s">
        <v>7145</v>
      </c>
      <c r="K3989" s="695" t="s">
        <v>5334</v>
      </c>
      <c r="L3989" s="696">
        <v>0</v>
      </c>
      <c r="M3989" s="170"/>
    </row>
    <row r="3990" spans="2:13" x14ac:dyDescent="0.2">
      <c r="B3990" s="173"/>
      <c r="C3990" s="694">
        <v>1</v>
      </c>
      <c r="D3990" s="695" t="s">
        <v>3903</v>
      </c>
      <c r="E3990" s="695">
        <v>7</v>
      </c>
      <c r="F3990" s="695" t="s">
        <v>6711</v>
      </c>
      <c r="G3990" s="695">
        <v>7</v>
      </c>
      <c r="H3990" s="695" t="s">
        <v>6662</v>
      </c>
      <c r="I3990" s="695">
        <v>92</v>
      </c>
      <c r="J3990" s="695" t="s">
        <v>7146</v>
      </c>
      <c r="K3990" s="695" t="s">
        <v>5334</v>
      </c>
      <c r="L3990" s="696">
        <v>0</v>
      </c>
      <c r="M3990" s="170"/>
    </row>
    <row r="3991" spans="2:13" x14ac:dyDescent="0.2">
      <c r="B3991" s="173"/>
      <c r="C3991" s="694">
        <v>1</v>
      </c>
      <c r="D3991" s="695" t="s">
        <v>3903</v>
      </c>
      <c r="E3991" s="695">
        <v>7</v>
      </c>
      <c r="F3991" s="695" t="s">
        <v>6711</v>
      </c>
      <c r="G3991" s="695">
        <v>7</v>
      </c>
      <c r="H3991" s="695" t="s">
        <v>6662</v>
      </c>
      <c r="I3991" s="695">
        <v>93</v>
      </c>
      <c r="J3991" s="695" t="s">
        <v>7147</v>
      </c>
      <c r="K3991" s="695" t="s">
        <v>5334</v>
      </c>
      <c r="L3991" s="696">
        <v>0</v>
      </c>
      <c r="M3991" s="170"/>
    </row>
    <row r="3992" spans="2:13" x14ac:dyDescent="0.2">
      <c r="B3992" s="173"/>
      <c r="C3992" s="694">
        <v>1</v>
      </c>
      <c r="D3992" s="695" t="s">
        <v>3903</v>
      </c>
      <c r="E3992" s="695">
        <v>7</v>
      </c>
      <c r="F3992" s="695" t="s">
        <v>6711</v>
      </c>
      <c r="G3992" s="695">
        <v>7</v>
      </c>
      <c r="H3992" s="695" t="s">
        <v>6662</v>
      </c>
      <c r="I3992" s="695">
        <v>94</v>
      </c>
      <c r="J3992" s="695" t="s">
        <v>7148</v>
      </c>
      <c r="K3992" s="695" t="s">
        <v>5334</v>
      </c>
      <c r="L3992" s="696">
        <v>0</v>
      </c>
      <c r="M3992" s="170"/>
    </row>
    <row r="3993" spans="2:13" x14ac:dyDescent="0.2">
      <c r="B3993" s="173"/>
      <c r="C3993" s="694">
        <v>1</v>
      </c>
      <c r="D3993" s="695" t="s">
        <v>3903</v>
      </c>
      <c r="E3993" s="695">
        <v>7</v>
      </c>
      <c r="F3993" s="695" t="s">
        <v>6711</v>
      </c>
      <c r="G3993" s="695">
        <v>7</v>
      </c>
      <c r="H3993" s="695" t="s">
        <v>6662</v>
      </c>
      <c r="I3993" s="695">
        <v>95</v>
      </c>
      <c r="J3993" s="695" t="s">
        <v>7149</v>
      </c>
      <c r="K3993" s="695" t="s">
        <v>5334</v>
      </c>
      <c r="L3993" s="696">
        <v>5</v>
      </c>
      <c r="M3993" s="170"/>
    </row>
    <row r="3994" spans="2:13" x14ac:dyDescent="0.2">
      <c r="B3994" s="173"/>
      <c r="C3994" s="694">
        <v>1</v>
      </c>
      <c r="D3994" s="695" t="s">
        <v>3903</v>
      </c>
      <c r="E3994" s="695">
        <v>7</v>
      </c>
      <c r="F3994" s="695" t="s">
        <v>6711</v>
      </c>
      <c r="G3994" s="695">
        <v>7</v>
      </c>
      <c r="H3994" s="695" t="s">
        <v>6662</v>
      </c>
      <c r="I3994" s="695">
        <v>96</v>
      </c>
      <c r="J3994" s="695" t="s">
        <v>7150</v>
      </c>
      <c r="K3994" s="695" t="s">
        <v>5334</v>
      </c>
      <c r="L3994" s="696">
        <v>0</v>
      </c>
      <c r="M3994" s="170"/>
    </row>
    <row r="3995" spans="2:13" x14ac:dyDescent="0.2">
      <c r="B3995" s="173"/>
      <c r="C3995" s="694">
        <v>1</v>
      </c>
      <c r="D3995" s="695" t="s">
        <v>3903</v>
      </c>
      <c r="E3995" s="695">
        <v>7</v>
      </c>
      <c r="F3995" s="695" t="s">
        <v>6711</v>
      </c>
      <c r="G3995" s="695">
        <v>7</v>
      </c>
      <c r="H3995" s="695" t="s">
        <v>6662</v>
      </c>
      <c r="I3995" s="695">
        <v>97</v>
      </c>
      <c r="J3995" s="695" t="s">
        <v>7151</v>
      </c>
      <c r="K3995" s="695" t="s">
        <v>5334</v>
      </c>
      <c r="L3995" s="696">
        <v>0</v>
      </c>
      <c r="M3995" s="170"/>
    </row>
    <row r="3996" spans="2:13" x14ac:dyDescent="0.2">
      <c r="B3996" s="173"/>
      <c r="C3996" s="694">
        <v>1</v>
      </c>
      <c r="D3996" s="695" t="s">
        <v>3903</v>
      </c>
      <c r="E3996" s="695">
        <v>7</v>
      </c>
      <c r="F3996" s="695" t="s">
        <v>6711</v>
      </c>
      <c r="G3996" s="695">
        <v>7</v>
      </c>
      <c r="H3996" s="695" t="s">
        <v>6662</v>
      </c>
      <c r="I3996" s="695">
        <v>98</v>
      </c>
      <c r="J3996" s="695" t="s">
        <v>7152</v>
      </c>
      <c r="K3996" s="695" t="s">
        <v>5334</v>
      </c>
      <c r="L3996" s="696">
        <v>7</v>
      </c>
      <c r="M3996" s="170"/>
    </row>
    <row r="3997" spans="2:13" x14ac:dyDescent="0.2">
      <c r="B3997" s="173"/>
      <c r="C3997" s="694">
        <v>1</v>
      </c>
      <c r="D3997" s="695" t="s">
        <v>3903</v>
      </c>
      <c r="E3997" s="695">
        <v>7</v>
      </c>
      <c r="F3997" s="695" t="s">
        <v>6711</v>
      </c>
      <c r="G3997" s="695">
        <v>7</v>
      </c>
      <c r="H3997" s="695" t="s">
        <v>6662</v>
      </c>
      <c r="I3997" s="695">
        <v>99</v>
      </c>
      <c r="J3997" s="695" t="s">
        <v>7153</v>
      </c>
      <c r="K3997" s="695" t="s">
        <v>5334</v>
      </c>
      <c r="L3997" s="696">
        <v>1</v>
      </c>
      <c r="M3997" s="170"/>
    </row>
    <row r="3998" spans="2:13" x14ac:dyDescent="0.2">
      <c r="B3998" s="173"/>
      <c r="C3998" s="694">
        <v>1</v>
      </c>
      <c r="D3998" s="695" t="s">
        <v>3903</v>
      </c>
      <c r="E3998" s="695">
        <v>7</v>
      </c>
      <c r="F3998" s="695" t="s">
        <v>6711</v>
      </c>
      <c r="G3998" s="695">
        <v>7</v>
      </c>
      <c r="H3998" s="695" t="s">
        <v>6662</v>
      </c>
      <c r="I3998" s="695">
        <v>100</v>
      </c>
      <c r="J3998" s="695" t="s">
        <v>7154</v>
      </c>
      <c r="K3998" s="695" t="s">
        <v>5334</v>
      </c>
      <c r="L3998" s="696">
        <v>0</v>
      </c>
      <c r="M3998" s="170"/>
    </row>
    <row r="3999" spans="2:13" x14ac:dyDescent="0.2">
      <c r="B3999" s="173"/>
      <c r="C3999" s="694">
        <v>1</v>
      </c>
      <c r="D3999" s="695" t="s">
        <v>3903</v>
      </c>
      <c r="E3999" s="695">
        <v>7</v>
      </c>
      <c r="F3999" s="695" t="s">
        <v>6711</v>
      </c>
      <c r="G3999" s="695">
        <v>7</v>
      </c>
      <c r="H3999" s="695" t="s">
        <v>6662</v>
      </c>
      <c r="I3999" s="695">
        <v>101</v>
      </c>
      <c r="J3999" s="695" t="s">
        <v>7155</v>
      </c>
      <c r="K3999" s="695" t="s">
        <v>5334</v>
      </c>
      <c r="L3999" s="696">
        <v>0</v>
      </c>
      <c r="M3999" s="170"/>
    </row>
    <row r="4000" spans="2:13" x14ac:dyDescent="0.2">
      <c r="B4000" s="173"/>
      <c r="C4000" s="694">
        <v>1</v>
      </c>
      <c r="D4000" s="695" t="s">
        <v>3903</v>
      </c>
      <c r="E4000" s="695">
        <v>7</v>
      </c>
      <c r="F4000" s="695" t="s">
        <v>6711</v>
      </c>
      <c r="G4000" s="695">
        <v>7</v>
      </c>
      <c r="H4000" s="695" t="s">
        <v>6662</v>
      </c>
      <c r="I4000" s="695">
        <v>102</v>
      </c>
      <c r="J4000" s="695" t="s">
        <v>7156</v>
      </c>
      <c r="K4000" s="695" t="s">
        <v>5334</v>
      </c>
      <c r="L4000" s="696">
        <v>2</v>
      </c>
      <c r="M4000" s="170"/>
    </row>
    <row r="4001" spans="2:13" x14ac:dyDescent="0.2">
      <c r="B4001" s="173"/>
      <c r="C4001" s="694">
        <v>1</v>
      </c>
      <c r="D4001" s="695" t="s">
        <v>3903</v>
      </c>
      <c r="E4001" s="695">
        <v>7</v>
      </c>
      <c r="F4001" s="695" t="s">
        <v>6711</v>
      </c>
      <c r="G4001" s="695">
        <v>7</v>
      </c>
      <c r="H4001" s="695" t="s">
        <v>6662</v>
      </c>
      <c r="I4001" s="695">
        <v>103</v>
      </c>
      <c r="J4001" s="695" t="s">
        <v>7157</v>
      </c>
      <c r="K4001" s="695" t="s">
        <v>5334</v>
      </c>
      <c r="L4001" s="696">
        <v>0</v>
      </c>
      <c r="M4001" s="170"/>
    </row>
    <row r="4002" spans="2:13" x14ac:dyDescent="0.2">
      <c r="B4002" s="173"/>
      <c r="C4002" s="694">
        <v>1</v>
      </c>
      <c r="D4002" s="695" t="s">
        <v>3903</v>
      </c>
      <c r="E4002" s="695">
        <v>7</v>
      </c>
      <c r="F4002" s="695" t="s">
        <v>6711</v>
      </c>
      <c r="G4002" s="695">
        <v>7</v>
      </c>
      <c r="H4002" s="695" t="s">
        <v>6662</v>
      </c>
      <c r="I4002" s="695">
        <v>104</v>
      </c>
      <c r="J4002" s="695" t="s">
        <v>7158</v>
      </c>
      <c r="K4002" s="695" t="s">
        <v>5334</v>
      </c>
      <c r="L4002" s="696">
        <v>0</v>
      </c>
      <c r="M4002" s="170"/>
    </row>
    <row r="4003" spans="2:13" x14ac:dyDescent="0.2">
      <c r="B4003" s="173"/>
      <c r="C4003" s="694">
        <v>1</v>
      </c>
      <c r="D4003" s="695" t="s">
        <v>3903</v>
      </c>
      <c r="E4003" s="695">
        <v>7</v>
      </c>
      <c r="F4003" s="695" t="s">
        <v>6711</v>
      </c>
      <c r="G4003" s="695">
        <v>7</v>
      </c>
      <c r="H4003" s="695" t="s">
        <v>6662</v>
      </c>
      <c r="I4003" s="695">
        <v>105</v>
      </c>
      <c r="J4003" s="695" t="s">
        <v>7159</v>
      </c>
      <c r="K4003" s="695" t="s">
        <v>5334</v>
      </c>
      <c r="L4003" s="696">
        <v>3</v>
      </c>
      <c r="M4003" s="170"/>
    </row>
    <row r="4004" spans="2:13" x14ac:dyDescent="0.2">
      <c r="B4004" s="173"/>
      <c r="C4004" s="694">
        <v>1</v>
      </c>
      <c r="D4004" s="695" t="s">
        <v>3903</v>
      </c>
      <c r="E4004" s="695">
        <v>7</v>
      </c>
      <c r="F4004" s="695" t="s">
        <v>6711</v>
      </c>
      <c r="G4004" s="695">
        <v>7</v>
      </c>
      <c r="H4004" s="695" t="s">
        <v>6662</v>
      </c>
      <c r="I4004" s="695">
        <v>106</v>
      </c>
      <c r="J4004" s="695" t="s">
        <v>7160</v>
      </c>
      <c r="K4004" s="695" t="s">
        <v>5334</v>
      </c>
      <c r="L4004" s="696">
        <v>0</v>
      </c>
      <c r="M4004" s="170"/>
    </row>
    <row r="4005" spans="2:13" x14ac:dyDescent="0.2">
      <c r="B4005" s="173"/>
      <c r="C4005" s="694">
        <v>1</v>
      </c>
      <c r="D4005" s="695" t="s">
        <v>3903</v>
      </c>
      <c r="E4005" s="695">
        <v>7</v>
      </c>
      <c r="F4005" s="695" t="s">
        <v>6711</v>
      </c>
      <c r="G4005" s="695">
        <v>7</v>
      </c>
      <c r="H4005" s="695" t="s">
        <v>6662</v>
      </c>
      <c r="I4005" s="695">
        <v>107</v>
      </c>
      <c r="J4005" s="695" t="s">
        <v>7161</v>
      </c>
      <c r="K4005" s="695" t="s">
        <v>5334</v>
      </c>
      <c r="L4005" s="696">
        <v>4</v>
      </c>
      <c r="M4005" s="170"/>
    </row>
    <row r="4006" spans="2:13" x14ac:dyDescent="0.2">
      <c r="B4006" s="173"/>
      <c r="C4006" s="694">
        <v>1</v>
      </c>
      <c r="D4006" s="695" t="s">
        <v>3903</v>
      </c>
      <c r="E4006" s="695">
        <v>7</v>
      </c>
      <c r="F4006" s="695" t="s">
        <v>6711</v>
      </c>
      <c r="G4006" s="695">
        <v>7</v>
      </c>
      <c r="H4006" s="695" t="s">
        <v>6662</v>
      </c>
      <c r="I4006" s="695">
        <v>108</v>
      </c>
      <c r="J4006" s="695" t="s">
        <v>7162</v>
      </c>
      <c r="K4006" s="695" t="s">
        <v>5334</v>
      </c>
      <c r="L4006" s="696">
        <v>0</v>
      </c>
      <c r="M4006" s="170"/>
    </row>
    <row r="4007" spans="2:13" x14ac:dyDescent="0.2">
      <c r="B4007" s="173"/>
      <c r="C4007" s="694">
        <v>1</v>
      </c>
      <c r="D4007" s="695" t="s">
        <v>3903</v>
      </c>
      <c r="E4007" s="695">
        <v>7</v>
      </c>
      <c r="F4007" s="695" t="s">
        <v>6711</v>
      </c>
      <c r="G4007" s="695">
        <v>7</v>
      </c>
      <c r="H4007" s="695" t="s">
        <v>6662</v>
      </c>
      <c r="I4007" s="695">
        <v>109</v>
      </c>
      <c r="J4007" s="695" t="s">
        <v>7163</v>
      </c>
      <c r="K4007" s="695" t="s">
        <v>5334</v>
      </c>
      <c r="L4007" s="696">
        <v>0</v>
      </c>
      <c r="M4007" s="170"/>
    </row>
    <row r="4008" spans="2:13" x14ac:dyDescent="0.2">
      <c r="B4008" s="173"/>
      <c r="C4008" s="694">
        <v>1</v>
      </c>
      <c r="D4008" s="695" t="s">
        <v>3903</v>
      </c>
      <c r="E4008" s="695">
        <v>7</v>
      </c>
      <c r="F4008" s="695" t="s">
        <v>6711</v>
      </c>
      <c r="G4008" s="695">
        <v>7</v>
      </c>
      <c r="H4008" s="695" t="s">
        <v>6662</v>
      </c>
      <c r="I4008" s="695">
        <v>110</v>
      </c>
      <c r="J4008" s="695" t="s">
        <v>7164</v>
      </c>
      <c r="K4008" s="695" t="s">
        <v>5334</v>
      </c>
      <c r="L4008" s="696">
        <v>0</v>
      </c>
      <c r="M4008" s="170"/>
    </row>
    <row r="4009" spans="2:13" x14ac:dyDescent="0.2">
      <c r="B4009" s="173"/>
      <c r="C4009" s="694">
        <v>1</v>
      </c>
      <c r="D4009" s="695" t="s">
        <v>3903</v>
      </c>
      <c r="E4009" s="695">
        <v>7</v>
      </c>
      <c r="F4009" s="695" t="s">
        <v>6711</v>
      </c>
      <c r="G4009" s="695">
        <v>7</v>
      </c>
      <c r="H4009" s="695" t="s">
        <v>6662</v>
      </c>
      <c r="I4009" s="695">
        <v>111</v>
      </c>
      <c r="J4009" s="695" t="s">
        <v>7165</v>
      </c>
      <c r="K4009" s="695" t="s">
        <v>5334</v>
      </c>
      <c r="L4009" s="696">
        <v>0</v>
      </c>
      <c r="M4009" s="170"/>
    </row>
    <row r="4010" spans="2:13" x14ac:dyDescent="0.2">
      <c r="B4010" s="173"/>
      <c r="C4010" s="694">
        <v>1</v>
      </c>
      <c r="D4010" s="695" t="s">
        <v>3903</v>
      </c>
      <c r="E4010" s="695">
        <v>7</v>
      </c>
      <c r="F4010" s="695" t="s">
        <v>6711</v>
      </c>
      <c r="G4010" s="695">
        <v>7</v>
      </c>
      <c r="H4010" s="695" t="s">
        <v>6662</v>
      </c>
      <c r="I4010" s="695">
        <v>112</v>
      </c>
      <c r="J4010" s="695" t="s">
        <v>7166</v>
      </c>
      <c r="K4010" s="695" t="s">
        <v>5334</v>
      </c>
      <c r="L4010" s="696">
        <v>0</v>
      </c>
      <c r="M4010" s="170"/>
    </row>
    <row r="4011" spans="2:13" x14ac:dyDescent="0.2">
      <c r="B4011" s="173"/>
      <c r="C4011" s="694">
        <v>1</v>
      </c>
      <c r="D4011" s="695" t="s">
        <v>3903</v>
      </c>
      <c r="E4011" s="695">
        <v>7</v>
      </c>
      <c r="F4011" s="695" t="s">
        <v>6711</v>
      </c>
      <c r="G4011" s="695">
        <v>7</v>
      </c>
      <c r="H4011" s="695" t="s">
        <v>6662</v>
      </c>
      <c r="I4011" s="695">
        <v>113</v>
      </c>
      <c r="J4011" s="695" t="s">
        <v>7167</v>
      </c>
      <c r="K4011" s="695" t="s">
        <v>5334</v>
      </c>
      <c r="L4011" s="696">
        <v>0</v>
      </c>
      <c r="M4011" s="170"/>
    </row>
    <row r="4012" spans="2:13" x14ac:dyDescent="0.2">
      <c r="B4012" s="173"/>
      <c r="C4012" s="694">
        <v>1</v>
      </c>
      <c r="D4012" s="695" t="s">
        <v>3903</v>
      </c>
      <c r="E4012" s="695">
        <v>7</v>
      </c>
      <c r="F4012" s="695" t="s">
        <v>6711</v>
      </c>
      <c r="G4012" s="695">
        <v>7</v>
      </c>
      <c r="H4012" s="695" t="s">
        <v>6662</v>
      </c>
      <c r="I4012" s="695">
        <v>114</v>
      </c>
      <c r="J4012" s="695" t="s">
        <v>7168</v>
      </c>
      <c r="K4012" s="695" t="s">
        <v>5334</v>
      </c>
      <c r="L4012" s="696">
        <v>0</v>
      </c>
      <c r="M4012" s="170"/>
    </row>
    <row r="4013" spans="2:13" x14ac:dyDescent="0.2">
      <c r="B4013" s="173"/>
      <c r="C4013" s="694">
        <v>1</v>
      </c>
      <c r="D4013" s="695" t="s">
        <v>3903</v>
      </c>
      <c r="E4013" s="695">
        <v>7</v>
      </c>
      <c r="F4013" s="695" t="s">
        <v>6711</v>
      </c>
      <c r="G4013" s="695">
        <v>7</v>
      </c>
      <c r="H4013" s="695" t="s">
        <v>6662</v>
      </c>
      <c r="I4013" s="695">
        <v>115</v>
      </c>
      <c r="J4013" s="695" t="s">
        <v>7169</v>
      </c>
      <c r="K4013" s="695" t="s">
        <v>5334</v>
      </c>
      <c r="L4013" s="696">
        <v>0</v>
      </c>
      <c r="M4013" s="170"/>
    </row>
    <row r="4014" spans="2:13" x14ac:dyDescent="0.2">
      <c r="B4014" s="173"/>
      <c r="C4014" s="694">
        <v>1</v>
      </c>
      <c r="D4014" s="695" t="s">
        <v>3903</v>
      </c>
      <c r="E4014" s="695">
        <v>7</v>
      </c>
      <c r="F4014" s="695" t="s">
        <v>6711</v>
      </c>
      <c r="G4014" s="695">
        <v>7</v>
      </c>
      <c r="H4014" s="695" t="s">
        <v>6662</v>
      </c>
      <c r="I4014" s="695">
        <v>116</v>
      </c>
      <c r="J4014" s="695" t="s">
        <v>7170</v>
      </c>
      <c r="K4014" s="695" t="s">
        <v>5334</v>
      </c>
      <c r="L4014" s="696">
        <v>0</v>
      </c>
      <c r="M4014" s="170"/>
    </row>
    <row r="4015" spans="2:13" x14ac:dyDescent="0.2">
      <c r="B4015" s="173"/>
      <c r="C4015" s="694">
        <v>1</v>
      </c>
      <c r="D4015" s="695" t="s">
        <v>3903</v>
      </c>
      <c r="E4015" s="695">
        <v>7</v>
      </c>
      <c r="F4015" s="695" t="s">
        <v>6711</v>
      </c>
      <c r="G4015" s="695">
        <v>7</v>
      </c>
      <c r="H4015" s="695" t="s">
        <v>6662</v>
      </c>
      <c r="I4015" s="695">
        <v>117</v>
      </c>
      <c r="J4015" s="695" t="s">
        <v>7171</v>
      </c>
      <c r="K4015" s="695" t="s">
        <v>5334</v>
      </c>
      <c r="L4015" s="696">
        <v>0</v>
      </c>
      <c r="M4015" s="170"/>
    </row>
    <row r="4016" spans="2:13" x14ac:dyDescent="0.2">
      <c r="B4016" s="173"/>
      <c r="C4016" s="694">
        <v>1</v>
      </c>
      <c r="D4016" s="695" t="s">
        <v>3903</v>
      </c>
      <c r="E4016" s="695">
        <v>7</v>
      </c>
      <c r="F4016" s="695" t="s">
        <v>6711</v>
      </c>
      <c r="G4016" s="695">
        <v>7</v>
      </c>
      <c r="H4016" s="695" t="s">
        <v>6662</v>
      </c>
      <c r="I4016" s="695">
        <v>118</v>
      </c>
      <c r="J4016" s="695" t="s">
        <v>7172</v>
      </c>
      <c r="K4016" s="695" t="s">
        <v>5334</v>
      </c>
      <c r="L4016" s="696">
        <v>0</v>
      </c>
      <c r="M4016" s="170"/>
    </row>
    <row r="4017" spans="2:13" x14ac:dyDescent="0.2">
      <c r="B4017" s="173"/>
      <c r="C4017" s="694">
        <v>1</v>
      </c>
      <c r="D4017" s="695" t="s">
        <v>3903</v>
      </c>
      <c r="E4017" s="695">
        <v>7</v>
      </c>
      <c r="F4017" s="695" t="s">
        <v>6711</v>
      </c>
      <c r="G4017" s="695">
        <v>7</v>
      </c>
      <c r="H4017" s="695" t="s">
        <v>6662</v>
      </c>
      <c r="I4017" s="695">
        <v>119</v>
      </c>
      <c r="J4017" s="695" t="s">
        <v>7173</v>
      </c>
      <c r="K4017" s="695" t="s">
        <v>5334</v>
      </c>
      <c r="L4017" s="696">
        <v>0</v>
      </c>
      <c r="M4017" s="170"/>
    </row>
    <row r="4018" spans="2:13" x14ac:dyDescent="0.2">
      <c r="B4018" s="173"/>
      <c r="C4018" s="694">
        <v>1</v>
      </c>
      <c r="D4018" s="695" t="s">
        <v>3903</v>
      </c>
      <c r="E4018" s="695">
        <v>7</v>
      </c>
      <c r="F4018" s="695" t="s">
        <v>6711</v>
      </c>
      <c r="G4018" s="695">
        <v>7</v>
      </c>
      <c r="H4018" s="695" t="s">
        <v>6662</v>
      </c>
      <c r="I4018" s="695">
        <v>120</v>
      </c>
      <c r="J4018" s="695" t="s">
        <v>7174</v>
      </c>
      <c r="K4018" s="695" t="s">
        <v>5334</v>
      </c>
      <c r="L4018" s="696">
        <v>0</v>
      </c>
      <c r="M4018" s="170"/>
    </row>
    <row r="4019" spans="2:13" x14ac:dyDescent="0.2">
      <c r="B4019" s="173"/>
      <c r="C4019" s="694">
        <v>1</v>
      </c>
      <c r="D4019" s="695" t="s">
        <v>3903</v>
      </c>
      <c r="E4019" s="695">
        <v>7</v>
      </c>
      <c r="F4019" s="695" t="s">
        <v>6711</v>
      </c>
      <c r="G4019" s="695">
        <v>7</v>
      </c>
      <c r="H4019" s="695" t="s">
        <v>6662</v>
      </c>
      <c r="I4019" s="695">
        <v>121</v>
      </c>
      <c r="J4019" s="695" t="s">
        <v>7175</v>
      </c>
      <c r="K4019" s="695" t="s">
        <v>5334</v>
      </c>
      <c r="L4019" s="696">
        <v>0</v>
      </c>
      <c r="M4019" s="170"/>
    </row>
    <row r="4020" spans="2:13" x14ac:dyDescent="0.2">
      <c r="B4020" s="173"/>
      <c r="C4020" s="694">
        <v>1</v>
      </c>
      <c r="D4020" s="695" t="s">
        <v>3903</v>
      </c>
      <c r="E4020" s="695">
        <v>7</v>
      </c>
      <c r="F4020" s="695" t="s">
        <v>6711</v>
      </c>
      <c r="G4020" s="695">
        <v>7</v>
      </c>
      <c r="H4020" s="695" t="s">
        <v>6662</v>
      </c>
      <c r="I4020" s="695">
        <v>122</v>
      </c>
      <c r="J4020" s="695" t="s">
        <v>7176</v>
      </c>
      <c r="K4020" s="695" t="s">
        <v>5334</v>
      </c>
      <c r="L4020" s="696">
        <v>0</v>
      </c>
      <c r="M4020" s="170"/>
    </row>
    <row r="4021" spans="2:13" x14ac:dyDescent="0.2">
      <c r="B4021" s="173"/>
      <c r="C4021" s="694">
        <v>1</v>
      </c>
      <c r="D4021" s="695" t="s">
        <v>3903</v>
      </c>
      <c r="E4021" s="695">
        <v>7</v>
      </c>
      <c r="F4021" s="695" t="s">
        <v>6711</v>
      </c>
      <c r="G4021" s="695">
        <v>7</v>
      </c>
      <c r="H4021" s="695" t="s">
        <v>6662</v>
      </c>
      <c r="I4021" s="695">
        <v>123</v>
      </c>
      <c r="J4021" s="695" t="s">
        <v>7177</v>
      </c>
      <c r="K4021" s="695" t="s">
        <v>5334</v>
      </c>
      <c r="L4021" s="696">
        <v>0</v>
      </c>
      <c r="M4021" s="170"/>
    </row>
    <row r="4022" spans="2:13" x14ac:dyDescent="0.2">
      <c r="B4022" s="173"/>
      <c r="C4022" s="694">
        <v>1</v>
      </c>
      <c r="D4022" s="695" t="s">
        <v>3903</v>
      </c>
      <c r="E4022" s="695">
        <v>7</v>
      </c>
      <c r="F4022" s="695" t="s">
        <v>6711</v>
      </c>
      <c r="G4022" s="695">
        <v>7</v>
      </c>
      <c r="H4022" s="695" t="s">
        <v>6662</v>
      </c>
      <c r="I4022" s="695">
        <v>124</v>
      </c>
      <c r="J4022" s="695" t="s">
        <v>7178</v>
      </c>
      <c r="K4022" s="695" t="s">
        <v>5334</v>
      </c>
      <c r="L4022" s="696">
        <v>0</v>
      </c>
      <c r="M4022" s="170"/>
    </row>
    <row r="4023" spans="2:13" x14ac:dyDescent="0.2">
      <c r="B4023" s="173"/>
      <c r="C4023" s="694">
        <v>1</v>
      </c>
      <c r="D4023" s="695" t="s">
        <v>3903</v>
      </c>
      <c r="E4023" s="695">
        <v>7</v>
      </c>
      <c r="F4023" s="695" t="s">
        <v>6711</v>
      </c>
      <c r="G4023" s="695">
        <v>7</v>
      </c>
      <c r="H4023" s="695" t="s">
        <v>6662</v>
      </c>
      <c r="I4023" s="695">
        <v>125</v>
      </c>
      <c r="J4023" s="695" t="s">
        <v>7179</v>
      </c>
      <c r="K4023" s="695" t="s">
        <v>5334</v>
      </c>
      <c r="L4023" s="696">
        <v>0</v>
      </c>
      <c r="M4023" s="170"/>
    </row>
    <row r="4024" spans="2:13" x14ac:dyDescent="0.2">
      <c r="B4024" s="173"/>
      <c r="C4024" s="694">
        <v>1</v>
      </c>
      <c r="D4024" s="695" t="s">
        <v>3903</v>
      </c>
      <c r="E4024" s="695">
        <v>7</v>
      </c>
      <c r="F4024" s="695" t="s">
        <v>6711</v>
      </c>
      <c r="G4024" s="695">
        <v>7</v>
      </c>
      <c r="H4024" s="695" t="s">
        <v>6662</v>
      </c>
      <c r="I4024" s="695">
        <v>126</v>
      </c>
      <c r="J4024" s="695" t="s">
        <v>7180</v>
      </c>
      <c r="K4024" s="695" t="s">
        <v>5334</v>
      </c>
      <c r="L4024" s="696">
        <v>0</v>
      </c>
      <c r="M4024" s="170"/>
    </row>
    <row r="4025" spans="2:13" x14ac:dyDescent="0.2">
      <c r="B4025" s="173"/>
      <c r="C4025" s="694">
        <v>1</v>
      </c>
      <c r="D4025" s="695" t="s">
        <v>3903</v>
      </c>
      <c r="E4025" s="695">
        <v>7</v>
      </c>
      <c r="F4025" s="695" t="s">
        <v>6711</v>
      </c>
      <c r="G4025" s="695">
        <v>7</v>
      </c>
      <c r="H4025" s="695" t="s">
        <v>6662</v>
      </c>
      <c r="I4025" s="695">
        <v>127</v>
      </c>
      <c r="J4025" s="695" t="s">
        <v>7181</v>
      </c>
      <c r="K4025" s="695" t="s">
        <v>5334</v>
      </c>
      <c r="L4025" s="696">
        <v>0</v>
      </c>
      <c r="M4025" s="170"/>
    </row>
    <row r="4026" spans="2:13" x14ac:dyDescent="0.2">
      <c r="B4026" s="173"/>
      <c r="C4026" s="694">
        <v>1</v>
      </c>
      <c r="D4026" s="695" t="s">
        <v>3903</v>
      </c>
      <c r="E4026" s="695">
        <v>7</v>
      </c>
      <c r="F4026" s="695" t="s">
        <v>6711</v>
      </c>
      <c r="G4026" s="695">
        <v>7</v>
      </c>
      <c r="H4026" s="695" t="s">
        <v>6662</v>
      </c>
      <c r="I4026" s="695">
        <v>128</v>
      </c>
      <c r="J4026" s="695" t="s">
        <v>7182</v>
      </c>
      <c r="K4026" s="695" t="s">
        <v>5334</v>
      </c>
      <c r="L4026" s="696">
        <v>0</v>
      </c>
      <c r="M4026" s="170"/>
    </row>
    <row r="4027" spans="2:13" x14ac:dyDescent="0.2">
      <c r="B4027" s="173"/>
      <c r="C4027" s="694">
        <v>1</v>
      </c>
      <c r="D4027" s="695" t="s">
        <v>3903</v>
      </c>
      <c r="E4027" s="695">
        <v>7</v>
      </c>
      <c r="F4027" s="695" t="s">
        <v>6711</v>
      </c>
      <c r="G4027" s="695">
        <v>7</v>
      </c>
      <c r="H4027" s="695" t="s">
        <v>6662</v>
      </c>
      <c r="I4027" s="695">
        <v>129</v>
      </c>
      <c r="J4027" s="695" t="s">
        <v>7183</v>
      </c>
      <c r="K4027" s="695" t="s">
        <v>5334</v>
      </c>
      <c r="L4027" s="696">
        <v>0</v>
      </c>
      <c r="M4027" s="170"/>
    </row>
    <row r="4028" spans="2:13" x14ac:dyDescent="0.2">
      <c r="B4028" s="173"/>
      <c r="C4028" s="694">
        <v>1</v>
      </c>
      <c r="D4028" s="695" t="s">
        <v>3903</v>
      </c>
      <c r="E4028" s="695">
        <v>7</v>
      </c>
      <c r="F4028" s="695" t="s">
        <v>6711</v>
      </c>
      <c r="G4028" s="695">
        <v>7</v>
      </c>
      <c r="H4028" s="695" t="s">
        <v>6662</v>
      </c>
      <c r="I4028" s="695">
        <v>130</v>
      </c>
      <c r="J4028" s="695" t="s">
        <v>7184</v>
      </c>
      <c r="K4028" s="695" t="s">
        <v>5334</v>
      </c>
      <c r="L4028" s="696">
        <v>0</v>
      </c>
      <c r="M4028" s="170"/>
    </row>
    <row r="4029" spans="2:13" x14ac:dyDescent="0.2">
      <c r="B4029" s="173"/>
      <c r="C4029" s="694">
        <v>1</v>
      </c>
      <c r="D4029" s="695" t="s">
        <v>3903</v>
      </c>
      <c r="E4029" s="695">
        <v>7</v>
      </c>
      <c r="F4029" s="695" t="s">
        <v>6711</v>
      </c>
      <c r="G4029" s="695">
        <v>7</v>
      </c>
      <c r="H4029" s="695" t="s">
        <v>6662</v>
      </c>
      <c r="I4029" s="695">
        <v>131</v>
      </c>
      <c r="J4029" s="695" t="s">
        <v>7185</v>
      </c>
      <c r="K4029" s="695" t="s">
        <v>5334</v>
      </c>
      <c r="L4029" s="696">
        <v>0</v>
      </c>
      <c r="M4029" s="170"/>
    </row>
    <row r="4030" spans="2:13" x14ac:dyDescent="0.2">
      <c r="B4030" s="173"/>
      <c r="C4030" s="694">
        <v>1</v>
      </c>
      <c r="D4030" s="695" t="s">
        <v>3903</v>
      </c>
      <c r="E4030" s="695">
        <v>7</v>
      </c>
      <c r="F4030" s="695" t="s">
        <v>6711</v>
      </c>
      <c r="G4030" s="695">
        <v>7</v>
      </c>
      <c r="H4030" s="695" t="s">
        <v>6662</v>
      </c>
      <c r="I4030" s="695">
        <v>132</v>
      </c>
      <c r="J4030" s="695" t="s">
        <v>7186</v>
      </c>
      <c r="K4030" s="695" t="s">
        <v>5334</v>
      </c>
      <c r="L4030" s="696">
        <v>0</v>
      </c>
      <c r="M4030" s="170"/>
    </row>
    <row r="4031" spans="2:13" x14ac:dyDescent="0.2">
      <c r="B4031" s="173"/>
      <c r="C4031" s="694">
        <v>1</v>
      </c>
      <c r="D4031" s="695" t="s">
        <v>3903</v>
      </c>
      <c r="E4031" s="695">
        <v>7</v>
      </c>
      <c r="F4031" s="695" t="s">
        <v>6711</v>
      </c>
      <c r="G4031" s="695">
        <v>7</v>
      </c>
      <c r="H4031" s="695" t="s">
        <v>6662</v>
      </c>
      <c r="I4031" s="695">
        <v>133</v>
      </c>
      <c r="J4031" s="695" t="s">
        <v>7187</v>
      </c>
      <c r="K4031" s="695" t="s">
        <v>5334</v>
      </c>
      <c r="L4031" s="696">
        <v>0</v>
      </c>
      <c r="M4031" s="170"/>
    </row>
    <row r="4032" spans="2:13" x14ac:dyDescent="0.2">
      <c r="B4032" s="173"/>
      <c r="C4032" s="694">
        <v>1</v>
      </c>
      <c r="D4032" s="695" t="s">
        <v>3903</v>
      </c>
      <c r="E4032" s="695">
        <v>7</v>
      </c>
      <c r="F4032" s="695" t="s">
        <v>6711</v>
      </c>
      <c r="G4032" s="695">
        <v>7</v>
      </c>
      <c r="H4032" s="695" t="s">
        <v>6662</v>
      </c>
      <c r="I4032" s="695">
        <v>134</v>
      </c>
      <c r="J4032" s="695" t="s">
        <v>7188</v>
      </c>
      <c r="K4032" s="695" t="s">
        <v>5334</v>
      </c>
      <c r="L4032" s="696">
        <v>0</v>
      </c>
      <c r="M4032" s="170"/>
    </row>
    <row r="4033" spans="2:13" x14ac:dyDescent="0.2">
      <c r="B4033" s="173"/>
      <c r="C4033" s="694">
        <v>1</v>
      </c>
      <c r="D4033" s="695" t="s">
        <v>3903</v>
      </c>
      <c r="E4033" s="695">
        <v>7</v>
      </c>
      <c r="F4033" s="695" t="s">
        <v>6711</v>
      </c>
      <c r="G4033" s="695">
        <v>7</v>
      </c>
      <c r="H4033" s="695" t="s">
        <v>6662</v>
      </c>
      <c r="I4033" s="695">
        <v>135</v>
      </c>
      <c r="J4033" s="695" t="s">
        <v>7189</v>
      </c>
      <c r="K4033" s="695" t="s">
        <v>5334</v>
      </c>
      <c r="L4033" s="696">
        <v>0</v>
      </c>
      <c r="M4033" s="170"/>
    </row>
    <row r="4034" spans="2:13" x14ac:dyDescent="0.2">
      <c r="B4034" s="173"/>
      <c r="C4034" s="694">
        <v>1</v>
      </c>
      <c r="D4034" s="695" t="s">
        <v>3903</v>
      </c>
      <c r="E4034" s="695">
        <v>7</v>
      </c>
      <c r="F4034" s="695" t="s">
        <v>6711</v>
      </c>
      <c r="G4034" s="695">
        <v>7</v>
      </c>
      <c r="H4034" s="695" t="s">
        <v>6662</v>
      </c>
      <c r="I4034" s="695">
        <v>136</v>
      </c>
      <c r="J4034" s="695" t="s">
        <v>7190</v>
      </c>
      <c r="K4034" s="695" t="s">
        <v>5334</v>
      </c>
      <c r="L4034" s="696">
        <v>0</v>
      </c>
      <c r="M4034" s="170"/>
    </row>
    <row r="4035" spans="2:13" x14ac:dyDescent="0.2">
      <c r="B4035" s="173"/>
      <c r="C4035" s="694">
        <v>1</v>
      </c>
      <c r="D4035" s="695" t="s">
        <v>3903</v>
      </c>
      <c r="E4035" s="695">
        <v>7</v>
      </c>
      <c r="F4035" s="695" t="s">
        <v>6711</v>
      </c>
      <c r="G4035" s="695">
        <v>7</v>
      </c>
      <c r="H4035" s="695" t="s">
        <v>6662</v>
      </c>
      <c r="I4035" s="695">
        <v>137</v>
      </c>
      <c r="J4035" s="695" t="s">
        <v>7191</v>
      </c>
      <c r="K4035" s="695" t="s">
        <v>5334</v>
      </c>
      <c r="L4035" s="696">
        <v>0</v>
      </c>
      <c r="M4035" s="170"/>
    </row>
    <row r="4036" spans="2:13" x14ac:dyDescent="0.2">
      <c r="B4036" s="173"/>
      <c r="C4036" s="694">
        <v>1</v>
      </c>
      <c r="D4036" s="695" t="s">
        <v>3903</v>
      </c>
      <c r="E4036" s="695">
        <v>7</v>
      </c>
      <c r="F4036" s="695" t="s">
        <v>6711</v>
      </c>
      <c r="G4036" s="695">
        <v>7</v>
      </c>
      <c r="H4036" s="695" t="s">
        <v>6662</v>
      </c>
      <c r="I4036" s="695">
        <v>138</v>
      </c>
      <c r="J4036" s="695" t="s">
        <v>7192</v>
      </c>
      <c r="K4036" s="695" t="s">
        <v>5334</v>
      </c>
      <c r="L4036" s="696">
        <v>0</v>
      </c>
      <c r="M4036" s="170"/>
    </row>
    <row r="4037" spans="2:13" x14ac:dyDescent="0.2">
      <c r="B4037" s="173"/>
      <c r="C4037" s="694">
        <v>1</v>
      </c>
      <c r="D4037" s="695" t="s">
        <v>3903</v>
      </c>
      <c r="E4037" s="695">
        <v>7</v>
      </c>
      <c r="F4037" s="695" t="s">
        <v>6711</v>
      </c>
      <c r="G4037" s="695">
        <v>7</v>
      </c>
      <c r="H4037" s="695" t="s">
        <v>6662</v>
      </c>
      <c r="I4037" s="695">
        <v>139</v>
      </c>
      <c r="J4037" s="695" t="s">
        <v>7193</v>
      </c>
      <c r="K4037" s="695" t="s">
        <v>5334</v>
      </c>
      <c r="L4037" s="696">
        <v>0</v>
      </c>
      <c r="M4037" s="170"/>
    </row>
    <row r="4038" spans="2:13" x14ac:dyDescent="0.2">
      <c r="B4038" s="173"/>
      <c r="C4038" s="694">
        <v>1</v>
      </c>
      <c r="D4038" s="695" t="s">
        <v>3903</v>
      </c>
      <c r="E4038" s="695">
        <v>7</v>
      </c>
      <c r="F4038" s="695" t="s">
        <v>6711</v>
      </c>
      <c r="G4038" s="695">
        <v>7</v>
      </c>
      <c r="H4038" s="695" t="s">
        <v>6662</v>
      </c>
      <c r="I4038" s="695">
        <v>140</v>
      </c>
      <c r="J4038" s="695" t="s">
        <v>7194</v>
      </c>
      <c r="K4038" s="695" t="s">
        <v>5334</v>
      </c>
      <c r="L4038" s="696">
        <v>0</v>
      </c>
      <c r="M4038" s="170"/>
    </row>
    <row r="4039" spans="2:13" x14ac:dyDescent="0.2">
      <c r="B4039" s="173"/>
      <c r="C4039" s="694">
        <v>1</v>
      </c>
      <c r="D4039" s="695" t="s">
        <v>3903</v>
      </c>
      <c r="E4039" s="695">
        <v>7</v>
      </c>
      <c r="F4039" s="695" t="s">
        <v>6711</v>
      </c>
      <c r="G4039" s="695">
        <v>7</v>
      </c>
      <c r="H4039" s="695" t="s">
        <v>6662</v>
      </c>
      <c r="I4039" s="695">
        <v>141</v>
      </c>
      <c r="J4039" s="695" t="s">
        <v>7195</v>
      </c>
      <c r="K4039" s="695" t="s">
        <v>5334</v>
      </c>
      <c r="L4039" s="696">
        <v>0</v>
      </c>
      <c r="M4039" s="170"/>
    </row>
    <row r="4040" spans="2:13" x14ac:dyDescent="0.2">
      <c r="B4040" s="173"/>
      <c r="C4040" s="694">
        <v>1</v>
      </c>
      <c r="D4040" s="695" t="s">
        <v>3903</v>
      </c>
      <c r="E4040" s="695">
        <v>7</v>
      </c>
      <c r="F4040" s="695" t="s">
        <v>6711</v>
      </c>
      <c r="G4040" s="695">
        <v>7</v>
      </c>
      <c r="H4040" s="695" t="s">
        <v>6662</v>
      </c>
      <c r="I4040" s="695">
        <v>142</v>
      </c>
      <c r="J4040" s="695" t="s">
        <v>7196</v>
      </c>
      <c r="K4040" s="695" t="s">
        <v>5334</v>
      </c>
      <c r="L4040" s="696">
        <v>0</v>
      </c>
      <c r="M4040" s="170"/>
    </row>
    <row r="4041" spans="2:13" x14ac:dyDescent="0.2">
      <c r="B4041" s="173"/>
      <c r="C4041" s="694">
        <v>1</v>
      </c>
      <c r="D4041" s="695" t="s">
        <v>3903</v>
      </c>
      <c r="E4041" s="695">
        <v>7</v>
      </c>
      <c r="F4041" s="695" t="s">
        <v>6711</v>
      </c>
      <c r="G4041" s="695">
        <v>7</v>
      </c>
      <c r="H4041" s="695" t="s">
        <v>6662</v>
      </c>
      <c r="I4041" s="695">
        <v>143</v>
      </c>
      <c r="J4041" s="695" t="s">
        <v>7197</v>
      </c>
      <c r="K4041" s="695" t="s">
        <v>5334</v>
      </c>
      <c r="L4041" s="696">
        <v>0</v>
      </c>
      <c r="M4041" s="170"/>
    </row>
    <row r="4042" spans="2:13" x14ac:dyDescent="0.2">
      <c r="B4042" s="173"/>
      <c r="C4042" s="694">
        <v>1</v>
      </c>
      <c r="D4042" s="695" t="s">
        <v>3903</v>
      </c>
      <c r="E4042" s="695">
        <v>7</v>
      </c>
      <c r="F4042" s="695" t="s">
        <v>6711</v>
      </c>
      <c r="G4042" s="695">
        <v>7</v>
      </c>
      <c r="H4042" s="695" t="s">
        <v>6662</v>
      </c>
      <c r="I4042" s="695">
        <v>144</v>
      </c>
      <c r="J4042" s="695" t="s">
        <v>7198</v>
      </c>
      <c r="K4042" s="695" t="s">
        <v>5334</v>
      </c>
      <c r="L4042" s="696">
        <v>0</v>
      </c>
      <c r="M4042" s="170"/>
    </row>
    <row r="4043" spans="2:13" x14ac:dyDescent="0.2">
      <c r="B4043" s="173"/>
      <c r="C4043" s="694">
        <v>1</v>
      </c>
      <c r="D4043" s="695" t="s">
        <v>3903</v>
      </c>
      <c r="E4043" s="695">
        <v>7</v>
      </c>
      <c r="F4043" s="695" t="s">
        <v>6711</v>
      </c>
      <c r="G4043" s="695">
        <v>7</v>
      </c>
      <c r="H4043" s="695" t="s">
        <v>6662</v>
      </c>
      <c r="I4043" s="695">
        <v>145</v>
      </c>
      <c r="J4043" s="695" t="s">
        <v>7199</v>
      </c>
      <c r="K4043" s="695" t="s">
        <v>5334</v>
      </c>
      <c r="L4043" s="696">
        <v>0</v>
      </c>
      <c r="M4043" s="170"/>
    </row>
    <row r="4044" spans="2:13" x14ac:dyDescent="0.2">
      <c r="B4044" s="173"/>
      <c r="C4044" s="694">
        <v>1</v>
      </c>
      <c r="D4044" s="695" t="s">
        <v>3903</v>
      </c>
      <c r="E4044" s="695">
        <v>7</v>
      </c>
      <c r="F4044" s="695" t="s">
        <v>6711</v>
      </c>
      <c r="G4044" s="695">
        <v>7</v>
      </c>
      <c r="H4044" s="695" t="s">
        <v>6662</v>
      </c>
      <c r="I4044" s="695">
        <v>146</v>
      </c>
      <c r="J4044" s="695" t="s">
        <v>7200</v>
      </c>
      <c r="K4044" s="695" t="s">
        <v>5334</v>
      </c>
      <c r="L4044" s="696">
        <v>0</v>
      </c>
      <c r="M4044" s="170"/>
    </row>
    <row r="4045" spans="2:13" x14ac:dyDescent="0.2">
      <c r="B4045" s="173"/>
      <c r="C4045" s="694">
        <v>1</v>
      </c>
      <c r="D4045" s="695" t="s">
        <v>3903</v>
      </c>
      <c r="E4045" s="695">
        <v>7</v>
      </c>
      <c r="F4045" s="695" t="s">
        <v>6711</v>
      </c>
      <c r="G4045" s="695">
        <v>7</v>
      </c>
      <c r="H4045" s="695" t="s">
        <v>6662</v>
      </c>
      <c r="I4045" s="695">
        <v>147</v>
      </c>
      <c r="J4045" s="695" t="s">
        <v>7201</v>
      </c>
      <c r="K4045" s="695" t="s">
        <v>5334</v>
      </c>
      <c r="L4045" s="696">
        <v>0</v>
      </c>
      <c r="M4045" s="170"/>
    </row>
    <row r="4046" spans="2:13" x14ac:dyDescent="0.2">
      <c r="B4046" s="173"/>
      <c r="C4046" s="694">
        <v>1</v>
      </c>
      <c r="D4046" s="695" t="s">
        <v>3903</v>
      </c>
      <c r="E4046" s="695">
        <v>7</v>
      </c>
      <c r="F4046" s="695" t="s">
        <v>6711</v>
      </c>
      <c r="G4046" s="695">
        <v>7</v>
      </c>
      <c r="H4046" s="695" t="s">
        <v>6662</v>
      </c>
      <c r="I4046" s="695">
        <v>148</v>
      </c>
      <c r="J4046" s="695" t="s">
        <v>7202</v>
      </c>
      <c r="K4046" s="695" t="s">
        <v>5334</v>
      </c>
      <c r="L4046" s="696">
        <v>0</v>
      </c>
      <c r="M4046" s="170"/>
    </row>
    <row r="4047" spans="2:13" x14ac:dyDescent="0.2">
      <c r="B4047" s="173"/>
      <c r="C4047" s="694">
        <v>1</v>
      </c>
      <c r="D4047" s="695" t="s">
        <v>3903</v>
      </c>
      <c r="E4047" s="695">
        <v>7</v>
      </c>
      <c r="F4047" s="695" t="s">
        <v>6711</v>
      </c>
      <c r="G4047" s="695">
        <v>7</v>
      </c>
      <c r="H4047" s="695" t="s">
        <v>6662</v>
      </c>
      <c r="I4047" s="695">
        <v>149</v>
      </c>
      <c r="J4047" s="695" t="s">
        <v>7203</v>
      </c>
      <c r="K4047" s="695" t="s">
        <v>5334</v>
      </c>
      <c r="L4047" s="696">
        <v>0</v>
      </c>
      <c r="M4047" s="170"/>
    </row>
    <row r="4048" spans="2:13" x14ac:dyDescent="0.2">
      <c r="B4048" s="173"/>
      <c r="C4048" s="694">
        <v>1</v>
      </c>
      <c r="D4048" s="695" t="s">
        <v>3903</v>
      </c>
      <c r="E4048" s="695">
        <v>7</v>
      </c>
      <c r="F4048" s="695" t="s">
        <v>6711</v>
      </c>
      <c r="G4048" s="695">
        <v>7</v>
      </c>
      <c r="H4048" s="695" t="s">
        <v>6662</v>
      </c>
      <c r="I4048" s="695">
        <v>150</v>
      </c>
      <c r="J4048" s="695" t="s">
        <v>7204</v>
      </c>
      <c r="K4048" s="695" t="s">
        <v>5334</v>
      </c>
      <c r="L4048" s="696">
        <v>0</v>
      </c>
      <c r="M4048" s="170"/>
    </row>
    <row r="4049" spans="2:13" x14ac:dyDescent="0.2">
      <c r="B4049" s="173"/>
      <c r="C4049" s="694">
        <v>1</v>
      </c>
      <c r="D4049" s="695" t="s">
        <v>3903</v>
      </c>
      <c r="E4049" s="695">
        <v>7</v>
      </c>
      <c r="F4049" s="695" t="s">
        <v>6711</v>
      </c>
      <c r="G4049" s="695">
        <v>7</v>
      </c>
      <c r="H4049" s="695" t="s">
        <v>6662</v>
      </c>
      <c r="I4049" s="695">
        <v>151</v>
      </c>
      <c r="J4049" s="695" t="s">
        <v>7205</v>
      </c>
      <c r="K4049" s="695" t="s">
        <v>5334</v>
      </c>
      <c r="L4049" s="696">
        <v>0</v>
      </c>
      <c r="M4049" s="170"/>
    </row>
    <row r="4050" spans="2:13" x14ac:dyDescent="0.2">
      <c r="B4050" s="173"/>
      <c r="C4050" s="694">
        <v>1</v>
      </c>
      <c r="D4050" s="695" t="s">
        <v>3903</v>
      </c>
      <c r="E4050" s="695">
        <v>7</v>
      </c>
      <c r="F4050" s="695" t="s">
        <v>6711</v>
      </c>
      <c r="G4050" s="695">
        <v>7</v>
      </c>
      <c r="H4050" s="695" t="s">
        <v>6662</v>
      </c>
      <c r="I4050" s="695">
        <v>152</v>
      </c>
      <c r="J4050" s="695" t="s">
        <v>7206</v>
      </c>
      <c r="K4050" s="695" t="s">
        <v>5334</v>
      </c>
      <c r="L4050" s="696">
        <v>0</v>
      </c>
      <c r="M4050" s="170"/>
    </row>
    <row r="4051" spans="2:13" x14ac:dyDescent="0.2">
      <c r="B4051" s="173"/>
      <c r="C4051" s="694">
        <v>1</v>
      </c>
      <c r="D4051" s="695" t="s">
        <v>3903</v>
      </c>
      <c r="E4051" s="695">
        <v>7</v>
      </c>
      <c r="F4051" s="695" t="s">
        <v>6711</v>
      </c>
      <c r="G4051" s="695">
        <v>7</v>
      </c>
      <c r="H4051" s="695" t="s">
        <v>6662</v>
      </c>
      <c r="I4051" s="695">
        <v>153</v>
      </c>
      <c r="J4051" s="695" t="s">
        <v>7207</v>
      </c>
      <c r="K4051" s="695" t="s">
        <v>5334</v>
      </c>
      <c r="L4051" s="696">
        <v>0</v>
      </c>
      <c r="M4051" s="170"/>
    </row>
    <row r="4052" spans="2:13" x14ac:dyDescent="0.2">
      <c r="B4052" s="173"/>
      <c r="C4052" s="694">
        <v>1</v>
      </c>
      <c r="D4052" s="695" t="s">
        <v>3903</v>
      </c>
      <c r="E4052" s="695">
        <v>7</v>
      </c>
      <c r="F4052" s="695" t="s">
        <v>6711</v>
      </c>
      <c r="G4052" s="695">
        <v>7</v>
      </c>
      <c r="H4052" s="695" t="s">
        <v>6662</v>
      </c>
      <c r="I4052" s="695">
        <v>154</v>
      </c>
      <c r="J4052" s="695" t="s">
        <v>7208</v>
      </c>
      <c r="K4052" s="695" t="s">
        <v>5334</v>
      </c>
      <c r="L4052" s="696">
        <v>0</v>
      </c>
      <c r="M4052" s="170"/>
    </row>
    <row r="4053" spans="2:13" x14ac:dyDescent="0.2">
      <c r="B4053" s="173"/>
      <c r="C4053" s="694">
        <v>1</v>
      </c>
      <c r="D4053" s="695" t="s">
        <v>3903</v>
      </c>
      <c r="E4053" s="695">
        <v>7</v>
      </c>
      <c r="F4053" s="695" t="s">
        <v>6711</v>
      </c>
      <c r="G4053" s="695">
        <v>7</v>
      </c>
      <c r="H4053" s="695" t="s">
        <v>6662</v>
      </c>
      <c r="I4053" s="695">
        <v>155</v>
      </c>
      <c r="J4053" s="695" t="s">
        <v>7209</v>
      </c>
      <c r="K4053" s="695" t="s">
        <v>5334</v>
      </c>
      <c r="L4053" s="696">
        <v>1</v>
      </c>
      <c r="M4053" s="170"/>
    </row>
    <row r="4054" spans="2:13" x14ac:dyDescent="0.2">
      <c r="B4054" s="173"/>
      <c r="C4054" s="694">
        <v>1</v>
      </c>
      <c r="D4054" s="695" t="s">
        <v>3903</v>
      </c>
      <c r="E4054" s="695">
        <v>7</v>
      </c>
      <c r="F4054" s="695" t="s">
        <v>6711</v>
      </c>
      <c r="G4054" s="695">
        <v>7</v>
      </c>
      <c r="H4054" s="695" t="s">
        <v>6662</v>
      </c>
      <c r="I4054" s="695">
        <v>156</v>
      </c>
      <c r="J4054" s="695" t="s">
        <v>7210</v>
      </c>
      <c r="K4054" s="695" t="s">
        <v>5334</v>
      </c>
      <c r="L4054" s="696">
        <v>0</v>
      </c>
      <c r="M4054" s="170"/>
    </row>
    <row r="4055" spans="2:13" x14ac:dyDescent="0.2">
      <c r="B4055" s="173"/>
      <c r="C4055" s="694">
        <v>1</v>
      </c>
      <c r="D4055" s="695" t="s">
        <v>3903</v>
      </c>
      <c r="E4055" s="695">
        <v>7</v>
      </c>
      <c r="F4055" s="695" t="s">
        <v>6711</v>
      </c>
      <c r="G4055" s="695">
        <v>7</v>
      </c>
      <c r="H4055" s="695" t="s">
        <v>6662</v>
      </c>
      <c r="I4055" s="695">
        <v>157</v>
      </c>
      <c r="J4055" s="695" t="s">
        <v>7211</v>
      </c>
      <c r="K4055" s="695" t="s">
        <v>5334</v>
      </c>
      <c r="L4055" s="696">
        <v>0</v>
      </c>
      <c r="M4055" s="170"/>
    </row>
    <row r="4056" spans="2:13" x14ac:dyDescent="0.2">
      <c r="B4056" s="173"/>
      <c r="C4056" s="694">
        <v>1</v>
      </c>
      <c r="D4056" s="695" t="s">
        <v>3903</v>
      </c>
      <c r="E4056" s="695">
        <v>7</v>
      </c>
      <c r="F4056" s="695" t="s">
        <v>6711</v>
      </c>
      <c r="G4056" s="695">
        <v>7</v>
      </c>
      <c r="H4056" s="695" t="s">
        <v>6662</v>
      </c>
      <c r="I4056" s="695">
        <v>158</v>
      </c>
      <c r="J4056" s="695" t="s">
        <v>7212</v>
      </c>
      <c r="K4056" s="695" t="s">
        <v>5334</v>
      </c>
      <c r="L4056" s="696">
        <v>1</v>
      </c>
      <c r="M4056" s="170"/>
    </row>
    <row r="4057" spans="2:13" x14ac:dyDescent="0.2">
      <c r="B4057" s="173"/>
      <c r="C4057" s="694">
        <v>1</v>
      </c>
      <c r="D4057" s="695" t="s">
        <v>3903</v>
      </c>
      <c r="E4057" s="695">
        <v>7</v>
      </c>
      <c r="F4057" s="695" t="s">
        <v>6711</v>
      </c>
      <c r="G4057" s="695">
        <v>7</v>
      </c>
      <c r="H4057" s="695" t="s">
        <v>6662</v>
      </c>
      <c r="I4057" s="695">
        <v>159</v>
      </c>
      <c r="J4057" s="695" t="s">
        <v>7213</v>
      </c>
      <c r="K4057" s="695" t="s">
        <v>5334</v>
      </c>
      <c r="L4057" s="696">
        <v>0</v>
      </c>
      <c r="M4057" s="170"/>
    </row>
    <row r="4058" spans="2:13" x14ac:dyDescent="0.2">
      <c r="B4058" s="173"/>
      <c r="C4058" s="694">
        <v>1</v>
      </c>
      <c r="D4058" s="695" t="s">
        <v>3903</v>
      </c>
      <c r="E4058" s="695">
        <v>7</v>
      </c>
      <c r="F4058" s="695" t="s">
        <v>6711</v>
      </c>
      <c r="G4058" s="695">
        <v>7</v>
      </c>
      <c r="H4058" s="695" t="s">
        <v>6662</v>
      </c>
      <c r="I4058" s="695">
        <v>160</v>
      </c>
      <c r="J4058" s="695" t="s">
        <v>7214</v>
      </c>
      <c r="K4058" s="695" t="s">
        <v>5334</v>
      </c>
      <c r="L4058" s="696">
        <v>0</v>
      </c>
      <c r="M4058" s="170"/>
    </row>
    <row r="4059" spans="2:13" x14ac:dyDescent="0.2">
      <c r="B4059" s="173"/>
      <c r="C4059" s="694">
        <v>1</v>
      </c>
      <c r="D4059" s="695" t="s">
        <v>3903</v>
      </c>
      <c r="E4059" s="695">
        <v>7</v>
      </c>
      <c r="F4059" s="695" t="s">
        <v>6711</v>
      </c>
      <c r="G4059" s="695">
        <v>7</v>
      </c>
      <c r="H4059" s="695" t="s">
        <v>6662</v>
      </c>
      <c r="I4059" s="695">
        <v>161</v>
      </c>
      <c r="J4059" s="695" t="s">
        <v>7215</v>
      </c>
      <c r="K4059" s="695" t="s">
        <v>5334</v>
      </c>
      <c r="L4059" s="696">
        <v>0</v>
      </c>
      <c r="M4059" s="170"/>
    </row>
    <row r="4060" spans="2:13" x14ac:dyDescent="0.2">
      <c r="B4060" s="173"/>
      <c r="C4060" s="694">
        <v>1</v>
      </c>
      <c r="D4060" s="695" t="s">
        <v>3903</v>
      </c>
      <c r="E4060" s="695">
        <v>7</v>
      </c>
      <c r="F4060" s="695" t="s">
        <v>6711</v>
      </c>
      <c r="G4060" s="695">
        <v>7</v>
      </c>
      <c r="H4060" s="695" t="s">
        <v>6662</v>
      </c>
      <c r="I4060" s="695">
        <v>162</v>
      </c>
      <c r="J4060" s="695" t="s">
        <v>7216</v>
      </c>
      <c r="K4060" s="695" t="s">
        <v>5334</v>
      </c>
      <c r="L4060" s="696">
        <v>2</v>
      </c>
      <c r="M4060" s="170"/>
    </row>
    <row r="4061" spans="2:13" x14ac:dyDescent="0.2">
      <c r="B4061" s="173"/>
      <c r="C4061" s="694">
        <v>1</v>
      </c>
      <c r="D4061" s="695" t="s">
        <v>3903</v>
      </c>
      <c r="E4061" s="695">
        <v>7</v>
      </c>
      <c r="F4061" s="695" t="s">
        <v>6711</v>
      </c>
      <c r="G4061" s="695">
        <v>7</v>
      </c>
      <c r="H4061" s="695" t="s">
        <v>6662</v>
      </c>
      <c r="I4061" s="695">
        <v>163</v>
      </c>
      <c r="J4061" s="695" t="s">
        <v>7217</v>
      </c>
      <c r="K4061" s="695" t="s">
        <v>5334</v>
      </c>
      <c r="L4061" s="696">
        <v>0</v>
      </c>
      <c r="M4061" s="170"/>
    </row>
    <row r="4062" spans="2:13" x14ac:dyDescent="0.2">
      <c r="B4062" s="173"/>
      <c r="C4062" s="694">
        <v>1</v>
      </c>
      <c r="D4062" s="695" t="s">
        <v>3903</v>
      </c>
      <c r="E4062" s="695">
        <v>7</v>
      </c>
      <c r="F4062" s="695" t="s">
        <v>6711</v>
      </c>
      <c r="G4062" s="695">
        <v>7</v>
      </c>
      <c r="H4062" s="695" t="s">
        <v>6662</v>
      </c>
      <c r="I4062" s="695">
        <v>164</v>
      </c>
      <c r="J4062" s="695" t="s">
        <v>7218</v>
      </c>
      <c r="K4062" s="695" t="s">
        <v>5334</v>
      </c>
      <c r="L4062" s="696">
        <v>0</v>
      </c>
      <c r="M4062" s="170"/>
    </row>
    <row r="4063" spans="2:13" x14ac:dyDescent="0.2">
      <c r="B4063" s="173"/>
      <c r="C4063" s="694">
        <v>1</v>
      </c>
      <c r="D4063" s="695" t="s">
        <v>3903</v>
      </c>
      <c r="E4063" s="695">
        <v>7</v>
      </c>
      <c r="F4063" s="695" t="s">
        <v>6711</v>
      </c>
      <c r="G4063" s="695">
        <v>7</v>
      </c>
      <c r="H4063" s="695" t="s">
        <v>6662</v>
      </c>
      <c r="I4063" s="695">
        <v>165</v>
      </c>
      <c r="J4063" s="695" t="s">
        <v>7219</v>
      </c>
      <c r="K4063" s="695" t="s">
        <v>5334</v>
      </c>
      <c r="L4063" s="696">
        <v>0</v>
      </c>
      <c r="M4063" s="170"/>
    </row>
    <row r="4064" spans="2:13" x14ac:dyDescent="0.2">
      <c r="B4064" s="173"/>
      <c r="C4064" s="694">
        <v>1</v>
      </c>
      <c r="D4064" s="695" t="s">
        <v>3903</v>
      </c>
      <c r="E4064" s="695">
        <v>7</v>
      </c>
      <c r="F4064" s="695" t="s">
        <v>6711</v>
      </c>
      <c r="G4064" s="695">
        <v>7</v>
      </c>
      <c r="H4064" s="695" t="s">
        <v>6662</v>
      </c>
      <c r="I4064" s="695">
        <v>166</v>
      </c>
      <c r="J4064" s="695" t="s">
        <v>7220</v>
      </c>
      <c r="K4064" s="695" t="s">
        <v>5334</v>
      </c>
      <c r="L4064" s="696">
        <v>0</v>
      </c>
      <c r="M4064" s="170"/>
    </row>
    <row r="4065" spans="2:13" x14ac:dyDescent="0.2">
      <c r="B4065" s="173"/>
      <c r="C4065" s="694">
        <v>1</v>
      </c>
      <c r="D4065" s="695" t="s">
        <v>3903</v>
      </c>
      <c r="E4065" s="695">
        <v>7</v>
      </c>
      <c r="F4065" s="695" t="s">
        <v>6711</v>
      </c>
      <c r="G4065" s="695">
        <v>7</v>
      </c>
      <c r="H4065" s="695" t="s">
        <v>6662</v>
      </c>
      <c r="I4065" s="695">
        <v>167</v>
      </c>
      <c r="J4065" s="695" t="s">
        <v>7221</v>
      </c>
      <c r="K4065" s="695" t="s">
        <v>5334</v>
      </c>
      <c r="L4065" s="696">
        <v>0</v>
      </c>
      <c r="M4065" s="170"/>
    </row>
    <row r="4066" spans="2:13" x14ac:dyDescent="0.2">
      <c r="B4066" s="173"/>
      <c r="C4066" s="694">
        <v>1</v>
      </c>
      <c r="D4066" s="695" t="s">
        <v>3903</v>
      </c>
      <c r="E4066" s="695">
        <v>7</v>
      </c>
      <c r="F4066" s="695" t="s">
        <v>6711</v>
      </c>
      <c r="G4066" s="695">
        <v>7</v>
      </c>
      <c r="H4066" s="695" t="s">
        <v>6662</v>
      </c>
      <c r="I4066" s="695">
        <v>168</v>
      </c>
      <c r="J4066" s="695" t="s">
        <v>7222</v>
      </c>
      <c r="K4066" s="695" t="s">
        <v>5334</v>
      </c>
      <c r="L4066" s="696">
        <v>0</v>
      </c>
      <c r="M4066" s="170"/>
    </row>
    <row r="4067" spans="2:13" x14ac:dyDescent="0.2">
      <c r="B4067" s="173"/>
      <c r="C4067" s="694">
        <v>1</v>
      </c>
      <c r="D4067" s="695" t="s">
        <v>3903</v>
      </c>
      <c r="E4067" s="695">
        <v>7</v>
      </c>
      <c r="F4067" s="695" t="s">
        <v>6711</v>
      </c>
      <c r="G4067" s="695">
        <v>7</v>
      </c>
      <c r="H4067" s="695" t="s">
        <v>6662</v>
      </c>
      <c r="I4067" s="695">
        <v>169</v>
      </c>
      <c r="J4067" s="695" t="s">
        <v>7223</v>
      </c>
      <c r="K4067" s="695" t="s">
        <v>5334</v>
      </c>
      <c r="L4067" s="696">
        <v>0</v>
      </c>
      <c r="M4067" s="170"/>
    </row>
    <row r="4068" spans="2:13" x14ac:dyDescent="0.2">
      <c r="B4068" s="173"/>
      <c r="C4068" s="694">
        <v>1</v>
      </c>
      <c r="D4068" s="695" t="s">
        <v>3903</v>
      </c>
      <c r="E4068" s="695">
        <v>7</v>
      </c>
      <c r="F4068" s="695" t="s">
        <v>6711</v>
      </c>
      <c r="G4068" s="695">
        <v>7</v>
      </c>
      <c r="H4068" s="695" t="s">
        <v>6662</v>
      </c>
      <c r="I4068" s="695">
        <v>170</v>
      </c>
      <c r="J4068" s="695" t="s">
        <v>7224</v>
      </c>
      <c r="K4068" s="695" t="s">
        <v>5334</v>
      </c>
      <c r="L4068" s="696">
        <v>0</v>
      </c>
      <c r="M4068" s="170"/>
    </row>
    <row r="4069" spans="2:13" x14ac:dyDescent="0.2">
      <c r="B4069" s="173"/>
      <c r="C4069" s="694">
        <v>1</v>
      </c>
      <c r="D4069" s="695" t="s">
        <v>3903</v>
      </c>
      <c r="E4069" s="695">
        <v>7</v>
      </c>
      <c r="F4069" s="695" t="s">
        <v>6711</v>
      </c>
      <c r="G4069" s="695">
        <v>7</v>
      </c>
      <c r="H4069" s="695" t="s">
        <v>6662</v>
      </c>
      <c r="I4069" s="695">
        <v>171</v>
      </c>
      <c r="J4069" s="695" t="s">
        <v>7225</v>
      </c>
      <c r="K4069" s="695" t="s">
        <v>5334</v>
      </c>
      <c r="L4069" s="696">
        <v>0</v>
      </c>
      <c r="M4069" s="170"/>
    </row>
    <row r="4070" spans="2:13" x14ac:dyDescent="0.2">
      <c r="B4070" s="173"/>
      <c r="C4070" s="694">
        <v>1</v>
      </c>
      <c r="D4070" s="695" t="s">
        <v>3903</v>
      </c>
      <c r="E4070" s="695">
        <v>7</v>
      </c>
      <c r="F4070" s="695" t="s">
        <v>6711</v>
      </c>
      <c r="G4070" s="695">
        <v>7</v>
      </c>
      <c r="H4070" s="695" t="s">
        <v>6662</v>
      </c>
      <c r="I4070" s="695">
        <v>172</v>
      </c>
      <c r="J4070" s="695" t="s">
        <v>7226</v>
      </c>
      <c r="K4070" s="695" t="s">
        <v>5334</v>
      </c>
      <c r="L4070" s="696">
        <v>0</v>
      </c>
      <c r="M4070" s="170"/>
    </row>
    <row r="4071" spans="2:13" x14ac:dyDescent="0.2">
      <c r="B4071" s="173"/>
      <c r="C4071" s="694">
        <v>1</v>
      </c>
      <c r="D4071" s="695" t="s">
        <v>3903</v>
      </c>
      <c r="E4071" s="695">
        <v>7</v>
      </c>
      <c r="F4071" s="695" t="s">
        <v>6711</v>
      </c>
      <c r="G4071" s="695">
        <v>7</v>
      </c>
      <c r="H4071" s="695" t="s">
        <v>6662</v>
      </c>
      <c r="I4071" s="695">
        <v>173</v>
      </c>
      <c r="J4071" s="695" t="s">
        <v>7227</v>
      </c>
      <c r="K4071" s="695" t="s">
        <v>5334</v>
      </c>
      <c r="L4071" s="696">
        <v>0</v>
      </c>
      <c r="M4071" s="170"/>
    </row>
    <row r="4072" spans="2:13" x14ac:dyDescent="0.2">
      <c r="B4072" s="173"/>
      <c r="C4072" s="694">
        <v>1</v>
      </c>
      <c r="D4072" s="695" t="s">
        <v>3903</v>
      </c>
      <c r="E4072" s="695">
        <v>7</v>
      </c>
      <c r="F4072" s="695" t="s">
        <v>6711</v>
      </c>
      <c r="G4072" s="695">
        <v>7</v>
      </c>
      <c r="H4072" s="695" t="s">
        <v>6662</v>
      </c>
      <c r="I4072" s="695">
        <v>174</v>
      </c>
      <c r="J4072" s="695" t="s">
        <v>7228</v>
      </c>
      <c r="K4072" s="695" t="s">
        <v>5334</v>
      </c>
      <c r="L4072" s="696">
        <v>0</v>
      </c>
      <c r="M4072" s="170"/>
    </row>
    <row r="4073" spans="2:13" x14ac:dyDescent="0.2">
      <c r="B4073" s="173"/>
      <c r="C4073" s="694">
        <v>1</v>
      </c>
      <c r="D4073" s="695" t="s">
        <v>3903</v>
      </c>
      <c r="E4073" s="695">
        <v>7</v>
      </c>
      <c r="F4073" s="695" t="s">
        <v>6711</v>
      </c>
      <c r="G4073" s="695">
        <v>7</v>
      </c>
      <c r="H4073" s="695" t="s">
        <v>6662</v>
      </c>
      <c r="I4073" s="695">
        <v>175</v>
      </c>
      <c r="J4073" s="695" t="s">
        <v>7229</v>
      </c>
      <c r="K4073" s="695" t="s">
        <v>5334</v>
      </c>
      <c r="L4073" s="696">
        <v>0</v>
      </c>
      <c r="M4073" s="170"/>
    </row>
    <row r="4074" spans="2:13" x14ac:dyDescent="0.2">
      <c r="B4074" s="173"/>
      <c r="C4074" s="694">
        <v>1</v>
      </c>
      <c r="D4074" s="695" t="s">
        <v>3903</v>
      </c>
      <c r="E4074" s="695">
        <v>7</v>
      </c>
      <c r="F4074" s="695" t="s">
        <v>6711</v>
      </c>
      <c r="G4074" s="695">
        <v>7</v>
      </c>
      <c r="H4074" s="695" t="s">
        <v>6662</v>
      </c>
      <c r="I4074" s="695">
        <v>176</v>
      </c>
      <c r="J4074" s="695" t="s">
        <v>7230</v>
      </c>
      <c r="K4074" s="695" t="s">
        <v>5334</v>
      </c>
      <c r="L4074" s="696">
        <v>0</v>
      </c>
      <c r="M4074" s="170"/>
    </row>
    <row r="4075" spans="2:13" x14ac:dyDescent="0.2">
      <c r="B4075" s="173"/>
      <c r="C4075" s="694">
        <v>1</v>
      </c>
      <c r="D4075" s="695" t="s">
        <v>3903</v>
      </c>
      <c r="E4075" s="695">
        <v>7</v>
      </c>
      <c r="F4075" s="695" t="s">
        <v>6711</v>
      </c>
      <c r="G4075" s="695">
        <v>7</v>
      </c>
      <c r="H4075" s="695" t="s">
        <v>6662</v>
      </c>
      <c r="I4075" s="695">
        <v>177</v>
      </c>
      <c r="J4075" s="695" t="s">
        <v>7231</v>
      </c>
      <c r="K4075" s="695" t="s">
        <v>5334</v>
      </c>
      <c r="L4075" s="696">
        <v>0</v>
      </c>
      <c r="M4075" s="170"/>
    </row>
    <row r="4076" spans="2:13" x14ac:dyDescent="0.2">
      <c r="B4076" s="173"/>
      <c r="C4076" s="694">
        <v>1</v>
      </c>
      <c r="D4076" s="695" t="s">
        <v>3903</v>
      </c>
      <c r="E4076" s="695">
        <v>7</v>
      </c>
      <c r="F4076" s="695" t="s">
        <v>6711</v>
      </c>
      <c r="G4076" s="695">
        <v>7</v>
      </c>
      <c r="H4076" s="695" t="s">
        <v>6662</v>
      </c>
      <c r="I4076" s="695">
        <v>178</v>
      </c>
      <c r="J4076" s="695" t="s">
        <v>7232</v>
      </c>
      <c r="K4076" s="695" t="s">
        <v>5334</v>
      </c>
      <c r="L4076" s="696">
        <v>0</v>
      </c>
      <c r="M4076" s="170"/>
    </row>
    <row r="4077" spans="2:13" x14ac:dyDescent="0.2">
      <c r="B4077" s="173"/>
      <c r="C4077" s="694">
        <v>1</v>
      </c>
      <c r="D4077" s="695" t="s">
        <v>3903</v>
      </c>
      <c r="E4077" s="695">
        <v>7</v>
      </c>
      <c r="F4077" s="695" t="s">
        <v>6711</v>
      </c>
      <c r="G4077" s="695">
        <v>7</v>
      </c>
      <c r="H4077" s="695" t="s">
        <v>6662</v>
      </c>
      <c r="I4077" s="695">
        <v>179</v>
      </c>
      <c r="J4077" s="695" t="s">
        <v>7233</v>
      </c>
      <c r="K4077" s="695" t="s">
        <v>5334</v>
      </c>
      <c r="L4077" s="696">
        <v>0</v>
      </c>
      <c r="M4077" s="170"/>
    </row>
    <row r="4078" spans="2:13" x14ac:dyDescent="0.2">
      <c r="B4078" s="173"/>
      <c r="C4078" s="694">
        <v>1</v>
      </c>
      <c r="D4078" s="695" t="s">
        <v>3903</v>
      </c>
      <c r="E4078" s="695">
        <v>7</v>
      </c>
      <c r="F4078" s="695" t="s">
        <v>6711</v>
      </c>
      <c r="G4078" s="695">
        <v>7</v>
      </c>
      <c r="H4078" s="695" t="s">
        <v>6662</v>
      </c>
      <c r="I4078" s="695">
        <v>180</v>
      </c>
      <c r="J4078" s="695" t="s">
        <v>7234</v>
      </c>
      <c r="K4078" s="695" t="s">
        <v>5334</v>
      </c>
      <c r="L4078" s="696">
        <v>0</v>
      </c>
      <c r="M4078" s="170"/>
    </row>
    <row r="4079" spans="2:13" x14ac:dyDescent="0.2">
      <c r="B4079" s="173"/>
      <c r="C4079" s="694">
        <v>1</v>
      </c>
      <c r="D4079" s="695" t="s">
        <v>3903</v>
      </c>
      <c r="E4079" s="695">
        <v>7</v>
      </c>
      <c r="F4079" s="695" t="s">
        <v>6711</v>
      </c>
      <c r="G4079" s="695">
        <v>7</v>
      </c>
      <c r="H4079" s="695" t="s">
        <v>6662</v>
      </c>
      <c r="I4079" s="695">
        <v>181</v>
      </c>
      <c r="J4079" s="695" t="s">
        <v>7235</v>
      </c>
      <c r="K4079" s="695" t="s">
        <v>5334</v>
      </c>
      <c r="L4079" s="696">
        <v>0</v>
      </c>
      <c r="M4079" s="170"/>
    </row>
    <row r="4080" spans="2:13" x14ac:dyDescent="0.2">
      <c r="B4080" s="173"/>
      <c r="C4080" s="694">
        <v>1</v>
      </c>
      <c r="D4080" s="695" t="s">
        <v>3903</v>
      </c>
      <c r="E4080" s="695">
        <v>7</v>
      </c>
      <c r="F4080" s="695" t="s">
        <v>6711</v>
      </c>
      <c r="G4080" s="695">
        <v>7</v>
      </c>
      <c r="H4080" s="695" t="s">
        <v>6662</v>
      </c>
      <c r="I4080" s="695">
        <v>182</v>
      </c>
      <c r="J4080" s="695" t="s">
        <v>7236</v>
      </c>
      <c r="K4080" s="695" t="s">
        <v>5334</v>
      </c>
      <c r="L4080" s="696">
        <v>0</v>
      </c>
      <c r="M4080" s="170"/>
    </row>
    <row r="4081" spans="2:13" x14ac:dyDescent="0.2">
      <c r="B4081" s="173"/>
      <c r="C4081" s="694">
        <v>1</v>
      </c>
      <c r="D4081" s="695" t="s">
        <v>3903</v>
      </c>
      <c r="E4081" s="695">
        <v>7</v>
      </c>
      <c r="F4081" s="695" t="s">
        <v>6711</v>
      </c>
      <c r="G4081" s="695">
        <v>7</v>
      </c>
      <c r="H4081" s="695" t="s">
        <v>6662</v>
      </c>
      <c r="I4081" s="695">
        <v>183</v>
      </c>
      <c r="J4081" s="695" t="s">
        <v>7237</v>
      </c>
      <c r="K4081" s="695" t="s">
        <v>5334</v>
      </c>
      <c r="L4081" s="696">
        <v>0</v>
      </c>
      <c r="M4081" s="170"/>
    </row>
    <row r="4082" spans="2:13" x14ac:dyDescent="0.2">
      <c r="B4082" s="173"/>
      <c r="C4082" s="694">
        <v>1</v>
      </c>
      <c r="D4082" s="695" t="s">
        <v>3903</v>
      </c>
      <c r="E4082" s="695">
        <v>7</v>
      </c>
      <c r="F4082" s="695" t="s">
        <v>6711</v>
      </c>
      <c r="G4082" s="695">
        <v>7</v>
      </c>
      <c r="H4082" s="695" t="s">
        <v>6662</v>
      </c>
      <c r="I4082" s="695">
        <v>184</v>
      </c>
      <c r="J4082" s="695" t="s">
        <v>7238</v>
      </c>
      <c r="K4082" s="695" t="s">
        <v>5334</v>
      </c>
      <c r="L4082" s="696">
        <v>0</v>
      </c>
      <c r="M4082" s="170"/>
    </row>
    <row r="4083" spans="2:13" x14ac:dyDescent="0.2">
      <c r="B4083" s="173"/>
      <c r="C4083" s="694">
        <v>1</v>
      </c>
      <c r="D4083" s="695" t="s">
        <v>3903</v>
      </c>
      <c r="E4083" s="695">
        <v>7</v>
      </c>
      <c r="F4083" s="695" t="s">
        <v>6711</v>
      </c>
      <c r="G4083" s="695">
        <v>7</v>
      </c>
      <c r="H4083" s="695" t="s">
        <v>6662</v>
      </c>
      <c r="I4083" s="695">
        <v>185</v>
      </c>
      <c r="J4083" s="695" t="s">
        <v>7239</v>
      </c>
      <c r="K4083" s="695" t="s">
        <v>5334</v>
      </c>
      <c r="L4083" s="696">
        <v>0</v>
      </c>
      <c r="M4083" s="170"/>
    </row>
    <row r="4084" spans="2:13" x14ac:dyDescent="0.2">
      <c r="B4084" s="173"/>
      <c r="C4084" s="694">
        <v>1</v>
      </c>
      <c r="D4084" s="695" t="s">
        <v>3903</v>
      </c>
      <c r="E4084" s="695">
        <v>7</v>
      </c>
      <c r="F4084" s="695" t="s">
        <v>6711</v>
      </c>
      <c r="G4084" s="695">
        <v>7</v>
      </c>
      <c r="H4084" s="695" t="s">
        <v>6662</v>
      </c>
      <c r="I4084" s="695">
        <v>186</v>
      </c>
      <c r="J4084" s="695" t="s">
        <v>7240</v>
      </c>
      <c r="K4084" s="695" t="s">
        <v>5334</v>
      </c>
      <c r="L4084" s="696">
        <v>0</v>
      </c>
      <c r="M4084" s="170"/>
    </row>
    <row r="4085" spans="2:13" x14ac:dyDescent="0.2">
      <c r="B4085" s="173"/>
      <c r="C4085" s="694">
        <v>1</v>
      </c>
      <c r="D4085" s="695" t="s">
        <v>3903</v>
      </c>
      <c r="E4085" s="695">
        <v>7</v>
      </c>
      <c r="F4085" s="695" t="s">
        <v>6711</v>
      </c>
      <c r="G4085" s="695">
        <v>7</v>
      </c>
      <c r="H4085" s="695" t="s">
        <v>6662</v>
      </c>
      <c r="I4085" s="695">
        <v>187</v>
      </c>
      <c r="J4085" s="695" t="s">
        <v>7241</v>
      </c>
      <c r="K4085" s="695" t="s">
        <v>5334</v>
      </c>
      <c r="L4085" s="696">
        <v>0</v>
      </c>
      <c r="M4085" s="170"/>
    </row>
    <row r="4086" spans="2:13" x14ac:dyDescent="0.2">
      <c r="B4086" s="173"/>
      <c r="C4086" s="694">
        <v>1</v>
      </c>
      <c r="D4086" s="695" t="s">
        <v>3903</v>
      </c>
      <c r="E4086" s="695">
        <v>7</v>
      </c>
      <c r="F4086" s="695" t="s">
        <v>6711</v>
      </c>
      <c r="G4086" s="695">
        <v>7</v>
      </c>
      <c r="H4086" s="695" t="s">
        <v>6662</v>
      </c>
      <c r="I4086" s="695">
        <v>188</v>
      </c>
      <c r="J4086" s="695" t="s">
        <v>7242</v>
      </c>
      <c r="K4086" s="695" t="s">
        <v>5334</v>
      </c>
      <c r="L4086" s="696">
        <v>0</v>
      </c>
      <c r="M4086" s="170"/>
    </row>
    <row r="4087" spans="2:13" x14ac:dyDescent="0.2">
      <c r="B4087" s="173"/>
      <c r="C4087" s="694">
        <v>1</v>
      </c>
      <c r="D4087" s="695" t="s">
        <v>3903</v>
      </c>
      <c r="E4087" s="695">
        <v>7</v>
      </c>
      <c r="F4087" s="695" t="s">
        <v>6711</v>
      </c>
      <c r="G4087" s="695">
        <v>7</v>
      </c>
      <c r="H4087" s="695" t="s">
        <v>6662</v>
      </c>
      <c r="I4087" s="695">
        <v>189</v>
      </c>
      <c r="J4087" s="695" t="s">
        <v>7243</v>
      </c>
      <c r="K4087" s="695" t="s">
        <v>5334</v>
      </c>
      <c r="L4087" s="696">
        <v>0</v>
      </c>
      <c r="M4087" s="170"/>
    </row>
    <row r="4088" spans="2:13" x14ac:dyDescent="0.2">
      <c r="B4088" s="173"/>
      <c r="C4088" s="694">
        <v>1</v>
      </c>
      <c r="D4088" s="695" t="s">
        <v>3903</v>
      </c>
      <c r="E4088" s="695">
        <v>7</v>
      </c>
      <c r="F4088" s="695" t="s">
        <v>6711</v>
      </c>
      <c r="G4088" s="695">
        <v>7</v>
      </c>
      <c r="H4088" s="695" t="s">
        <v>6662</v>
      </c>
      <c r="I4088" s="695">
        <v>190</v>
      </c>
      <c r="J4088" s="695" t="s">
        <v>7244</v>
      </c>
      <c r="K4088" s="695" t="s">
        <v>5334</v>
      </c>
      <c r="L4088" s="696">
        <v>0</v>
      </c>
      <c r="M4088" s="170"/>
    </row>
    <row r="4089" spans="2:13" x14ac:dyDescent="0.2">
      <c r="B4089" s="173"/>
      <c r="C4089" s="694">
        <v>1</v>
      </c>
      <c r="D4089" s="695" t="s">
        <v>3903</v>
      </c>
      <c r="E4089" s="695">
        <v>7</v>
      </c>
      <c r="F4089" s="695" t="s">
        <v>6711</v>
      </c>
      <c r="G4089" s="695">
        <v>7</v>
      </c>
      <c r="H4089" s="695" t="s">
        <v>6662</v>
      </c>
      <c r="I4089" s="695">
        <v>191</v>
      </c>
      <c r="J4089" s="695" t="s">
        <v>7245</v>
      </c>
      <c r="K4089" s="695" t="s">
        <v>5334</v>
      </c>
      <c r="L4089" s="696">
        <v>0</v>
      </c>
      <c r="M4089" s="170"/>
    </row>
    <row r="4090" spans="2:13" x14ac:dyDescent="0.2">
      <c r="B4090" s="173"/>
      <c r="C4090" s="694">
        <v>1</v>
      </c>
      <c r="D4090" s="695" t="s">
        <v>3903</v>
      </c>
      <c r="E4090" s="695">
        <v>7</v>
      </c>
      <c r="F4090" s="695" t="s">
        <v>6711</v>
      </c>
      <c r="G4090" s="695">
        <v>7</v>
      </c>
      <c r="H4090" s="695" t="s">
        <v>6662</v>
      </c>
      <c r="I4090" s="695">
        <v>192</v>
      </c>
      <c r="J4090" s="695" t="s">
        <v>7246</v>
      </c>
      <c r="K4090" s="695" t="s">
        <v>5334</v>
      </c>
      <c r="L4090" s="696">
        <v>0</v>
      </c>
      <c r="M4090" s="170"/>
    </row>
    <row r="4091" spans="2:13" x14ac:dyDescent="0.2">
      <c r="B4091" s="173"/>
      <c r="C4091" s="694">
        <v>1</v>
      </c>
      <c r="D4091" s="695" t="s">
        <v>3903</v>
      </c>
      <c r="E4091" s="695">
        <v>7</v>
      </c>
      <c r="F4091" s="695" t="s">
        <v>6711</v>
      </c>
      <c r="G4091" s="695">
        <v>7</v>
      </c>
      <c r="H4091" s="695" t="s">
        <v>6662</v>
      </c>
      <c r="I4091" s="695">
        <v>193</v>
      </c>
      <c r="J4091" s="695" t="s">
        <v>7247</v>
      </c>
      <c r="K4091" s="695" t="s">
        <v>5334</v>
      </c>
      <c r="L4091" s="696">
        <v>0</v>
      </c>
      <c r="M4091" s="170"/>
    </row>
    <row r="4092" spans="2:13" x14ac:dyDescent="0.2">
      <c r="B4092" s="173"/>
      <c r="C4092" s="694">
        <v>1</v>
      </c>
      <c r="D4092" s="695" t="s">
        <v>3903</v>
      </c>
      <c r="E4092" s="695">
        <v>7</v>
      </c>
      <c r="F4092" s="695" t="s">
        <v>6711</v>
      </c>
      <c r="G4092" s="695">
        <v>7</v>
      </c>
      <c r="H4092" s="695" t="s">
        <v>6662</v>
      </c>
      <c r="I4092" s="695">
        <v>194</v>
      </c>
      <c r="J4092" s="695" t="s">
        <v>7248</v>
      </c>
      <c r="K4092" s="695" t="s">
        <v>5334</v>
      </c>
      <c r="L4092" s="696">
        <v>1</v>
      </c>
      <c r="M4092" s="170"/>
    </row>
    <row r="4093" spans="2:13" x14ac:dyDescent="0.2">
      <c r="B4093" s="173"/>
      <c r="C4093" s="694">
        <v>1</v>
      </c>
      <c r="D4093" s="695" t="s">
        <v>3903</v>
      </c>
      <c r="E4093" s="695">
        <v>7</v>
      </c>
      <c r="F4093" s="695" t="s">
        <v>6711</v>
      </c>
      <c r="G4093" s="695">
        <v>7</v>
      </c>
      <c r="H4093" s="695" t="s">
        <v>6662</v>
      </c>
      <c r="I4093" s="695">
        <v>195</v>
      </c>
      <c r="J4093" s="695" t="s">
        <v>7249</v>
      </c>
      <c r="K4093" s="695" t="s">
        <v>5334</v>
      </c>
      <c r="L4093" s="696">
        <v>0</v>
      </c>
      <c r="M4093" s="170"/>
    </row>
    <row r="4094" spans="2:13" x14ac:dyDescent="0.2">
      <c r="B4094" s="173"/>
      <c r="C4094" s="694">
        <v>1</v>
      </c>
      <c r="D4094" s="695" t="s">
        <v>3903</v>
      </c>
      <c r="E4094" s="695">
        <v>7</v>
      </c>
      <c r="F4094" s="695" t="s">
        <v>6711</v>
      </c>
      <c r="G4094" s="695">
        <v>7</v>
      </c>
      <c r="H4094" s="695" t="s">
        <v>6662</v>
      </c>
      <c r="I4094" s="695">
        <v>196</v>
      </c>
      <c r="J4094" s="695" t="s">
        <v>7250</v>
      </c>
      <c r="K4094" s="695" t="s">
        <v>5334</v>
      </c>
      <c r="L4094" s="696">
        <v>0</v>
      </c>
      <c r="M4094" s="170"/>
    </row>
    <row r="4095" spans="2:13" x14ac:dyDescent="0.2">
      <c r="B4095" s="173"/>
      <c r="C4095" s="694">
        <v>1</v>
      </c>
      <c r="D4095" s="695" t="s">
        <v>3903</v>
      </c>
      <c r="E4095" s="695">
        <v>7</v>
      </c>
      <c r="F4095" s="695" t="s">
        <v>6711</v>
      </c>
      <c r="G4095" s="695">
        <v>7</v>
      </c>
      <c r="H4095" s="695" t="s">
        <v>6662</v>
      </c>
      <c r="I4095" s="695">
        <v>197</v>
      </c>
      <c r="J4095" s="695" t="s">
        <v>7251</v>
      </c>
      <c r="K4095" s="695" t="s">
        <v>5334</v>
      </c>
      <c r="L4095" s="696">
        <v>0</v>
      </c>
      <c r="M4095" s="170"/>
    </row>
    <row r="4096" spans="2:13" x14ac:dyDescent="0.2">
      <c r="B4096" s="173"/>
      <c r="C4096" s="694">
        <v>1</v>
      </c>
      <c r="D4096" s="695" t="s">
        <v>3903</v>
      </c>
      <c r="E4096" s="695">
        <v>7</v>
      </c>
      <c r="F4096" s="695" t="s">
        <v>6711</v>
      </c>
      <c r="G4096" s="695">
        <v>7</v>
      </c>
      <c r="H4096" s="695" t="s">
        <v>6662</v>
      </c>
      <c r="I4096" s="695">
        <v>198</v>
      </c>
      <c r="J4096" s="695" t="s">
        <v>7252</v>
      </c>
      <c r="K4096" s="695" t="s">
        <v>5334</v>
      </c>
      <c r="L4096" s="696">
        <v>0</v>
      </c>
      <c r="M4096" s="170"/>
    </row>
    <row r="4097" spans="2:13" x14ac:dyDescent="0.2">
      <c r="B4097" s="173"/>
      <c r="C4097" s="694">
        <v>1</v>
      </c>
      <c r="D4097" s="695" t="s">
        <v>3903</v>
      </c>
      <c r="E4097" s="695">
        <v>7</v>
      </c>
      <c r="F4097" s="695" t="s">
        <v>6711</v>
      </c>
      <c r="G4097" s="695">
        <v>7</v>
      </c>
      <c r="H4097" s="695" t="s">
        <v>6662</v>
      </c>
      <c r="I4097" s="695">
        <v>199</v>
      </c>
      <c r="J4097" s="695" t="s">
        <v>7253</v>
      </c>
      <c r="K4097" s="695" t="s">
        <v>5334</v>
      </c>
      <c r="L4097" s="696">
        <v>0</v>
      </c>
      <c r="M4097" s="170"/>
    </row>
    <row r="4098" spans="2:13" x14ac:dyDescent="0.2">
      <c r="B4098" s="173"/>
      <c r="C4098" s="694">
        <v>1</v>
      </c>
      <c r="D4098" s="695" t="s">
        <v>3903</v>
      </c>
      <c r="E4098" s="695">
        <v>7</v>
      </c>
      <c r="F4098" s="695" t="s">
        <v>6711</v>
      </c>
      <c r="G4098" s="695">
        <v>7</v>
      </c>
      <c r="H4098" s="695" t="s">
        <v>6662</v>
      </c>
      <c r="I4098" s="695">
        <v>200</v>
      </c>
      <c r="J4098" s="695" t="s">
        <v>7254</v>
      </c>
      <c r="K4098" s="695" t="s">
        <v>5334</v>
      </c>
      <c r="L4098" s="696">
        <v>0</v>
      </c>
      <c r="M4098" s="170"/>
    </row>
    <row r="4099" spans="2:13" x14ac:dyDescent="0.2">
      <c r="B4099" s="173"/>
      <c r="C4099" s="694">
        <v>1</v>
      </c>
      <c r="D4099" s="695" t="s">
        <v>3903</v>
      </c>
      <c r="E4099" s="695">
        <v>7</v>
      </c>
      <c r="F4099" s="695" t="s">
        <v>6711</v>
      </c>
      <c r="G4099" s="695">
        <v>7</v>
      </c>
      <c r="H4099" s="695" t="s">
        <v>6662</v>
      </c>
      <c r="I4099" s="695">
        <v>201</v>
      </c>
      <c r="J4099" s="695" t="s">
        <v>7255</v>
      </c>
      <c r="K4099" s="695" t="s">
        <v>5334</v>
      </c>
      <c r="L4099" s="696">
        <v>0</v>
      </c>
      <c r="M4099" s="170"/>
    </row>
    <row r="4100" spans="2:13" x14ac:dyDescent="0.2">
      <c r="B4100" s="173"/>
      <c r="C4100" s="694">
        <v>1</v>
      </c>
      <c r="D4100" s="695" t="s">
        <v>3903</v>
      </c>
      <c r="E4100" s="695">
        <v>7</v>
      </c>
      <c r="F4100" s="695" t="s">
        <v>6711</v>
      </c>
      <c r="G4100" s="695">
        <v>7</v>
      </c>
      <c r="H4100" s="695" t="s">
        <v>6662</v>
      </c>
      <c r="I4100" s="695">
        <v>202</v>
      </c>
      <c r="J4100" s="695" t="s">
        <v>7256</v>
      </c>
      <c r="K4100" s="695" t="s">
        <v>5334</v>
      </c>
      <c r="L4100" s="696">
        <v>0</v>
      </c>
      <c r="M4100" s="170"/>
    </row>
    <row r="4101" spans="2:13" x14ac:dyDescent="0.2">
      <c r="B4101" s="173"/>
      <c r="C4101" s="694">
        <v>1</v>
      </c>
      <c r="D4101" s="695" t="s">
        <v>3903</v>
      </c>
      <c r="E4101" s="695">
        <v>7</v>
      </c>
      <c r="F4101" s="695" t="s">
        <v>6711</v>
      </c>
      <c r="G4101" s="695">
        <v>7</v>
      </c>
      <c r="H4101" s="695" t="s">
        <v>6662</v>
      </c>
      <c r="I4101" s="695">
        <v>203</v>
      </c>
      <c r="J4101" s="695" t="s">
        <v>7257</v>
      </c>
      <c r="K4101" s="695" t="s">
        <v>5334</v>
      </c>
      <c r="L4101" s="696">
        <v>0</v>
      </c>
      <c r="M4101" s="170"/>
    </row>
    <row r="4102" spans="2:13" x14ac:dyDescent="0.2">
      <c r="B4102" s="173"/>
      <c r="C4102" s="694">
        <v>1</v>
      </c>
      <c r="D4102" s="695" t="s">
        <v>3903</v>
      </c>
      <c r="E4102" s="695">
        <v>7</v>
      </c>
      <c r="F4102" s="695" t="s">
        <v>6711</v>
      </c>
      <c r="G4102" s="695">
        <v>7</v>
      </c>
      <c r="H4102" s="695" t="s">
        <v>6662</v>
      </c>
      <c r="I4102" s="695">
        <v>204</v>
      </c>
      <c r="J4102" s="695" t="s">
        <v>7258</v>
      </c>
      <c r="K4102" s="695" t="s">
        <v>5334</v>
      </c>
      <c r="L4102" s="696">
        <v>2</v>
      </c>
      <c r="M4102" s="170"/>
    </row>
    <row r="4103" spans="2:13" x14ac:dyDescent="0.2">
      <c r="B4103" s="173"/>
      <c r="C4103" s="694">
        <v>1</v>
      </c>
      <c r="D4103" s="695" t="s">
        <v>3903</v>
      </c>
      <c r="E4103" s="695">
        <v>7</v>
      </c>
      <c r="F4103" s="695" t="s">
        <v>6711</v>
      </c>
      <c r="G4103" s="695">
        <v>7</v>
      </c>
      <c r="H4103" s="695" t="s">
        <v>6662</v>
      </c>
      <c r="I4103" s="695">
        <v>205</v>
      </c>
      <c r="J4103" s="695" t="s">
        <v>7259</v>
      </c>
      <c r="K4103" s="695" t="s">
        <v>5334</v>
      </c>
      <c r="L4103" s="696">
        <v>0</v>
      </c>
      <c r="M4103" s="170"/>
    </row>
    <row r="4104" spans="2:13" x14ac:dyDescent="0.2">
      <c r="B4104" s="173"/>
      <c r="C4104" s="694">
        <v>1</v>
      </c>
      <c r="D4104" s="695" t="s">
        <v>3903</v>
      </c>
      <c r="E4104" s="695">
        <v>7</v>
      </c>
      <c r="F4104" s="695" t="s">
        <v>6711</v>
      </c>
      <c r="G4104" s="695">
        <v>7</v>
      </c>
      <c r="H4104" s="695" t="s">
        <v>6662</v>
      </c>
      <c r="I4104" s="695">
        <v>206</v>
      </c>
      <c r="J4104" s="695" t="s">
        <v>7260</v>
      </c>
      <c r="K4104" s="695" t="s">
        <v>5334</v>
      </c>
      <c r="L4104" s="696">
        <v>1</v>
      </c>
      <c r="M4104" s="170"/>
    </row>
    <row r="4105" spans="2:13" x14ac:dyDescent="0.2">
      <c r="B4105" s="173"/>
      <c r="C4105" s="694">
        <v>1</v>
      </c>
      <c r="D4105" s="695" t="s">
        <v>3903</v>
      </c>
      <c r="E4105" s="695">
        <v>7</v>
      </c>
      <c r="F4105" s="695" t="s">
        <v>6711</v>
      </c>
      <c r="G4105" s="695">
        <v>7</v>
      </c>
      <c r="H4105" s="695" t="s">
        <v>6662</v>
      </c>
      <c r="I4105" s="695">
        <v>207</v>
      </c>
      <c r="J4105" s="695" t="s">
        <v>7261</v>
      </c>
      <c r="K4105" s="695" t="s">
        <v>5334</v>
      </c>
      <c r="L4105" s="696">
        <v>0</v>
      </c>
      <c r="M4105" s="170"/>
    </row>
    <row r="4106" spans="2:13" x14ac:dyDescent="0.2">
      <c r="B4106" s="173"/>
      <c r="C4106" s="694">
        <v>1</v>
      </c>
      <c r="D4106" s="695" t="s">
        <v>3903</v>
      </c>
      <c r="E4106" s="695">
        <v>7</v>
      </c>
      <c r="F4106" s="695" t="s">
        <v>6711</v>
      </c>
      <c r="G4106" s="695">
        <v>7</v>
      </c>
      <c r="H4106" s="695" t="s">
        <v>6662</v>
      </c>
      <c r="I4106" s="695">
        <v>208</v>
      </c>
      <c r="J4106" s="695" t="s">
        <v>7262</v>
      </c>
      <c r="K4106" s="695" t="s">
        <v>5334</v>
      </c>
      <c r="L4106" s="696">
        <v>0</v>
      </c>
      <c r="M4106" s="170"/>
    </row>
    <row r="4107" spans="2:13" x14ac:dyDescent="0.2">
      <c r="B4107" s="173"/>
      <c r="C4107" s="694">
        <v>1</v>
      </c>
      <c r="D4107" s="695" t="s">
        <v>3903</v>
      </c>
      <c r="E4107" s="695">
        <v>7</v>
      </c>
      <c r="F4107" s="695" t="s">
        <v>6711</v>
      </c>
      <c r="G4107" s="695">
        <v>7</v>
      </c>
      <c r="H4107" s="695" t="s">
        <v>6662</v>
      </c>
      <c r="I4107" s="695">
        <v>209</v>
      </c>
      <c r="J4107" s="695" t="s">
        <v>7263</v>
      </c>
      <c r="K4107" s="695" t="s">
        <v>5334</v>
      </c>
      <c r="L4107" s="696">
        <v>0</v>
      </c>
      <c r="M4107" s="170"/>
    </row>
    <row r="4108" spans="2:13" x14ac:dyDescent="0.2">
      <c r="B4108" s="173"/>
      <c r="C4108" s="694">
        <v>1</v>
      </c>
      <c r="D4108" s="695" t="s">
        <v>3903</v>
      </c>
      <c r="E4108" s="695">
        <v>7</v>
      </c>
      <c r="F4108" s="695" t="s">
        <v>6711</v>
      </c>
      <c r="G4108" s="695">
        <v>7</v>
      </c>
      <c r="H4108" s="695" t="s">
        <v>6662</v>
      </c>
      <c r="I4108" s="695">
        <v>210</v>
      </c>
      <c r="J4108" s="695" t="s">
        <v>7264</v>
      </c>
      <c r="K4108" s="695" t="s">
        <v>5334</v>
      </c>
      <c r="L4108" s="696">
        <v>0</v>
      </c>
      <c r="M4108" s="170"/>
    </row>
    <row r="4109" spans="2:13" x14ac:dyDescent="0.2">
      <c r="B4109" s="173"/>
      <c r="C4109" s="694">
        <v>1</v>
      </c>
      <c r="D4109" s="695" t="s">
        <v>3903</v>
      </c>
      <c r="E4109" s="695">
        <v>7</v>
      </c>
      <c r="F4109" s="695" t="s">
        <v>6711</v>
      </c>
      <c r="G4109" s="695">
        <v>7</v>
      </c>
      <c r="H4109" s="695" t="s">
        <v>6662</v>
      </c>
      <c r="I4109" s="695">
        <v>211</v>
      </c>
      <c r="J4109" s="695" t="s">
        <v>7265</v>
      </c>
      <c r="K4109" s="695" t="s">
        <v>5334</v>
      </c>
      <c r="L4109" s="696">
        <v>0</v>
      </c>
      <c r="M4109" s="170"/>
    </row>
    <row r="4110" spans="2:13" x14ac:dyDescent="0.2">
      <c r="B4110" s="173"/>
      <c r="C4110" s="694">
        <v>1</v>
      </c>
      <c r="D4110" s="695" t="s">
        <v>3903</v>
      </c>
      <c r="E4110" s="695">
        <v>7</v>
      </c>
      <c r="F4110" s="695" t="s">
        <v>6711</v>
      </c>
      <c r="G4110" s="695">
        <v>7</v>
      </c>
      <c r="H4110" s="695" t="s">
        <v>6662</v>
      </c>
      <c r="I4110" s="695">
        <v>212</v>
      </c>
      <c r="J4110" s="695" t="s">
        <v>7266</v>
      </c>
      <c r="K4110" s="695" t="s">
        <v>5334</v>
      </c>
      <c r="L4110" s="696">
        <v>0</v>
      </c>
      <c r="M4110" s="170"/>
    </row>
    <row r="4111" spans="2:13" x14ac:dyDescent="0.2">
      <c r="B4111" s="173"/>
      <c r="C4111" s="694">
        <v>1</v>
      </c>
      <c r="D4111" s="695" t="s">
        <v>3903</v>
      </c>
      <c r="E4111" s="695">
        <v>7</v>
      </c>
      <c r="F4111" s="695" t="s">
        <v>6711</v>
      </c>
      <c r="G4111" s="695">
        <v>7</v>
      </c>
      <c r="H4111" s="695" t="s">
        <v>6662</v>
      </c>
      <c r="I4111" s="695">
        <v>213</v>
      </c>
      <c r="J4111" s="695" t="s">
        <v>7267</v>
      </c>
      <c r="K4111" s="695" t="s">
        <v>5334</v>
      </c>
      <c r="L4111" s="696">
        <v>0</v>
      </c>
      <c r="M4111" s="170"/>
    </row>
    <row r="4112" spans="2:13" x14ac:dyDescent="0.2">
      <c r="B4112" s="173"/>
      <c r="C4112" s="694">
        <v>1</v>
      </c>
      <c r="D4112" s="695" t="s">
        <v>3903</v>
      </c>
      <c r="E4112" s="695">
        <v>7</v>
      </c>
      <c r="F4112" s="695" t="s">
        <v>6711</v>
      </c>
      <c r="G4112" s="695">
        <v>7</v>
      </c>
      <c r="H4112" s="695" t="s">
        <v>6662</v>
      </c>
      <c r="I4112" s="695">
        <v>214</v>
      </c>
      <c r="J4112" s="695" t="s">
        <v>7268</v>
      </c>
      <c r="K4112" s="695" t="s">
        <v>5334</v>
      </c>
      <c r="L4112" s="696">
        <v>1</v>
      </c>
      <c r="M4112" s="170"/>
    </row>
    <row r="4113" spans="2:13" x14ac:dyDescent="0.2">
      <c r="B4113" s="173"/>
      <c r="C4113" s="694">
        <v>1</v>
      </c>
      <c r="D4113" s="695" t="s">
        <v>3903</v>
      </c>
      <c r="E4113" s="695">
        <v>7</v>
      </c>
      <c r="F4113" s="695" t="s">
        <v>6711</v>
      </c>
      <c r="G4113" s="695">
        <v>7</v>
      </c>
      <c r="H4113" s="695" t="s">
        <v>6662</v>
      </c>
      <c r="I4113" s="695">
        <v>215</v>
      </c>
      <c r="J4113" s="695" t="s">
        <v>7269</v>
      </c>
      <c r="K4113" s="695" t="s">
        <v>5334</v>
      </c>
      <c r="L4113" s="696">
        <v>0</v>
      </c>
      <c r="M4113" s="170"/>
    </row>
    <row r="4114" spans="2:13" x14ac:dyDescent="0.2">
      <c r="B4114" s="173"/>
      <c r="C4114" s="694">
        <v>1</v>
      </c>
      <c r="D4114" s="695" t="s">
        <v>3903</v>
      </c>
      <c r="E4114" s="695">
        <v>7</v>
      </c>
      <c r="F4114" s="695" t="s">
        <v>6711</v>
      </c>
      <c r="G4114" s="695">
        <v>7</v>
      </c>
      <c r="H4114" s="695" t="s">
        <v>6662</v>
      </c>
      <c r="I4114" s="695">
        <v>216</v>
      </c>
      <c r="J4114" s="695" t="s">
        <v>7270</v>
      </c>
      <c r="K4114" s="695" t="s">
        <v>5334</v>
      </c>
      <c r="L4114" s="696">
        <v>0</v>
      </c>
      <c r="M4114" s="170"/>
    </row>
    <row r="4115" spans="2:13" x14ac:dyDescent="0.2">
      <c r="B4115" s="173"/>
      <c r="C4115" s="694">
        <v>1</v>
      </c>
      <c r="D4115" s="695" t="s">
        <v>3903</v>
      </c>
      <c r="E4115" s="695">
        <v>7</v>
      </c>
      <c r="F4115" s="695" t="s">
        <v>6711</v>
      </c>
      <c r="G4115" s="695">
        <v>7</v>
      </c>
      <c r="H4115" s="695" t="s">
        <v>6662</v>
      </c>
      <c r="I4115" s="695">
        <v>217</v>
      </c>
      <c r="J4115" s="695" t="s">
        <v>7271</v>
      </c>
      <c r="K4115" s="695" t="s">
        <v>5334</v>
      </c>
      <c r="L4115" s="696">
        <v>1</v>
      </c>
      <c r="M4115" s="170"/>
    </row>
    <row r="4116" spans="2:13" x14ac:dyDescent="0.2">
      <c r="B4116" s="173"/>
      <c r="C4116" s="694">
        <v>1</v>
      </c>
      <c r="D4116" s="695" t="s">
        <v>3903</v>
      </c>
      <c r="E4116" s="695">
        <v>7</v>
      </c>
      <c r="F4116" s="695" t="s">
        <v>6711</v>
      </c>
      <c r="G4116" s="695">
        <v>7</v>
      </c>
      <c r="H4116" s="695" t="s">
        <v>6662</v>
      </c>
      <c r="I4116" s="695">
        <v>218</v>
      </c>
      <c r="J4116" s="695" t="s">
        <v>7272</v>
      </c>
      <c r="K4116" s="695" t="s">
        <v>5334</v>
      </c>
      <c r="L4116" s="696">
        <v>0</v>
      </c>
      <c r="M4116" s="170"/>
    </row>
    <row r="4117" spans="2:13" x14ac:dyDescent="0.2">
      <c r="B4117" s="173"/>
      <c r="C4117" s="694">
        <v>1</v>
      </c>
      <c r="D4117" s="695" t="s">
        <v>3903</v>
      </c>
      <c r="E4117" s="695">
        <v>7</v>
      </c>
      <c r="F4117" s="695" t="s">
        <v>6711</v>
      </c>
      <c r="G4117" s="695">
        <v>7</v>
      </c>
      <c r="H4117" s="695" t="s">
        <v>6662</v>
      </c>
      <c r="I4117" s="695">
        <v>219</v>
      </c>
      <c r="J4117" s="695" t="s">
        <v>9185</v>
      </c>
      <c r="K4117" s="695" t="s">
        <v>5334</v>
      </c>
      <c r="L4117" s="696">
        <v>2</v>
      </c>
      <c r="M4117" s="170"/>
    </row>
    <row r="4118" spans="2:13" x14ac:dyDescent="0.2">
      <c r="B4118" s="173"/>
      <c r="C4118" s="694">
        <v>1</v>
      </c>
      <c r="D4118" s="695" t="s">
        <v>3903</v>
      </c>
      <c r="E4118" s="695">
        <v>7</v>
      </c>
      <c r="F4118" s="695" t="s">
        <v>6711</v>
      </c>
      <c r="G4118" s="695">
        <v>8</v>
      </c>
      <c r="H4118" s="695" t="s">
        <v>6674</v>
      </c>
      <c r="I4118" s="695">
        <v>1</v>
      </c>
      <c r="J4118" s="695" t="s">
        <v>7273</v>
      </c>
      <c r="K4118" s="695" t="s">
        <v>5334</v>
      </c>
      <c r="L4118" s="696">
        <v>1</v>
      </c>
      <c r="M4118" s="170"/>
    </row>
    <row r="4119" spans="2:13" x14ac:dyDescent="0.2">
      <c r="B4119" s="173"/>
      <c r="C4119" s="694">
        <v>1</v>
      </c>
      <c r="D4119" s="695" t="s">
        <v>3903</v>
      </c>
      <c r="E4119" s="695">
        <v>7</v>
      </c>
      <c r="F4119" s="695" t="s">
        <v>6711</v>
      </c>
      <c r="G4119" s="695">
        <v>8</v>
      </c>
      <c r="H4119" s="695" t="s">
        <v>6674</v>
      </c>
      <c r="I4119" s="695">
        <v>2</v>
      </c>
      <c r="J4119" s="695" t="s">
        <v>7274</v>
      </c>
      <c r="K4119" s="695" t="s">
        <v>5334</v>
      </c>
      <c r="L4119" s="696">
        <v>1</v>
      </c>
      <c r="M4119" s="170"/>
    </row>
    <row r="4120" spans="2:13" x14ac:dyDescent="0.2">
      <c r="B4120" s="173"/>
      <c r="C4120" s="694">
        <v>1</v>
      </c>
      <c r="D4120" s="695" t="s">
        <v>3903</v>
      </c>
      <c r="E4120" s="695">
        <v>7</v>
      </c>
      <c r="F4120" s="695" t="s">
        <v>6711</v>
      </c>
      <c r="G4120" s="695">
        <v>8</v>
      </c>
      <c r="H4120" s="695" t="s">
        <v>6674</v>
      </c>
      <c r="I4120" s="695">
        <v>3</v>
      </c>
      <c r="J4120" s="695" t="s">
        <v>7275</v>
      </c>
      <c r="K4120" s="695" t="s">
        <v>5334</v>
      </c>
      <c r="L4120" s="696">
        <v>0</v>
      </c>
      <c r="M4120" s="170"/>
    </row>
    <row r="4121" spans="2:13" x14ac:dyDescent="0.2">
      <c r="B4121" s="173"/>
      <c r="C4121" s="694">
        <v>1</v>
      </c>
      <c r="D4121" s="695" t="s">
        <v>3903</v>
      </c>
      <c r="E4121" s="695">
        <v>7</v>
      </c>
      <c r="F4121" s="695" t="s">
        <v>6711</v>
      </c>
      <c r="G4121" s="695">
        <v>8</v>
      </c>
      <c r="H4121" s="695" t="s">
        <v>6674</v>
      </c>
      <c r="I4121" s="695">
        <v>4</v>
      </c>
      <c r="J4121" s="695" t="s">
        <v>7276</v>
      </c>
      <c r="K4121" s="695" t="s">
        <v>5334</v>
      </c>
      <c r="L4121" s="696">
        <v>0</v>
      </c>
      <c r="M4121" s="170"/>
    </row>
    <row r="4122" spans="2:13" x14ac:dyDescent="0.2">
      <c r="B4122" s="173"/>
      <c r="C4122" s="694">
        <v>1</v>
      </c>
      <c r="D4122" s="695" t="s">
        <v>3903</v>
      </c>
      <c r="E4122" s="695">
        <v>7</v>
      </c>
      <c r="F4122" s="695" t="s">
        <v>6711</v>
      </c>
      <c r="G4122" s="695">
        <v>8</v>
      </c>
      <c r="H4122" s="695" t="s">
        <v>6674</v>
      </c>
      <c r="I4122" s="695">
        <v>5</v>
      </c>
      <c r="J4122" s="695" t="s">
        <v>7277</v>
      </c>
      <c r="K4122" s="695" t="s">
        <v>5334</v>
      </c>
      <c r="L4122" s="696">
        <v>0</v>
      </c>
      <c r="M4122" s="170"/>
    </row>
    <row r="4123" spans="2:13" x14ac:dyDescent="0.2">
      <c r="B4123" s="173"/>
      <c r="C4123" s="694">
        <v>1</v>
      </c>
      <c r="D4123" s="695" t="s">
        <v>3903</v>
      </c>
      <c r="E4123" s="695">
        <v>7</v>
      </c>
      <c r="F4123" s="695" t="s">
        <v>6711</v>
      </c>
      <c r="G4123" s="695">
        <v>8</v>
      </c>
      <c r="H4123" s="695" t="s">
        <v>6674</v>
      </c>
      <c r="I4123" s="695">
        <v>6</v>
      </c>
      <c r="J4123" s="695" t="s">
        <v>7278</v>
      </c>
      <c r="K4123" s="695" t="s">
        <v>5334</v>
      </c>
      <c r="L4123" s="696">
        <v>3</v>
      </c>
      <c r="M4123" s="170"/>
    </row>
    <row r="4124" spans="2:13" x14ac:dyDescent="0.2">
      <c r="B4124" s="173"/>
      <c r="C4124" s="694">
        <v>1</v>
      </c>
      <c r="D4124" s="695" t="s">
        <v>3903</v>
      </c>
      <c r="E4124" s="695">
        <v>7</v>
      </c>
      <c r="F4124" s="695" t="s">
        <v>6711</v>
      </c>
      <c r="G4124" s="695">
        <v>8</v>
      </c>
      <c r="H4124" s="695" t="s">
        <v>6674</v>
      </c>
      <c r="I4124" s="695">
        <v>7</v>
      </c>
      <c r="J4124" s="695" t="s">
        <v>7279</v>
      </c>
      <c r="K4124" s="695" t="s">
        <v>5334</v>
      </c>
      <c r="L4124" s="696">
        <v>0</v>
      </c>
      <c r="M4124" s="170"/>
    </row>
    <row r="4125" spans="2:13" x14ac:dyDescent="0.2">
      <c r="B4125" s="173"/>
      <c r="C4125" s="694">
        <v>1</v>
      </c>
      <c r="D4125" s="695" t="s">
        <v>3903</v>
      </c>
      <c r="E4125" s="695">
        <v>7</v>
      </c>
      <c r="F4125" s="695" t="s">
        <v>6711</v>
      </c>
      <c r="G4125" s="695">
        <v>8</v>
      </c>
      <c r="H4125" s="695" t="s">
        <v>6674</v>
      </c>
      <c r="I4125" s="695">
        <v>8</v>
      </c>
      <c r="J4125" s="695" t="s">
        <v>7280</v>
      </c>
      <c r="K4125" s="695" t="s">
        <v>5334</v>
      </c>
      <c r="L4125" s="696">
        <v>0</v>
      </c>
      <c r="M4125" s="170"/>
    </row>
    <row r="4126" spans="2:13" x14ac:dyDescent="0.2">
      <c r="B4126" s="173"/>
      <c r="C4126" s="694">
        <v>1</v>
      </c>
      <c r="D4126" s="695" t="s">
        <v>3903</v>
      </c>
      <c r="E4126" s="695">
        <v>7</v>
      </c>
      <c r="F4126" s="695" t="s">
        <v>6711</v>
      </c>
      <c r="G4126" s="695">
        <v>8</v>
      </c>
      <c r="H4126" s="695" t="s">
        <v>6674</v>
      </c>
      <c r="I4126" s="695">
        <v>9</v>
      </c>
      <c r="J4126" s="695" t="s">
        <v>7281</v>
      </c>
      <c r="K4126" s="695" t="s">
        <v>5334</v>
      </c>
      <c r="L4126" s="696">
        <v>1</v>
      </c>
      <c r="M4126" s="170"/>
    </row>
    <row r="4127" spans="2:13" x14ac:dyDescent="0.2">
      <c r="B4127" s="173"/>
      <c r="C4127" s="694">
        <v>1</v>
      </c>
      <c r="D4127" s="695" t="s">
        <v>3903</v>
      </c>
      <c r="E4127" s="695">
        <v>7</v>
      </c>
      <c r="F4127" s="695" t="s">
        <v>6711</v>
      </c>
      <c r="G4127" s="695">
        <v>8</v>
      </c>
      <c r="H4127" s="695" t="s">
        <v>6674</v>
      </c>
      <c r="I4127" s="695">
        <v>10</v>
      </c>
      <c r="J4127" s="695" t="s">
        <v>7282</v>
      </c>
      <c r="K4127" s="695" t="s">
        <v>5334</v>
      </c>
      <c r="L4127" s="696">
        <v>1</v>
      </c>
      <c r="M4127" s="170"/>
    </row>
    <row r="4128" spans="2:13" x14ac:dyDescent="0.2">
      <c r="B4128" s="173"/>
      <c r="C4128" s="694">
        <v>1</v>
      </c>
      <c r="D4128" s="695" t="s">
        <v>3903</v>
      </c>
      <c r="E4128" s="695">
        <v>7</v>
      </c>
      <c r="F4128" s="695" t="s">
        <v>6711</v>
      </c>
      <c r="G4128" s="695">
        <v>8</v>
      </c>
      <c r="H4128" s="695" t="s">
        <v>6674</v>
      </c>
      <c r="I4128" s="695">
        <v>11</v>
      </c>
      <c r="J4128" s="695" t="s">
        <v>7283</v>
      </c>
      <c r="K4128" s="695" t="s">
        <v>5334</v>
      </c>
      <c r="L4128" s="696">
        <v>0</v>
      </c>
      <c r="M4128" s="170"/>
    </row>
    <row r="4129" spans="2:13" x14ac:dyDescent="0.2">
      <c r="B4129" s="173"/>
      <c r="C4129" s="694">
        <v>1</v>
      </c>
      <c r="D4129" s="695" t="s">
        <v>3903</v>
      </c>
      <c r="E4129" s="695">
        <v>7</v>
      </c>
      <c r="F4129" s="695" t="s">
        <v>6711</v>
      </c>
      <c r="G4129" s="695">
        <v>8</v>
      </c>
      <c r="H4129" s="695" t="s">
        <v>6674</v>
      </c>
      <c r="I4129" s="695">
        <v>12</v>
      </c>
      <c r="J4129" s="695" t="s">
        <v>7284</v>
      </c>
      <c r="K4129" s="695" t="s">
        <v>5334</v>
      </c>
      <c r="L4129" s="696">
        <v>3</v>
      </c>
      <c r="M4129" s="170"/>
    </row>
    <row r="4130" spans="2:13" x14ac:dyDescent="0.2">
      <c r="B4130" s="173"/>
      <c r="C4130" s="694">
        <v>1</v>
      </c>
      <c r="D4130" s="695" t="s">
        <v>3903</v>
      </c>
      <c r="E4130" s="695">
        <v>7</v>
      </c>
      <c r="F4130" s="695" t="s">
        <v>6711</v>
      </c>
      <c r="G4130" s="695">
        <v>8</v>
      </c>
      <c r="H4130" s="695" t="s">
        <v>6674</v>
      </c>
      <c r="I4130" s="695">
        <v>13</v>
      </c>
      <c r="J4130" s="695" t="s">
        <v>7285</v>
      </c>
      <c r="K4130" s="695" t="s">
        <v>5334</v>
      </c>
      <c r="L4130" s="696">
        <v>0</v>
      </c>
      <c r="M4130" s="170"/>
    </row>
    <row r="4131" spans="2:13" x14ac:dyDescent="0.2">
      <c r="B4131" s="173"/>
      <c r="C4131" s="694">
        <v>1</v>
      </c>
      <c r="D4131" s="695" t="s">
        <v>3903</v>
      </c>
      <c r="E4131" s="695">
        <v>7</v>
      </c>
      <c r="F4131" s="695" t="s">
        <v>6711</v>
      </c>
      <c r="G4131" s="695">
        <v>8</v>
      </c>
      <c r="H4131" s="695" t="s">
        <v>6674</v>
      </c>
      <c r="I4131" s="695">
        <v>14</v>
      </c>
      <c r="J4131" s="695" t="s">
        <v>7286</v>
      </c>
      <c r="K4131" s="695" t="s">
        <v>5334</v>
      </c>
      <c r="L4131" s="696">
        <v>0</v>
      </c>
      <c r="M4131" s="170"/>
    </row>
    <row r="4132" spans="2:13" x14ac:dyDescent="0.2">
      <c r="B4132" s="173"/>
      <c r="C4132" s="694">
        <v>1</v>
      </c>
      <c r="D4132" s="695" t="s">
        <v>3903</v>
      </c>
      <c r="E4132" s="695">
        <v>7</v>
      </c>
      <c r="F4132" s="695" t="s">
        <v>6711</v>
      </c>
      <c r="G4132" s="695">
        <v>8</v>
      </c>
      <c r="H4132" s="695" t="s">
        <v>6674</v>
      </c>
      <c r="I4132" s="695">
        <v>15</v>
      </c>
      <c r="J4132" s="695" t="s">
        <v>7287</v>
      </c>
      <c r="K4132" s="695" t="s">
        <v>5334</v>
      </c>
      <c r="L4132" s="696">
        <v>0</v>
      </c>
      <c r="M4132" s="170"/>
    </row>
    <row r="4133" spans="2:13" x14ac:dyDescent="0.2">
      <c r="B4133" s="173"/>
      <c r="C4133" s="694">
        <v>1</v>
      </c>
      <c r="D4133" s="695" t="s">
        <v>3903</v>
      </c>
      <c r="E4133" s="695">
        <v>7</v>
      </c>
      <c r="F4133" s="695" t="s">
        <v>6711</v>
      </c>
      <c r="G4133" s="695">
        <v>8</v>
      </c>
      <c r="H4133" s="695" t="s">
        <v>6674</v>
      </c>
      <c r="I4133" s="695">
        <v>16</v>
      </c>
      <c r="J4133" s="695" t="s">
        <v>7288</v>
      </c>
      <c r="K4133" s="695" t="s">
        <v>5334</v>
      </c>
      <c r="L4133" s="696">
        <v>0</v>
      </c>
      <c r="M4133" s="170"/>
    </row>
    <row r="4134" spans="2:13" x14ac:dyDescent="0.2">
      <c r="B4134" s="173"/>
      <c r="C4134" s="694">
        <v>1</v>
      </c>
      <c r="D4134" s="695" t="s">
        <v>3903</v>
      </c>
      <c r="E4134" s="695">
        <v>7</v>
      </c>
      <c r="F4134" s="695" t="s">
        <v>6711</v>
      </c>
      <c r="G4134" s="695">
        <v>8</v>
      </c>
      <c r="H4134" s="695" t="s">
        <v>6674</v>
      </c>
      <c r="I4134" s="695">
        <v>17</v>
      </c>
      <c r="J4134" s="695" t="s">
        <v>7289</v>
      </c>
      <c r="K4134" s="695" t="s">
        <v>5334</v>
      </c>
      <c r="L4134" s="696">
        <v>0</v>
      </c>
      <c r="M4134" s="170"/>
    </row>
    <row r="4135" spans="2:13" x14ac:dyDescent="0.2">
      <c r="B4135" s="173"/>
      <c r="C4135" s="694">
        <v>1</v>
      </c>
      <c r="D4135" s="695" t="s">
        <v>3903</v>
      </c>
      <c r="E4135" s="695">
        <v>7</v>
      </c>
      <c r="F4135" s="695" t="s">
        <v>6711</v>
      </c>
      <c r="G4135" s="695">
        <v>8</v>
      </c>
      <c r="H4135" s="695" t="s">
        <v>6674</v>
      </c>
      <c r="I4135" s="695">
        <v>18</v>
      </c>
      <c r="J4135" s="695" t="s">
        <v>7290</v>
      </c>
      <c r="K4135" s="695" t="s">
        <v>5334</v>
      </c>
      <c r="L4135" s="696">
        <v>1</v>
      </c>
      <c r="M4135" s="170"/>
    </row>
    <row r="4136" spans="2:13" x14ac:dyDescent="0.2">
      <c r="B4136" s="173"/>
      <c r="C4136" s="694">
        <v>1</v>
      </c>
      <c r="D4136" s="695" t="s">
        <v>3903</v>
      </c>
      <c r="E4136" s="695">
        <v>7</v>
      </c>
      <c r="F4136" s="695" t="s">
        <v>6711</v>
      </c>
      <c r="G4136" s="695">
        <v>8</v>
      </c>
      <c r="H4136" s="695" t="s">
        <v>6674</v>
      </c>
      <c r="I4136" s="695">
        <v>27</v>
      </c>
      <c r="J4136" s="695" t="s">
        <v>7291</v>
      </c>
      <c r="K4136" s="695" t="s">
        <v>5334</v>
      </c>
      <c r="L4136" s="696">
        <v>0</v>
      </c>
      <c r="M4136" s="170"/>
    </row>
    <row r="4137" spans="2:13" x14ac:dyDescent="0.2">
      <c r="B4137" s="173"/>
      <c r="C4137" s="694">
        <v>1</v>
      </c>
      <c r="D4137" s="695" t="s">
        <v>3903</v>
      </c>
      <c r="E4137" s="695">
        <v>7</v>
      </c>
      <c r="F4137" s="695" t="s">
        <v>6711</v>
      </c>
      <c r="G4137" s="695">
        <v>8</v>
      </c>
      <c r="H4137" s="695" t="s">
        <v>6674</v>
      </c>
      <c r="I4137" s="695">
        <v>28</v>
      </c>
      <c r="J4137" s="695" t="s">
        <v>7292</v>
      </c>
      <c r="K4137" s="695" t="s">
        <v>5334</v>
      </c>
      <c r="L4137" s="696">
        <v>0</v>
      </c>
      <c r="M4137" s="170"/>
    </row>
    <row r="4138" spans="2:13" x14ac:dyDescent="0.2">
      <c r="B4138" s="173"/>
      <c r="C4138" s="694">
        <v>1</v>
      </c>
      <c r="D4138" s="695" t="s">
        <v>3903</v>
      </c>
      <c r="E4138" s="695">
        <v>7</v>
      </c>
      <c r="F4138" s="695" t="s">
        <v>6711</v>
      </c>
      <c r="G4138" s="695">
        <v>8</v>
      </c>
      <c r="H4138" s="695" t="s">
        <v>6674</v>
      </c>
      <c r="I4138" s="695">
        <v>29</v>
      </c>
      <c r="J4138" s="695" t="s">
        <v>7293</v>
      </c>
      <c r="K4138" s="695" t="s">
        <v>5334</v>
      </c>
      <c r="L4138" s="696">
        <v>0</v>
      </c>
      <c r="M4138" s="170"/>
    </row>
    <row r="4139" spans="2:13" x14ac:dyDescent="0.2">
      <c r="B4139" s="173"/>
      <c r="C4139" s="694">
        <v>1</v>
      </c>
      <c r="D4139" s="695" t="s">
        <v>3903</v>
      </c>
      <c r="E4139" s="695">
        <v>7</v>
      </c>
      <c r="F4139" s="695" t="s">
        <v>6711</v>
      </c>
      <c r="G4139" s="695">
        <v>8</v>
      </c>
      <c r="H4139" s="695" t="s">
        <v>6674</v>
      </c>
      <c r="I4139" s="695">
        <v>30</v>
      </c>
      <c r="J4139" s="695" t="s">
        <v>7294</v>
      </c>
      <c r="K4139" s="695" t="s">
        <v>5334</v>
      </c>
      <c r="L4139" s="696">
        <v>0</v>
      </c>
      <c r="M4139" s="170"/>
    </row>
    <row r="4140" spans="2:13" x14ac:dyDescent="0.2">
      <c r="B4140" s="173"/>
      <c r="C4140" s="694">
        <v>1</v>
      </c>
      <c r="D4140" s="695" t="s">
        <v>3903</v>
      </c>
      <c r="E4140" s="695">
        <v>7</v>
      </c>
      <c r="F4140" s="695" t="s">
        <v>6711</v>
      </c>
      <c r="G4140" s="695">
        <v>8</v>
      </c>
      <c r="H4140" s="695" t="s">
        <v>6674</v>
      </c>
      <c r="I4140" s="695">
        <v>31</v>
      </c>
      <c r="J4140" s="695" t="s">
        <v>7295</v>
      </c>
      <c r="K4140" s="695" t="s">
        <v>5334</v>
      </c>
      <c r="L4140" s="696">
        <v>0</v>
      </c>
      <c r="M4140" s="170"/>
    </row>
    <row r="4141" spans="2:13" x14ac:dyDescent="0.2">
      <c r="B4141" s="173"/>
      <c r="C4141" s="694">
        <v>1</v>
      </c>
      <c r="D4141" s="695" t="s">
        <v>3903</v>
      </c>
      <c r="E4141" s="695">
        <v>7</v>
      </c>
      <c r="F4141" s="695" t="s">
        <v>6711</v>
      </c>
      <c r="G4141" s="695">
        <v>8</v>
      </c>
      <c r="H4141" s="695" t="s">
        <v>6674</v>
      </c>
      <c r="I4141" s="695">
        <v>32</v>
      </c>
      <c r="J4141" s="695" t="s">
        <v>7296</v>
      </c>
      <c r="K4141" s="695" t="s">
        <v>5334</v>
      </c>
      <c r="L4141" s="696">
        <v>0</v>
      </c>
      <c r="M4141" s="170"/>
    </row>
    <row r="4142" spans="2:13" x14ac:dyDescent="0.2">
      <c r="B4142" s="173"/>
      <c r="C4142" s="694">
        <v>1</v>
      </c>
      <c r="D4142" s="695" t="s">
        <v>3903</v>
      </c>
      <c r="E4142" s="695">
        <v>7</v>
      </c>
      <c r="F4142" s="695" t="s">
        <v>6711</v>
      </c>
      <c r="G4142" s="695">
        <v>8</v>
      </c>
      <c r="H4142" s="695" t="s">
        <v>6674</v>
      </c>
      <c r="I4142" s="695">
        <v>33</v>
      </c>
      <c r="J4142" s="695" t="s">
        <v>7297</v>
      </c>
      <c r="K4142" s="695" t="s">
        <v>5334</v>
      </c>
      <c r="L4142" s="696">
        <v>1</v>
      </c>
      <c r="M4142" s="170"/>
    </row>
    <row r="4143" spans="2:13" x14ac:dyDescent="0.2">
      <c r="B4143" s="173"/>
      <c r="C4143" s="694">
        <v>1</v>
      </c>
      <c r="D4143" s="695" t="s">
        <v>3903</v>
      </c>
      <c r="E4143" s="695">
        <v>7</v>
      </c>
      <c r="F4143" s="695" t="s">
        <v>6711</v>
      </c>
      <c r="G4143" s="695">
        <v>8</v>
      </c>
      <c r="H4143" s="695" t="s">
        <v>6674</v>
      </c>
      <c r="I4143" s="695">
        <v>39</v>
      </c>
      <c r="J4143" s="695" t="s">
        <v>7298</v>
      </c>
      <c r="K4143" s="695" t="s">
        <v>5334</v>
      </c>
      <c r="L4143" s="696">
        <v>0</v>
      </c>
      <c r="M4143" s="170"/>
    </row>
    <row r="4144" spans="2:13" x14ac:dyDescent="0.2">
      <c r="B4144" s="173"/>
      <c r="C4144" s="694">
        <v>1</v>
      </c>
      <c r="D4144" s="695" t="s">
        <v>3903</v>
      </c>
      <c r="E4144" s="695">
        <v>7</v>
      </c>
      <c r="F4144" s="695" t="s">
        <v>6711</v>
      </c>
      <c r="G4144" s="695">
        <v>8</v>
      </c>
      <c r="H4144" s="695" t="s">
        <v>6674</v>
      </c>
      <c r="I4144" s="695">
        <v>40</v>
      </c>
      <c r="J4144" s="695" t="s">
        <v>7299</v>
      </c>
      <c r="K4144" s="695" t="s">
        <v>5334</v>
      </c>
      <c r="L4144" s="696">
        <v>3</v>
      </c>
      <c r="M4144" s="170"/>
    </row>
    <row r="4145" spans="2:13" x14ac:dyDescent="0.2">
      <c r="B4145" s="173"/>
      <c r="C4145" s="694">
        <v>1</v>
      </c>
      <c r="D4145" s="695" t="s">
        <v>3903</v>
      </c>
      <c r="E4145" s="695">
        <v>7</v>
      </c>
      <c r="F4145" s="695" t="s">
        <v>6711</v>
      </c>
      <c r="G4145" s="695">
        <v>8</v>
      </c>
      <c r="H4145" s="695" t="s">
        <v>6674</v>
      </c>
      <c r="I4145" s="695">
        <v>41</v>
      </c>
      <c r="J4145" s="695" t="s">
        <v>7300</v>
      </c>
      <c r="K4145" s="695" t="s">
        <v>5334</v>
      </c>
      <c r="L4145" s="696">
        <v>0</v>
      </c>
      <c r="M4145" s="170"/>
    </row>
    <row r="4146" spans="2:13" x14ac:dyDescent="0.2">
      <c r="B4146" s="173"/>
      <c r="C4146" s="694">
        <v>1</v>
      </c>
      <c r="D4146" s="695" t="s">
        <v>3903</v>
      </c>
      <c r="E4146" s="695">
        <v>7</v>
      </c>
      <c r="F4146" s="695" t="s">
        <v>6711</v>
      </c>
      <c r="G4146" s="695">
        <v>8</v>
      </c>
      <c r="H4146" s="695" t="s">
        <v>6674</v>
      </c>
      <c r="I4146" s="695">
        <v>42</v>
      </c>
      <c r="J4146" s="695" t="s">
        <v>7301</v>
      </c>
      <c r="K4146" s="695" t="s">
        <v>5334</v>
      </c>
      <c r="L4146" s="696">
        <v>0</v>
      </c>
      <c r="M4146" s="170"/>
    </row>
    <row r="4147" spans="2:13" x14ac:dyDescent="0.2">
      <c r="B4147" s="173"/>
      <c r="C4147" s="694">
        <v>1</v>
      </c>
      <c r="D4147" s="695" t="s">
        <v>3903</v>
      </c>
      <c r="E4147" s="695">
        <v>7</v>
      </c>
      <c r="F4147" s="695" t="s">
        <v>6711</v>
      </c>
      <c r="G4147" s="695">
        <v>8</v>
      </c>
      <c r="H4147" s="695" t="s">
        <v>6674</v>
      </c>
      <c r="I4147" s="695">
        <v>43</v>
      </c>
      <c r="J4147" s="695" t="s">
        <v>7302</v>
      </c>
      <c r="K4147" s="695" t="s">
        <v>5334</v>
      </c>
      <c r="L4147" s="696">
        <v>0</v>
      </c>
      <c r="M4147" s="170"/>
    </row>
    <row r="4148" spans="2:13" x14ac:dyDescent="0.2">
      <c r="B4148" s="173"/>
      <c r="C4148" s="694">
        <v>1</v>
      </c>
      <c r="D4148" s="695" t="s">
        <v>3903</v>
      </c>
      <c r="E4148" s="695">
        <v>7</v>
      </c>
      <c r="F4148" s="695" t="s">
        <v>6711</v>
      </c>
      <c r="G4148" s="695">
        <v>8</v>
      </c>
      <c r="H4148" s="695" t="s">
        <v>6674</v>
      </c>
      <c r="I4148" s="695">
        <v>44</v>
      </c>
      <c r="J4148" s="695" t="s">
        <v>7303</v>
      </c>
      <c r="K4148" s="695" t="s">
        <v>5334</v>
      </c>
      <c r="L4148" s="696">
        <v>0</v>
      </c>
      <c r="M4148" s="170"/>
    </row>
    <row r="4149" spans="2:13" x14ac:dyDescent="0.2">
      <c r="B4149" s="173"/>
      <c r="C4149" s="694">
        <v>1</v>
      </c>
      <c r="D4149" s="695" t="s">
        <v>3903</v>
      </c>
      <c r="E4149" s="695">
        <v>7</v>
      </c>
      <c r="F4149" s="695" t="s">
        <v>6711</v>
      </c>
      <c r="G4149" s="695">
        <v>8</v>
      </c>
      <c r="H4149" s="695" t="s">
        <v>6674</v>
      </c>
      <c r="I4149" s="695">
        <v>45</v>
      </c>
      <c r="J4149" s="695" t="s">
        <v>7304</v>
      </c>
      <c r="K4149" s="695" t="s">
        <v>5334</v>
      </c>
      <c r="L4149" s="696">
        <v>18</v>
      </c>
      <c r="M4149" s="170"/>
    </row>
    <row r="4150" spans="2:13" x14ac:dyDescent="0.2">
      <c r="B4150" s="173"/>
      <c r="C4150" s="694">
        <v>1</v>
      </c>
      <c r="D4150" s="695" t="s">
        <v>3903</v>
      </c>
      <c r="E4150" s="695">
        <v>7</v>
      </c>
      <c r="F4150" s="695" t="s">
        <v>6711</v>
      </c>
      <c r="G4150" s="695">
        <v>8</v>
      </c>
      <c r="H4150" s="695" t="s">
        <v>6674</v>
      </c>
      <c r="I4150" s="695">
        <v>46</v>
      </c>
      <c r="J4150" s="695" t="s">
        <v>7305</v>
      </c>
      <c r="K4150" s="695" t="s">
        <v>5334</v>
      </c>
      <c r="L4150" s="696">
        <v>0</v>
      </c>
      <c r="M4150" s="170"/>
    </row>
    <row r="4151" spans="2:13" x14ac:dyDescent="0.2">
      <c r="B4151" s="173"/>
      <c r="C4151" s="694">
        <v>1</v>
      </c>
      <c r="D4151" s="695" t="s">
        <v>3903</v>
      </c>
      <c r="E4151" s="695">
        <v>7</v>
      </c>
      <c r="F4151" s="695" t="s">
        <v>6711</v>
      </c>
      <c r="G4151" s="695">
        <v>8</v>
      </c>
      <c r="H4151" s="695" t="s">
        <v>6674</v>
      </c>
      <c r="I4151" s="695">
        <v>47</v>
      </c>
      <c r="J4151" s="695" t="s">
        <v>7306</v>
      </c>
      <c r="K4151" s="695" t="s">
        <v>5334</v>
      </c>
      <c r="L4151" s="696">
        <v>0</v>
      </c>
      <c r="M4151" s="170"/>
    </row>
    <row r="4152" spans="2:13" x14ac:dyDescent="0.2">
      <c r="B4152" s="173"/>
      <c r="C4152" s="694">
        <v>1</v>
      </c>
      <c r="D4152" s="695" t="s">
        <v>3903</v>
      </c>
      <c r="E4152" s="695">
        <v>7</v>
      </c>
      <c r="F4152" s="695" t="s">
        <v>6711</v>
      </c>
      <c r="G4152" s="695">
        <v>8</v>
      </c>
      <c r="H4152" s="695" t="s">
        <v>6674</v>
      </c>
      <c r="I4152" s="695">
        <v>48</v>
      </c>
      <c r="J4152" s="695" t="s">
        <v>7307</v>
      </c>
      <c r="K4152" s="695" t="s">
        <v>5334</v>
      </c>
      <c r="L4152" s="696">
        <v>0</v>
      </c>
      <c r="M4152" s="170"/>
    </row>
    <row r="4153" spans="2:13" x14ac:dyDescent="0.2">
      <c r="B4153" s="173"/>
      <c r="C4153" s="694">
        <v>1</v>
      </c>
      <c r="D4153" s="695" t="s">
        <v>3903</v>
      </c>
      <c r="E4153" s="695">
        <v>7</v>
      </c>
      <c r="F4153" s="695" t="s">
        <v>6711</v>
      </c>
      <c r="G4153" s="695">
        <v>8</v>
      </c>
      <c r="H4153" s="695" t="s">
        <v>6674</v>
      </c>
      <c r="I4153" s="695">
        <v>49</v>
      </c>
      <c r="J4153" s="695" t="s">
        <v>7308</v>
      </c>
      <c r="K4153" s="695" t="s">
        <v>5334</v>
      </c>
      <c r="L4153" s="696">
        <v>0</v>
      </c>
      <c r="M4153" s="170"/>
    </row>
    <row r="4154" spans="2:13" x14ac:dyDescent="0.2">
      <c r="B4154" s="173"/>
      <c r="C4154" s="694">
        <v>1</v>
      </c>
      <c r="D4154" s="695" t="s">
        <v>3903</v>
      </c>
      <c r="E4154" s="695">
        <v>7</v>
      </c>
      <c r="F4154" s="695" t="s">
        <v>6711</v>
      </c>
      <c r="G4154" s="695">
        <v>8</v>
      </c>
      <c r="H4154" s="695" t="s">
        <v>6674</v>
      </c>
      <c r="I4154" s="695">
        <v>50</v>
      </c>
      <c r="J4154" s="695" t="s">
        <v>7309</v>
      </c>
      <c r="K4154" s="695" t="s">
        <v>5334</v>
      </c>
      <c r="L4154" s="696">
        <v>1</v>
      </c>
      <c r="M4154" s="170"/>
    </row>
    <row r="4155" spans="2:13" x14ac:dyDescent="0.2">
      <c r="B4155" s="173"/>
      <c r="C4155" s="694">
        <v>1</v>
      </c>
      <c r="D4155" s="695" t="s">
        <v>3903</v>
      </c>
      <c r="E4155" s="695">
        <v>7</v>
      </c>
      <c r="F4155" s="695" t="s">
        <v>6711</v>
      </c>
      <c r="G4155" s="695">
        <v>8</v>
      </c>
      <c r="H4155" s="695" t="s">
        <v>6674</v>
      </c>
      <c r="I4155" s="695">
        <v>51</v>
      </c>
      <c r="J4155" s="695" t="s">
        <v>7310</v>
      </c>
      <c r="K4155" s="695" t="s">
        <v>5334</v>
      </c>
      <c r="L4155" s="696">
        <v>1</v>
      </c>
      <c r="M4155" s="170"/>
    </row>
    <row r="4156" spans="2:13" x14ac:dyDescent="0.2">
      <c r="B4156" s="173"/>
      <c r="C4156" s="694">
        <v>1</v>
      </c>
      <c r="D4156" s="695" t="s">
        <v>3903</v>
      </c>
      <c r="E4156" s="695">
        <v>7</v>
      </c>
      <c r="F4156" s="695" t="s">
        <v>6711</v>
      </c>
      <c r="G4156" s="695">
        <v>8</v>
      </c>
      <c r="H4156" s="695" t="s">
        <v>6674</v>
      </c>
      <c r="I4156" s="695">
        <v>52</v>
      </c>
      <c r="J4156" s="695" t="s">
        <v>7311</v>
      </c>
      <c r="K4156" s="695" t="s">
        <v>5334</v>
      </c>
      <c r="L4156" s="696">
        <v>0</v>
      </c>
      <c r="M4156" s="170"/>
    </row>
    <row r="4157" spans="2:13" x14ac:dyDescent="0.2">
      <c r="B4157" s="173"/>
      <c r="C4157" s="694">
        <v>1</v>
      </c>
      <c r="D4157" s="695" t="s">
        <v>3903</v>
      </c>
      <c r="E4157" s="695">
        <v>7</v>
      </c>
      <c r="F4157" s="695" t="s">
        <v>6711</v>
      </c>
      <c r="G4157" s="695">
        <v>8</v>
      </c>
      <c r="H4157" s="695" t="s">
        <v>6674</v>
      </c>
      <c r="I4157" s="695">
        <v>53</v>
      </c>
      <c r="J4157" s="695" t="s">
        <v>7312</v>
      </c>
      <c r="K4157" s="695" t="s">
        <v>5334</v>
      </c>
      <c r="L4157" s="696">
        <v>0</v>
      </c>
      <c r="M4157" s="170"/>
    </row>
    <row r="4158" spans="2:13" x14ac:dyDescent="0.2">
      <c r="B4158" s="173"/>
      <c r="C4158" s="694">
        <v>1</v>
      </c>
      <c r="D4158" s="695" t="s">
        <v>3903</v>
      </c>
      <c r="E4158" s="695">
        <v>7</v>
      </c>
      <c r="F4158" s="695" t="s">
        <v>6711</v>
      </c>
      <c r="G4158" s="695">
        <v>8</v>
      </c>
      <c r="H4158" s="695" t="s">
        <v>6674</v>
      </c>
      <c r="I4158" s="695">
        <v>54</v>
      </c>
      <c r="J4158" s="695" t="s">
        <v>7313</v>
      </c>
      <c r="K4158" s="695" t="s">
        <v>5334</v>
      </c>
      <c r="L4158" s="696">
        <v>0</v>
      </c>
      <c r="M4158" s="170"/>
    </row>
    <row r="4159" spans="2:13" x14ac:dyDescent="0.2">
      <c r="B4159" s="173"/>
      <c r="C4159" s="694">
        <v>1</v>
      </c>
      <c r="D4159" s="695" t="s">
        <v>3903</v>
      </c>
      <c r="E4159" s="695">
        <v>7</v>
      </c>
      <c r="F4159" s="695" t="s">
        <v>6711</v>
      </c>
      <c r="G4159" s="695">
        <v>8</v>
      </c>
      <c r="H4159" s="695" t="s">
        <v>6674</v>
      </c>
      <c r="I4159" s="695">
        <v>55</v>
      </c>
      <c r="J4159" s="695" t="s">
        <v>7314</v>
      </c>
      <c r="K4159" s="695" t="s">
        <v>5334</v>
      </c>
      <c r="L4159" s="696">
        <v>0</v>
      </c>
      <c r="M4159" s="170"/>
    </row>
    <row r="4160" spans="2:13" x14ac:dyDescent="0.2">
      <c r="B4160" s="173"/>
      <c r="C4160" s="694">
        <v>1</v>
      </c>
      <c r="D4160" s="695" t="s">
        <v>3903</v>
      </c>
      <c r="E4160" s="695">
        <v>7</v>
      </c>
      <c r="F4160" s="695" t="s">
        <v>6711</v>
      </c>
      <c r="G4160" s="695">
        <v>8</v>
      </c>
      <c r="H4160" s="695" t="s">
        <v>6674</v>
      </c>
      <c r="I4160" s="695">
        <v>56</v>
      </c>
      <c r="J4160" s="695" t="s">
        <v>7315</v>
      </c>
      <c r="K4160" s="695" t="s">
        <v>5334</v>
      </c>
      <c r="L4160" s="696">
        <v>18</v>
      </c>
      <c r="M4160" s="170"/>
    </row>
    <row r="4161" spans="2:13" x14ac:dyDescent="0.2">
      <c r="B4161" s="173"/>
      <c r="C4161" s="694">
        <v>1</v>
      </c>
      <c r="D4161" s="695" t="s">
        <v>3903</v>
      </c>
      <c r="E4161" s="695">
        <v>7</v>
      </c>
      <c r="F4161" s="695" t="s">
        <v>6711</v>
      </c>
      <c r="G4161" s="695">
        <v>8</v>
      </c>
      <c r="H4161" s="695" t="s">
        <v>6674</v>
      </c>
      <c r="I4161" s="695">
        <v>57</v>
      </c>
      <c r="J4161" s="695" t="s">
        <v>7316</v>
      </c>
      <c r="K4161" s="695" t="s">
        <v>5334</v>
      </c>
      <c r="L4161" s="696">
        <v>0</v>
      </c>
      <c r="M4161" s="170"/>
    </row>
    <row r="4162" spans="2:13" x14ac:dyDescent="0.2">
      <c r="B4162" s="173"/>
      <c r="C4162" s="694">
        <v>1</v>
      </c>
      <c r="D4162" s="695" t="s">
        <v>3903</v>
      </c>
      <c r="E4162" s="695">
        <v>7</v>
      </c>
      <c r="F4162" s="695" t="s">
        <v>6711</v>
      </c>
      <c r="G4162" s="695">
        <v>8</v>
      </c>
      <c r="H4162" s="695" t="s">
        <v>6674</v>
      </c>
      <c r="I4162" s="695">
        <v>58</v>
      </c>
      <c r="J4162" s="695" t="s">
        <v>7317</v>
      </c>
      <c r="K4162" s="695" t="s">
        <v>5334</v>
      </c>
      <c r="L4162" s="696">
        <v>0</v>
      </c>
      <c r="M4162" s="170"/>
    </row>
    <row r="4163" spans="2:13" x14ac:dyDescent="0.2">
      <c r="B4163" s="173"/>
      <c r="C4163" s="694">
        <v>1</v>
      </c>
      <c r="D4163" s="695" t="s">
        <v>3903</v>
      </c>
      <c r="E4163" s="695">
        <v>7</v>
      </c>
      <c r="F4163" s="695" t="s">
        <v>6711</v>
      </c>
      <c r="G4163" s="695">
        <v>8</v>
      </c>
      <c r="H4163" s="695" t="s">
        <v>6674</v>
      </c>
      <c r="I4163" s="695">
        <v>59</v>
      </c>
      <c r="J4163" s="695" t="s">
        <v>7318</v>
      </c>
      <c r="K4163" s="695" t="s">
        <v>5334</v>
      </c>
      <c r="L4163" s="696">
        <v>5</v>
      </c>
      <c r="M4163" s="170"/>
    </row>
    <row r="4164" spans="2:13" x14ac:dyDescent="0.2">
      <c r="B4164" s="173"/>
      <c r="C4164" s="694">
        <v>1</v>
      </c>
      <c r="D4164" s="695" t="s">
        <v>3903</v>
      </c>
      <c r="E4164" s="695">
        <v>7</v>
      </c>
      <c r="F4164" s="695" t="s">
        <v>6711</v>
      </c>
      <c r="G4164" s="695">
        <v>8</v>
      </c>
      <c r="H4164" s="695" t="s">
        <v>6674</v>
      </c>
      <c r="I4164" s="695">
        <v>60</v>
      </c>
      <c r="J4164" s="695" t="s">
        <v>7319</v>
      </c>
      <c r="K4164" s="695" t="s">
        <v>5334</v>
      </c>
      <c r="L4164" s="696">
        <v>4</v>
      </c>
      <c r="M4164" s="170"/>
    </row>
    <row r="4165" spans="2:13" x14ac:dyDescent="0.2">
      <c r="B4165" s="173"/>
      <c r="C4165" s="694">
        <v>1</v>
      </c>
      <c r="D4165" s="695" t="s">
        <v>3903</v>
      </c>
      <c r="E4165" s="695">
        <v>7</v>
      </c>
      <c r="F4165" s="695" t="s">
        <v>6711</v>
      </c>
      <c r="G4165" s="695">
        <v>8</v>
      </c>
      <c r="H4165" s="695" t="s">
        <v>6674</v>
      </c>
      <c r="I4165" s="695">
        <v>61</v>
      </c>
      <c r="J4165" s="695" t="s">
        <v>7320</v>
      </c>
      <c r="K4165" s="695" t="s">
        <v>5334</v>
      </c>
      <c r="L4165" s="696">
        <v>0</v>
      </c>
      <c r="M4165" s="170"/>
    </row>
    <row r="4166" spans="2:13" x14ac:dyDescent="0.2">
      <c r="B4166" s="173"/>
      <c r="C4166" s="694">
        <v>1</v>
      </c>
      <c r="D4166" s="695" t="s">
        <v>3903</v>
      </c>
      <c r="E4166" s="695">
        <v>7</v>
      </c>
      <c r="F4166" s="695" t="s">
        <v>6711</v>
      </c>
      <c r="G4166" s="695">
        <v>8</v>
      </c>
      <c r="H4166" s="695" t="s">
        <v>6674</v>
      </c>
      <c r="I4166" s="695">
        <v>62</v>
      </c>
      <c r="J4166" s="695" t="s">
        <v>7321</v>
      </c>
      <c r="K4166" s="695" t="s">
        <v>5334</v>
      </c>
      <c r="L4166" s="696">
        <v>0</v>
      </c>
      <c r="M4166" s="170"/>
    </row>
    <row r="4167" spans="2:13" x14ac:dyDescent="0.2">
      <c r="B4167" s="173"/>
      <c r="C4167" s="694">
        <v>1</v>
      </c>
      <c r="D4167" s="695" t="s">
        <v>3903</v>
      </c>
      <c r="E4167" s="695">
        <v>7</v>
      </c>
      <c r="F4167" s="695" t="s">
        <v>6711</v>
      </c>
      <c r="G4167" s="695">
        <v>8</v>
      </c>
      <c r="H4167" s="695" t="s">
        <v>6674</v>
      </c>
      <c r="I4167" s="695">
        <v>63</v>
      </c>
      <c r="J4167" s="695" t="s">
        <v>7322</v>
      </c>
      <c r="K4167" s="695" t="s">
        <v>5334</v>
      </c>
      <c r="L4167" s="696">
        <v>0</v>
      </c>
      <c r="M4167" s="170"/>
    </row>
    <row r="4168" spans="2:13" x14ac:dyDescent="0.2">
      <c r="B4168" s="173"/>
      <c r="C4168" s="694">
        <v>1</v>
      </c>
      <c r="D4168" s="695" t="s">
        <v>3903</v>
      </c>
      <c r="E4168" s="695">
        <v>7</v>
      </c>
      <c r="F4168" s="695" t="s">
        <v>6711</v>
      </c>
      <c r="G4168" s="695">
        <v>8</v>
      </c>
      <c r="H4168" s="695" t="s">
        <v>6674</v>
      </c>
      <c r="I4168" s="695">
        <v>64</v>
      </c>
      <c r="J4168" s="695" t="s">
        <v>7323</v>
      </c>
      <c r="K4168" s="695" t="s">
        <v>5334</v>
      </c>
      <c r="L4168" s="696">
        <v>0</v>
      </c>
      <c r="M4168" s="170"/>
    </row>
    <row r="4169" spans="2:13" x14ac:dyDescent="0.2">
      <c r="B4169" s="173"/>
      <c r="C4169" s="694">
        <v>1</v>
      </c>
      <c r="D4169" s="695" t="s">
        <v>3903</v>
      </c>
      <c r="E4169" s="695">
        <v>7</v>
      </c>
      <c r="F4169" s="695" t="s">
        <v>6711</v>
      </c>
      <c r="G4169" s="695">
        <v>8</v>
      </c>
      <c r="H4169" s="695" t="s">
        <v>6674</v>
      </c>
      <c r="I4169" s="695">
        <v>65</v>
      </c>
      <c r="J4169" s="695" t="s">
        <v>7324</v>
      </c>
      <c r="K4169" s="695" t="s">
        <v>5334</v>
      </c>
      <c r="L4169" s="696">
        <v>2</v>
      </c>
      <c r="M4169" s="170"/>
    </row>
    <row r="4170" spans="2:13" x14ac:dyDescent="0.2">
      <c r="B4170" s="173"/>
      <c r="C4170" s="694">
        <v>1</v>
      </c>
      <c r="D4170" s="695" t="s">
        <v>3903</v>
      </c>
      <c r="E4170" s="695">
        <v>7</v>
      </c>
      <c r="F4170" s="695" t="s">
        <v>6711</v>
      </c>
      <c r="G4170" s="695">
        <v>8</v>
      </c>
      <c r="H4170" s="695" t="s">
        <v>6674</v>
      </c>
      <c r="I4170" s="695">
        <v>66</v>
      </c>
      <c r="J4170" s="695" t="s">
        <v>7325</v>
      </c>
      <c r="K4170" s="695" t="s">
        <v>5334</v>
      </c>
      <c r="L4170" s="696">
        <v>0</v>
      </c>
      <c r="M4170" s="170"/>
    </row>
    <row r="4171" spans="2:13" x14ac:dyDescent="0.2">
      <c r="B4171" s="173"/>
      <c r="C4171" s="694">
        <v>1</v>
      </c>
      <c r="D4171" s="695" t="s">
        <v>3903</v>
      </c>
      <c r="E4171" s="695">
        <v>7</v>
      </c>
      <c r="F4171" s="695" t="s">
        <v>6711</v>
      </c>
      <c r="G4171" s="695">
        <v>8</v>
      </c>
      <c r="H4171" s="695" t="s">
        <v>6674</v>
      </c>
      <c r="I4171" s="695">
        <v>67</v>
      </c>
      <c r="J4171" s="695" t="s">
        <v>7326</v>
      </c>
      <c r="K4171" s="695" t="s">
        <v>5334</v>
      </c>
      <c r="L4171" s="696">
        <v>0</v>
      </c>
      <c r="M4171" s="170"/>
    </row>
    <row r="4172" spans="2:13" x14ac:dyDescent="0.2">
      <c r="B4172" s="173"/>
      <c r="C4172" s="694">
        <v>1</v>
      </c>
      <c r="D4172" s="695" t="s">
        <v>3903</v>
      </c>
      <c r="E4172" s="695">
        <v>7</v>
      </c>
      <c r="F4172" s="695" t="s">
        <v>6711</v>
      </c>
      <c r="G4172" s="695">
        <v>8</v>
      </c>
      <c r="H4172" s="695" t="s">
        <v>6674</v>
      </c>
      <c r="I4172" s="695">
        <v>68</v>
      </c>
      <c r="J4172" s="695" t="s">
        <v>7277</v>
      </c>
      <c r="K4172" s="695" t="s">
        <v>5334</v>
      </c>
      <c r="L4172" s="696">
        <v>0</v>
      </c>
      <c r="M4172" s="170"/>
    </row>
    <row r="4173" spans="2:13" x14ac:dyDescent="0.2">
      <c r="B4173" s="173"/>
      <c r="C4173" s="694">
        <v>1</v>
      </c>
      <c r="D4173" s="695" t="s">
        <v>3903</v>
      </c>
      <c r="E4173" s="695">
        <v>7</v>
      </c>
      <c r="F4173" s="695" t="s">
        <v>6711</v>
      </c>
      <c r="G4173" s="695">
        <v>8</v>
      </c>
      <c r="H4173" s="695" t="s">
        <v>6674</v>
      </c>
      <c r="I4173" s="695">
        <v>69</v>
      </c>
      <c r="J4173" s="695" t="s">
        <v>7327</v>
      </c>
      <c r="K4173" s="695" t="s">
        <v>5334</v>
      </c>
      <c r="L4173" s="696">
        <v>0</v>
      </c>
      <c r="M4173" s="170"/>
    </row>
    <row r="4174" spans="2:13" x14ac:dyDescent="0.2">
      <c r="B4174" s="173"/>
      <c r="C4174" s="694">
        <v>1</v>
      </c>
      <c r="D4174" s="695" t="s">
        <v>3903</v>
      </c>
      <c r="E4174" s="695">
        <v>7</v>
      </c>
      <c r="F4174" s="695" t="s">
        <v>6711</v>
      </c>
      <c r="G4174" s="695">
        <v>8</v>
      </c>
      <c r="H4174" s="695" t="s">
        <v>6674</v>
      </c>
      <c r="I4174" s="695">
        <v>70</v>
      </c>
      <c r="J4174" s="695" t="s">
        <v>7328</v>
      </c>
      <c r="K4174" s="695" t="s">
        <v>5334</v>
      </c>
      <c r="L4174" s="696">
        <v>0</v>
      </c>
      <c r="M4174" s="170"/>
    </row>
    <row r="4175" spans="2:13" x14ac:dyDescent="0.2">
      <c r="B4175" s="173"/>
      <c r="C4175" s="694">
        <v>1</v>
      </c>
      <c r="D4175" s="695" t="s">
        <v>3903</v>
      </c>
      <c r="E4175" s="695">
        <v>7</v>
      </c>
      <c r="F4175" s="695" t="s">
        <v>6711</v>
      </c>
      <c r="G4175" s="695">
        <v>8</v>
      </c>
      <c r="H4175" s="695" t="s">
        <v>6674</v>
      </c>
      <c r="I4175" s="695">
        <v>71</v>
      </c>
      <c r="J4175" s="695" t="s">
        <v>7329</v>
      </c>
      <c r="K4175" s="695" t="s">
        <v>5334</v>
      </c>
      <c r="L4175" s="696">
        <v>0</v>
      </c>
      <c r="M4175" s="170"/>
    </row>
    <row r="4176" spans="2:13" x14ac:dyDescent="0.2">
      <c r="B4176" s="173"/>
      <c r="C4176" s="694">
        <v>1</v>
      </c>
      <c r="D4176" s="695" t="s">
        <v>3903</v>
      </c>
      <c r="E4176" s="695">
        <v>7</v>
      </c>
      <c r="F4176" s="695" t="s">
        <v>6711</v>
      </c>
      <c r="G4176" s="695">
        <v>8</v>
      </c>
      <c r="H4176" s="695" t="s">
        <v>6674</v>
      </c>
      <c r="I4176" s="695">
        <v>72</v>
      </c>
      <c r="J4176" s="695" t="s">
        <v>7278</v>
      </c>
      <c r="K4176" s="695" t="s">
        <v>5334</v>
      </c>
      <c r="L4176" s="696">
        <v>2</v>
      </c>
      <c r="M4176" s="170"/>
    </row>
    <row r="4177" spans="2:13" x14ac:dyDescent="0.2">
      <c r="B4177" s="173"/>
      <c r="C4177" s="694">
        <v>1</v>
      </c>
      <c r="D4177" s="695" t="s">
        <v>3903</v>
      </c>
      <c r="E4177" s="695">
        <v>7</v>
      </c>
      <c r="F4177" s="695" t="s">
        <v>6711</v>
      </c>
      <c r="G4177" s="695">
        <v>8</v>
      </c>
      <c r="H4177" s="695" t="s">
        <v>6674</v>
      </c>
      <c r="I4177" s="695">
        <v>73</v>
      </c>
      <c r="J4177" s="695" t="s">
        <v>7330</v>
      </c>
      <c r="K4177" s="695" t="s">
        <v>5334</v>
      </c>
      <c r="L4177" s="696">
        <v>0</v>
      </c>
      <c r="M4177" s="170"/>
    </row>
    <row r="4178" spans="2:13" x14ac:dyDescent="0.2">
      <c r="B4178" s="173"/>
      <c r="C4178" s="694">
        <v>1</v>
      </c>
      <c r="D4178" s="695" t="s">
        <v>3903</v>
      </c>
      <c r="E4178" s="695">
        <v>7</v>
      </c>
      <c r="F4178" s="695" t="s">
        <v>6711</v>
      </c>
      <c r="G4178" s="695">
        <v>8</v>
      </c>
      <c r="H4178" s="695" t="s">
        <v>6674</v>
      </c>
      <c r="I4178" s="695">
        <v>74</v>
      </c>
      <c r="J4178" s="695" t="s">
        <v>7331</v>
      </c>
      <c r="K4178" s="695" t="s">
        <v>5334</v>
      </c>
      <c r="L4178" s="696">
        <v>0</v>
      </c>
      <c r="M4178" s="170"/>
    </row>
    <row r="4179" spans="2:13" x14ac:dyDescent="0.2">
      <c r="B4179" s="173"/>
      <c r="C4179" s="694">
        <v>1</v>
      </c>
      <c r="D4179" s="695" t="s">
        <v>3903</v>
      </c>
      <c r="E4179" s="695">
        <v>7</v>
      </c>
      <c r="F4179" s="695" t="s">
        <v>6711</v>
      </c>
      <c r="G4179" s="695">
        <v>8</v>
      </c>
      <c r="H4179" s="695" t="s">
        <v>6674</v>
      </c>
      <c r="I4179" s="695">
        <v>75</v>
      </c>
      <c r="J4179" s="695" t="s">
        <v>7332</v>
      </c>
      <c r="K4179" s="695" t="s">
        <v>5334</v>
      </c>
      <c r="L4179" s="696">
        <v>0</v>
      </c>
      <c r="M4179" s="170"/>
    </row>
    <row r="4180" spans="2:13" x14ac:dyDescent="0.2">
      <c r="B4180" s="173"/>
      <c r="C4180" s="694">
        <v>1</v>
      </c>
      <c r="D4180" s="695" t="s">
        <v>3903</v>
      </c>
      <c r="E4180" s="695">
        <v>7</v>
      </c>
      <c r="F4180" s="695" t="s">
        <v>6711</v>
      </c>
      <c r="G4180" s="695">
        <v>8</v>
      </c>
      <c r="H4180" s="695" t="s">
        <v>6674</v>
      </c>
      <c r="I4180" s="695">
        <v>76</v>
      </c>
      <c r="J4180" s="695" t="s">
        <v>7333</v>
      </c>
      <c r="K4180" s="695" t="s">
        <v>5334</v>
      </c>
      <c r="L4180" s="696">
        <v>0</v>
      </c>
      <c r="M4180" s="170"/>
    </row>
    <row r="4181" spans="2:13" x14ac:dyDescent="0.2">
      <c r="B4181" s="173"/>
      <c r="C4181" s="694">
        <v>1</v>
      </c>
      <c r="D4181" s="695" t="s">
        <v>3903</v>
      </c>
      <c r="E4181" s="695">
        <v>7</v>
      </c>
      <c r="F4181" s="695" t="s">
        <v>6711</v>
      </c>
      <c r="G4181" s="695">
        <v>8</v>
      </c>
      <c r="H4181" s="695" t="s">
        <v>6674</v>
      </c>
      <c r="I4181" s="695">
        <v>77</v>
      </c>
      <c r="J4181" s="695" t="s">
        <v>7334</v>
      </c>
      <c r="K4181" s="695" t="s">
        <v>5334</v>
      </c>
      <c r="L4181" s="696">
        <v>0</v>
      </c>
      <c r="M4181" s="170"/>
    </row>
    <row r="4182" spans="2:13" x14ac:dyDescent="0.2">
      <c r="B4182" s="173"/>
      <c r="C4182" s="694">
        <v>1</v>
      </c>
      <c r="D4182" s="695" t="s">
        <v>3903</v>
      </c>
      <c r="E4182" s="695">
        <v>7</v>
      </c>
      <c r="F4182" s="695" t="s">
        <v>6711</v>
      </c>
      <c r="G4182" s="695">
        <v>8</v>
      </c>
      <c r="H4182" s="695" t="s">
        <v>6674</v>
      </c>
      <c r="I4182" s="695">
        <v>78</v>
      </c>
      <c r="J4182" s="695" t="s">
        <v>7335</v>
      </c>
      <c r="K4182" s="695" t="s">
        <v>5334</v>
      </c>
      <c r="L4182" s="696">
        <v>0</v>
      </c>
      <c r="M4182" s="170"/>
    </row>
    <row r="4183" spans="2:13" x14ac:dyDescent="0.2">
      <c r="B4183" s="173"/>
      <c r="C4183" s="694">
        <v>1</v>
      </c>
      <c r="D4183" s="695" t="s">
        <v>3903</v>
      </c>
      <c r="E4183" s="695">
        <v>7</v>
      </c>
      <c r="F4183" s="695" t="s">
        <v>6711</v>
      </c>
      <c r="G4183" s="695">
        <v>8</v>
      </c>
      <c r="H4183" s="695" t="s">
        <v>6674</v>
      </c>
      <c r="I4183" s="695">
        <v>79</v>
      </c>
      <c r="J4183" s="695" t="s">
        <v>7336</v>
      </c>
      <c r="K4183" s="695" t="s">
        <v>5334</v>
      </c>
      <c r="L4183" s="696">
        <v>0</v>
      </c>
      <c r="M4183" s="170"/>
    </row>
    <row r="4184" spans="2:13" x14ac:dyDescent="0.2">
      <c r="B4184" s="173"/>
      <c r="C4184" s="694">
        <v>1</v>
      </c>
      <c r="D4184" s="695" t="s">
        <v>3903</v>
      </c>
      <c r="E4184" s="695">
        <v>7</v>
      </c>
      <c r="F4184" s="695" t="s">
        <v>6711</v>
      </c>
      <c r="G4184" s="695">
        <v>8</v>
      </c>
      <c r="H4184" s="695" t="s">
        <v>6674</v>
      </c>
      <c r="I4184" s="695">
        <v>80</v>
      </c>
      <c r="J4184" s="695" t="s">
        <v>7337</v>
      </c>
      <c r="K4184" s="695" t="s">
        <v>5334</v>
      </c>
      <c r="L4184" s="696">
        <v>0</v>
      </c>
      <c r="M4184" s="170"/>
    </row>
    <row r="4185" spans="2:13" x14ac:dyDescent="0.2">
      <c r="B4185" s="173"/>
      <c r="C4185" s="694">
        <v>1</v>
      </c>
      <c r="D4185" s="695" t="s">
        <v>3903</v>
      </c>
      <c r="E4185" s="695">
        <v>7</v>
      </c>
      <c r="F4185" s="695" t="s">
        <v>6711</v>
      </c>
      <c r="G4185" s="695">
        <v>8</v>
      </c>
      <c r="H4185" s="695" t="s">
        <v>6674</v>
      </c>
      <c r="I4185" s="695">
        <v>81</v>
      </c>
      <c r="J4185" s="695" t="s">
        <v>7338</v>
      </c>
      <c r="K4185" s="695" t="s">
        <v>5334</v>
      </c>
      <c r="L4185" s="696">
        <v>0</v>
      </c>
      <c r="M4185" s="170"/>
    </row>
    <row r="4186" spans="2:13" x14ac:dyDescent="0.2">
      <c r="B4186" s="173"/>
      <c r="C4186" s="694">
        <v>1</v>
      </c>
      <c r="D4186" s="695" t="s">
        <v>3903</v>
      </c>
      <c r="E4186" s="695">
        <v>7</v>
      </c>
      <c r="F4186" s="695" t="s">
        <v>6711</v>
      </c>
      <c r="G4186" s="695">
        <v>8</v>
      </c>
      <c r="H4186" s="695" t="s">
        <v>6674</v>
      </c>
      <c r="I4186" s="695">
        <v>82</v>
      </c>
      <c r="J4186" s="695" t="s">
        <v>7339</v>
      </c>
      <c r="K4186" s="695" t="s">
        <v>5334</v>
      </c>
      <c r="L4186" s="696">
        <v>0</v>
      </c>
      <c r="M4186" s="170"/>
    </row>
    <row r="4187" spans="2:13" x14ac:dyDescent="0.2">
      <c r="B4187" s="173"/>
      <c r="C4187" s="694">
        <v>1</v>
      </c>
      <c r="D4187" s="695" t="s">
        <v>3903</v>
      </c>
      <c r="E4187" s="695">
        <v>7</v>
      </c>
      <c r="F4187" s="695" t="s">
        <v>6711</v>
      </c>
      <c r="G4187" s="695">
        <v>8</v>
      </c>
      <c r="H4187" s="695" t="s">
        <v>6674</v>
      </c>
      <c r="I4187" s="695">
        <v>83</v>
      </c>
      <c r="J4187" s="695" t="s">
        <v>7340</v>
      </c>
      <c r="K4187" s="695" t="s">
        <v>5334</v>
      </c>
      <c r="L4187" s="696">
        <v>0</v>
      </c>
      <c r="M4187" s="170"/>
    </row>
    <row r="4188" spans="2:13" x14ac:dyDescent="0.2">
      <c r="B4188" s="173"/>
      <c r="C4188" s="694">
        <v>1</v>
      </c>
      <c r="D4188" s="695" t="s">
        <v>3903</v>
      </c>
      <c r="E4188" s="695">
        <v>7</v>
      </c>
      <c r="F4188" s="695" t="s">
        <v>6711</v>
      </c>
      <c r="G4188" s="695">
        <v>8</v>
      </c>
      <c r="H4188" s="695" t="s">
        <v>6674</v>
      </c>
      <c r="I4188" s="695">
        <v>84</v>
      </c>
      <c r="J4188" s="695" t="s">
        <v>7341</v>
      </c>
      <c r="K4188" s="695" t="s">
        <v>5334</v>
      </c>
      <c r="L4188" s="696">
        <v>0</v>
      </c>
      <c r="M4188" s="170"/>
    </row>
    <row r="4189" spans="2:13" x14ac:dyDescent="0.2">
      <c r="B4189" s="173"/>
      <c r="C4189" s="694">
        <v>1</v>
      </c>
      <c r="D4189" s="695" t="s">
        <v>3903</v>
      </c>
      <c r="E4189" s="695">
        <v>7</v>
      </c>
      <c r="F4189" s="695" t="s">
        <v>6711</v>
      </c>
      <c r="G4189" s="695">
        <v>8</v>
      </c>
      <c r="H4189" s="695" t="s">
        <v>6674</v>
      </c>
      <c r="I4189" s="695">
        <v>85</v>
      </c>
      <c r="J4189" s="695" t="s">
        <v>7342</v>
      </c>
      <c r="K4189" s="695" t="s">
        <v>5334</v>
      </c>
      <c r="L4189" s="696">
        <v>0</v>
      </c>
      <c r="M4189" s="170"/>
    </row>
    <row r="4190" spans="2:13" x14ac:dyDescent="0.2">
      <c r="B4190" s="173"/>
      <c r="C4190" s="694">
        <v>1</v>
      </c>
      <c r="D4190" s="695" t="s">
        <v>3903</v>
      </c>
      <c r="E4190" s="695">
        <v>7</v>
      </c>
      <c r="F4190" s="695" t="s">
        <v>6711</v>
      </c>
      <c r="G4190" s="695">
        <v>8</v>
      </c>
      <c r="H4190" s="695" t="s">
        <v>6674</v>
      </c>
      <c r="I4190" s="695">
        <v>86</v>
      </c>
      <c r="J4190" s="695" t="s">
        <v>7343</v>
      </c>
      <c r="K4190" s="695" t="s">
        <v>5334</v>
      </c>
      <c r="L4190" s="696">
        <v>0</v>
      </c>
      <c r="M4190" s="170"/>
    </row>
    <row r="4191" spans="2:13" x14ac:dyDescent="0.2">
      <c r="B4191" s="173"/>
      <c r="C4191" s="694">
        <v>1</v>
      </c>
      <c r="D4191" s="695" t="s">
        <v>3903</v>
      </c>
      <c r="E4191" s="695">
        <v>7</v>
      </c>
      <c r="F4191" s="695" t="s">
        <v>6711</v>
      </c>
      <c r="G4191" s="695">
        <v>8</v>
      </c>
      <c r="H4191" s="695" t="s">
        <v>6674</v>
      </c>
      <c r="I4191" s="695">
        <v>87</v>
      </c>
      <c r="J4191" s="695" t="s">
        <v>7344</v>
      </c>
      <c r="K4191" s="695" t="s">
        <v>5334</v>
      </c>
      <c r="L4191" s="696">
        <v>0</v>
      </c>
      <c r="M4191" s="170"/>
    </row>
    <row r="4192" spans="2:13" x14ac:dyDescent="0.2">
      <c r="B4192" s="173"/>
      <c r="C4192" s="694">
        <v>1</v>
      </c>
      <c r="D4192" s="695" t="s">
        <v>3903</v>
      </c>
      <c r="E4192" s="695">
        <v>7</v>
      </c>
      <c r="F4192" s="695" t="s">
        <v>6711</v>
      </c>
      <c r="G4192" s="695">
        <v>8</v>
      </c>
      <c r="H4192" s="695" t="s">
        <v>6674</v>
      </c>
      <c r="I4192" s="695">
        <v>88</v>
      </c>
      <c r="J4192" s="695" t="s">
        <v>7345</v>
      </c>
      <c r="K4192" s="695" t="s">
        <v>5334</v>
      </c>
      <c r="L4192" s="696">
        <v>0</v>
      </c>
      <c r="M4192" s="170"/>
    </row>
    <row r="4193" spans="2:13" x14ac:dyDescent="0.2">
      <c r="B4193" s="173"/>
      <c r="C4193" s="694">
        <v>1</v>
      </c>
      <c r="D4193" s="695" t="s">
        <v>3903</v>
      </c>
      <c r="E4193" s="695">
        <v>7</v>
      </c>
      <c r="F4193" s="695" t="s">
        <v>6711</v>
      </c>
      <c r="G4193" s="695">
        <v>8</v>
      </c>
      <c r="H4193" s="695" t="s">
        <v>6674</v>
      </c>
      <c r="I4193" s="695">
        <v>89</v>
      </c>
      <c r="J4193" s="695" t="s">
        <v>7346</v>
      </c>
      <c r="K4193" s="695" t="s">
        <v>5334</v>
      </c>
      <c r="L4193" s="696">
        <v>0</v>
      </c>
      <c r="M4193" s="170"/>
    </row>
    <row r="4194" spans="2:13" x14ac:dyDescent="0.2">
      <c r="B4194" s="173"/>
      <c r="C4194" s="694">
        <v>1</v>
      </c>
      <c r="D4194" s="695" t="s">
        <v>3903</v>
      </c>
      <c r="E4194" s="695">
        <v>7</v>
      </c>
      <c r="F4194" s="695" t="s">
        <v>6711</v>
      </c>
      <c r="G4194" s="695">
        <v>8</v>
      </c>
      <c r="H4194" s="695" t="s">
        <v>6674</v>
      </c>
      <c r="I4194" s="695">
        <v>90</v>
      </c>
      <c r="J4194" s="695" t="s">
        <v>7347</v>
      </c>
      <c r="K4194" s="695" t="s">
        <v>5334</v>
      </c>
      <c r="L4194" s="696">
        <v>0</v>
      </c>
      <c r="M4194" s="170"/>
    </row>
    <row r="4195" spans="2:13" x14ac:dyDescent="0.2">
      <c r="B4195" s="173"/>
      <c r="C4195" s="694">
        <v>1</v>
      </c>
      <c r="D4195" s="695" t="s">
        <v>3903</v>
      </c>
      <c r="E4195" s="695">
        <v>7</v>
      </c>
      <c r="F4195" s="695" t="s">
        <v>6711</v>
      </c>
      <c r="G4195" s="695">
        <v>8</v>
      </c>
      <c r="H4195" s="695" t="s">
        <v>6674</v>
      </c>
      <c r="I4195" s="695">
        <v>91</v>
      </c>
      <c r="J4195" s="695" t="s">
        <v>7348</v>
      </c>
      <c r="K4195" s="695" t="s">
        <v>5334</v>
      </c>
      <c r="L4195" s="696">
        <v>0</v>
      </c>
      <c r="M4195" s="170"/>
    </row>
    <row r="4196" spans="2:13" x14ac:dyDescent="0.2">
      <c r="B4196" s="173"/>
      <c r="C4196" s="694">
        <v>1</v>
      </c>
      <c r="D4196" s="695" t="s">
        <v>3903</v>
      </c>
      <c r="E4196" s="695">
        <v>7</v>
      </c>
      <c r="F4196" s="695" t="s">
        <v>6711</v>
      </c>
      <c r="G4196" s="695">
        <v>8</v>
      </c>
      <c r="H4196" s="695" t="s">
        <v>6674</v>
      </c>
      <c r="I4196" s="695">
        <v>92</v>
      </c>
      <c r="J4196" s="695" t="s">
        <v>7349</v>
      </c>
      <c r="K4196" s="695" t="s">
        <v>5334</v>
      </c>
      <c r="L4196" s="696">
        <v>1</v>
      </c>
      <c r="M4196" s="170"/>
    </row>
    <row r="4197" spans="2:13" x14ac:dyDescent="0.2">
      <c r="B4197" s="173"/>
      <c r="C4197" s="694">
        <v>1</v>
      </c>
      <c r="D4197" s="695" t="s">
        <v>3903</v>
      </c>
      <c r="E4197" s="695">
        <v>7</v>
      </c>
      <c r="F4197" s="695" t="s">
        <v>6711</v>
      </c>
      <c r="G4197" s="695">
        <v>8</v>
      </c>
      <c r="H4197" s="695" t="s">
        <v>6674</v>
      </c>
      <c r="I4197" s="695">
        <v>93</v>
      </c>
      <c r="J4197" s="695" t="s">
        <v>7350</v>
      </c>
      <c r="K4197" s="695" t="s">
        <v>5334</v>
      </c>
      <c r="L4197" s="696">
        <v>0</v>
      </c>
      <c r="M4197" s="170"/>
    </row>
    <row r="4198" spans="2:13" x14ac:dyDescent="0.2">
      <c r="B4198" s="173"/>
      <c r="C4198" s="694">
        <v>1</v>
      </c>
      <c r="D4198" s="695" t="s">
        <v>3903</v>
      </c>
      <c r="E4198" s="695">
        <v>7</v>
      </c>
      <c r="F4198" s="695" t="s">
        <v>6711</v>
      </c>
      <c r="G4198" s="695">
        <v>8</v>
      </c>
      <c r="H4198" s="695" t="s">
        <v>6674</v>
      </c>
      <c r="I4198" s="695">
        <v>94</v>
      </c>
      <c r="J4198" s="695" t="s">
        <v>7351</v>
      </c>
      <c r="K4198" s="695" t="s">
        <v>5334</v>
      </c>
      <c r="L4198" s="696">
        <v>0</v>
      </c>
      <c r="M4198" s="170"/>
    </row>
    <row r="4199" spans="2:13" x14ac:dyDescent="0.2">
      <c r="B4199" s="173"/>
      <c r="C4199" s="694">
        <v>1</v>
      </c>
      <c r="D4199" s="695" t="s">
        <v>3903</v>
      </c>
      <c r="E4199" s="695">
        <v>7</v>
      </c>
      <c r="F4199" s="695" t="s">
        <v>6711</v>
      </c>
      <c r="G4199" s="695">
        <v>8</v>
      </c>
      <c r="H4199" s="695" t="s">
        <v>6674</v>
      </c>
      <c r="I4199" s="695">
        <v>95</v>
      </c>
      <c r="J4199" s="695" t="s">
        <v>7352</v>
      </c>
      <c r="K4199" s="695" t="s">
        <v>5334</v>
      </c>
      <c r="L4199" s="696">
        <v>0</v>
      </c>
      <c r="M4199" s="170"/>
    </row>
    <row r="4200" spans="2:13" x14ac:dyDescent="0.2">
      <c r="B4200" s="173"/>
      <c r="C4200" s="694">
        <v>1</v>
      </c>
      <c r="D4200" s="695" t="s">
        <v>3903</v>
      </c>
      <c r="E4200" s="695">
        <v>7</v>
      </c>
      <c r="F4200" s="695" t="s">
        <v>6711</v>
      </c>
      <c r="G4200" s="695">
        <v>8</v>
      </c>
      <c r="H4200" s="695" t="s">
        <v>6674</v>
      </c>
      <c r="I4200" s="695">
        <v>96</v>
      </c>
      <c r="J4200" s="695" t="s">
        <v>7353</v>
      </c>
      <c r="K4200" s="695" t="s">
        <v>5334</v>
      </c>
      <c r="L4200" s="696">
        <v>0</v>
      </c>
      <c r="M4200" s="170"/>
    </row>
    <row r="4201" spans="2:13" x14ac:dyDescent="0.2">
      <c r="B4201" s="173"/>
      <c r="C4201" s="694">
        <v>1</v>
      </c>
      <c r="D4201" s="695" t="s">
        <v>3903</v>
      </c>
      <c r="E4201" s="695">
        <v>7</v>
      </c>
      <c r="F4201" s="695" t="s">
        <v>6711</v>
      </c>
      <c r="G4201" s="695">
        <v>8</v>
      </c>
      <c r="H4201" s="695" t="s">
        <v>6674</v>
      </c>
      <c r="I4201" s="695">
        <v>97</v>
      </c>
      <c r="J4201" s="695" t="s">
        <v>7354</v>
      </c>
      <c r="K4201" s="695" t="s">
        <v>5334</v>
      </c>
      <c r="L4201" s="696">
        <v>0</v>
      </c>
      <c r="M4201" s="170"/>
    </row>
    <row r="4202" spans="2:13" x14ac:dyDescent="0.2">
      <c r="B4202" s="173"/>
      <c r="C4202" s="694">
        <v>1</v>
      </c>
      <c r="D4202" s="695" t="s">
        <v>3903</v>
      </c>
      <c r="E4202" s="695">
        <v>7</v>
      </c>
      <c r="F4202" s="695" t="s">
        <v>6711</v>
      </c>
      <c r="G4202" s="695">
        <v>8</v>
      </c>
      <c r="H4202" s="695" t="s">
        <v>6674</v>
      </c>
      <c r="I4202" s="695">
        <v>98</v>
      </c>
      <c r="J4202" s="695" t="s">
        <v>7355</v>
      </c>
      <c r="K4202" s="695" t="s">
        <v>5334</v>
      </c>
      <c r="L4202" s="696">
        <v>0</v>
      </c>
      <c r="M4202" s="170"/>
    </row>
    <row r="4203" spans="2:13" x14ac:dyDescent="0.2">
      <c r="B4203" s="173"/>
      <c r="C4203" s="694">
        <v>1</v>
      </c>
      <c r="D4203" s="695" t="s">
        <v>3903</v>
      </c>
      <c r="E4203" s="695">
        <v>7</v>
      </c>
      <c r="F4203" s="695" t="s">
        <v>6711</v>
      </c>
      <c r="G4203" s="695">
        <v>8</v>
      </c>
      <c r="H4203" s="695" t="s">
        <v>6674</v>
      </c>
      <c r="I4203" s="695">
        <v>99</v>
      </c>
      <c r="J4203" s="695" t="s">
        <v>7356</v>
      </c>
      <c r="K4203" s="695" t="s">
        <v>5334</v>
      </c>
      <c r="L4203" s="696">
        <v>0</v>
      </c>
      <c r="M4203" s="170"/>
    </row>
    <row r="4204" spans="2:13" x14ac:dyDescent="0.2">
      <c r="B4204" s="173"/>
      <c r="C4204" s="694">
        <v>1</v>
      </c>
      <c r="D4204" s="695" t="s">
        <v>3903</v>
      </c>
      <c r="E4204" s="695">
        <v>7</v>
      </c>
      <c r="F4204" s="695" t="s">
        <v>6711</v>
      </c>
      <c r="G4204" s="695">
        <v>8</v>
      </c>
      <c r="H4204" s="695" t="s">
        <v>6674</v>
      </c>
      <c r="I4204" s="695">
        <v>100</v>
      </c>
      <c r="J4204" s="695" t="s">
        <v>7357</v>
      </c>
      <c r="K4204" s="695" t="s">
        <v>5334</v>
      </c>
      <c r="L4204" s="696">
        <v>2</v>
      </c>
      <c r="M4204" s="170"/>
    </row>
    <row r="4205" spans="2:13" x14ac:dyDescent="0.2">
      <c r="B4205" s="173"/>
      <c r="C4205" s="694">
        <v>1</v>
      </c>
      <c r="D4205" s="695" t="s">
        <v>3903</v>
      </c>
      <c r="E4205" s="695">
        <v>7</v>
      </c>
      <c r="F4205" s="695" t="s">
        <v>6711</v>
      </c>
      <c r="G4205" s="695">
        <v>8</v>
      </c>
      <c r="H4205" s="695" t="s">
        <v>6674</v>
      </c>
      <c r="I4205" s="695">
        <v>101</v>
      </c>
      <c r="J4205" s="695" t="s">
        <v>7358</v>
      </c>
      <c r="K4205" s="695" t="s">
        <v>5334</v>
      </c>
      <c r="L4205" s="696">
        <v>0</v>
      </c>
      <c r="M4205" s="170"/>
    </row>
    <row r="4206" spans="2:13" x14ac:dyDescent="0.2">
      <c r="B4206" s="173"/>
      <c r="C4206" s="694">
        <v>1</v>
      </c>
      <c r="D4206" s="695" t="s">
        <v>3903</v>
      </c>
      <c r="E4206" s="695">
        <v>7</v>
      </c>
      <c r="F4206" s="695" t="s">
        <v>6711</v>
      </c>
      <c r="G4206" s="695">
        <v>8</v>
      </c>
      <c r="H4206" s="695" t="s">
        <v>6674</v>
      </c>
      <c r="I4206" s="695">
        <v>102</v>
      </c>
      <c r="J4206" s="695" t="s">
        <v>7359</v>
      </c>
      <c r="K4206" s="695" t="s">
        <v>5334</v>
      </c>
      <c r="L4206" s="696">
        <v>0</v>
      </c>
      <c r="M4206" s="170"/>
    </row>
    <row r="4207" spans="2:13" x14ac:dyDescent="0.2">
      <c r="B4207" s="173"/>
      <c r="C4207" s="694">
        <v>1</v>
      </c>
      <c r="D4207" s="695" t="s">
        <v>3903</v>
      </c>
      <c r="E4207" s="695">
        <v>7</v>
      </c>
      <c r="F4207" s="695" t="s">
        <v>6711</v>
      </c>
      <c r="G4207" s="695">
        <v>8</v>
      </c>
      <c r="H4207" s="695" t="s">
        <v>6674</v>
      </c>
      <c r="I4207" s="695">
        <v>103</v>
      </c>
      <c r="J4207" s="695" t="s">
        <v>7360</v>
      </c>
      <c r="K4207" s="695" t="s">
        <v>5334</v>
      </c>
      <c r="L4207" s="696">
        <v>0</v>
      </c>
      <c r="M4207" s="170"/>
    </row>
    <row r="4208" spans="2:13" x14ac:dyDescent="0.2">
      <c r="B4208" s="173"/>
      <c r="C4208" s="694">
        <v>1</v>
      </c>
      <c r="D4208" s="695" t="s">
        <v>3903</v>
      </c>
      <c r="E4208" s="695">
        <v>7</v>
      </c>
      <c r="F4208" s="695" t="s">
        <v>6711</v>
      </c>
      <c r="G4208" s="695">
        <v>8</v>
      </c>
      <c r="H4208" s="695" t="s">
        <v>6674</v>
      </c>
      <c r="I4208" s="695">
        <v>104</v>
      </c>
      <c r="J4208" s="695" t="s">
        <v>7361</v>
      </c>
      <c r="K4208" s="695" t="s">
        <v>5334</v>
      </c>
      <c r="L4208" s="696">
        <v>0</v>
      </c>
      <c r="M4208" s="170"/>
    </row>
    <row r="4209" spans="2:13" x14ac:dyDescent="0.2">
      <c r="B4209" s="173"/>
      <c r="C4209" s="694">
        <v>1</v>
      </c>
      <c r="D4209" s="695" t="s">
        <v>3903</v>
      </c>
      <c r="E4209" s="695">
        <v>7</v>
      </c>
      <c r="F4209" s="695" t="s">
        <v>6711</v>
      </c>
      <c r="G4209" s="695">
        <v>8</v>
      </c>
      <c r="H4209" s="695" t="s">
        <v>6674</v>
      </c>
      <c r="I4209" s="695">
        <v>105</v>
      </c>
      <c r="J4209" s="695" t="s">
        <v>6463</v>
      </c>
      <c r="K4209" s="695" t="s">
        <v>5334</v>
      </c>
      <c r="L4209" s="696">
        <v>22</v>
      </c>
      <c r="M4209" s="170"/>
    </row>
    <row r="4210" spans="2:13" x14ac:dyDescent="0.2">
      <c r="B4210" s="173"/>
      <c r="C4210" s="694">
        <v>1</v>
      </c>
      <c r="D4210" s="695" t="s">
        <v>3903</v>
      </c>
      <c r="E4210" s="695">
        <v>7</v>
      </c>
      <c r="F4210" s="695" t="s">
        <v>6711</v>
      </c>
      <c r="G4210" s="695">
        <v>8</v>
      </c>
      <c r="H4210" s="695" t="s">
        <v>6674</v>
      </c>
      <c r="I4210" s="695">
        <v>106</v>
      </c>
      <c r="J4210" s="695" t="s">
        <v>7362</v>
      </c>
      <c r="K4210" s="695" t="s">
        <v>5334</v>
      </c>
      <c r="L4210" s="696">
        <v>0</v>
      </c>
      <c r="M4210" s="170"/>
    </row>
    <row r="4211" spans="2:13" x14ac:dyDescent="0.2">
      <c r="B4211" s="173"/>
      <c r="C4211" s="694">
        <v>1</v>
      </c>
      <c r="D4211" s="695" t="s">
        <v>3903</v>
      </c>
      <c r="E4211" s="695">
        <v>7</v>
      </c>
      <c r="F4211" s="695" t="s">
        <v>6711</v>
      </c>
      <c r="G4211" s="695">
        <v>8</v>
      </c>
      <c r="H4211" s="695" t="s">
        <v>6674</v>
      </c>
      <c r="I4211" s="695">
        <v>107</v>
      </c>
      <c r="J4211" s="695" t="s">
        <v>7363</v>
      </c>
      <c r="K4211" s="695" t="s">
        <v>5334</v>
      </c>
      <c r="L4211" s="696">
        <v>1</v>
      </c>
      <c r="M4211" s="170"/>
    </row>
    <row r="4212" spans="2:13" x14ac:dyDescent="0.2">
      <c r="B4212" s="173"/>
      <c r="C4212" s="694">
        <v>1</v>
      </c>
      <c r="D4212" s="695" t="s">
        <v>3903</v>
      </c>
      <c r="E4212" s="695">
        <v>7</v>
      </c>
      <c r="F4212" s="695" t="s">
        <v>6711</v>
      </c>
      <c r="G4212" s="695">
        <v>8</v>
      </c>
      <c r="H4212" s="695" t="s">
        <v>6674</v>
      </c>
      <c r="I4212" s="695">
        <v>108</v>
      </c>
      <c r="J4212" s="695" t="s">
        <v>7364</v>
      </c>
      <c r="K4212" s="695" t="s">
        <v>5334</v>
      </c>
      <c r="L4212" s="696">
        <v>0</v>
      </c>
      <c r="M4212" s="170"/>
    </row>
    <row r="4213" spans="2:13" x14ac:dyDescent="0.2">
      <c r="B4213" s="173"/>
      <c r="C4213" s="694">
        <v>1</v>
      </c>
      <c r="D4213" s="695" t="s">
        <v>3903</v>
      </c>
      <c r="E4213" s="695">
        <v>7</v>
      </c>
      <c r="F4213" s="695" t="s">
        <v>6711</v>
      </c>
      <c r="G4213" s="695">
        <v>8</v>
      </c>
      <c r="H4213" s="695" t="s">
        <v>6674</v>
      </c>
      <c r="I4213" s="695">
        <v>109</v>
      </c>
      <c r="J4213" s="695" t="s">
        <v>7365</v>
      </c>
      <c r="K4213" s="695" t="s">
        <v>5334</v>
      </c>
      <c r="L4213" s="696">
        <v>0</v>
      </c>
      <c r="M4213" s="170"/>
    </row>
    <row r="4214" spans="2:13" x14ac:dyDescent="0.2">
      <c r="B4214" s="173"/>
      <c r="C4214" s="694">
        <v>1</v>
      </c>
      <c r="D4214" s="695" t="s">
        <v>3903</v>
      </c>
      <c r="E4214" s="695">
        <v>7</v>
      </c>
      <c r="F4214" s="695" t="s">
        <v>6711</v>
      </c>
      <c r="G4214" s="695">
        <v>8</v>
      </c>
      <c r="H4214" s="695" t="s">
        <v>6674</v>
      </c>
      <c r="I4214" s="695">
        <v>110</v>
      </c>
      <c r="J4214" s="695" t="s">
        <v>7366</v>
      </c>
      <c r="K4214" s="695" t="s">
        <v>5334</v>
      </c>
      <c r="L4214" s="696">
        <v>0</v>
      </c>
      <c r="M4214" s="170"/>
    </row>
    <row r="4215" spans="2:13" x14ac:dyDescent="0.2">
      <c r="B4215" s="173"/>
      <c r="C4215" s="694">
        <v>1</v>
      </c>
      <c r="D4215" s="695" t="s">
        <v>3903</v>
      </c>
      <c r="E4215" s="695">
        <v>7</v>
      </c>
      <c r="F4215" s="695" t="s">
        <v>6711</v>
      </c>
      <c r="G4215" s="695">
        <v>8</v>
      </c>
      <c r="H4215" s="695" t="s">
        <v>6674</v>
      </c>
      <c r="I4215" s="695">
        <v>111</v>
      </c>
      <c r="J4215" s="695" t="s">
        <v>7367</v>
      </c>
      <c r="K4215" s="695" t="s">
        <v>5334</v>
      </c>
      <c r="L4215" s="696">
        <v>0</v>
      </c>
      <c r="M4215" s="170"/>
    </row>
    <row r="4216" spans="2:13" x14ac:dyDescent="0.2">
      <c r="B4216" s="173"/>
      <c r="C4216" s="694">
        <v>1</v>
      </c>
      <c r="D4216" s="695" t="s">
        <v>3903</v>
      </c>
      <c r="E4216" s="695">
        <v>7</v>
      </c>
      <c r="F4216" s="695" t="s">
        <v>6711</v>
      </c>
      <c r="G4216" s="695">
        <v>8</v>
      </c>
      <c r="H4216" s="695" t="s">
        <v>6674</v>
      </c>
      <c r="I4216" s="695">
        <v>112</v>
      </c>
      <c r="J4216" s="695" t="s">
        <v>7368</v>
      </c>
      <c r="K4216" s="695" t="s">
        <v>5334</v>
      </c>
      <c r="L4216" s="696">
        <v>0</v>
      </c>
      <c r="M4216" s="170"/>
    </row>
    <row r="4217" spans="2:13" x14ac:dyDescent="0.2">
      <c r="B4217" s="173"/>
      <c r="C4217" s="694">
        <v>1</v>
      </c>
      <c r="D4217" s="695" t="s">
        <v>3903</v>
      </c>
      <c r="E4217" s="695">
        <v>7</v>
      </c>
      <c r="F4217" s="695" t="s">
        <v>6711</v>
      </c>
      <c r="G4217" s="695">
        <v>8</v>
      </c>
      <c r="H4217" s="695" t="s">
        <v>6674</v>
      </c>
      <c r="I4217" s="695">
        <v>113</v>
      </c>
      <c r="J4217" s="695" t="s">
        <v>7369</v>
      </c>
      <c r="K4217" s="695" t="s">
        <v>5334</v>
      </c>
      <c r="L4217" s="696">
        <v>0</v>
      </c>
      <c r="M4217" s="170"/>
    </row>
    <row r="4218" spans="2:13" x14ac:dyDescent="0.2">
      <c r="B4218" s="173"/>
      <c r="C4218" s="694">
        <v>1</v>
      </c>
      <c r="D4218" s="695" t="s">
        <v>3903</v>
      </c>
      <c r="E4218" s="695">
        <v>7</v>
      </c>
      <c r="F4218" s="695" t="s">
        <v>6711</v>
      </c>
      <c r="G4218" s="695">
        <v>8</v>
      </c>
      <c r="H4218" s="695" t="s">
        <v>6674</v>
      </c>
      <c r="I4218" s="695">
        <v>114</v>
      </c>
      <c r="J4218" s="695" t="s">
        <v>7370</v>
      </c>
      <c r="K4218" s="695" t="s">
        <v>5334</v>
      </c>
      <c r="L4218" s="696">
        <v>0</v>
      </c>
      <c r="M4218" s="170"/>
    </row>
    <row r="4219" spans="2:13" x14ac:dyDescent="0.2">
      <c r="B4219" s="173"/>
      <c r="C4219" s="694">
        <v>1</v>
      </c>
      <c r="D4219" s="695" t="s">
        <v>3903</v>
      </c>
      <c r="E4219" s="695">
        <v>7</v>
      </c>
      <c r="F4219" s="695" t="s">
        <v>6711</v>
      </c>
      <c r="G4219" s="695">
        <v>8</v>
      </c>
      <c r="H4219" s="695" t="s">
        <v>6674</v>
      </c>
      <c r="I4219" s="695">
        <v>115</v>
      </c>
      <c r="J4219" s="695" t="s">
        <v>7371</v>
      </c>
      <c r="K4219" s="695" t="s">
        <v>5334</v>
      </c>
      <c r="L4219" s="696">
        <v>0</v>
      </c>
      <c r="M4219" s="170"/>
    </row>
    <row r="4220" spans="2:13" x14ac:dyDescent="0.2">
      <c r="B4220" s="173"/>
      <c r="C4220" s="694">
        <v>1</v>
      </c>
      <c r="D4220" s="695" t="s">
        <v>3903</v>
      </c>
      <c r="E4220" s="695">
        <v>7</v>
      </c>
      <c r="F4220" s="695" t="s">
        <v>6711</v>
      </c>
      <c r="G4220" s="695">
        <v>8</v>
      </c>
      <c r="H4220" s="695" t="s">
        <v>6674</v>
      </c>
      <c r="I4220" s="695">
        <v>116</v>
      </c>
      <c r="J4220" s="695" t="s">
        <v>7372</v>
      </c>
      <c r="K4220" s="695" t="s">
        <v>5334</v>
      </c>
      <c r="L4220" s="696">
        <v>0</v>
      </c>
      <c r="M4220" s="170"/>
    </row>
    <row r="4221" spans="2:13" x14ac:dyDescent="0.2">
      <c r="B4221" s="173"/>
      <c r="C4221" s="694">
        <v>1</v>
      </c>
      <c r="D4221" s="695" t="s">
        <v>3903</v>
      </c>
      <c r="E4221" s="695">
        <v>7</v>
      </c>
      <c r="F4221" s="695" t="s">
        <v>6711</v>
      </c>
      <c r="G4221" s="695">
        <v>8</v>
      </c>
      <c r="H4221" s="695" t="s">
        <v>6674</v>
      </c>
      <c r="I4221" s="695">
        <v>117</v>
      </c>
      <c r="J4221" s="695" t="s">
        <v>7373</v>
      </c>
      <c r="K4221" s="695" t="s">
        <v>5334</v>
      </c>
      <c r="L4221" s="696">
        <v>0</v>
      </c>
      <c r="M4221" s="170"/>
    </row>
    <row r="4222" spans="2:13" x14ac:dyDescent="0.2">
      <c r="B4222" s="173"/>
      <c r="C4222" s="694">
        <v>1</v>
      </c>
      <c r="D4222" s="695" t="s">
        <v>3903</v>
      </c>
      <c r="E4222" s="695">
        <v>7</v>
      </c>
      <c r="F4222" s="695" t="s">
        <v>6711</v>
      </c>
      <c r="G4222" s="695">
        <v>8</v>
      </c>
      <c r="H4222" s="695" t="s">
        <v>6674</v>
      </c>
      <c r="I4222" s="695">
        <v>118</v>
      </c>
      <c r="J4222" s="695" t="s">
        <v>7374</v>
      </c>
      <c r="K4222" s="695" t="s">
        <v>5334</v>
      </c>
      <c r="L4222" s="696">
        <v>0</v>
      </c>
      <c r="M4222" s="170"/>
    </row>
    <row r="4223" spans="2:13" x14ac:dyDescent="0.2">
      <c r="B4223" s="173"/>
      <c r="C4223" s="694">
        <v>1</v>
      </c>
      <c r="D4223" s="695" t="s">
        <v>3903</v>
      </c>
      <c r="E4223" s="695">
        <v>7</v>
      </c>
      <c r="F4223" s="695" t="s">
        <v>6711</v>
      </c>
      <c r="G4223" s="695">
        <v>8</v>
      </c>
      <c r="H4223" s="695" t="s">
        <v>6674</v>
      </c>
      <c r="I4223" s="695">
        <v>119</v>
      </c>
      <c r="J4223" s="695" t="s">
        <v>7375</v>
      </c>
      <c r="K4223" s="695" t="s">
        <v>5334</v>
      </c>
      <c r="L4223" s="696">
        <v>0</v>
      </c>
      <c r="M4223" s="170"/>
    </row>
    <row r="4224" spans="2:13" x14ac:dyDescent="0.2">
      <c r="B4224" s="173"/>
      <c r="C4224" s="694">
        <v>1</v>
      </c>
      <c r="D4224" s="695" t="s">
        <v>3903</v>
      </c>
      <c r="E4224" s="695">
        <v>7</v>
      </c>
      <c r="F4224" s="695" t="s">
        <v>6711</v>
      </c>
      <c r="G4224" s="695">
        <v>8</v>
      </c>
      <c r="H4224" s="695" t="s">
        <v>6674</v>
      </c>
      <c r="I4224" s="695">
        <v>120</v>
      </c>
      <c r="J4224" s="695" t="s">
        <v>7283</v>
      </c>
      <c r="K4224" s="695" t="s">
        <v>5334</v>
      </c>
      <c r="L4224" s="696">
        <v>0</v>
      </c>
      <c r="M4224" s="170"/>
    </row>
    <row r="4225" spans="2:13" x14ac:dyDescent="0.2">
      <c r="B4225" s="173"/>
      <c r="C4225" s="694">
        <v>1</v>
      </c>
      <c r="D4225" s="695" t="s">
        <v>3903</v>
      </c>
      <c r="E4225" s="695">
        <v>7</v>
      </c>
      <c r="F4225" s="695" t="s">
        <v>6711</v>
      </c>
      <c r="G4225" s="695">
        <v>8</v>
      </c>
      <c r="H4225" s="695" t="s">
        <v>6674</v>
      </c>
      <c r="I4225" s="695">
        <v>121</v>
      </c>
      <c r="J4225" s="695" t="s">
        <v>7376</v>
      </c>
      <c r="K4225" s="695" t="s">
        <v>5334</v>
      </c>
      <c r="L4225" s="696">
        <v>0</v>
      </c>
      <c r="M4225" s="170"/>
    </row>
    <row r="4226" spans="2:13" x14ac:dyDescent="0.2">
      <c r="B4226" s="173"/>
      <c r="C4226" s="694">
        <v>1</v>
      </c>
      <c r="D4226" s="695" t="s">
        <v>3903</v>
      </c>
      <c r="E4226" s="695">
        <v>7</v>
      </c>
      <c r="F4226" s="695" t="s">
        <v>6711</v>
      </c>
      <c r="G4226" s="695">
        <v>8</v>
      </c>
      <c r="H4226" s="695" t="s">
        <v>6674</v>
      </c>
      <c r="I4226" s="695">
        <v>122</v>
      </c>
      <c r="J4226" s="695" t="s">
        <v>7377</v>
      </c>
      <c r="K4226" s="695" t="s">
        <v>5334</v>
      </c>
      <c r="L4226" s="696">
        <v>0</v>
      </c>
      <c r="M4226" s="170"/>
    </row>
    <row r="4227" spans="2:13" x14ac:dyDescent="0.2">
      <c r="B4227" s="173"/>
      <c r="C4227" s="694">
        <v>1</v>
      </c>
      <c r="D4227" s="695" t="s">
        <v>3903</v>
      </c>
      <c r="E4227" s="695">
        <v>7</v>
      </c>
      <c r="F4227" s="695" t="s">
        <v>6711</v>
      </c>
      <c r="G4227" s="695">
        <v>8</v>
      </c>
      <c r="H4227" s="695" t="s">
        <v>6674</v>
      </c>
      <c r="I4227" s="695">
        <v>123</v>
      </c>
      <c r="J4227" s="695" t="s">
        <v>7378</v>
      </c>
      <c r="K4227" s="695" t="s">
        <v>5334</v>
      </c>
      <c r="L4227" s="696">
        <v>0</v>
      </c>
      <c r="M4227" s="170"/>
    </row>
    <row r="4228" spans="2:13" x14ac:dyDescent="0.2">
      <c r="B4228" s="173"/>
      <c r="C4228" s="694">
        <v>1</v>
      </c>
      <c r="D4228" s="695" t="s">
        <v>3903</v>
      </c>
      <c r="E4228" s="695">
        <v>7</v>
      </c>
      <c r="F4228" s="695" t="s">
        <v>6711</v>
      </c>
      <c r="G4228" s="695">
        <v>8</v>
      </c>
      <c r="H4228" s="695" t="s">
        <v>6674</v>
      </c>
      <c r="I4228" s="695">
        <v>124</v>
      </c>
      <c r="J4228" s="695" t="s">
        <v>7379</v>
      </c>
      <c r="K4228" s="695" t="s">
        <v>5334</v>
      </c>
      <c r="L4228" s="696">
        <v>0</v>
      </c>
      <c r="M4228" s="170"/>
    </row>
    <row r="4229" spans="2:13" x14ac:dyDescent="0.2">
      <c r="B4229" s="173"/>
      <c r="C4229" s="694">
        <v>1</v>
      </c>
      <c r="D4229" s="695" t="s">
        <v>3903</v>
      </c>
      <c r="E4229" s="695">
        <v>7</v>
      </c>
      <c r="F4229" s="695" t="s">
        <v>6711</v>
      </c>
      <c r="G4229" s="695">
        <v>8</v>
      </c>
      <c r="H4229" s="695" t="s">
        <v>6674</v>
      </c>
      <c r="I4229" s="695">
        <v>125</v>
      </c>
      <c r="J4229" s="695" t="s">
        <v>7380</v>
      </c>
      <c r="K4229" s="695" t="s">
        <v>5334</v>
      </c>
      <c r="L4229" s="696">
        <v>0</v>
      </c>
      <c r="M4229" s="170"/>
    </row>
    <row r="4230" spans="2:13" x14ac:dyDescent="0.2">
      <c r="B4230" s="173"/>
      <c r="C4230" s="694">
        <v>1</v>
      </c>
      <c r="D4230" s="695" t="s">
        <v>3903</v>
      </c>
      <c r="E4230" s="695">
        <v>7</v>
      </c>
      <c r="F4230" s="695" t="s">
        <v>6711</v>
      </c>
      <c r="G4230" s="695">
        <v>8</v>
      </c>
      <c r="H4230" s="695" t="s">
        <v>6674</v>
      </c>
      <c r="I4230" s="695">
        <v>126</v>
      </c>
      <c r="J4230" s="695" t="s">
        <v>7381</v>
      </c>
      <c r="K4230" s="695" t="s">
        <v>5334</v>
      </c>
      <c r="L4230" s="696">
        <v>0</v>
      </c>
      <c r="M4230" s="170"/>
    </row>
    <row r="4231" spans="2:13" x14ac:dyDescent="0.2">
      <c r="B4231" s="173"/>
      <c r="C4231" s="694">
        <v>1</v>
      </c>
      <c r="D4231" s="695" t="s">
        <v>3903</v>
      </c>
      <c r="E4231" s="695">
        <v>7</v>
      </c>
      <c r="F4231" s="695" t="s">
        <v>6711</v>
      </c>
      <c r="G4231" s="695">
        <v>8</v>
      </c>
      <c r="H4231" s="695" t="s">
        <v>6674</v>
      </c>
      <c r="I4231" s="695">
        <v>127</v>
      </c>
      <c r="J4231" s="695" t="s">
        <v>7382</v>
      </c>
      <c r="K4231" s="695" t="s">
        <v>5334</v>
      </c>
      <c r="L4231" s="696">
        <v>0</v>
      </c>
      <c r="M4231" s="170"/>
    </row>
    <row r="4232" spans="2:13" x14ac:dyDescent="0.2">
      <c r="B4232" s="173"/>
      <c r="C4232" s="694">
        <v>1</v>
      </c>
      <c r="D4232" s="695" t="s">
        <v>3903</v>
      </c>
      <c r="E4232" s="695">
        <v>7</v>
      </c>
      <c r="F4232" s="695" t="s">
        <v>6711</v>
      </c>
      <c r="G4232" s="695">
        <v>8</v>
      </c>
      <c r="H4232" s="695" t="s">
        <v>6674</v>
      </c>
      <c r="I4232" s="695">
        <v>128</v>
      </c>
      <c r="J4232" s="695" t="s">
        <v>7383</v>
      </c>
      <c r="K4232" s="695" t="s">
        <v>5334</v>
      </c>
      <c r="L4232" s="696">
        <v>0</v>
      </c>
      <c r="M4232" s="170"/>
    </row>
    <row r="4233" spans="2:13" x14ac:dyDescent="0.2">
      <c r="B4233" s="173"/>
      <c r="C4233" s="694">
        <v>1</v>
      </c>
      <c r="D4233" s="695" t="s">
        <v>3903</v>
      </c>
      <c r="E4233" s="695">
        <v>7</v>
      </c>
      <c r="F4233" s="695" t="s">
        <v>6711</v>
      </c>
      <c r="G4233" s="695">
        <v>8</v>
      </c>
      <c r="H4233" s="695" t="s">
        <v>6674</v>
      </c>
      <c r="I4233" s="695">
        <v>129</v>
      </c>
      <c r="J4233" s="695" t="s">
        <v>7384</v>
      </c>
      <c r="K4233" s="695" t="s">
        <v>5334</v>
      </c>
      <c r="L4233" s="696">
        <v>0</v>
      </c>
      <c r="M4233" s="170"/>
    </row>
    <row r="4234" spans="2:13" x14ac:dyDescent="0.2">
      <c r="B4234" s="173"/>
      <c r="C4234" s="694">
        <v>1</v>
      </c>
      <c r="D4234" s="695" t="s">
        <v>3903</v>
      </c>
      <c r="E4234" s="695">
        <v>7</v>
      </c>
      <c r="F4234" s="695" t="s">
        <v>6711</v>
      </c>
      <c r="G4234" s="695">
        <v>8</v>
      </c>
      <c r="H4234" s="695" t="s">
        <v>6674</v>
      </c>
      <c r="I4234" s="695">
        <v>130</v>
      </c>
      <c r="J4234" s="695" t="s">
        <v>7385</v>
      </c>
      <c r="K4234" s="695" t="s">
        <v>5334</v>
      </c>
      <c r="L4234" s="696">
        <v>0</v>
      </c>
      <c r="M4234" s="170"/>
    </row>
    <row r="4235" spans="2:13" x14ac:dyDescent="0.2">
      <c r="B4235" s="173"/>
      <c r="C4235" s="694">
        <v>1</v>
      </c>
      <c r="D4235" s="695" t="s">
        <v>3903</v>
      </c>
      <c r="E4235" s="695">
        <v>7</v>
      </c>
      <c r="F4235" s="695" t="s">
        <v>6711</v>
      </c>
      <c r="G4235" s="695">
        <v>8</v>
      </c>
      <c r="H4235" s="695" t="s">
        <v>6674</v>
      </c>
      <c r="I4235" s="695">
        <v>131</v>
      </c>
      <c r="J4235" s="695" t="s">
        <v>7386</v>
      </c>
      <c r="K4235" s="695" t="s">
        <v>5334</v>
      </c>
      <c r="L4235" s="696">
        <v>0</v>
      </c>
      <c r="M4235" s="170"/>
    </row>
    <row r="4236" spans="2:13" x14ac:dyDescent="0.2">
      <c r="B4236" s="173"/>
      <c r="C4236" s="694">
        <v>1</v>
      </c>
      <c r="D4236" s="695" t="s">
        <v>3903</v>
      </c>
      <c r="E4236" s="695">
        <v>7</v>
      </c>
      <c r="F4236" s="695" t="s">
        <v>6711</v>
      </c>
      <c r="G4236" s="695">
        <v>8</v>
      </c>
      <c r="H4236" s="695" t="s">
        <v>6674</v>
      </c>
      <c r="I4236" s="695">
        <v>132</v>
      </c>
      <c r="J4236" s="695" t="s">
        <v>7387</v>
      </c>
      <c r="K4236" s="695" t="s">
        <v>5334</v>
      </c>
      <c r="L4236" s="696">
        <v>0</v>
      </c>
      <c r="M4236" s="170"/>
    </row>
    <row r="4237" spans="2:13" x14ac:dyDescent="0.2">
      <c r="B4237" s="173"/>
      <c r="C4237" s="694">
        <v>1</v>
      </c>
      <c r="D4237" s="695" t="s">
        <v>3903</v>
      </c>
      <c r="E4237" s="695">
        <v>7</v>
      </c>
      <c r="F4237" s="695" t="s">
        <v>6711</v>
      </c>
      <c r="G4237" s="695">
        <v>8</v>
      </c>
      <c r="H4237" s="695" t="s">
        <v>6674</v>
      </c>
      <c r="I4237" s="695">
        <v>133</v>
      </c>
      <c r="J4237" s="695" t="s">
        <v>7388</v>
      </c>
      <c r="K4237" s="695" t="s">
        <v>5334</v>
      </c>
      <c r="L4237" s="696">
        <v>0</v>
      </c>
      <c r="M4237" s="170"/>
    </row>
    <row r="4238" spans="2:13" x14ac:dyDescent="0.2">
      <c r="B4238" s="173"/>
      <c r="C4238" s="694">
        <v>1</v>
      </c>
      <c r="D4238" s="695" t="s">
        <v>3903</v>
      </c>
      <c r="E4238" s="695">
        <v>7</v>
      </c>
      <c r="F4238" s="695" t="s">
        <v>6711</v>
      </c>
      <c r="G4238" s="695">
        <v>8</v>
      </c>
      <c r="H4238" s="695" t="s">
        <v>6674</v>
      </c>
      <c r="I4238" s="695">
        <v>134</v>
      </c>
      <c r="J4238" s="695" t="s">
        <v>7389</v>
      </c>
      <c r="K4238" s="695" t="s">
        <v>5334</v>
      </c>
      <c r="L4238" s="696">
        <v>0</v>
      </c>
      <c r="M4238" s="170"/>
    </row>
    <row r="4239" spans="2:13" x14ac:dyDescent="0.2">
      <c r="B4239" s="173"/>
      <c r="C4239" s="694">
        <v>1</v>
      </c>
      <c r="D4239" s="695" t="s">
        <v>3903</v>
      </c>
      <c r="E4239" s="695">
        <v>7</v>
      </c>
      <c r="F4239" s="695" t="s">
        <v>6711</v>
      </c>
      <c r="G4239" s="695">
        <v>8</v>
      </c>
      <c r="H4239" s="695" t="s">
        <v>6674</v>
      </c>
      <c r="I4239" s="695">
        <v>135</v>
      </c>
      <c r="J4239" s="695" t="s">
        <v>6372</v>
      </c>
      <c r="K4239" s="695" t="s">
        <v>5334</v>
      </c>
      <c r="L4239" s="696">
        <v>0</v>
      </c>
      <c r="M4239" s="170"/>
    </row>
    <row r="4240" spans="2:13" x14ac:dyDescent="0.2">
      <c r="B4240" s="173"/>
      <c r="C4240" s="694">
        <v>1</v>
      </c>
      <c r="D4240" s="695" t="s">
        <v>3903</v>
      </c>
      <c r="E4240" s="695">
        <v>7</v>
      </c>
      <c r="F4240" s="695" t="s">
        <v>6711</v>
      </c>
      <c r="G4240" s="695">
        <v>8</v>
      </c>
      <c r="H4240" s="695" t="s">
        <v>6674</v>
      </c>
      <c r="I4240" s="695">
        <v>136</v>
      </c>
      <c r="J4240" s="695" t="s">
        <v>7390</v>
      </c>
      <c r="K4240" s="695" t="s">
        <v>5334</v>
      </c>
      <c r="L4240" s="696">
        <v>0</v>
      </c>
      <c r="M4240" s="170"/>
    </row>
    <row r="4241" spans="2:13" x14ac:dyDescent="0.2">
      <c r="B4241" s="173"/>
      <c r="C4241" s="694">
        <v>1</v>
      </c>
      <c r="D4241" s="695" t="s">
        <v>3903</v>
      </c>
      <c r="E4241" s="695">
        <v>7</v>
      </c>
      <c r="F4241" s="695" t="s">
        <v>6711</v>
      </c>
      <c r="G4241" s="695">
        <v>8</v>
      </c>
      <c r="H4241" s="695" t="s">
        <v>6674</v>
      </c>
      <c r="I4241" s="695">
        <v>137</v>
      </c>
      <c r="J4241" s="695" t="s">
        <v>7391</v>
      </c>
      <c r="K4241" s="695" t="s">
        <v>5334</v>
      </c>
      <c r="L4241" s="696">
        <v>0</v>
      </c>
      <c r="M4241" s="170"/>
    </row>
    <row r="4242" spans="2:13" x14ac:dyDescent="0.2">
      <c r="B4242" s="173"/>
      <c r="C4242" s="694">
        <v>1</v>
      </c>
      <c r="D4242" s="695" t="s">
        <v>3903</v>
      </c>
      <c r="E4242" s="695">
        <v>7</v>
      </c>
      <c r="F4242" s="695" t="s">
        <v>6711</v>
      </c>
      <c r="G4242" s="695">
        <v>8</v>
      </c>
      <c r="H4242" s="695" t="s">
        <v>6674</v>
      </c>
      <c r="I4242" s="695">
        <v>138</v>
      </c>
      <c r="J4242" s="695" t="s">
        <v>7392</v>
      </c>
      <c r="K4242" s="695" t="s">
        <v>5334</v>
      </c>
      <c r="L4242" s="696">
        <v>0</v>
      </c>
      <c r="M4242" s="170"/>
    </row>
    <row r="4243" spans="2:13" x14ac:dyDescent="0.2">
      <c r="B4243" s="173"/>
      <c r="C4243" s="694">
        <v>1</v>
      </c>
      <c r="D4243" s="695" t="s">
        <v>3903</v>
      </c>
      <c r="E4243" s="695">
        <v>7</v>
      </c>
      <c r="F4243" s="695" t="s">
        <v>6711</v>
      </c>
      <c r="G4243" s="695">
        <v>8</v>
      </c>
      <c r="H4243" s="695" t="s">
        <v>6674</v>
      </c>
      <c r="I4243" s="695">
        <v>139</v>
      </c>
      <c r="J4243" s="695" t="s">
        <v>7393</v>
      </c>
      <c r="K4243" s="695" t="s">
        <v>5334</v>
      </c>
      <c r="L4243" s="696">
        <v>0</v>
      </c>
      <c r="M4243" s="170"/>
    </row>
    <row r="4244" spans="2:13" x14ac:dyDescent="0.2">
      <c r="B4244" s="173"/>
      <c r="C4244" s="694">
        <v>1</v>
      </c>
      <c r="D4244" s="695" t="s">
        <v>3903</v>
      </c>
      <c r="E4244" s="695">
        <v>7</v>
      </c>
      <c r="F4244" s="695" t="s">
        <v>6711</v>
      </c>
      <c r="G4244" s="695">
        <v>8</v>
      </c>
      <c r="H4244" s="695" t="s">
        <v>6674</v>
      </c>
      <c r="I4244" s="695">
        <v>140</v>
      </c>
      <c r="J4244" s="695" t="s">
        <v>7394</v>
      </c>
      <c r="K4244" s="695" t="s">
        <v>5334</v>
      </c>
      <c r="L4244" s="696">
        <v>0</v>
      </c>
      <c r="M4244" s="170"/>
    </row>
    <row r="4245" spans="2:13" x14ac:dyDescent="0.2">
      <c r="B4245" s="173"/>
      <c r="C4245" s="694">
        <v>1</v>
      </c>
      <c r="D4245" s="695" t="s">
        <v>3903</v>
      </c>
      <c r="E4245" s="695">
        <v>7</v>
      </c>
      <c r="F4245" s="695" t="s">
        <v>6711</v>
      </c>
      <c r="G4245" s="695">
        <v>8</v>
      </c>
      <c r="H4245" s="695" t="s">
        <v>6674</v>
      </c>
      <c r="I4245" s="695">
        <v>141</v>
      </c>
      <c r="J4245" s="695" t="s">
        <v>7395</v>
      </c>
      <c r="K4245" s="695" t="s">
        <v>5334</v>
      </c>
      <c r="L4245" s="696">
        <v>0</v>
      </c>
      <c r="M4245" s="170"/>
    </row>
    <row r="4246" spans="2:13" x14ac:dyDescent="0.2">
      <c r="B4246" s="173"/>
      <c r="C4246" s="694">
        <v>1</v>
      </c>
      <c r="D4246" s="695" t="s">
        <v>3903</v>
      </c>
      <c r="E4246" s="695">
        <v>7</v>
      </c>
      <c r="F4246" s="695" t="s">
        <v>6711</v>
      </c>
      <c r="G4246" s="695">
        <v>8</v>
      </c>
      <c r="H4246" s="695" t="s">
        <v>6674</v>
      </c>
      <c r="I4246" s="695">
        <v>142</v>
      </c>
      <c r="J4246" s="695" t="s">
        <v>7396</v>
      </c>
      <c r="K4246" s="695" t="s">
        <v>5334</v>
      </c>
      <c r="L4246" s="696">
        <v>0</v>
      </c>
      <c r="M4246" s="170"/>
    </row>
    <row r="4247" spans="2:13" x14ac:dyDescent="0.2">
      <c r="B4247" s="173"/>
      <c r="C4247" s="694">
        <v>1</v>
      </c>
      <c r="D4247" s="695" t="s">
        <v>3903</v>
      </c>
      <c r="E4247" s="695">
        <v>7</v>
      </c>
      <c r="F4247" s="695" t="s">
        <v>6711</v>
      </c>
      <c r="G4247" s="695">
        <v>8</v>
      </c>
      <c r="H4247" s="695" t="s">
        <v>6674</v>
      </c>
      <c r="I4247" s="695">
        <v>143</v>
      </c>
      <c r="J4247" s="695" t="s">
        <v>7397</v>
      </c>
      <c r="K4247" s="695" t="s">
        <v>5334</v>
      </c>
      <c r="L4247" s="696">
        <v>0</v>
      </c>
      <c r="M4247" s="170"/>
    </row>
    <row r="4248" spans="2:13" x14ac:dyDescent="0.2">
      <c r="B4248" s="173"/>
      <c r="C4248" s="694">
        <v>1</v>
      </c>
      <c r="D4248" s="695" t="s">
        <v>3903</v>
      </c>
      <c r="E4248" s="695">
        <v>7</v>
      </c>
      <c r="F4248" s="695" t="s">
        <v>6711</v>
      </c>
      <c r="G4248" s="695">
        <v>8</v>
      </c>
      <c r="H4248" s="695" t="s">
        <v>6674</v>
      </c>
      <c r="I4248" s="695">
        <v>144</v>
      </c>
      <c r="J4248" s="695" t="s">
        <v>7398</v>
      </c>
      <c r="K4248" s="695" t="s">
        <v>5334</v>
      </c>
      <c r="L4248" s="696">
        <v>0</v>
      </c>
      <c r="M4248" s="170"/>
    </row>
    <row r="4249" spans="2:13" x14ac:dyDescent="0.2">
      <c r="B4249" s="173"/>
      <c r="C4249" s="694">
        <v>1</v>
      </c>
      <c r="D4249" s="695" t="s">
        <v>3903</v>
      </c>
      <c r="E4249" s="695">
        <v>7</v>
      </c>
      <c r="F4249" s="695" t="s">
        <v>6711</v>
      </c>
      <c r="G4249" s="695">
        <v>8</v>
      </c>
      <c r="H4249" s="695" t="s">
        <v>6674</v>
      </c>
      <c r="I4249" s="695">
        <v>145</v>
      </c>
      <c r="J4249" s="695" t="s">
        <v>7399</v>
      </c>
      <c r="K4249" s="695" t="s">
        <v>5334</v>
      </c>
      <c r="L4249" s="696">
        <v>0</v>
      </c>
      <c r="M4249" s="170"/>
    </row>
    <row r="4250" spans="2:13" x14ac:dyDescent="0.2">
      <c r="B4250" s="173"/>
      <c r="C4250" s="694">
        <v>1</v>
      </c>
      <c r="D4250" s="695" t="s">
        <v>3903</v>
      </c>
      <c r="E4250" s="695">
        <v>7</v>
      </c>
      <c r="F4250" s="695" t="s">
        <v>6711</v>
      </c>
      <c r="G4250" s="695">
        <v>8</v>
      </c>
      <c r="H4250" s="695" t="s">
        <v>6674</v>
      </c>
      <c r="I4250" s="695">
        <v>146</v>
      </c>
      <c r="J4250" s="695" t="s">
        <v>7400</v>
      </c>
      <c r="K4250" s="695" t="s">
        <v>5334</v>
      </c>
      <c r="L4250" s="696">
        <v>0</v>
      </c>
      <c r="M4250" s="170"/>
    </row>
    <row r="4251" spans="2:13" x14ac:dyDescent="0.2">
      <c r="B4251" s="173"/>
      <c r="C4251" s="694">
        <v>1</v>
      </c>
      <c r="D4251" s="695" t="s">
        <v>3903</v>
      </c>
      <c r="E4251" s="695">
        <v>7</v>
      </c>
      <c r="F4251" s="695" t="s">
        <v>6711</v>
      </c>
      <c r="G4251" s="695">
        <v>8</v>
      </c>
      <c r="H4251" s="695" t="s">
        <v>6674</v>
      </c>
      <c r="I4251" s="695">
        <v>147</v>
      </c>
      <c r="J4251" s="695" t="s">
        <v>6373</v>
      </c>
      <c r="K4251" s="695" t="s">
        <v>5334</v>
      </c>
      <c r="L4251" s="696">
        <v>0</v>
      </c>
      <c r="M4251" s="170"/>
    </row>
    <row r="4252" spans="2:13" x14ac:dyDescent="0.2">
      <c r="B4252" s="173"/>
      <c r="C4252" s="694">
        <v>1</v>
      </c>
      <c r="D4252" s="695" t="s">
        <v>3903</v>
      </c>
      <c r="E4252" s="695">
        <v>7</v>
      </c>
      <c r="F4252" s="695" t="s">
        <v>6711</v>
      </c>
      <c r="G4252" s="695">
        <v>8</v>
      </c>
      <c r="H4252" s="695" t="s">
        <v>6674</v>
      </c>
      <c r="I4252" s="695">
        <v>148</v>
      </c>
      <c r="J4252" s="695" t="s">
        <v>7401</v>
      </c>
      <c r="K4252" s="695" t="s">
        <v>5334</v>
      </c>
      <c r="L4252" s="696">
        <v>0</v>
      </c>
      <c r="M4252" s="170"/>
    </row>
    <row r="4253" spans="2:13" x14ac:dyDescent="0.2">
      <c r="B4253" s="173"/>
      <c r="C4253" s="694">
        <v>1</v>
      </c>
      <c r="D4253" s="695" t="s">
        <v>3903</v>
      </c>
      <c r="E4253" s="695">
        <v>7</v>
      </c>
      <c r="F4253" s="695" t="s">
        <v>6711</v>
      </c>
      <c r="G4253" s="695">
        <v>8</v>
      </c>
      <c r="H4253" s="695" t="s">
        <v>6674</v>
      </c>
      <c r="I4253" s="695">
        <v>149</v>
      </c>
      <c r="J4253" s="695" t="s">
        <v>7402</v>
      </c>
      <c r="K4253" s="695" t="s">
        <v>5334</v>
      </c>
      <c r="L4253" s="696">
        <v>0</v>
      </c>
      <c r="M4253" s="170"/>
    </row>
    <row r="4254" spans="2:13" x14ac:dyDescent="0.2">
      <c r="B4254" s="173"/>
      <c r="C4254" s="694">
        <v>1</v>
      </c>
      <c r="D4254" s="695" t="s">
        <v>3903</v>
      </c>
      <c r="E4254" s="695">
        <v>7</v>
      </c>
      <c r="F4254" s="695" t="s">
        <v>6711</v>
      </c>
      <c r="G4254" s="695">
        <v>8</v>
      </c>
      <c r="H4254" s="695" t="s">
        <v>6674</v>
      </c>
      <c r="I4254" s="695">
        <v>150</v>
      </c>
      <c r="J4254" s="695" t="s">
        <v>7403</v>
      </c>
      <c r="K4254" s="695" t="s">
        <v>5334</v>
      </c>
      <c r="L4254" s="696">
        <v>0</v>
      </c>
      <c r="M4254" s="170"/>
    </row>
    <row r="4255" spans="2:13" x14ac:dyDescent="0.2">
      <c r="B4255" s="173"/>
      <c r="C4255" s="694">
        <v>1</v>
      </c>
      <c r="D4255" s="695" t="s">
        <v>3903</v>
      </c>
      <c r="E4255" s="695">
        <v>7</v>
      </c>
      <c r="F4255" s="695" t="s">
        <v>6711</v>
      </c>
      <c r="G4255" s="695">
        <v>8</v>
      </c>
      <c r="H4255" s="695" t="s">
        <v>6674</v>
      </c>
      <c r="I4255" s="695">
        <v>151</v>
      </c>
      <c r="J4255" s="695" t="s">
        <v>7404</v>
      </c>
      <c r="K4255" s="695" t="s">
        <v>5334</v>
      </c>
      <c r="L4255" s="696">
        <v>0</v>
      </c>
      <c r="M4255" s="170"/>
    </row>
    <row r="4256" spans="2:13" x14ac:dyDescent="0.2">
      <c r="B4256" s="173"/>
      <c r="C4256" s="694">
        <v>1</v>
      </c>
      <c r="D4256" s="695" t="s">
        <v>3903</v>
      </c>
      <c r="E4256" s="695">
        <v>7</v>
      </c>
      <c r="F4256" s="695" t="s">
        <v>6711</v>
      </c>
      <c r="G4256" s="695">
        <v>8</v>
      </c>
      <c r="H4256" s="695" t="s">
        <v>6674</v>
      </c>
      <c r="I4256" s="695">
        <v>152</v>
      </c>
      <c r="J4256" s="695" t="s">
        <v>7405</v>
      </c>
      <c r="K4256" s="695" t="s">
        <v>5334</v>
      </c>
      <c r="L4256" s="696">
        <v>0</v>
      </c>
      <c r="M4256" s="170"/>
    </row>
    <row r="4257" spans="2:13" x14ac:dyDescent="0.2">
      <c r="B4257" s="173"/>
      <c r="C4257" s="694">
        <v>1</v>
      </c>
      <c r="D4257" s="695" t="s">
        <v>3903</v>
      </c>
      <c r="E4257" s="695">
        <v>7</v>
      </c>
      <c r="F4257" s="695" t="s">
        <v>6711</v>
      </c>
      <c r="G4257" s="695">
        <v>8</v>
      </c>
      <c r="H4257" s="695" t="s">
        <v>6674</v>
      </c>
      <c r="I4257" s="695">
        <v>153</v>
      </c>
      <c r="J4257" s="695" t="s">
        <v>7406</v>
      </c>
      <c r="K4257" s="695" t="s">
        <v>5334</v>
      </c>
      <c r="L4257" s="696">
        <v>0</v>
      </c>
      <c r="M4257" s="170"/>
    </row>
    <row r="4258" spans="2:13" x14ac:dyDescent="0.2">
      <c r="B4258" s="173"/>
      <c r="C4258" s="694">
        <v>1</v>
      </c>
      <c r="D4258" s="695" t="s">
        <v>3903</v>
      </c>
      <c r="E4258" s="695">
        <v>7</v>
      </c>
      <c r="F4258" s="695" t="s">
        <v>6711</v>
      </c>
      <c r="G4258" s="695">
        <v>8</v>
      </c>
      <c r="H4258" s="695" t="s">
        <v>6674</v>
      </c>
      <c r="I4258" s="695">
        <v>154</v>
      </c>
      <c r="J4258" s="695" t="s">
        <v>7407</v>
      </c>
      <c r="K4258" s="695" t="s">
        <v>5334</v>
      </c>
      <c r="L4258" s="696">
        <v>0</v>
      </c>
      <c r="M4258" s="170"/>
    </row>
    <row r="4259" spans="2:13" x14ac:dyDescent="0.2">
      <c r="B4259" s="173"/>
      <c r="C4259" s="694">
        <v>1</v>
      </c>
      <c r="D4259" s="695" t="s">
        <v>3903</v>
      </c>
      <c r="E4259" s="695">
        <v>7</v>
      </c>
      <c r="F4259" s="695" t="s">
        <v>6711</v>
      </c>
      <c r="G4259" s="695">
        <v>8</v>
      </c>
      <c r="H4259" s="695" t="s">
        <v>6674</v>
      </c>
      <c r="I4259" s="695">
        <v>155</v>
      </c>
      <c r="J4259" s="695" t="s">
        <v>7408</v>
      </c>
      <c r="K4259" s="695" t="s">
        <v>5334</v>
      </c>
      <c r="L4259" s="696">
        <v>0</v>
      </c>
      <c r="M4259" s="170"/>
    </row>
    <row r="4260" spans="2:13" x14ac:dyDescent="0.2">
      <c r="B4260" s="173"/>
      <c r="C4260" s="694">
        <v>1</v>
      </c>
      <c r="D4260" s="695" t="s">
        <v>3903</v>
      </c>
      <c r="E4260" s="695">
        <v>7</v>
      </c>
      <c r="F4260" s="695" t="s">
        <v>6711</v>
      </c>
      <c r="G4260" s="695">
        <v>8</v>
      </c>
      <c r="H4260" s="695" t="s">
        <v>6674</v>
      </c>
      <c r="I4260" s="695">
        <v>156</v>
      </c>
      <c r="J4260" s="695" t="s">
        <v>7409</v>
      </c>
      <c r="K4260" s="695" t="s">
        <v>5334</v>
      </c>
      <c r="L4260" s="696">
        <v>0</v>
      </c>
      <c r="M4260" s="170"/>
    </row>
    <row r="4261" spans="2:13" x14ac:dyDescent="0.2">
      <c r="B4261" s="173"/>
      <c r="C4261" s="694">
        <v>1</v>
      </c>
      <c r="D4261" s="695" t="s">
        <v>3903</v>
      </c>
      <c r="E4261" s="695">
        <v>7</v>
      </c>
      <c r="F4261" s="695" t="s">
        <v>6711</v>
      </c>
      <c r="G4261" s="695">
        <v>8</v>
      </c>
      <c r="H4261" s="695" t="s">
        <v>6674</v>
      </c>
      <c r="I4261" s="695">
        <v>157</v>
      </c>
      <c r="J4261" s="695" t="s">
        <v>7410</v>
      </c>
      <c r="K4261" s="695" t="s">
        <v>5334</v>
      </c>
      <c r="L4261" s="696">
        <v>0</v>
      </c>
      <c r="M4261" s="170"/>
    </row>
    <row r="4262" spans="2:13" x14ac:dyDescent="0.2">
      <c r="B4262" s="173"/>
      <c r="C4262" s="694">
        <v>1</v>
      </c>
      <c r="D4262" s="695" t="s">
        <v>3903</v>
      </c>
      <c r="E4262" s="695">
        <v>7</v>
      </c>
      <c r="F4262" s="695" t="s">
        <v>6711</v>
      </c>
      <c r="G4262" s="695">
        <v>8</v>
      </c>
      <c r="H4262" s="695" t="s">
        <v>6674</v>
      </c>
      <c r="I4262" s="695">
        <v>158</v>
      </c>
      <c r="J4262" s="695" t="s">
        <v>7411</v>
      </c>
      <c r="K4262" s="695" t="s">
        <v>5334</v>
      </c>
      <c r="L4262" s="696">
        <v>0</v>
      </c>
      <c r="M4262" s="170"/>
    </row>
    <row r="4263" spans="2:13" x14ac:dyDescent="0.2">
      <c r="B4263" s="173"/>
      <c r="C4263" s="694">
        <v>1</v>
      </c>
      <c r="D4263" s="695" t="s">
        <v>3903</v>
      </c>
      <c r="E4263" s="695">
        <v>7</v>
      </c>
      <c r="F4263" s="695" t="s">
        <v>6711</v>
      </c>
      <c r="G4263" s="695">
        <v>8</v>
      </c>
      <c r="H4263" s="695" t="s">
        <v>6674</v>
      </c>
      <c r="I4263" s="695">
        <v>159</v>
      </c>
      <c r="J4263" s="695" t="s">
        <v>7412</v>
      </c>
      <c r="K4263" s="695" t="s">
        <v>5334</v>
      </c>
      <c r="L4263" s="696">
        <v>0</v>
      </c>
      <c r="M4263" s="170"/>
    </row>
    <row r="4264" spans="2:13" x14ac:dyDescent="0.2">
      <c r="B4264" s="173"/>
      <c r="C4264" s="694">
        <v>1</v>
      </c>
      <c r="D4264" s="695" t="s">
        <v>3903</v>
      </c>
      <c r="E4264" s="695">
        <v>7</v>
      </c>
      <c r="F4264" s="695" t="s">
        <v>6711</v>
      </c>
      <c r="G4264" s="695">
        <v>8</v>
      </c>
      <c r="H4264" s="695" t="s">
        <v>6674</v>
      </c>
      <c r="I4264" s="695">
        <v>160</v>
      </c>
      <c r="J4264" s="695" t="s">
        <v>7413</v>
      </c>
      <c r="K4264" s="695" t="s">
        <v>5334</v>
      </c>
      <c r="L4264" s="696">
        <v>0</v>
      </c>
      <c r="M4264" s="170"/>
    </row>
    <row r="4265" spans="2:13" x14ac:dyDescent="0.2">
      <c r="B4265" s="173"/>
      <c r="C4265" s="694">
        <v>1</v>
      </c>
      <c r="D4265" s="695" t="s">
        <v>3903</v>
      </c>
      <c r="E4265" s="695">
        <v>7</v>
      </c>
      <c r="F4265" s="695" t="s">
        <v>6711</v>
      </c>
      <c r="G4265" s="695">
        <v>8</v>
      </c>
      <c r="H4265" s="695" t="s">
        <v>6674</v>
      </c>
      <c r="I4265" s="695">
        <v>161</v>
      </c>
      <c r="J4265" s="695" t="s">
        <v>7414</v>
      </c>
      <c r="K4265" s="695" t="s">
        <v>5334</v>
      </c>
      <c r="L4265" s="696">
        <v>0</v>
      </c>
      <c r="M4265" s="170"/>
    </row>
    <row r="4266" spans="2:13" x14ac:dyDescent="0.2">
      <c r="B4266" s="173"/>
      <c r="C4266" s="694">
        <v>1</v>
      </c>
      <c r="D4266" s="695" t="s">
        <v>3903</v>
      </c>
      <c r="E4266" s="695">
        <v>7</v>
      </c>
      <c r="F4266" s="695" t="s">
        <v>6711</v>
      </c>
      <c r="G4266" s="695">
        <v>8</v>
      </c>
      <c r="H4266" s="695" t="s">
        <v>6674</v>
      </c>
      <c r="I4266" s="695">
        <v>162</v>
      </c>
      <c r="J4266" s="695" t="s">
        <v>7415</v>
      </c>
      <c r="K4266" s="695" t="s">
        <v>5334</v>
      </c>
      <c r="L4266" s="696">
        <v>0</v>
      </c>
      <c r="M4266" s="170"/>
    </row>
    <row r="4267" spans="2:13" x14ac:dyDescent="0.2">
      <c r="B4267" s="173"/>
      <c r="C4267" s="694">
        <v>1</v>
      </c>
      <c r="D4267" s="695" t="s">
        <v>3903</v>
      </c>
      <c r="E4267" s="695">
        <v>7</v>
      </c>
      <c r="F4267" s="695" t="s">
        <v>6711</v>
      </c>
      <c r="G4267" s="695">
        <v>8</v>
      </c>
      <c r="H4267" s="695" t="s">
        <v>6674</v>
      </c>
      <c r="I4267" s="695">
        <v>163</v>
      </c>
      <c r="J4267" s="695" t="s">
        <v>7416</v>
      </c>
      <c r="K4267" s="695" t="s">
        <v>5334</v>
      </c>
      <c r="L4267" s="696">
        <v>0</v>
      </c>
      <c r="M4267" s="170"/>
    </row>
    <row r="4268" spans="2:13" x14ac:dyDescent="0.2">
      <c r="B4268" s="173"/>
      <c r="C4268" s="694">
        <v>1</v>
      </c>
      <c r="D4268" s="695" t="s">
        <v>3903</v>
      </c>
      <c r="E4268" s="695">
        <v>7</v>
      </c>
      <c r="F4268" s="695" t="s">
        <v>6711</v>
      </c>
      <c r="G4268" s="695">
        <v>8</v>
      </c>
      <c r="H4268" s="695" t="s">
        <v>6674</v>
      </c>
      <c r="I4268" s="695">
        <v>164</v>
      </c>
      <c r="J4268" s="695" t="s">
        <v>7417</v>
      </c>
      <c r="K4268" s="695" t="s">
        <v>5334</v>
      </c>
      <c r="L4268" s="696">
        <v>0</v>
      </c>
      <c r="M4268" s="170"/>
    </row>
    <row r="4269" spans="2:13" x14ac:dyDescent="0.2">
      <c r="B4269" s="173"/>
      <c r="C4269" s="694">
        <v>1</v>
      </c>
      <c r="D4269" s="695" t="s">
        <v>3903</v>
      </c>
      <c r="E4269" s="695">
        <v>7</v>
      </c>
      <c r="F4269" s="695" t="s">
        <v>6711</v>
      </c>
      <c r="G4269" s="695">
        <v>8</v>
      </c>
      <c r="H4269" s="695" t="s">
        <v>6674</v>
      </c>
      <c r="I4269" s="695">
        <v>165</v>
      </c>
      <c r="J4269" s="695" t="s">
        <v>7418</v>
      </c>
      <c r="K4269" s="695" t="s">
        <v>5334</v>
      </c>
      <c r="L4269" s="696">
        <v>0</v>
      </c>
      <c r="M4269" s="170"/>
    </row>
    <row r="4270" spans="2:13" x14ac:dyDescent="0.2">
      <c r="B4270" s="173"/>
      <c r="C4270" s="694">
        <v>1</v>
      </c>
      <c r="D4270" s="695" t="s">
        <v>3903</v>
      </c>
      <c r="E4270" s="695">
        <v>7</v>
      </c>
      <c r="F4270" s="695" t="s">
        <v>6711</v>
      </c>
      <c r="G4270" s="695">
        <v>8</v>
      </c>
      <c r="H4270" s="695" t="s">
        <v>6674</v>
      </c>
      <c r="I4270" s="695">
        <v>166</v>
      </c>
      <c r="J4270" s="695" t="s">
        <v>7419</v>
      </c>
      <c r="K4270" s="695" t="s">
        <v>5334</v>
      </c>
      <c r="L4270" s="696">
        <v>0</v>
      </c>
      <c r="M4270" s="170"/>
    </row>
    <row r="4271" spans="2:13" x14ac:dyDescent="0.2">
      <c r="B4271" s="173"/>
      <c r="C4271" s="694">
        <v>1</v>
      </c>
      <c r="D4271" s="695" t="s">
        <v>3903</v>
      </c>
      <c r="E4271" s="695">
        <v>7</v>
      </c>
      <c r="F4271" s="695" t="s">
        <v>6711</v>
      </c>
      <c r="G4271" s="695">
        <v>8</v>
      </c>
      <c r="H4271" s="695" t="s">
        <v>6674</v>
      </c>
      <c r="I4271" s="695">
        <v>167</v>
      </c>
      <c r="J4271" s="695" t="s">
        <v>7420</v>
      </c>
      <c r="K4271" s="695" t="s">
        <v>5334</v>
      </c>
      <c r="L4271" s="696">
        <v>0</v>
      </c>
      <c r="M4271" s="170"/>
    </row>
    <row r="4272" spans="2:13" x14ac:dyDescent="0.2">
      <c r="B4272" s="173"/>
      <c r="C4272" s="694">
        <v>1</v>
      </c>
      <c r="D4272" s="695" t="s">
        <v>3903</v>
      </c>
      <c r="E4272" s="695">
        <v>7</v>
      </c>
      <c r="F4272" s="695" t="s">
        <v>6711</v>
      </c>
      <c r="G4272" s="695">
        <v>8</v>
      </c>
      <c r="H4272" s="695" t="s">
        <v>6674</v>
      </c>
      <c r="I4272" s="695">
        <v>168</v>
      </c>
      <c r="J4272" s="695" t="s">
        <v>7421</v>
      </c>
      <c r="K4272" s="695" t="s">
        <v>5334</v>
      </c>
      <c r="L4272" s="696">
        <v>0</v>
      </c>
      <c r="M4272" s="170"/>
    </row>
    <row r="4273" spans="2:13" x14ac:dyDescent="0.2">
      <c r="B4273" s="173"/>
      <c r="C4273" s="694">
        <v>1</v>
      </c>
      <c r="D4273" s="695" t="s">
        <v>3903</v>
      </c>
      <c r="E4273" s="695">
        <v>7</v>
      </c>
      <c r="F4273" s="695" t="s">
        <v>6711</v>
      </c>
      <c r="G4273" s="695">
        <v>8</v>
      </c>
      <c r="H4273" s="695" t="s">
        <v>6674</v>
      </c>
      <c r="I4273" s="695">
        <v>169</v>
      </c>
      <c r="J4273" s="695" t="s">
        <v>7422</v>
      </c>
      <c r="K4273" s="695" t="s">
        <v>5334</v>
      </c>
      <c r="L4273" s="696">
        <v>0</v>
      </c>
      <c r="M4273" s="170"/>
    </row>
    <row r="4274" spans="2:13" x14ac:dyDescent="0.2">
      <c r="B4274" s="173"/>
      <c r="C4274" s="694">
        <v>1</v>
      </c>
      <c r="D4274" s="695" t="s">
        <v>3903</v>
      </c>
      <c r="E4274" s="695">
        <v>7</v>
      </c>
      <c r="F4274" s="695" t="s">
        <v>6711</v>
      </c>
      <c r="G4274" s="695">
        <v>8</v>
      </c>
      <c r="H4274" s="695" t="s">
        <v>6674</v>
      </c>
      <c r="I4274" s="695">
        <v>170</v>
      </c>
      <c r="J4274" s="695" t="s">
        <v>7423</v>
      </c>
      <c r="K4274" s="695" t="s">
        <v>5334</v>
      </c>
      <c r="L4274" s="696">
        <v>0</v>
      </c>
      <c r="M4274" s="170"/>
    </row>
    <row r="4275" spans="2:13" x14ac:dyDescent="0.2">
      <c r="B4275" s="173"/>
      <c r="C4275" s="694">
        <v>1</v>
      </c>
      <c r="D4275" s="695" t="s">
        <v>3903</v>
      </c>
      <c r="E4275" s="695">
        <v>7</v>
      </c>
      <c r="F4275" s="695" t="s">
        <v>6711</v>
      </c>
      <c r="G4275" s="695">
        <v>8</v>
      </c>
      <c r="H4275" s="695" t="s">
        <v>6674</v>
      </c>
      <c r="I4275" s="695">
        <v>171</v>
      </c>
      <c r="J4275" s="695" t="s">
        <v>7424</v>
      </c>
      <c r="K4275" s="695" t="s">
        <v>5334</v>
      </c>
      <c r="L4275" s="696">
        <v>0</v>
      </c>
      <c r="M4275" s="170"/>
    </row>
    <row r="4276" spans="2:13" x14ac:dyDescent="0.2">
      <c r="B4276" s="173"/>
      <c r="C4276" s="694">
        <v>1</v>
      </c>
      <c r="D4276" s="695" t="s">
        <v>3903</v>
      </c>
      <c r="E4276" s="695">
        <v>7</v>
      </c>
      <c r="F4276" s="695" t="s">
        <v>6711</v>
      </c>
      <c r="G4276" s="695">
        <v>8</v>
      </c>
      <c r="H4276" s="695" t="s">
        <v>6674</v>
      </c>
      <c r="I4276" s="695">
        <v>172</v>
      </c>
      <c r="J4276" s="695" t="s">
        <v>7425</v>
      </c>
      <c r="K4276" s="695" t="s">
        <v>5334</v>
      </c>
      <c r="L4276" s="696">
        <v>10</v>
      </c>
      <c r="M4276" s="170"/>
    </row>
    <row r="4277" spans="2:13" x14ac:dyDescent="0.2">
      <c r="B4277" s="173"/>
      <c r="C4277" s="694">
        <v>1</v>
      </c>
      <c r="D4277" s="695" t="s">
        <v>3903</v>
      </c>
      <c r="E4277" s="695">
        <v>7</v>
      </c>
      <c r="F4277" s="695" t="s">
        <v>6711</v>
      </c>
      <c r="G4277" s="695">
        <v>8</v>
      </c>
      <c r="H4277" s="695" t="s">
        <v>6674</v>
      </c>
      <c r="I4277" s="695">
        <v>173</v>
      </c>
      <c r="J4277" s="695" t="s">
        <v>7426</v>
      </c>
      <c r="K4277" s="695" t="s">
        <v>5334</v>
      </c>
      <c r="L4277" s="696">
        <v>0</v>
      </c>
      <c r="M4277" s="170"/>
    </row>
    <row r="4278" spans="2:13" x14ac:dyDescent="0.2">
      <c r="B4278" s="173"/>
      <c r="C4278" s="694">
        <v>1</v>
      </c>
      <c r="D4278" s="695" t="s">
        <v>3903</v>
      </c>
      <c r="E4278" s="695">
        <v>7</v>
      </c>
      <c r="F4278" s="695" t="s">
        <v>6711</v>
      </c>
      <c r="G4278" s="695">
        <v>8</v>
      </c>
      <c r="H4278" s="695" t="s">
        <v>6674</v>
      </c>
      <c r="I4278" s="695">
        <v>174</v>
      </c>
      <c r="J4278" s="695" t="s">
        <v>7427</v>
      </c>
      <c r="K4278" s="695" t="s">
        <v>5334</v>
      </c>
      <c r="L4278" s="696">
        <v>0</v>
      </c>
      <c r="M4278" s="170"/>
    </row>
    <row r="4279" spans="2:13" x14ac:dyDescent="0.2">
      <c r="B4279" s="173"/>
      <c r="C4279" s="694">
        <v>1</v>
      </c>
      <c r="D4279" s="695" t="s">
        <v>3903</v>
      </c>
      <c r="E4279" s="695">
        <v>7</v>
      </c>
      <c r="F4279" s="695" t="s">
        <v>6711</v>
      </c>
      <c r="G4279" s="695">
        <v>8</v>
      </c>
      <c r="H4279" s="695" t="s">
        <v>6674</v>
      </c>
      <c r="I4279" s="695">
        <v>175</v>
      </c>
      <c r="J4279" s="695" t="s">
        <v>7428</v>
      </c>
      <c r="K4279" s="695" t="s">
        <v>5334</v>
      </c>
      <c r="L4279" s="696">
        <v>0</v>
      </c>
      <c r="M4279" s="170"/>
    </row>
    <row r="4280" spans="2:13" x14ac:dyDescent="0.2">
      <c r="B4280" s="173"/>
      <c r="C4280" s="694">
        <v>1</v>
      </c>
      <c r="D4280" s="695" t="s">
        <v>3903</v>
      </c>
      <c r="E4280" s="695">
        <v>7</v>
      </c>
      <c r="F4280" s="695" t="s">
        <v>6711</v>
      </c>
      <c r="G4280" s="695">
        <v>8</v>
      </c>
      <c r="H4280" s="695" t="s">
        <v>6674</v>
      </c>
      <c r="I4280" s="695">
        <v>176</v>
      </c>
      <c r="J4280" s="695" t="s">
        <v>7429</v>
      </c>
      <c r="K4280" s="695" t="s">
        <v>5334</v>
      </c>
      <c r="L4280" s="696">
        <v>0</v>
      </c>
      <c r="M4280" s="170"/>
    </row>
    <row r="4281" spans="2:13" x14ac:dyDescent="0.2">
      <c r="B4281" s="173"/>
      <c r="C4281" s="694">
        <v>1</v>
      </c>
      <c r="D4281" s="695" t="s">
        <v>3903</v>
      </c>
      <c r="E4281" s="695">
        <v>7</v>
      </c>
      <c r="F4281" s="695" t="s">
        <v>6711</v>
      </c>
      <c r="G4281" s="695">
        <v>8</v>
      </c>
      <c r="H4281" s="695" t="s">
        <v>6674</v>
      </c>
      <c r="I4281" s="695">
        <v>177</v>
      </c>
      <c r="J4281" s="695" t="s">
        <v>7430</v>
      </c>
      <c r="K4281" s="695" t="s">
        <v>5334</v>
      </c>
      <c r="L4281" s="696">
        <v>0</v>
      </c>
      <c r="M4281" s="170"/>
    </row>
    <row r="4282" spans="2:13" x14ac:dyDescent="0.2">
      <c r="B4282" s="173"/>
      <c r="C4282" s="694">
        <v>1</v>
      </c>
      <c r="D4282" s="695" t="s">
        <v>3903</v>
      </c>
      <c r="E4282" s="695">
        <v>7</v>
      </c>
      <c r="F4282" s="695" t="s">
        <v>6711</v>
      </c>
      <c r="G4282" s="695">
        <v>8</v>
      </c>
      <c r="H4282" s="695" t="s">
        <v>6674</v>
      </c>
      <c r="I4282" s="695">
        <v>178</v>
      </c>
      <c r="J4282" s="695" t="s">
        <v>7431</v>
      </c>
      <c r="K4282" s="695" t="s">
        <v>5334</v>
      </c>
      <c r="L4282" s="696">
        <v>0</v>
      </c>
      <c r="M4282" s="170"/>
    </row>
    <row r="4283" spans="2:13" x14ac:dyDescent="0.2">
      <c r="B4283" s="173"/>
      <c r="C4283" s="694">
        <v>1</v>
      </c>
      <c r="D4283" s="695" t="s">
        <v>3903</v>
      </c>
      <c r="E4283" s="695">
        <v>7</v>
      </c>
      <c r="F4283" s="695" t="s">
        <v>6711</v>
      </c>
      <c r="G4283" s="695">
        <v>8</v>
      </c>
      <c r="H4283" s="695" t="s">
        <v>6674</v>
      </c>
      <c r="I4283" s="695">
        <v>179</v>
      </c>
      <c r="J4283" s="695" t="s">
        <v>7432</v>
      </c>
      <c r="K4283" s="695" t="s">
        <v>5334</v>
      </c>
      <c r="L4283" s="696">
        <v>0</v>
      </c>
      <c r="M4283" s="170"/>
    </row>
    <row r="4284" spans="2:13" x14ac:dyDescent="0.2">
      <c r="B4284" s="173"/>
      <c r="C4284" s="694">
        <v>1</v>
      </c>
      <c r="D4284" s="695" t="s">
        <v>3903</v>
      </c>
      <c r="E4284" s="695">
        <v>7</v>
      </c>
      <c r="F4284" s="695" t="s">
        <v>6711</v>
      </c>
      <c r="G4284" s="695">
        <v>8</v>
      </c>
      <c r="H4284" s="695" t="s">
        <v>6674</v>
      </c>
      <c r="I4284" s="695">
        <v>180</v>
      </c>
      <c r="J4284" s="695" t="s">
        <v>7433</v>
      </c>
      <c r="K4284" s="695" t="s">
        <v>5334</v>
      </c>
      <c r="L4284" s="696">
        <v>0</v>
      </c>
      <c r="M4284" s="170"/>
    </row>
    <row r="4285" spans="2:13" x14ac:dyDescent="0.2">
      <c r="B4285" s="173"/>
      <c r="C4285" s="694">
        <v>1</v>
      </c>
      <c r="D4285" s="695" t="s">
        <v>3903</v>
      </c>
      <c r="E4285" s="695">
        <v>7</v>
      </c>
      <c r="F4285" s="695" t="s">
        <v>6711</v>
      </c>
      <c r="G4285" s="695">
        <v>8</v>
      </c>
      <c r="H4285" s="695" t="s">
        <v>6674</v>
      </c>
      <c r="I4285" s="695">
        <v>181</v>
      </c>
      <c r="J4285" s="695" t="s">
        <v>7434</v>
      </c>
      <c r="K4285" s="695" t="s">
        <v>5334</v>
      </c>
      <c r="L4285" s="696">
        <v>0</v>
      </c>
      <c r="M4285" s="170"/>
    </row>
    <row r="4286" spans="2:13" x14ac:dyDescent="0.2">
      <c r="B4286" s="173"/>
      <c r="C4286" s="694">
        <v>1</v>
      </c>
      <c r="D4286" s="695" t="s">
        <v>3903</v>
      </c>
      <c r="E4286" s="695">
        <v>7</v>
      </c>
      <c r="F4286" s="695" t="s">
        <v>6711</v>
      </c>
      <c r="G4286" s="695">
        <v>8</v>
      </c>
      <c r="H4286" s="695" t="s">
        <v>6674</v>
      </c>
      <c r="I4286" s="695">
        <v>182</v>
      </c>
      <c r="J4286" s="695" t="s">
        <v>7435</v>
      </c>
      <c r="K4286" s="695" t="s">
        <v>5334</v>
      </c>
      <c r="L4286" s="696">
        <v>0</v>
      </c>
      <c r="M4286" s="170"/>
    </row>
    <row r="4287" spans="2:13" x14ac:dyDescent="0.2">
      <c r="B4287" s="173"/>
      <c r="C4287" s="694">
        <v>1</v>
      </c>
      <c r="D4287" s="695" t="s">
        <v>3903</v>
      </c>
      <c r="E4287" s="695">
        <v>7</v>
      </c>
      <c r="F4287" s="695" t="s">
        <v>6711</v>
      </c>
      <c r="G4287" s="695">
        <v>8</v>
      </c>
      <c r="H4287" s="695" t="s">
        <v>6674</v>
      </c>
      <c r="I4287" s="695">
        <v>183</v>
      </c>
      <c r="J4287" s="695" t="s">
        <v>7436</v>
      </c>
      <c r="K4287" s="695" t="s">
        <v>5334</v>
      </c>
      <c r="L4287" s="696">
        <v>0</v>
      </c>
      <c r="M4287" s="170"/>
    </row>
    <row r="4288" spans="2:13" x14ac:dyDescent="0.2">
      <c r="B4288" s="173"/>
      <c r="C4288" s="694">
        <v>1</v>
      </c>
      <c r="D4288" s="695" t="s">
        <v>3903</v>
      </c>
      <c r="E4288" s="695">
        <v>7</v>
      </c>
      <c r="F4288" s="695" t="s">
        <v>6711</v>
      </c>
      <c r="G4288" s="695">
        <v>8</v>
      </c>
      <c r="H4288" s="695" t="s">
        <v>6674</v>
      </c>
      <c r="I4288" s="695">
        <v>184</v>
      </c>
      <c r="J4288" s="695" t="s">
        <v>7437</v>
      </c>
      <c r="K4288" s="695" t="s">
        <v>5334</v>
      </c>
      <c r="L4288" s="696">
        <v>0</v>
      </c>
      <c r="M4288" s="170"/>
    </row>
    <row r="4289" spans="2:13" x14ac:dyDescent="0.2">
      <c r="B4289" s="173"/>
      <c r="C4289" s="694">
        <v>1</v>
      </c>
      <c r="D4289" s="695" t="s">
        <v>3903</v>
      </c>
      <c r="E4289" s="695">
        <v>7</v>
      </c>
      <c r="F4289" s="695" t="s">
        <v>6711</v>
      </c>
      <c r="G4289" s="695">
        <v>8</v>
      </c>
      <c r="H4289" s="695" t="s">
        <v>6674</v>
      </c>
      <c r="I4289" s="695">
        <v>185</v>
      </c>
      <c r="J4289" s="695" t="s">
        <v>7438</v>
      </c>
      <c r="K4289" s="695" t="s">
        <v>5334</v>
      </c>
      <c r="L4289" s="696">
        <v>0</v>
      </c>
      <c r="M4289" s="170"/>
    </row>
    <row r="4290" spans="2:13" x14ac:dyDescent="0.2">
      <c r="B4290" s="173"/>
      <c r="C4290" s="694">
        <v>1</v>
      </c>
      <c r="D4290" s="695" t="s">
        <v>3903</v>
      </c>
      <c r="E4290" s="695">
        <v>7</v>
      </c>
      <c r="F4290" s="695" t="s">
        <v>6711</v>
      </c>
      <c r="G4290" s="695">
        <v>8</v>
      </c>
      <c r="H4290" s="695" t="s">
        <v>6674</v>
      </c>
      <c r="I4290" s="695">
        <v>186</v>
      </c>
      <c r="J4290" s="695" t="s">
        <v>7439</v>
      </c>
      <c r="K4290" s="695" t="s">
        <v>5334</v>
      </c>
      <c r="L4290" s="696">
        <v>0</v>
      </c>
      <c r="M4290" s="170"/>
    </row>
    <row r="4291" spans="2:13" x14ac:dyDescent="0.2">
      <c r="B4291" s="173"/>
      <c r="C4291" s="694">
        <v>1</v>
      </c>
      <c r="D4291" s="695" t="s">
        <v>3903</v>
      </c>
      <c r="E4291" s="695">
        <v>7</v>
      </c>
      <c r="F4291" s="695" t="s">
        <v>6711</v>
      </c>
      <c r="G4291" s="695">
        <v>8</v>
      </c>
      <c r="H4291" s="695" t="s">
        <v>6674</v>
      </c>
      <c r="I4291" s="695">
        <v>187</v>
      </c>
      <c r="J4291" s="695" t="s">
        <v>7440</v>
      </c>
      <c r="K4291" s="695" t="s">
        <v>5334</v>
      </c>
      <c r="L4291" s="696">
        <v>4</v>
      </c>
      <c r="M4291" s="170"/>
    </row>
    <row r="4292" spans="2:13" x14ac:dyDescent="0.2">
      <c r="B4292" s="173"/>
      <c r="C4292" s="694">
        <v>1</v>
      </c>
      <c r="D4292" s="695" t="s">
        <v>3903</v>
      </c>
      <c r="E4292" s="695">
        <v>7</v>
      </c>
      <c r="F4292" s="695" t="s">
        <v>6711</v>
      </c>
      <c r="G4292" s="695">
        <v>8</v>
      </c>
      <c r="H4292" s="695" t="s">
        <v>6674</v>
      </c>
      <c r="I4292" s="695">
        <v>188</v>
      </c>
      <c r="J4292" s="695" t="s">
        <v>7441</v>
      </c>
      <c r="K4292" s="695" t="s">
        <v>5334</v>
      </c>
      <c r="L4292" s="696">
        <v>0</v>
      </c>
      <c r="M4292" s="170"/>
    </row>
    <row r="4293" spans="2:13" x14ac:dyDescent="0.2">
      <c r="B4293" s="173"/>
      <c r="C4293" s="694">
        <v>1</v>
      </c>
      <c r="D4293" s="695" t="s">
        <v>3903</v>
      </c>
      <c r="E4293" s="695">
        <v>7</v>
      </c>
      <c r="F4293" s="695" t="s">
        <v>6711</v>
      </c>
      <c r="G4293" s="695">
        <v>8</v>
      </c>
      <c r="H4293" s="695" t="s">
        <v>6674</v>
      </c>
      <c r="I4293" s="695">
        <v>189</v>
      </c>
      <c r="J4293" s="695" t="s">
        <v>7442</v>
      </c>
      <c r="K4293" s="695" t="s">
        <v>5334</v>
      </c>
      <c r="L4293" s="696">
        <v>0</v>
      </c>
      <c r="M4293" s="170"/>
    </row>
    <row r="4294" spans="2:13" x14ac:dyDescent="0.2">
      <c r="B4294" s="173"/>
      <c r="C4294" s="694">
        <v>1</v>
      </c>
      <c r="D4294" s="695" t="s">
        <v>3903</v>
      </c>
      <c r="E4294" s="695">
        <v>7</v>
      </c>
      <c r="F4294" s="695" t="s">
        <v>6711</v>
      </c>
      <c r="G4294" s="695">
        <v>8</v>
      </c>
      <c r="H4294" s="695" t="s">
        <v>6674</v>
      </c>
      <c r="I4294" s="695">
        <v>190</v>
      </c>
      <c r="J4294" s="695" t="s">
        <v>6675</v>
      </c>
      <c r="K4294" s="695" t="s">
        <v>5334</v>
      </c>
      <c r="L4294" s="696">
        <v>87</v>
      </c>
      <c r="M4294" s="170"/>
    </row>
    <row r="4295" spans="2:13" x14ac:dyDescent="0.2">
      <c r="B4295" s="173"/>
      <c r="C4295" s="694">
        <v>1</v>
      </c>
      <c r="D4295" s="695" t="s">
        <v>3903</v>
      </c>
      <c r="E4295" s="695">
        <v>7</v>
      </c>
      <c r="F4295" s="695" t="s">
        <v>6711</v>
      </c>
      <c r="G4295" s="695">
        <v>8</v>
      </c>
      <c r="H4295" s="695" t="s">
        <v>6674</v>
      </c>
      <c r="I4295" s="695">
        <v>191</v>
      </c>
      <c r="J4295" s="695" t="s">
        <v>7443</v>
      </c>
      <c r="K4295" s="695" t="s">
        <v>5334</v>
      </c>
      <c r="L4295" s="696">
        <v>0</v>
      </c>
      <c r="M4295" s="170"/>
    </row>
    <row r="4296" spans="2:13" x14ac:dyDescent="0.2">
      <c r="B4296" s="173"/>
      <c r="C4296" s="694">
        <v>1</v>
      </c>
      <c r="D4296" s="695" t="s">
        <v>3903</v>
      </c>
      <c r="E4296" s="695">
        <v>7</v>
      </c>
      <c r="F4296" s="695" t="s">
        <v>6711</v>
      </c>
      <c r="G4296" s="695">
        <v>8</v>
      </c>
      <c r="H4296" s="695" t="s">
        <v>6674</v>
      </c>
      <c r="I4296" s="695">
        <v>192</v>
      </c>
      <c r="J4296" s="695" t="s">
        <v>7444</v>
      </c>
      <c r="K4296" s="695" t="s">
        <v>5334</v>
      </c>
      <c r="L4296" s="696">
        <v>0</v>
      </c>
      <c r="M4296" s="170"/>
    </row>
    <row r="4297" spans="2:13" x14ac:dyDescent="0.2">
      <c r="B4297" s="173"/>
      <c r="C4297" s="694">
        <v>1</v>
      </c>
      <c r="D4297" s="695" t="s">
        <v>3903</v>
      </c>
      <c r="E4297" s="695">
        <v>7</v>
      </c>
      <c r="F4297" s="695" t="s">
        <v>6711</v>
      </c>
      <c r="G4297" s="695">
        <v>8</v>
      </c>
      <c r="H4297" s="695" t="s">
        <v>6674</v>
      </c>
      <c r="I4297" s="695">
        <v>193</v>
      </c>
      <c r="J4297" s="695" t="s">
        <v>7445</v>
      </c>
      <c r="K4297" s="695" t="s">
        <v>5334</v>
      </c>
      <c r="L4297" s="696">
        <v>0</v>
      </c>
      <c r="M4297" s="170"/>
    </row>
    <row r="4298" spans="2:13" x14ac:dyDescent="0.2">
      <c r="B4298" s="173"/>
      <c r="C4298" s="694">
        <v>1</v>
      </c>
      <c r="D4298" s="695" t="s">
        <v>3903</v>
      </c>
      <c r="E4298" s="695">
        <v>7</v>
      </c>
      <c r="F4298" s="695" t="s">
        <v>6711</v>
      </c>
      <c r="G4298" s="695">
        <v>8</v>
      </c>
      <c r="H4298" s="695" t="s">
        <v>6674</v>
      </c>
      <c r="I4298" s="695">
        <v>194</v>
      </c>
      <c r="J4298" s="695" t="s">
        <v>7446</v>
      </c>
      <c r="K4298" s="695" t="s">
        <v>5334</v>
      </c>
      <c r="L4298" s="696">
        <v>0</v>
      </c>
      <c r="M4298" s="170"/>
    </row>
    <row r="4299" spans="2:13" x14ac:dyDescent="0.2">
      <c r="B4299" s="173"/>
      <c r="C4299" s="694">
        <v>1</v>
      </c>
      <c r="D4299" s="695" t="s">
        <v>3903</v>
      </c>
      <c r="E4299" s="695">
        <v>7</v>
      </c>
      <c r="F4299" s="695" t="s">
        <v>6711</v>
      </c>
      <c r="G4299" s="695">
        <v>8</v>
      </c>
      <c r="H4299" s="695" t="s">
        <v>6674</v>
      </c>
      <c r="I4299" s="695">
        <v>195</v>
      </c>
      <c r="J4299" s="695" t="s">
        <v>7447</v>
      </c>
      <c r="K4299" s="695" t="s">
        <v>5334</v>
      </c>
      <c r="L4299" s="696">
        <v>3</v>
      </c>
      <c r="M4299" s="170"/>
    </row>
    <row r="4300" spans="2:13" x14ac:dyDescent="0.2">
      <c r="B4300" s="173"/>
      <c r="C4300" s="694">
        <v>1</v>
      </c>
      <c r="D4300" s="695" t="s">
        <v>3903</v>
      </c>
      <c r="E4300" s="695">
        <v>7</v>
      </c>
      <c r="F4300" s="695" t="s">
        <v>6711</v>
      </c>
      <c r="G4300" s="695">
        <v>8</v>
      </c>
      <c r="H4300" s="695" t="s">
        <v>6674</v>
      </c>
      <c r="I4300" s="695">
        <v>196</v>
      </c>
      <c r="J4300" s="695" t="s">
        <v>7448</v>
      </c>
      <c r="K4300" s="695" t="s">
        <v>5334</v>
      </c>
      <c r="L4300" s="696">
        <v>8</v>
      </c>
      <c r="M4300" s="170"/>
    </row>
    <row r="4301" spans="2:13" x14ac:dyDescent="0.2">
      <c r="B4301" s="173"/>
      <c r="C4301" s="694">
        <v>1</v>
      </c>
      <c r="D4301" s="695" t="s">
        <v>3903</v>
      </c>
      <c r="E4301" s="695">
        <v>7</v>
      </c>
      <c r="F4301" s="695" t="s">
        <v>6711</v>
      </c>
      <c r="G4301" s="695">
        <v>8</v>
      </c>
      <c r="H4301" s="695" t="s">
        <v>6674</v>
      </c>
      <c r="I4301" s="695">
        <v>197</v>
      </c>
      <c r="J4301" s="695" t="s">
        <v>7449</v>
      </c>
      <c r="K4301" s="695" t="s">
        <v>5334</v>
      </c>
      <c r="L4301" s="696">
        <v>0</v>
      </c>
      <c r="M4301" s="170"/>
    </row>
    <row r="4302" spans="2:13" x14ac:dyDescent="0.2">
      <c r="B4302" s="173"/>
      <c r="C4302" s="694">
        <v>1</v>
      </c>
      <c r="D4302" s="695" t="s">
        <v>3903</v>
      </c>
      <c r="E4302" s="695">
        <v>7</v>
      </c>
      <c r="F4302" s="695" t="s">
        <v>6711</v>
      </c>
      <c r="G4302" s="695">
        <v>8</v>
      </c>
      <c r="H4302" s="695" t="s">
        <v>6674</v>
      </c>
      <c r="I4302" s="695">
        <v>198</v>
      </c>
      <c r="J4302" s="695" t="s">
        <v>7450</v>
      </c>
      <c r="K4302" s="695" t="s">
        <v>5334</v>
      </c>
      <c r="L4302" s="696">
        <v>0</v>
      </c>
      <c r="M4302" s="170"/>
    </row>
    <row r="4303" spans="2:13" x14ac:dyDescent="0.2">
      <c r="B4303" s="173"/>
      <c r="C4303" s="694">
        <v>1</v>
      </c>
      <c r="D4303" s="695" t="s">
        <v>3903</v>
      </c>
      <c r="E4303" s="695">
        <v>7</v>
      </c>
      <c r="F4303" s="695" t="s">
        <v>6711</v>
      </c>
      <c r="G4303" s="695">
        <v>8</v>
      </c>
      <c r="H4303" s="695" t="s">
        <v>6674</v>
      </c>
      <c r="I4303" s="695">
        <v>199</v>
      </c>
      <c r="J4303" s="695" t="s">
        <v>7451</v>
      </c>
      <c r="K4303" s="695" t="s">
        <v>5334</v>
      </c>
      <c r="L4303" s="696">
        <v>0</v>
      </c>
      <c r="M4303" s="170"/>
    </row>
    <row r="4304" spans="2:13" x14ac:dyDescent="0.2">
      <c r="B4304" s="173"/>
      <c r="C4304" s="694">
        <v>1</v>
      </c>
      <c r="D4304" s="695" t="s">
        <v>3903</v>
      </c>
      <c r="E4304" s="695">
        <v>7</v>
      </c>
      <c r="F4304" s="695" t="s">
        <v>6711</v>
      </c>
      <c r="G4304" s="695">
        <v>8</v>
      </c>
      <c r="H4304" s="695" t="s">
        <v>6674</v>
      </c>
      <c r="I4304" s="695">
        <v>200</v>
      </c>
      <c r="J4304" s="695" t="s">
        <v>7452</v>
      </c>
      <c r="K4304" s="695" t="s">
        <v>5334</v>
      </c>
      <c r="L4304" s="696">
        <v>0</v>
      </c>
      <c r="M4304" s="170"/>
    </row>
    <row r="4305" spans="2:13" x14ac:dyDescent="0.2">
      <c r="B4305" s="173"/>
      <c r="C4305" s="694">
        <v>1</v>
      </c>
      <c r="D4305" s="695" t="s">
        <v>3903</v>
      </c>
      <c r="E4305" s="695">
        <v>7</v>
      </c>
      <c r="F4305" s="695" t="s">
        <v>6711</v>
      </c>
      <c r="G4305" s="695">
        <v>8</v>
      </c>
      <c r="H4305" s="695" t="s">
        <v>6674</v>
      </c>
      <c r="I4305" s="695">
        <v>201</v>
      </c>
      <c r="J4305" s="695" t="s">
        <v>7453</v>
      </c>
      <c r="K4305" s="695" t="s">
        <v>5334</v>
      </c>
      <c r="L4305" s="696">
        <v>0</v>
      </c>
      <c r="M4305" s="170"/>
    </row>
    <row r="4306" spans="2:13" x14ac:dyDescent="0.2">
      <c r="B4306" s="173"/>
      <c r="C4306" s="694">
        <v>1</v>
      </c>
      <c r="D4306" s="695" t="s">
        <v>3903</v>
      </c>
      <c r="E4306" s="695">
        <v>7</v>
      </c>
      <c r="F4306" s="695" t="s">
        <v>6711</v>
      </c>
      <c r="G4306" s="695">
        <v>8</v>
      </c>
      <c r="H4306" s="695" t="s">
        <v>6674</v>
      </c>
      <c r="I4306" s="695">
        <v>202</v>
      </c>
      <c r="J4306" s="695" t="s">
        <v>7454</v>
      </c>
      <c r="K4306" s="695" t="s">
        <v>5334</v>
      </c>
      <c r="L4306" s="696">
        <v>0</v>
      </c>
      <c r="M4306" s="170"/>
    </row>
    <row r="4307" spans="2:13" x14ac:dyDescent="0.2">
      <c r="B4307" s="173"/>
      <c r="C4307" s="694">
        <v>1</v>
      </c>
      <c r="D4307" s="695" t="s">
        <v>3903</v>
      </c>
      <c r="E4307" s="695">
        <v>7</v>
      </c>
      <c r="F4307" s="695" t="s">
        <v>6711</v>
      </c>
      <c r="G4307" s="695">
        <v>8</v>
      </c>
      <c r="H4307" s="695" t="s">
        <v>6674</v>
      </c>
      <c r="I4307" s="695">
        <v>203</v>
      </c>
      <c r="J4307" s="695" t="s">
        <v>7455</v>
      </c>
      <c r="K4307" s="695" t="s">
        <v>5334</v>
      </c>
      <c r="L4307" s="696">
        <v>0</v>
      </c>
      <c r="M4307" s="170"/>
    </row>
    <row r="4308" spans="2:13" x14ac:dyDescent="0.2">
      <c r="B4308" s="173"/>
      <c r="C4308" s="694">
        <v>1</v>
      </c>
      <c r="D4308" s="695" t="s">
        <v>3903</v>
      </c>
      <c r="E4308" s="695">
        <v>7</v>
      </c>
      <c r="F4308" s="695" t="s">
        <v>6711</v>
      </c>
      <c r="G4308" s="695">
        <v>8</v>
      </c>
      <c r="H4308" s="695" t="s">
        <v>6674</v>
      </c>
      <c r="I4308" s="695">
        <v>204</v>
      </c>
      <c r="J4308" s="695" t="s">
        <v>9186</v>
      </c>
      <c r="K4308" s="695" t="s">
        <v>8544</v>
      </c>
      <c r="L4308" s="696">
        <v>0</v>
      </c>
      <c r="M4308" s="170"/>
    </row>
    <row r="4309" spans="2:13" x14ac:dyDescent="0.2">
      <c r="B4309" s="173"/>
      <c r="C4309" s="694">
        <v>1</v>
      </c>
      <c r="D4309" s="695" t="s">
        <v>3903</v>
      </c>
      <c r="E4309" s="695">
        <v>7</v>
      </c>
      <c r="F4309" s="695" t="s">
        <v>6711</v>
      </c>
      <c r="G4309" s="695">
        <v>8</v>
      </c>
      <c r="H4309" s="695" t="s">
        <v>6674</v>
      </c>
      <c r="I4309" s="695">
        <v>205</v>
      </c>
      <c r="J4309" s="695" t="s">
        <v>9187</v>
      </c>
      <c r="K4309" s="695" t="s">
        <v>4057</v>
      </c>
      <c r="L4309" s="696">
        <v>0</v>
      </c>
      <c r="M4309" s="170"/>
    </row>
    <row r="4310" spans="2:13" x14ac:dyDescent="0.2">
      <c r="B4310" s="173"/>
      <c r="C4310" s="694">
        <v>1</v>
      </c>
      <c r="D4310" s="695" t="s">
        <v>3903</v>
      </c>
      <c r="E4310" s="695">
        <v>7</v>
      </c>
      <c r="F4310" s="695" t="s">
        <v>6711</v>
      </c>
      <c r="G4310" s="695">
        <v>8</v>
      </c>
      <c r="H4310" s="695" t="s">
        <v>6674</v>
      </c>
      <c r="I4310" s="695">
        <v>206</v>
      </c>
      <c r="J4310" s="695" t="s">
        <v>9188</v>
      </c>
      <c r="K4310" s="695" t="s">
        <v>5334</v>
      </c>
      <c r="L4310" s="696">
        <v>0</v>
      </c>
      <c r="M4310" s="170"/>
    </row>
    <row r="4311" spans="2:13" x14ac:dyDescent="0.2">
      <c r="B4311" s="173"/>
      <c r="C4311" s="694">
        <v>1</v>
      </c>
      <c r="D4311" s="695" t="s">
        <v>3903</v>
      </c>
      <c r="E4311" s="695">
        <v>7</v>
      </c>
      <c r="F4311" s="695" t="s">
        <v>6711</v>
      </c>
      <c r="G4311" s="695">
        <v>8</v>
      </c>
      <c r="H4311" s="695" t="s">
        <v>6674</v>
      </c>
      <c r="I4311" s="695">
        <v>207</v>
      </c>
      <c r="J4311" s="695" t="s">
        <v>9189</v>
      </c>
      <c r="K4311" s="695" t="s">
        <v>5334</v>
      </c>
      <c r="L4311" s="696">
        <v>0</v>
      </c>
      <c r="M4311" s="170"/>
    </row>
    <row r="4312" spans="2:13" x14ac:dyDescent="0.2">
      <c r="B4312" s="173"/>
      <c r="C4312" s="694">
        <v>1</v>
      </c>
      <c r="D4312" s="695" t="s">
        <v>3903</v>
      </c>
      <c r="E4312" s="695">
        <v>7</v>
      </c>
      <c r="F4312" s="695" t="s">
        <v>6711</v>
      </c>
      <c r="G4312" s="695">
        <v>9</v>
      </c>
      <c r="H4312" s="695" t="s">
        <v>6676</v>
      </c>
      <c r="I4312" s="695">
        <v>1</v>
      </c>
      <c r="J4312" s="695" t="s">
        <v>7456</v>
      </c>
      <c r="K4312" s="695" t="s">
        <v>5334</v>
      </c>
      <c r="L4312" s="696">
        <v>5</v>
      </c>
      <c r="M4312" s="170"/>
    </row>
    <row r="4313" spans="2:13" x14ac:dyDescent="0.2">
      <c r="B4313" s="173"/>
      <c r="C4313" s="694">
        <v>1</v>
      </c>
      <c r="D4313" s="695" t="s">
        <v>3903</v>
      </c>
      <c r="E4313" s="695">
        <v>7</v>
      </c>
      <c r="F4313" s="695" t="s">
        <v>6711</v>
      </c>
      <c r="G4313" s="695">
        <v>9</v>
      </c>
      <c r="H4313" s="695" t="s">
        <v>6676</v>
      </c>
      <c r="I4313" s="695">
        <v>2</v>
      </c>
      <c r="J4313" s="695" t="s">
        <v>7457</v>
      </c>
      <c r="K4313" s="695" t="s">
        <v>5334</v>
      </c>
      <c r="L4313" s="696">
        <v>0</v>
      </c>
      <c r="M4313" s="170"/>
    </row>
    <row r="4314" spans="2:13" x14ac:dyDescent="0.2">
      <c r="B4314" s="173"/>
      <c r="C4314" s="694">
        <v>1</v>
      </c>
      <c r="D4314" s="695" t="s">
        <v>3903</v>
      </c>
      <c r="E4314" s="695">
        <v>7</v>
      </c>
      <c r="F4314" s="695" t="s">
        <v>6711</v>
      </c>
      <c r="G4314" s="695">
        <v>9</v>
      </c>
      <c r="H4314" s="695" t="s">
        <v>6676</v>
      </c>
      <c r="I4314" s="695">
        <v>3</v>
      </c>
      <c r="J4314" s="695" t="s">
        <v>7458</v>
      </c>
      <c r="K4314" s="695" t="s">
        <v>5334</v>
      </c>
      <c r="L4314" s="696">
        <v>0</v>
      </c>
      <c r="M4314" s="170"/>
    </row>
    <row r="4315" spans="2:13" x14ac:dyDescent="0.2">
      <c r="B4315" s="173"/>
      <c r="C4315" s="694">
        <v>1</v>
      </c>
      <c r="D4315" s="695" t="s">
        <v>3903</v>
      </c>
      <c r="E4315" s="695">
        <v>7</v>
      </c>
      <c r="F4315" s="695" t="s">
        <v>6711</v>
      </c>
      <c r="G4315" s="695">
        <v>9</v>
      </c>
      <c r="H4315" s="695" t="s">
        <v>6676</v>
      </c>
      <c r="I4315" s="695">
        <v>4</v>
      </c>
      <c r="J4315" s="695" t="s">
        <v>7459</v>
      </c>
      <c r="K4315" s="695" t="s">
        <v>5334</v>
      </c>
      <c r="L4315" s="696">
        <v>0</v>
      </c>
      <c r="M4315" s="170"/>
    </row>
    <row r="4316" spans="2:13" x14ac:dyDescent="0.2">
      <c r="B4316" s="173"/>
      <c r="C4316" s="694">
        <v>1</v>
      </c>
      <c r="D4316" s="695" t="s">
        <v>3903</v>
      </c>
      <c r="E4316" s="695">
        <v>7</v>
      </c>
      <c r="F4316" s="695" t="s">
        <v>6711</v>
      </c>
      <c r="G4316" s="695">
        <v>9</v>
      </c>
      <c r="H4316" s="695" t="s">
        <v>6676</v>
      </c>
      <c r="I4316" s="695">
        <v>5</v>
      </c>
      <c r="J4316" s="695" t="s">
        <v>7460</v>
      </c>
      <c r="K4316" s="695" t="s">
        <v>5334</v>
      </c>
      <c r="L4316" s="696">
        <v>0</v>
      </c>
      <c r="M4316" s="170"/>
    </row>
    <row r="4317" spans="2:13" x14ac:dyDescent="0.2">
      <c r="B4317" s="173"/>
      <c r="C4317" s="694">
        <v>1</v>
      </c>
      <c r="D4317" s="695" t="s">
        <v>3903</v>
      </c>
      <c r="E4317" s="695">
        <v>7</v>
      </c>
      <c r="F4317" s="695" t="s">
        <v>6711</v>
      </c>
      <c r="G4317" s="695">
        <v>9</v>
      </c>
      <c r="H4317" s="695" t="s">
        <v>6676</v>
      </c>
      <c r="I4317" s="695">
        <v>6</v>
      </c>
      <c r="J4317" s="695" t="s">
        <v>7461</v>
      </c>
      <c r="K4317" s="695" t="s">
        <v>5334</v>
      </c>
      <c r="L4317" s="696">
        <v>0</v>
      </c>
      <c r="M4317" s="170"/>
    </row>
    <row r="4318" spans="2:13" x14ac:dyDescent="0.2">
      <c r="B4318" s="173"/>
      <c r="C4318" s="694">
        <v>1</v>
      </c>
      <c r="D4318" s="695" t="s">
        <v>3903</v>
      </c>
      <c r="E4318" s="695">
        <v>7</v>
      </c>
      <c r="F4318" s="695" t="s">
        <v>6711</v>
      </c>
      <c r="G4318" s="695">
        <v>9</v>
      </c>
      <c r="H4318" s="695" t="s">
        <v>6676</v>
      </c>
      <c r="I4318" s="695">
        <v>7</v>
      </c>
      <c r="J4318" s="695" t="s">
        <v>7462</v>
      </c>
      <c r="K4318" s="695" t="s">
        <v>5334</v>
      </c>
      <c r="L4318" s="696">
        <v>1</v>
      </c>
      <c r="M4318" s="170"/>
    </row>
    <row r="4319" spans="2:13" x14ac:dyDescent="0.2">
      <c r="B4319" s="173"/>
      <c r="C4319" s="694">
        <v>1</v>
      </c>
      <c r="D4319" s="695" t="s">
        <v>3903</v>
      </c>
      <c r="E4319" s="695">
        <v>7</v>
      </c>
      <c r="F4319" s="695" t="s">
        <v>6711</v>
      </c>
      <c r="G4319" s="695">
        <v>9</v>
      </c>
      <c r="H4319" s="695" t="s">
        <v>6676</v>
      </c>
      <c r="I4319" s="695">
        <v>8</v>
      </c>
      <c r="J4319" s="695" t="s">
        <v>7463</v>
      </c>
      <c r="K4319" s="695" t="s">
        <v>5334</v>
      </c>
      <c r="L4319" s="696">
        <v>0</v>
      </c>
      <c r="M4319" s="170"/>
    </row>
    <row r="4320" spans="2:13" x14ac:dyDescent="0.2">
      <c r="B4320" s="173"/>
      <c r="C4320" s="694">
        <v>1</v>
      </c>
      <c r="D4320" s="695" t="s">
        <v>3903</v>
      </c>
      <c r="E4320" s="695">
        <v>7</v>
      </c>
      <c r="F4320" s="695" t="s">
        <v>6711</v>
      </c>
      <c r="G4320" s="695">
        <v>9</v>
      </c>
      <c r="H4320" s="695" t="s">
        <v>6676</v>
      </c>
      <c r="I4320" s="695">
        <v>9</v>
      </c>
      <c r="J4320" s="695" t="s">
        <v>7464</v>
      </c>
      <c r="K4320" s="695" t="s">
        <v>5334</v>
      </c>
      <c r="L4320" s="696">
        <v>0</v>
      </c>
      <c r="M4320" s="170"/>
    </row>
    <row r="4321" spans="2:13" x14ac:dyDescent="0.2">
      <c r="B4321" s="173"/>
      <c r="C4321" s="694">
        <v>1</v>
      </c>
      <c r="D4321" s="695" t="s">
        <v>3903</v>
      </c>
      <c r="E4321" s="695">
        <v>7</v>
      </c>
      <c r="F4321" s="695" t="s">
        <v>6711</v>
      </c>
      <c r="G4321" s="695">
        <v>9</v>
      </c>
      <c r="H4321" s="695" t="s">
        <v>6676</v>
      </c>
      <c r="I4321" s="695">
        <v>18</v>
      </c>
      <c r="J4321" s="695" t="s">
        <v>4765</v>
      </c>
      <c r="K4321" s="695" t="s">
        <v>5334</v>
      </c>
      <c r="L4321" s="696">
        <v>0</v>
      </c>
      <c r="M4321" s="170"/>
    </row>
    <row r="4322" spans="2:13" x14ac:dyDescent="0.2">
      <c r="B4322" s="173"/>
      <c r="C4322" s="694">
        <v>1</v>
      </c>
      <c r="D4322" s="695" t="s">
        <v>3903</v>
      </c>
      <c r="E4322" s="695">
        <v>7</v>
      </c>
      <c r="F4322" s="695" t="s">
        <v>6711</v>
      </c>
      <c r="G4322" s="695">
        <v>9</v>
      </c>
      <c r="H4322" s="695" t="s">
        <v>6676</v>
      </c>
      <c r="I4322" s="695">
        <v>19</v>
      </c>
      <c r="J4322" s="695" t="s">
        <v>7465</v>
      </c>
      <c r="K4322" s="695" t="s">
        <v>5334</v>
      </c>
      <c r="L4322" s="696">
        <v>2</v>
      </c>
      <c r="M4322" s="170"/>
    </row>
    <row r="4323" spans="2:13" x14ac:dyDescent="0.2">
      <c r="B4323" s="173"/>
      <c r="C4323" s="694">
        <v>1</v>
      </c>
      <c r="D4323" s="695" t="s">
        <v>3903</v>
      </c>
      <c r="E4323" s="695">
        <v>7</v>
      </c>
      <c r="F4323" s="695" t="s">
        <v>6711</v>
      </c>
      <c r="G4323" s="695">
        <v>9</v>
      </c>
      <c r="H4323" s="695" t="s">
        <v>6676</v>
      </c>
      <c r="I4323" s="695">
        <v>20</v>
      </c>
      <c r="J4323" s="695" t="s">
        <v>7466</v>
      </c>
      <c r="K4323" s="695" t="s">
        <v>5334</v>
      </c>
      <c r="L4323" s="696">
        <v>0</v>
      </c>
      <c r="M4323" s="170"/>
    </row>
    <row r="4324" spans="2:13" x14ac:dyDescent="0.2">
      <c r="B4324" s="173"/>
      <c r="C4324" s="694">
        <v>1</v>
      </c>
      <c r="D4324" s="695" t="s">
        <v>3903</v>
      </c>
      <c r="E4324" s="695">
        <v>7</v>
      </c>
      <c r="F4324" s="695" t="s">
        <v>6711</v>
      </c>
      <c r="G4324" s="695">
        <v>9</v>
      </c>
      <c r="H4324" s="695" t="s">
        <v>6676</v>
      </c>
      <c r="I4324" s="695">
        <v>21</v>
      </c>
      <c r="J4324" s="695" t="s">
        <v>7467</v>
      </c>
      <c r="K4324" s="695" t="s">
        <v>5334</v>
      </c>
      <c r="L4324" s="696">
        <v>0</v>
      </c>
      <c r="M4324" s="170"/>
    </row>
    <row r="4325" spans="2:13" x14ac:dyDescent="0.2">
      <c r="B4325" s="173"/>
      <c r="C4325" s="694">
        <v>1</v>
      </c>
      <c r="D4325" s="695" t="s">
        <v>3903</v>
      </c>
      <c r="E4325" s="695">
        <v>7</v>
      </c>
      <c r="F4325" s="695" t="s">
        <v>6711</v>
      </c>
      <c r="G4325" s="695">
        <v>9</v>
      </c>
      <c r="H4325" s="695" t="s">
        <v>6676</v>
      </c>
      <c r="I4325" s="695">
        <v>22</v>
      </c>
      <c r="J4325" s="695" t="s">
        <v>7468</v>
      </c>
      <c r="K4325" s="695" t="s">
        <v>5334</v>
      </c>
      <c r="L4325" s="696">
        <v>0</v>
      </c>
      <c r="M4325" s="170"/>
    </row>
    <row r="4326" spans="2:13" x14ac:dyDescent="0.2">
      <c r="B4326" s="173"/>
      <c r="C4326" s="694">
        <v>1</v>
      </c>
      <c r="D4326" s="695" t="s">
        <v>3903</v>
      </c>
      <c r="E4326" s="695">
        <v>7</v>
      </c>
      <c r="F4326" s="695" t="s">
        <v>6711</v>
      </c>
      <c r="G4326" s="695">
        <v>9</v>
      </c>
      <c r="H4326" s="695" t="s">
        <v>6676</v>
      </c>
      <c r="I4326" s="695">
        <v>23</v>
      </c>
      <c r="J4326" s="695" t="s">
        <v>7469</v>
      </c>
      <c r="K4326" s="695" t="s">
        <v>5334</v>
      </c>
      <c r="L4326" s="696">
        <v>0</v>
      </c>
      <c r="M4326" s="170"/>
    </row>
    <row r="4327" spans="2:13" x14ac:dyDescent="0.2">
      <c r="B4327" s="173"/>
      <c r="C4327" s="694">
        <v>1</v>
      </c>
      <c r="D4327" s="695" t="s">
        <v>3903</v>
      </c>
      <c r="E4327" s="695">
        <v>7</v>
      </c>
      <c r="F4327" s="695" t="s">
        <v>6711</v>
      </c>
      <c r="G4327" s="695">
        <v>9</v>
      </c>
      <c r="H4327" s="695" t="s">
        <v>6676</v>
      </c>
      <c r="I4327" s="695">
        <v>24</v>
      </c>
      <c r="J4327" s="695" t="s">
        <v>7470</v>
      </c>
      <c r="K4327" s="695" t="s">
        <v>5334</v>
      </c>
      <c r="L4327" s="696">
        <v>0</v>
      </c>
      <c r="M4327" s="170"/>
    </row>
    <row r="4328" spans="2:13" x14ac:dyDescent="0.2">
      <c r="B4328" s="173"/>
      <c r="C4328" s="694">
        <v>1</v>
      </c>
      <c r="D4328" s="695" t="s">
        <v>3903</v>
      </c>
      <c r="E4328" s="695">
        <v>7</v>
      </c>
      <c r="F4328" s="695" t="s">
        <v>6711</v>
      </c>
      <c r="G4328" s="695">
        <v>9</v>
      </c>
      <c r="H4328" s="695" t="s">
        <v>6676</v>
      </c>
      <c r="I4328" s="695">
        <v>31</v>
      </c>
      <c r="J4328" s="695" t="s">
        <v>7471</v>
      </c>
      <c r="K4328" s="695" t="s">
        <v>5334</v>
      </c>
      <c r="L4328" s="696">
        <v>4</v>
      </c>
      <c r="M4328" s="170"/>
    </row>
    <row r="4329" spans="2:13" x14ac:dyDescent="0.2">
      <c r="B4329" s="173"/>
      <c r="C4329" s="694">
        <v>1</v>
      </c>
      <c r="D4329" s="695" t="s">
        <v>3903</v>
      </c>
      <c r="E4329" s="695">
        <v>7</v>
      </c>
      <c r="F4329" s="695" t="s">
        <v>6711</v>
      </c>
      <c r="G4329" s="695">
        <v>9</v>
      </c>
      <c r="H4329" s="695" t="s">
        <v>6676</v>
      </c>
      <c r="I4329" s="695">
        <v>32</v>
      </c>
      <c r="J4329" s="695" t="s">
        <v>7472</v>
      </c>
      <c r="K4329" s="695" t="s">
        <v>5334</v>
      </c>
      <c r="L4329" s="696">
        <v>0</v>
      </c>
      <c r="M4329" s="170"/>
    </row>
    <row r="4330" spans="2:13" x14ac:dyDescent="0.2">
      <c r="B4330" s="173"/>
      <c r="C4330" s="694">
        <v>1</v>
      </c>
      <c r="D4330" s="695" t="s">
        <v>3903</v>
      </c>
      <c r="E4330" s="695">
        <v>7</v>
      </c>
      <c r="F4330" s="695" t="s">
        <v>6711</v>
      </c>
      <c r="G4330" s="695">
        <v>9</v>
      </c>
      <c r="H4330" s="695" t="s">
        <v>6676</v>
      </c>
      <c r="I4330" s="695">
        <v>33</v>
      </c>
      <c r="J4330" s="695" t="s">
        <v>7473</v>
      </c>
      <c r="K4330" s="695" t="s">
        <v>5334</v>
      </c>
      <c r="L4330" s="696">
        <v>0</v>
      </c>
      <c r="M4330" s="170"/>
    </row>
    <row r="4331" spans="2:13" x14ac:dyDescent="0.2">
      <c r="B4331" s="173"/>
      <c r="C4331" s="694">
        <v>1</v>
      </c>
      <c r="D4331" s="695" t="s">
        <v>3903</v>
      </c>
      <c r="E4331" s="695">
        <v>7</v>
      </c>
      <c r="F4331" s="695" t="s">
        <v>6711</v>
      </c>
      <c r="G4331" s="695">
        <v>9</v>
      </c>
      <c r="H4331" s="695" t="s">
        <v>6676</v>
      </c>
      <c r="I4331" s="695">
        <v>34</v>
      </c>
      <c r="J4331" s="695" t="s">
        <v>7474</v>
      </c>
      <c r="K4331" s="695" t="s">
        <v>5334</v>
      </c>
      <c r="L4331" s="696">
        <v>0</v>
      </c>
      <c r="M4331" s="170"/>
    </row>
    <row r="4332" spans="2:13" x14ac:dyDescent="0.2">
      <c r="B4332" s="173"/>
      <c r="C4332" s="694">
        <v>1</v>
      </c>
      <c r="D4332" s="695" t="s">
        <v>3903</v>
      </c>
      <c r="E4332" s="695">
        <v>7</v>
      </c>
      <c r="F4332" s="695" t="s">
        <v>6711</v>
      </c>
      <c r="G4332" s="695">
        <v>9</v>
      </c>
      <c r="H4332" s="695" t="s">
        <v>6676</v>
      </c>
      <c r="I4332" s="695">
        <v>35</v>
      </c>
      <c r="J4332" s="695" t="s">
        <v>7475</v>
      </c>
      <c r="K4332" s="695" t="s">
        <v>5334</v>
      </c>
      <c r="L4332" s="696">
        <v>1</v>
      </c>
      <c r="M4332" s="170"/>
    </row>
    <row r="4333" spans="2:13" x14ac:dyDescent="0.2">
      <c r="B4333" s="173"/>
      <c r="C4333" s="694">
        <v>1</v>
      </c>
      <c r="D4333" s="695" t="s">
        <v>3903</v>
      </c>
      <c r="E4333" s="695">
        <v>7</v>
      </c>
      <c r="F4333" s="695" t="s">
        <v>6711</v>
      </c>
      <c r="G4333" s="695">
        <v>9</v>
      </c>
      <c r="H4333" s="695" t="s">
        <v>6676</v>
      </c>
      <c r="I4333" s="695">
        <v>36</v>
      </c>
      <c r="J4333" s="695" t="s">
        <v>7476</v>
      </c>
      <c r="K4333" s="695" t="s">
        <v>5334</v>
      </c>
      <c r="L4333" s="696">
        <v>0</v>
      </c>
      <c r="M4333" s="170"/>
    </row>
    <row r="4334" spans="2:13" x14ac:dyDescent="0.2">
      <c r="B4334" s="173"/>
      <c r="C4334" s="694">
        <v>1</v>
      </c>
      <c r="D4334" s="695" t="s">
        <v>3903</v>
      </c>
      <c r="E4334" s="695">
        <v>7</v>
      </c>
      <c r="F4334" s="695" t="s">
        <v>6711</v>
      </c>
      <c r="G4334" s="695">
        <v>9</v>
      </c>
      <c r="H4334" s="695" t="s">
        <v>6676</v>
      </c>
      <c r="I4334" s="695">
        <v>37</v>
      </c>
      <c r="J4334" s="695" t="s">
        <v>7477</v>
      </c>
      <c r="K4334" s="695" t="s">
        <v>5334</v>
      </c>
      <c r="L4334" s="696">
        <v>0</v>
      </c>
      <c r="M4334" s="170"/>
    </row>
    <row r="4335" spans="2:13" x14ac:dyDescent="0.2">
      <c r="B4335" s="173"/>
      <c r="C4335" s="694">
        <v>1</v>
      </c>
      <c r="D4335" s="695" t="s">
        <v>3903</v>
      </c>
      <c r="E4335" s="695">
        <v>7</v>
      </c>
      <c r="F4335" s="695" t="s">
        <v>6711</v>
      </c>
      <c r="G4335" s="695">
        <v>9</v>
      </c>
      <c r="H4335" s="695" t="s">
        <v>6676</v>
      </c>
      <c r="I4335" s="695">
        <v>38</v>
      </c>
      <c r="J4335" s="695" t="s">
        <v>7478</v>
      </c>
      <c r="K4335" s="695" t="s">
        <v>5334</v>
      </c>
      <c r="L4335" s="696">
        <v>1</v>
      </c>
      <c r="M4335" s="170"/>
    </row>
    <row r="4336" spans="2:13" x14ac:dyDescent="0.2">
      <c r="B4336" s="173"/>
      <c r="C4336" s="694">
        <v>1</v>
      </c>
      <c r="D4336" s="695" t="s">
        <v>3903</v>
      </c>
      <c r="E4336" s="695">
        <v>7</v>
      </c>
      <c r="F4336" s="695" t="s">
        <v>6711</v>
      </c>
      <c r="G4336" s="695">
        <v>9</v>
      </c>
      <c r="H4336" s="695" t="s">
        <v>6676</v>
      </c>
      <c r="I4336" s="695">
        <v>39</v>
      </c>
      <c r="J4336" s="695" t="s">
        <v>7479</v>
      </c>
      <c r="K4336" s="695" t="s">
        <v>5334</v>
      </c>
      <c r="L4336" s="696">
        <v>0</v>
      </c>
      <c r="M4336" s="170"/>
    </row>
    <row r="4337" spans="2:13" x14ac:dyDescent="0.2">
      <c r="B4337" s="173"/>
      <c r="C4337" s="694">
        <v>1</v>
      </c>
      <c r="D4337" s="695" t="s">
        <v>3903</v>
      </c>
      <c r="E4337" s="695">
        <v>7</v>
      </c>
      <c r="F4337" s="695" t="s">
        <v>6711</v>
      </c>
      <c r="G4337" s="695">
        <v>9</v>
      </c>
      <c r="H4337" s="695" t="s">
        <v>6676</v>
      </c>
      <c r="I4337" s="695">
        <v>40</v>
      </c>
      <c r="J4337" s="695" t="s">
        <v>7480</v>
      </c>
      <c r="K4337" s="695" t="s">
        <v>5334</v>
      </c>
      <c r="L4337" s="696">
        <v>0</v>
      </c>
      <c r="M4337" s="170"/>
    </row>
    <row r="4338" spans="2:13" x14ac:dyDescent="0.2">
      <c r="B4338" s="173"/>
      <c r="C4338" s="694">
        <v>1</v>
      </c>
      <c r="D4338" s="695" t="s">
        <v>3903</v>
      </c>
      <c r="E4338" s="695">
        <v>7</v>
      </c>
      <c r="F4338" s="695" t="s">
        <v>6711</v>
      </c>
      <c r="G4338" s="695">
        <v>9</v>
      </c>
      <c r="H4338" s="695" t="s">
        <v>6676</v>
      </c>
      <c r="I4338" s="695">
        <v>41</v>
      </c>
      <c r="J4338" s="695" t="s">
        <v>7481</v>
      </c>
      <c r="K4338" s="695" t="s">
        <v>5334</v>
      </c>
      <c r="L4338" s="696">
        <v>0</v>
      </c>
      <c r="M4338" s="170"/>
    </row>
    <row r="4339" spans="2:13" x14ac:dyDescent="0.2">
      <c r="B4339" s="173"/>
      <c r="C4339" s="694">
        <v>1</v>
      </c>
      <c r="D4339" s="695" t="s">
        <v>3903</v>
      </c>
      <c r="E4339" s="695">
        <v>7</v>
      </c>
      <c r="F4339" s="695" t="s">
        <v>6711</v>
      </c>
      <c r="G4339" s="695">
        <v>9</v>
      </c>
      <c r="H4339" s="695" t="s">
        <v>6676</v>
      </c>
      <c r="I4339" s="695">
        <v>42</v>
      </c>
      <c r="J4339" s="695" t="s">
        <v>7482</v>
      </c>
      <c r="K4339" s="695" t="s">
        <v>5334</v>
      </c>
      <c r="L4339" s="696">
        <v>0</v>
      </c>
      <c r="M4339" s="170"/>
    </row>
    <row r="4340" spans="2:13" x14ac:dyDescent="0.2">
      <c r="B4340" s="173"/>
      <c r="C4340" s="694">
        <v>1</v>
      </c>
      <c r="D4340" s="695" t="s">
        <v>3903</v>
      </c>
      <c r="E4340" s="695">
        <v>7</v>
      </c>
      <c r="F4340" s="695" t="s">
        <v>6711</v>
      </c>
      <c r="G4340" s="695">
        <v>9</v>
      </c>
      <c r="H4340" s="695" t="s">
        <v>6676</v>
      </c>
      <c r="I4340" s="695">
        <v>43</v>
      </c>
      <c r="J4340" s="695" t="s">
        <v>7483</v>
      </c>
      <c r="K4340" s="695" t="s">
        <v>5334</v>
      </c>
      <c r="L4340" s="696">
        <v>0</v>
      </c>
      <c r="M4340" s="170"/>
    </row>
    <row r="4341" spans="2:13" x14ac:dyDescent="0.2">
      <c r="B4341" s="173"/>
      <c r="C4341" s="694">
        <v>1</v>
      </c>
      <c r="D4341" s="695" t="s">
        <v>3903</v>
      </c>
      <c r="E4341" s="695">
        <v>7</v>
      </c>
      <c r="F4341" s="695" t="s">
        <v>6711</v>
      </c>
      <c r="G4341" s="695">
        <v>9</v>
      </c>
      <c r="H4341" s="695" t="s">
        <v>6676</v>
      </c>
      <c r="I4341" s="695">
        <v>44</v>
      </c>
      <c r="J4341" s="695" t="s">
        <v>7484</v>
      </c>
      <c r="K4341" s="695" t="s">
        <v>5334</v>
      </c>
      <c r="L4341" s="696">
        <v>0</v>
      </c>
      <c r="M4341" s="170"/>
    </row>
    <row r="4342" spans="2:13" x14ac:dyDescent="0.2">
      <c r="B4342" s="173"/>
      <c r="C4342" s="694">
        <v>1</v>
      </c>
      <c r="D4342" s="695" t="s">
        <v>3903</v>
      </c>
      <c r="E4342" s="695">
        <v>7</v>
      </c>
      <c r="F4342" s="695" t="s">
        <v>6711</v>
      </c>
      <c r="G4342" s="695">
        <v>9</v>
      </c>
      <c r="H4342" s="695" t="s">
        <v>6676</v>
      </c>
      <c r="I4342" s="695">
        <v>45</v>
      </c>
      <c r="J4342" s="695" t="s">
        <v>7485</v>
      </c>
      <c r="K4342" s="695" t="s">
        <v>5334</v>
      </c>
      <c r="L4342" s="696">
        <v>0</v>
      </c>
      <c r="M4342" s="170"/>
    </row>
    <row r="4343" spans="2:13" x14ac:dyDescent="0.2">
      <c r="B4343" s="173"/>
      <c r="C4343" s="694">
        <v>1</v>
      </c>
      <c r="D4343" s="695" t="s">
        <v>3903</v>
      </c>
      <c r="E4343" s="695">
        <v>7</v>
      </c>
      <c r="F4343" s="695" t="s">
        <v>6711</v>
      </c>
      <c r="G4343" s="695">
        <v>9</v>
      </c>
      <c r="H4343" s="695" t="s">
        <v>6676</v>
      </c>
      <c r="I4343" s="695">
        <v>46</v>
      </c>
      <c r="J4343" s="695" t="s">
        <v>7486</v>
      </c>
      <c r="K4343" s="695" t="s">
        <v>5334</v>
      </c>
      <c r="L4343" s="696">
        <v>0</v>
      </c>
      <c r="M4343" s="170"/>
    </row>
    <row r="4344" spans="2:13" x14ac:dyDescent="0.2">
      <c r="B4344" s="173"/>
      <c r="C4344" s="694">
        <v>1</v>
      </c>
      <c r="D4344" s="695" t="s">
        <v>3903</v>
      </c>
      <c r="E4344" s="695">
        <v>7</v>
      </c>
      <c r="F4344" s="695" t="s">
        <v>6711</v>
      </c>
      <c r="G4344" s="695">
        <v>9</v>
      </c>
      <c r="H4344" s="695" t="s">
        <v>6676</v>
      </c>
      <c r="I4344" s="695">
        <v>47</v>
      </c>
      <c r="J4344" s="695" t="s">
        <v>7487</v>
      </c>
      <c r="K4344" s="695" t="s">
        <v>5334</v>
      </c>
      <c r="L4344" s="696">
        <v>1</v>
      </c>
      <c r="M4344" s="170"/>
    </row>
    <row r="4345" spans="2:13" x14ac:dyDescent="0.2">
      <c r="B4345" s="173"/>
      <c r="C4345" s="694">
        <v>1</v>
      </c>
      <c r="D4345" s="695" t="s">
        <v>3903</v>
      </c>
      <c r="E4345" s="695">
        <v>7</v>
      </c>
      <c r="F4345" s="695" t="s">
        <v>6711</v>
      </c>
      <c r="G4345" s="695">
        <v>9</v>
      </c>
      <c r="H4345" s="695" t="s">
        <v>6676</v>
      </c>
      <c r="I4345" s="695">
        <v>48</v>
      </c>
      <c r="J4345" s="695" t="s">
        <v>7488</v>
      </c>
      <c r="K4345" s="695" t="s">
        <v>5334</v>
      </c>
      <c r="L4345" s="696">
        <v>0</v>
      </c>
      <c r="M4345" s="170"/>
    </row>
    <row r="4346" spans="2:13" x14ac:dyDescent="0.2">
      <c r="B4346" s="173"/>
      <c r="C4346" s="694">
        <v>1</v>
      </c>
      <c r="D4346" s="695" t="s">
        <v>3903</v>
      </c>
      <c r="E4346" s="695">
        <v>7</v>
      </c>
      <c r="F4346" s="695" t="s">
        <v>6711</v>
      </c>
      <c r="G4346" s="695">
        <v>9</v>
      </c>
      <c r="H4346" s="695" t="s">
        <v>6676</v>
      </c>
      <c r="I4346" s="695">
        <v>49</v>
      </c>
      <c r="J4346" s="695" t="s">
        <v>7489</v>
      </c>
      <c r="K4346" s="695" t="s">
        <v>5334</v>
      </c>
      <c r="L4346" s="696">
        <v>0</v>
      </c>
      <c r="M4346" s="170"/>
    </row>
    <row r="4347" spans="2:13" x14ac:dyDescent="0.2">
      <c r="B4347" s="173"/>
      <c r="C4347" s="694">
        <v>1</v>
      </c>
      <c r="D4347" s="695" t="s">
        <v>3903</v>
      </c>
      <c r="E4347" s="695">
        <v>7</v>
      </c>
      <c r="F4347" s="695" t="s">
        <v>6711</v>
      </c>
      <c r="G4347" s="695">
        <v>9</v>
      </c>
      <c r="H4347" s="695" t="s">
        <v>6676</v>
      </c>
      <c r="I4347" s="695">
        <v>50</v>
      </c>
      <c r="J4347" s="695" t="s">
        <v>7490</v>
      </c>
      <c r="K4347" s="695" t="s">
        <v>5334</v>
      </c>
      <c r="L4347" s="696">
        <v>0</v>
      </c>
      <c r="M4347" s="170"/>
    </row>
    <row r="4348" spans="2:13" x14ac:dyDescent="0.2">
      <c r="B4348" s="173"/>
      <c r="C4348" s="694">
        <v>1</v>
      </c>
      <c r="D4348" s="695" t="s">
        <v>3903</v>
      </c>
      <c r="E4348" s="695">
        <v>7</v>
      </c>
      <c r="F4348" s="695" t="s">
        <v>6711</v>
      </c>
      <c r="G4348" s="695">
        <v>9</v>
      </c>
      <c r="H4348" s="695" t="s">
        <v>6676</v>
      </c>
      <c r="I4348" s="695">
        <v>51</v>
      </c>
      <c r="J4348" s="695" t="s">
        <v>7491</v>
      </c>
      <c r="K4348" s="695" t="s">
        <v>5334</v>
      </c>
      <c r="L4348" s="696">
        <v>0</v>
      </c>
      <c r="M4348" s="170"/>
    </row>
    <row r="4349" spans="2:13" x14ac:dyDescent="0.2">
      <c r="B4349" s="173"/>
      <c r="C4349" s="694">
        <v>1</v>
      </c>
      <c r="D4349" s="695" t="s">
        <v>3903</v>
      </c>
      <c r="E4349" s="695">
        <v>7</v>
      </c>
      <c r="F4349" s="695" t="s">
        <v>6711</v>
      </c>
      <c r="G4349" s="695">
        <v>9</v>
      </c>
      <c r="H4349" s="695" t="s">
        <v>6676</v>
      </c>
      <c r="I4349" s="695">
        <v>52</v>
      </c>
      <c r="J4349" s="695" t="s">
        <v>7492</v>
      </c>
      <c r="K4349" s="695" t="s">
        <v>5334</v>
      </c>
      <c r="L4349" s="696">
        <v>6</v>
      </c>
      <c r="M4349" s="170"/>
    </row>
    <row r="4350" spans="2:13" x14ac:dyDescent="0.2">
      <c r="B4350" s="173"/>
      <c r="C4350" s="694">
        <v>1</v>
      </c>
      <c r="D4350" s="695" t="s">
        <v>3903</v>
      </c>
      <c r="E4350" s="695">
        <v>7</v>
      </c>
      <c r="F4350" s="695" t="s">
        <v>6711</v>
      </c>
      <c r="G4350" s="695">
        <v>9</v>
      </c>
      <c r="H4350" s="695" t="s">
        <v>6676</v>
      </c>
      <c r="I4350" s="695">
        <v>53</v>
      </c>
      <c r="J4350" s="695" t="s">
        <v>7493</v>
      </c>
      <c r="K4350" s="695" t="s">
        <v>5334</v>
      </c>
      <c r="L4350" s="696">
        <v>0</v>
      </c>
      <c r="M4350" s="170"/>
    </row>
    <row r="4351" spans="2:13" x14ac:dyDescent="0.2">
      <c r="B4351" s="173"/>
      <c r="C4351" s="694">
        <v>1</v>
      </c>
      <c r="D4351" s="695" t="s">
        <v>3903</v>
      </c>
      <c r="E4351" s="695">
        <v>7</v>
      </c>
      <c r="F4351" s="695" t="s">
        <v>6711</v>
      </c>
      <c r="G4351" s="695">
        <v>9</v>
      </c>
      <c r="H4351" s="695" t="s">
        <v>6676</v>
      </c>
      <c r="I4351" s="695">
        <v>54</v>
      </c>
      <c r="J4351" s="695" t="s">
        <v>7494</v>
      </c>
      <c r="K4351" s="695" t="s">
        <v>5334</v>
      </c>
      <c r="L4351" s="696">
        <v>0</v>
      </c>
      <c r="M4351" s="170"/>
    </row>
    <row r="4352" spans="2:13" x14ac:dyDescent="0.2">
      <c r="B4352" s="173"/>
      <c r="C4352" s="694">
        <v>1</v>
      </c>
      <c r="D4352" s="695" t="s">
        <v>3903</v>
      </c>
      <c r="E4352" s="695">
        <v>7</v>
      </c>
      <c r="F4352" s="695" t="s">
        <v>6711</v>
      </c>
      <c r="G4352" s="695">
        <v>9</v>
      </c>
      <c r="H4352" s="695" t="s">
        <v>6676</v>
      </c>
      <c r="I4352" s="695">
        <v>55</v>
      </c>
      <c r="J4352" s="695" t="s">
        <v>7495</v>
      </c>
      <c r="K4352" s="695" t="s">
        <v>5334</v>
      </c>
      <c r="L4352" s="696">
        <v>0</v>
      </c>
      <c r="M4352" s="170"/>
    </row>
    <row r="4353" spans="2:13" x14ac:dyDescent="0.2">
      <c r="B4353" s="173"/>
      <c r="C4353" s="694">
        <v>1</v>
      </c>
      <c r="D4353" s="695" t="s">
        <v>3903</v>
      </c>
      <c r="E4353" s="695">
        <v>7</v>
      </c>
      <c r="F4353" s="695" t="s">
        <v>6711</v>
      </c>
      <c r="G4353" s="695">
        <v>9</v>
      </c>
      <c r="H4353" s="695" t="s">
        <v>6676</v>
      </c>
      <c r="I4353" s="695">
        <v>56</v>
      </c>
      <c r="J4353" s="695" t="s">
        <v>7496</v>
      </c>
      <c r="K4353" s="695" t="s">
        <v>5334</v>
      </c>
      <c r="L4353" s="696">
        <v>0</v>
      </c>
      <c r="M4353" s="170"/>
    </row>
    <row r="4354" spans="2:13" x14ac:dyDescent="0.2">
      <c r="B4354" s="173"/>
      <c r="C4354" s="694">
        <v>1</v>
      </c>
      <c r="D4354" s="695" t="s">
        <v>3903</v>
      </c>
      <c r="E4354" s="695">
        <v>7</v>
      </c>
      <c r="F4354" s="695" t="s">
        <v>6711</v>
      </c>
      <c r="G4354" s="695">
        <v>9</v>
      </c>
      <c r="H4354" s="695" t="s">
        <v>6676</v>
      </c>
      <c r="I4354" s="695">
        <v>57</v>
      </c>
      <c r="J4354" s="695" t="s">
        <v>7497</v>
      </c>
      <c r="K4354" s="695" t="s">
        <v>5334</v>
      </c>
      <c r="L4354" s="696">
        <v>0</v>
      </c>
      <c r="M4354" s="170"/>
    </row>
    <row r="4355" spans="2:13" x14ac:dyDescent="0.2">
      <c r="B4355" s="173"/>
      <c r="C4355" s="694">
        <v>1</v>
      </c>
      <c r="D4355" s="695" t="s">
        <v>3903</v>
      </c>
      <c r="E4355" s="695">
        <v>7</v>
      </c>
      <c r="F4355" s="695" t="s">
        <v>6711</v>
      </c>
      <c r="G4355" s="695">
        <v>9</v>
      </c>
      <c r="H4355" s="695" t="s">
        <v>6676</v>
      </c>
      <c r="I4355" s="695">
        <v>58</v>
      </c>
      <c r="J4355" s="695" t="s">
        <v>7498</v>
      </c>
      <c r="K4355" s="695" t="s">
        <v>5334</v>
      </c>
      <c r="L4355" s="696">
        <v>0</v>
      </c>
      <c r="M4355" s="170"/>
    </row>
    <row r="4356" spans="2:13" x14ac:dyDescent="0.2">
      <c r="B4356" s="173"/>
      <c r="C4356" s="694">
        <v>1</v>
      </c>
      <c r="D4356" s="695" t="s">
        <v>3903</v>
      </c>
      <c r="E4356" s="695">
        <v>7</v>
      </c>
      <c r="F4356" s="695" t="s">
        <v>6711</v>
      </c>
      <c r="G4356" s="695">
        <v>9</v>
      </c>
      <c r="H4356" s="695" t="s">
        <v>6676</v>
      </c>
      <c r="I4356" s="695">
        <v>59</v>
      </c>
      <c r="J4356" s="695" t="s">
        <v>7499</v>
      </c>
      <c r="K4356" s="695" t="s">
        <v>5334</v>
      </c>
      <c r="L4356" s="696">
        <v>0</v>
      </c>
      <c r="M4356" s="170"/>
    </row>
    <row r="4357" spans="2:13" x14ac:dyDescent="0.2">
      <c r="B4357" s="173"/>
      <c r="C4357" s="694">
        <v>1</v>
      </c>
      <c r="D4357" s="695" t="s">
        <v>3903</v>
      </c>
      <c r="E4357" s="695">
        <v>7</v>
      </c>
      <c r="F4357" s="695" t="s">
        <v>6711</v>
      </c>
      <c r="G4357" s="695">
        <v>9</v>
      </c>
      <c r="H4357" s="695" t="s">
        <v>6676</v>
      </c>
      <c r="I4357" s="695">
        <v>60</v>
      </c>
      <c r="J4357" s="695" t="s">
        <v>7500</v>
      </c>
      <c r="K4357" s="695" t="s">
        <v>5334</v>
      </c>
      <c r="L4357" s="696">
        <v>2</v>
      </c>
      <c r="M4357" s="170"/>
    </row>
    <row r="4358" spans="2:13" x14ac:dyDescent="0.2">
      <c r="B4358" s="173"/>
      <c r="C4358" s="694">
        <v>1</v>
      </c>
      <c r="D4358" s="695" t="s">
        <v>3903</v>
      </c>
      <c r="E4358" s="695">
        <v>7</v>
      </c>
      <c r="F4358" s="695" t="s">
        <v>6711</v>
      </c>
      <c r="G4358" s="695">
        <v>10</v>
      </c>
      <c r="H4358" s="695" t="s">
        <v>6679</v>
      </c>
      <c r="I4358" s="695">
        <v>1</v>
      </c>
      <c r="J4358" s="695" t="s">
        <v>7501</v>
      </c>
      <c r="K4358" s="695" t="s">
        <v>5334</v>
      </c>
      <c r="L4358" s="696">
        <v>0</v>
      </c>
      <c r="M4358" s="170"/>
    </row>
    <row r="4359" spans="2:13" x14ac:dyDescent="0.2">
      <c r="B4359" s="173"/>
      <c r="C4359" s="694">
        <v>1</v>
      </c>
      <c r="D4359" s="695" t="s">
        <v>3903</v>
      </c>
      <c r="E4359" s="695">
        <v>7</v>
      </c>
      <c r="F4359" s="695" t="s">
        <v>6711</v>
      </c>
      <c r="G4359" s="695">
        <v>10</v>
      </c>
      <c r="H4359" s="695" t="s">
        <v>6679</v>
      </c>
      <c r="I4359" s="695">
        <v>2</v>
      </c>
      <c r="J4359" s="695" t="s">
        <v>7502</v>
      </c>
      <c r="K4359" s="695" t="s">
        <v>5334</v>
      </c>
      <c r="L4359" s="696">
        <v>0</v>
      </c>
      <c r="M4359" s="170"/>
    </row>
    <row r="4360" spans="2:13" x14ac:dyDescent="0.2">
      <c r="B4360" s="173"/>
      <c r="C4360" s="694">
        <v>1</v>
      </c>
      <c r="D4360" s="695" t="s">
        <v>3903</v>
      </c>
      <c r="E4360" s="695">
        <v>7</v>
      </c>
      <c r="F4360" s="695" t="s">
        <v>6711</v>
      </c>
      <c r="G4360" s="695">
        <v>10</v>
      </c>
      <c r="H4360" s="695" t="s">
        <v>6679</v>
      </c>
      <c r="I4360" s="695">
        <v>3</v>
      </c>
      <c r="J4360" s="695" t="s">
        <v>7503</v>
      </c>
      <c r="K4360" s="695" t="s">
        <v>5334</v>
      </c>
      <c r="L4360" s="696">
        <v>3</v>
      </c>
      <c r="M4360" s="170"/>
    </row>
    <row r="4361" spans="2:13" x14ac:dyDescent="0.2">
      <c r="B4361" s="173"/>
      <c r="C4361" s="694">
        <v>1</v>
      </c>
      <c r="D4361" s="695" t="s">
        <v>3903</v>
      </c>
      <c r="E4361" s="695">
        <v>7</v>
      </c>
      <c r="F4361" s="695" t="s">
        <v>6711</v>
      </c>
      <c r="G4361" s="695">
        <v>10</v>
      </c>
      <c r="H4361" s="695" t="s">
        <v>6679</v>
      </c>
      <c r="I4361" s="695">
        <v>4</v>
      </c>
      <c r="J4361" s="695" t="s">
        <v>7504</v>
      </c>
      <c r="K4361" s="695" t="s">
        <v>5334</v>
      </c>
      <c r="L4361" s="696">
        <v>0</v>
      </c>
      <c r="M4361" s="170"/>
    </row>
    <row r="4362" spans="2:13" x14ac:dyDescent="0.2">
      <c r="B4362" s="173"/>
      <c r="C4362" s="694">
        <v>1</v>
      </c>
      <c r="D4362" s="695" t="s">
        <v>3903</v>
      </c>
      <c r="E4362" s="695">
        <v>7</v>
      </c>
      <c r="F4362" s="695" t="s">
        <v>6711</v>
      </c>
      <c r="G4362" s="695">
        <v>10</v>
      </c>
      <c r="H4362" s="695" t="s">
        <v>6679</v>
      </c>
      <c r="I4362" s="695">
        <v>5</v>
      </c>
      <c r="J4362" s="695" t="s">
        <v>7505</v>
      </c>
      <c r="K4362" s="695" t="s">
        <v>5334</v>
      </c>
      <c r="L4362" s="696">
        <v>0</v>
      </c>
      <c r="M4362" s="170"/>
    </row>
    <row r="4363" spans="2:13" x14ac:dyDescent="0.2">
      <c r="B4363" s="173"/>
      <c r="C4363" s="694">
        <v>1</v>
      </c>
      <c r="D4363" s="695" t="s">
        <v>3903</v>
      </c>
      <c r="E4363" s="695">
        <v>7</v>
      </c>
      <c r="F4363" s="695" t="s">
        <v>6711</v>
      </c>
      <c r="G4363" s="695">
        <v>10</v>
      </c>
      <c r="H4363" s="695" t="s">
        <v>6679</v>
      </c>
      <c r="I4363" s="695">
        <v>6</v>
      </c>
      <c r="J4363" s="695" t="s">
        <v>7506</v>
      </c>
      <c r="K4363" s="695" t="s">
        <v>5334</v>
      </c>
      <c r="L4363" s="696">
        <v>2</v>
      </c>
      <c r="M4363" s="170"/>
    </row>
    <row r="4364" spans="2:13" x14ac:dyDescent="0.2">
      <c r="B4364" s="173"/>
      <c r="C4364" s="694">
        <v>1</v>
      </c>
      <c r="D4364" s="695" t="s">
        <v>3903</v>
      </c>
      <c r="E4364" s="695">
        <v>7</v>
      </c>
      <c r="F4364" s="695" t="s">
        <v>6711</v>
      </c>
      <c r="G4364" s="695">
        <v>11</v>
      </c>
      <c r="H4364" s="695" t="s">
        <v>6685</v>
      </c>
      <c r="I4364" s="695">
        <v>1</v>
      </c>
      <c r="J4364" s="695" t="s">
        <v>7507</v>
      </c>
      <c r="K4364" s="695" t="s">
        <v>5334</v>
      </c>
      <c r="L4364" s="696">
        <v>4</v>
      </c>
      <c r="M4364" s="170"/>
    </row>
    <row r="4365" spans="2:13" x14ac:dyDescent="0.2">
      <c r="B4365" s="173"/>
      <c r="C4365" s="694">
        <v>1</v>
      </c>
      <c r="D4365" s="695" t="s">
        <v>3903</v>
      </c>
      <c r="E4365" s="695">
        <v>7</v>
      </c>
      <c r="F4365" s="695" t="s">
        <v>6711</v>
      </c>
      <c r="G4365" s="695">
        <v>11</v>
      </c>
      <c r="H4365" s="695" t="s">
        <v>6685</v>
      </c>
      <c r="I4365" s="695">
        <v>2</v>
      </c>
      <c r="J4365" s="695" t="s">
        <v>4213</v>
      </c>
      <c r="K4365" s="695" t="s">
        <v>5334</v>
      </c>
      <c r="L4365" s="696">
        <v>1929</v>
      </c>
      <c r="M4365" s="170"/>
    </row>
    <row r="4366" spans="2:13" x14ac:dyDescent="0.2">
      <c r="B4366" s="173"/>
      <c r="C4366" s="694">
        <v>1</v>
      </c>
      <c r="D4366" s="695" t="s">
        <v>3903</v>
      </c>
      <c r="E4366" s="695">
        <v>7</v>
      </c>
      <c r="F4366" s="695" t="s">
        <v>6711</v>
      </c>
      <c r="G4366" s="695">
        <v>11</v>
      </c>
      <c r="H4366" s="695" t="s">
        <v>6685</v>
      </c>
      <c r="I4366" s="695">
        <v>3</v>
      </c>
      <c r="J4366" s="695" t="s">
        <v>7508</v>
      </c>
      <c r="K4366" s="695" t="s">
        <v>5334</v>
      </c>
      <c r="L4366" s="696">
        <v>2</v>
      </c>
      <c r="M4366" s="170"/>
    </row>
    <row r="4367" spans="2:13" x14ac:dyDescent="0.2">
      <c r="B4367" s="173"/>
      <c r="C4367" s="694">
        <v>1</v>
      </c>
      <c r="D4367" s="695" t="s">
        <v>3903</v>
      </c>
      <c r="E4367" s="695">
        <v>7</v>
      </c>
      <c r="F4367" s="695" t="s">
        <v>6711</v>
      </c>
      <c r="G4367" s="695">
        <v>11</v>
      </c>
      <c r="H4367" s="695" t="s">
        <v>6685</v>
      </c>
      <c r="I4367" s="695">
        <v>4</v>
      </c>
      <c r="J4367" s="695" t="s">
        <v>7509</v>
      </c>
      <c r="K4367" s="695" t="s">
        <v>5334</v>
      </c>
      <c r="L4367" s="696">
        <v>0</v>
      </c>
      <c r="M4367" s="170"/>
    </row>
    <row r="4368" spans="2:13" x14ac:dyDescent="0.2">
      <c r="B4368" s="173"/>
      <c r="C4368" s="694">
        <v>1</v>
      </c>
      <c r="D4368" s="695" t="s">
        <v>3903</v>
      </c>
      <c r="E4368" s="695">
        <v>7</v>
      </c>
      <c r="F4368" s="695" t="s">
        <v>6711</v>
      </c>
      <c r="G4368" s="695">
        <v>11</v>
      </c>
      <c r="H4368" s="695" t="s">
        <v>6685</v>
      </c>
      <c r="I4368" s="695">
        <v>5</v>
      </c>
      <c r="J4368" s="695" t="s">
        <v>7510</v>
      </c>
      <c r="K4368" s="695" t="s">
        <v>5334</v>
      </c>
      <c r="L4368" s="696">
        <v>2</v>
      </c>
      <c r="M4368" s="170"/>
    </row>
    <row r="4369" spans="2:13" x14ac:dyDescent="0.2">
      <c r="B4369" s="173"/>
      <c r="C4369" s="694">
        <v>1</v>
      </c>
      <c r="D4369" s="695" t="s">
        <v>3903</v>
      </c>
      <c r="E4369" s="695">
        <v>7</v>
      </c>
      <c r="F4369" s="695" t="s">
        <v>6711</v>
      </c>
      <c r="G4369" s="695">
        <v>11</v>
      </c>
      <c r="H4369" s="695" t="s">
        <v>6685</v>
      </c>
      <c r="I4369" s="695">
        <v>6</v>
      </c>
      <c r="J4369" s="695" t="s">
        <v>7511</v>
      </c>
      <c r="K4369" s="695" t="s">
        <v>5334</v>
      </c>
      <c r="L4369" s="696">
        <v>0</v>
      </c>
      <c r="M4369" s="170"/>
    </row>
    <row r="4370" spans="2:13" x14ac:dyDescent="0.2">
      <c r="B4370" s="173"/>
      <c r="C4370" s="694">
        <v>1</v>
      </c>
      <c r="D4370" s="695" t="s">
        <v>3903</v>
      </c>
      <c r="E4370" s="695">
        <v>7</v>
      </c>
      <c r="F4370" s="695" t="s">
        <v>6711</v>
      </c>
      <c r="G4370" s="695">
        <v>11</v>
      </c>
      <c r="H4370" s="695" t="s">
        <v>6685</v>
      </c>
      <c r="I4370" s="695">
        <v>7</v>
      </c>
      <c r="J4370" s="695" t="s">
        <v>7512</v>
      </c>
      <c r="K4370" s="695" t="s">
        <v>5334</v>
      </c>
      <c r="L4370" s="696">
        <v>0</v>
      </c>
      <c r="M4370" s="170"/>
    </row>
    <row r="4371" spans="2:13" x14ac:dyDescent="0.2">
      <c r="B4371" s="173"/>
      <c r="C4371" s="694">
        <v>1</v>
      </c>
      <c r="D4371" s="695" t="s">
        <v>3903</v>
      </c>
      <c r="E4371" s="695">
        <v>7</v>
      </c>
      <c r="F4371" s="695" t="s">
        <v>6711</v>
      </c>
      <c r="G4371" s="695">
        <v>11</v>
      </c>
      <c r="H4371" s="695" t="s">
        <v>6685</v>
      </c>
      <c r="I4371" s="695">
        <v>8</v>
      </c>
      <c r="J4371" s="695" t="s">
        <v>7513</v>
      </c>
      <c r="K4371" s="695" t="s">
        <v>5334</v>
      </c>
      <c r="L4371" s="696">
        <v>0</v>
      </c>
      <c r="M4371" s="170"/>
    </row>
    <row r="4372" spans="2:13" x14ac:dyDescent="0.2">
      <c r="B4372" s="173"/>
      <c r="C4372" s="694">
        <v>1</v>
      </c>
      <c r="D4372" s="695" t="s">
        <v>3903</v>
      </c>
      <c r="E4372" s="695">
        <v>7</v>
      </c>
      <c r="F4372" s="695" t="s">
        <v>6711</v>
      </c>
      <c r="G4372" s="695">
        <v>11</v>
      </c>
      <c r="H4372" s="695" t="s">
        <v>6685</v>
      </c>
      <c r="I4372" s="695">
        <v>9</v>
      </c>
      <c r="J4372" s="695" t="s">
        <v>7514</v>
      </c>
      <c r="K4372" s="695" t="s">
        <v>5334</v>
      </c>
      <c r="L4372" s="696">
        <v>0</v>
      </c>
      <c r="M4372" s="170"/>
    </row>
    <row r="4373" spans="2:13" x14ac:dyDescent="0.2">
      <c r="B4373" s="173"/>
      <c r="C4373" s="694">
        <v>1</v>
      </c>
      <c r="D4373" s="695" t="s">
        <v>3903</v>
      </c>
      <c r="E4373" s="695">
        <v>7</v>
      </c>
      <c r="F4373" s="695" t="s">
        <v>6711</v>
      </c>
      <c r="G4373" s="695">
        <v>11</v>
      </c>
      <c r="H4373" s="695" t="s">
        <v>6685</v>
      </c>
      <c r="I4373" s="695">
        <v>10</v>
      </c>
      <c r="J4373" s="695" t="s">
        <v>7515</v>
      </c>
      <c r="K4373" s="695" t="s">
        <v>5334</v>
      </c>
      <c r="L4373" s="696">
        <v>0</v>
      </c>
      <c r="M4373" s="170"/>
    </row>
    <row r="4374" spans="2:13" x14ac:dyDescent="0.2">
      <c r="B4374" s="173"/>
      <c r="C4374" s="694">
        <v>1</v>
      </c>
      <c r="D4374" s="695" t="s">
        <v>3903</v>
      </c>
      <c r="E4374" s="695">
        <v>7</v>
      </c>
      <c r="F4374" s="695" t="s">
        <v>6711</v>
      </c>
      <c r="G4374" s="695">
        <v>11</v>
      </c>
      <c r="H4374" s="695" t="s">
        <v>6685</v>
      </c>
      <c r="I4374" s="695">
        <v>11</v>
      </c>
      <c r="J4374" s="695" t="s">
        <v>7516</v>
      </c>
      <c r="K4374" s="695" t="s">
        <v>5334</v>
      </c>
      <c r="L4374" s="696">
        <v>0</v>
      </c>
      <c r="M4374" s="170"/>
    </row>
    <row r="4375" spans="2:13" x14ac:dyDescent="0.2">
      <c r="B4375" s="173"/>
      <c r="C4375" s="694">
        <v>1</v>
      </c>
      <c r="D4375" s="695" t="s">
        <v>3903</v>
      </c>
      <c r="E4375" s="695">
        <v>7</v>
      </c>
      <c r="F4375" s="695" t="s">
        <v>6711</v>
      </c>
      <c r="G4375" s="695">
        <v>11</v>
      </c>
      <c r="H4375" s="695" t="s">
        <v>6685</v>
      </c>
      <c r="I4375" s="695">
        <v>12</v>
      </c>
      <c r="J4375" s="695" t="s">
        <v>7517</v>
      </c>
      <c r="K4375" s="695" t="s">
        <v>5334</v>
      </c>
      <c r="L4375" s="696">
        <v>0</v>
      </c>
      <c r="M4375" s="170"/>
    </row>
    <row r="4376" spans="2:13" x14ac:dyDescent="0.2">
      <c r="B4376" s="173"/>
      <c r="C4376" s="694">
        <v>1</v>
      </c>
      <c r="D4376" s="695" t="s">
        <v>3903</v>
      </c>
      <c r="E4376" s="695">
        <v>7</v>
      </c>
      <c r="F4376" s="695" t="s">
        <v>6711</v>
      </c>
      <c r="G4376" s="695">
        <v>11</v>
      </c>
      <c r="H4376" s="695" t="s">
        <v>6685</v>
      </c>
      <c r="I4376" s="695">
        <v>13</v>
      </c>
      <c r="J4376" s="695" t="s">
        <v>7518</v>
      </c>
      <c r="K4376" s="695" t="s">
        <v>5334</v>
      </c>
      <c r="L4376" s="696">
        <v>0</v>
      </c>
      <c r="M4376" s="170"/>
    </row>
    <row r="4377" spans="2:13" x14ac:dyDescent="0.2">
      <c r="B4377" s="173"/>
      <c r="C4377" s="694">
        <v>1</v>
      </c>
      <c r="D4377" s="695" t="s">
        <v>3903</v>
      </c>
      <c r="E4377" s="695">
        <v>7</v>
      </c>
      <c r="F4377" s="695" t="s">
        <v>6711</v>
      </c>
      <c r="G4377" s="695">
        <v>11</v>
      </c>
      <c r="H4377" s="695" t="s">
        <v>6685</v>
      </c>
      <c r="I4377" s="695">
        <v>14</v>
      </c>
      <c r="J4377" s="695" t="s">
        <v>7519</v>
      </c>
      <c r="K4377" s="695" t="s">
        <v>5334</v>
      </c>
      <c r="L4377" s="696">
        <v>0</v>
      </c>
      <c r="M4377" s="170"/>
    </row>
    <row r="4378" spans="2:13" x14ac:dyDescent="0.2">
      <c r="B4378" s="173"/>
      <c r="C4378" s="694">
        <v>1</v>
      </c>
      <c r="D4378" s="695" t="s">
        <v>3903</v>
      </c>
      <c r="E4378" s="695">
        <v>7</v>
      </c>
      <c r="F4378" s="695" t="s">
        <v>6711</v>
      </c>
      <c r="G4378" s="695">
        <v>11</v>
      </c>
      <c r="H4378" s="695" t="s">
        <v>6685</v>
      </c>
      <c r="I4378" s="695">
        <v>19</v>
      </c>
      <c r="J4378" s="695" t="s">
        <v>7520</v>
      </c>
      <c r="K4378" s="695" t="s">
        <v>5334</v>
      </c>
      <c r="L4378" s="696">
        <v>3</v>
      </c>
      <c r="M4378" s="170"/>
    </row>
    <row r="4379" spans="2:13" x14ac:dyDescent="0.2">
      <c r="B4379" s="173"/>
      <c r="C4379" s="694">
        <v>1</v>
      </c>
      <c r="D4379" s="695" t="s">
        <v>3903</v>
      </c>
      <c r="E4379" s="695">
        <v>7</v>
      </c>
      <c r="F4379" s="695" t="s">
        <v>6711</v>
      </c>
      <c r="G4379" s="695">
        <v>11</v>
      </c>
      <c r="H4379" s="695" t="s">
        <v>6685</v>
      </c>
      <c r="I4379" s="695">
        <v>21</v>
      </c>
      <c r="J4379" s="695" t="s">
        <v>7521</v>
      </c>
      <c r="K4379" s="695" t="s">
        <v>5334</v>
      </c>
      <c r="L4379" s="696">
        <v>0</v>
      </c>
      <c r="M4379" s="170"/>
    </row>
    <row r="4380" spans="2:13" x14ac:dyDescent="0.2">
      <c r="B4380" s="173"/>
      <c r="C4380" s="694">
        <v>1</v>
      </c>
      <c r="D4380" s="695" t="s">
        <v>3903</v>
      </c>
      <c r="E4380" s="695">
        <v>7</v>
      </c>
      <c r="F4380" s="695" t="s">
        <v>6711</v>
      </c>
      <c r="G4380" s="695">
        <v>11</v>
      </c>
      <c r="H4380" s="695" t="s">
        <v>6685</v>
      </c>
      <c r="I4380" s="695">
        <v>22</v>
      </c>
      <c r="J4380" s="695" t="s">
        <v>7522</v>
      </c>
      <c r="K4380" s="695" t="s">
        <v>5334</v>
      </c>
      <c r="L4380" s="696">
        <v>0</v>
      </c>
      <c r="M4380" s="170"/>
    </row>
    <row r="4381" spans="2:13" x14ac:dyDescent="0.2">
      <c r="B4381" s="173"/>
      <c r="C4381" s="694">
        <v>1</v>
      </c>
      <c r="D4381" s="695" t="s">
        <v>3903</v>
      </c>
      <c r="E4381" s="695">
        <v>7</v>
      </c>
      <c r="F4381" s="695" t="s">
        <v>6711</v>
      </c>
      <c r="G4381" s="695">
        <v>11</v>
      </c>
      <c r="H4381" s="695" t="s">
        <v>6685</v>
      </c>
      <c r="I4381" s="695">
        <v>23</v>
      </c>
      <c r="J4381" s="695" t="s">
        <v>7523</v>
      </c>
      <c r="K4381" s="695" t="s">
        <v>5334</v>
      </c>
      <c r="L4381" s="696">
        <v>0</v>
      </c>
      <c r="M4381" s="170"/>
    </row>
    <row r="4382" spans="2:13" x14ac:dyDescent="0.2">
      <c r="B4382" s="173"/>
      <c r="C4382" s="694">
        <v>1</v>
      </c>
      <c r="D4382" s="695" t="s">
        <v>3903</v>
      </c>
      <c r="E4382" s="695">
        <v>7</v>
      </c>
      <c r="F4382" s="695" t="s">
        <v>6711</v>
      </c>
      <c r="G4382" s="695">
        <v>11</v>
      </c>
      <c r="H4382" s="695" t="s">
        <v>6685</v>
      </c>
      <c r="I4382" s="695">
        <v>24</v>
      </c>
      <c r="J4382" s="695" t="s">
        <v>7524</v>
      </c>
      <c r="K4382" s="695" t="s">
        <v>5334</v>
      </c>
      <c r="L4382" s="696">
        <v>0</v>
      </c>
      <c r="M4382" s="170"/>
    </row>
    <row r="4383" spans="2:13" x14ac:dyDescent="0.2">
      <c r="B4383" s="173"/>
      <c r="C4383" s="694">
        <v>1</v>
      </c>
      <c r="D4383" s="695" t="s">
        <v>3903</v>
      </c>
      <c r="E4383" s="695">
        <v>7</v>
      </c>
      <c r="F4383" s="695" t="s">
        <v>6711</v>
      </c>
      <c r="G4383" s="695">
        <v>11</v>
      </c>
      <c r="H4383" s="695" t="s">
        <v>6685</v>
      </c>
      <c r="I4383" s="695">
        <v>25</v>
      </c>
      <c r="J4383" s="695" t="s">
        <v>7525</v>
      </c>
      <c r="K4383" s="695" t="s">
        <v>5334</v>
      </c>
      <c r="L4383" s="696">
        <v>1</v>
      </c>
      <c r="M4383" s="170"/>
    </row>
    <row r="4384" spans="2:13" x14ac:dyDescent="0.2">
      <c r="B4384" s="173"/>
      <c r="C4384" s="694">
        <v>1</v>
      </c>
      <c r="D4384" s="695" t="s">
        <v>3903</v>
      </c>
      <c r="E4384" s="695">
        <v>7</v>
      </c>
      <c r="F4384" s="695" t="s">
        <v>6711</v>
      </c>
      <c r="G4384" s="695">
        <v>11</v>
      </c>
      <c r="H4384" s="695" t="s">
        <v>6685</v>
      </c>
      <c r="I4384" s="695">
        <v>26</v>
      </c>
      <c r="J4384" s="695" t="s">
        <v>7526</v>
      </c>
      <c r="K4384" s="695" t="s">
        <v>5334</v>
      </c>
      <c r="L4384" s="696">
        <v>0</v>
      </c>
      <c r="M4384" s="170"/>
    </row>
    <row r="4385" spans="2:13" x14ac:dyDescent="0.2">
      <c r="B4385" s="173"/>
      <c r="C4385" s="694">
        <v>1</v>
      </c>
      <c r="D4385" s="695" t="s">
        <v>3903</v>
      </c>
      <c r="E4385" s="695">
        <v>7</v>
      </c>
      <c r="F4385" s="695" t="s">
        <v>6711</v>
      </c>
      <c r="G4385" s="695">
        <v>11</v>
      </c>
      <c r="H4385" s="695" t="s">
        <v>6685</v>
      </c>
      <c r="I4385" s="695">
        <v>27</v>
      </c>
      <c r="J4385" s="695" t="s">
        <v>7527</v>
      </c>
      <c r="K4385" s="695" t="s">
        <v>5334</v>
      </c>
      <c r="L4385" s="696">
        <v>0</v>
      </c>
      <c r="M4385" s="170"/>
    </row>
    <row r="4386" spans="2:13" x14ac:dyDescent="0.2">
      <c r="B4386" s="173"/>
      <c r="C4386" s="694">
        <v>1</v>
      </c>
      <c r="D4386" s="695" t="s">
        <v>3903</v>
      </c>
      <c r="E4386" s="695">
        <v>7</v>
      </c>
      <c r="F4386" s="695" t="s">
        <v>6711</v>
      </c>
      <c r="G4386" s="695">
        <v>11</v>
      </c>
      <c r="H4386" s="695" t="s">
        <v>6685</v>
      </c>
      <c r="I4386" s="695">
        <v>28</v>
      </c>
      <c r="J4386" s="695" t="s">
        <v>7528</v>
      </c>
      <c r="K4386" s="695" t="s">
        <v>5334</v>
      </c>
      <c r="L4386" s="696">
        <v>0</v>
      </c>
      <c r="M4386" s="170"/>
    </row>
    <row r="4387" spans="2:13" x14ac:dyDescent="0.2">
      <c r="B4387" s="173"/>
      <c r="C4387" s="694">
        <v>1</v>
      </c>
      <c r="D4387" s="695" t="s">
        <v>3903</v>
      </c>
      <c r="E4387" s="695">
        <v>7</v>
      </c>
      <c r="F4387" s="695" t="s">
        <v>6711</v>
      </c>
      <c r="G4387" s="695">
        <v>11</v>
      </c>
      <c r="H4387" s="695" t="s">
        <v>6685</v>
      </c>
      <c r="I4387" s="695">
        <v>29</v>
      </c>
      <c r="J4387" s="695" t="s">
        <v>7529</v>
      </c>
      <c r="K4387" s="695" t="s">
        <v>5334</v>
      </c>
      <c r="L4387" s="696">
        <v>0</v>
      </c>
      <c r="M4387" s="170"/>
    </row>
    <row r="4388" spans="2:13" x14ac:dyDescent="0.2">
      <c r="B4388" s="173"/>
      <c r="C4388" s="694">
        <v>1</v>
      </c>
      <c r="D4388" s="695" t="s">
        <v>3903</v>
      </c>
      <c r="E4388" s="695">
        <v>7</v>
      </c>
      <c r="F4388" s="695" t="s">
        <v>6711</v>
      </c>
      <c r="G4388" s="695">
        <v>11</v>
      </c>
      <c r="H4388" s="695" t="s">
        <v>6685</v>
      </c>
      <c r="I4388" s="695">
        <v>30</v>
      </c>
      <c r="J4388" s="695" t="s">
        <v>7530</v>
      </c>
      <c r="K4388" s="695" t="s">
        <v>5334</v>
      </c>
      <c r="L4388" s="696">
        <v>0</v>
      </c>
      <c r="M4388" s="170"/>
    </row>
    <row r="4389" spans="2:13" x14ac:dyDescent="0.2">
      <c r="B4389" s="173"/>
      <c r="C4389" s="694">
        <v>1</v>
      </c>
      <c r="D4389" s="695" t="s">
        <v>3903</v>
      </c>
      <c r="E4389" s="695">
        <v>7</v>
      </c>
      <c r="F4389" s="695" t="s">
        <v>6711</v>
      </c>
      <c r="G4389" s="695">
        <v>11</v>
      </c>
      <c r="H4389" s="695" t="s">
        <v>6685</v>
      </c>
      <c r="I4389" s="695">
        <v>31</v>
      </c>
      <c r="J4389" s="695" t="s">
        <v>7531</v>
      </c>
      <c r="K4389" s="695" t="s">
        <v>5334</v>
      </c>
      <c r="L4389" s="696">
        <v>0</v>
      </c>
      <c r="M4389" s="170"/>
    </row>
    <row r="4390" spans="2:13" x14ac:dyDescent="0.2">
      <c r="B4390" s="173"/>
      <c r="C4390" s="694">
        <v>1</v>
      </c>
      <c r="D4390" s="695" t="s">
        <v>3903</v>
      </c>
      <c r="E4390" s="695">
        <v>7</v>
      </c>
      <c r="F4390" s="695" t="s">
        <v>6711</v>
      </c>
      <c r="G4390" s="695">
        <v>11</v>
      </c>
      <c r="H4390" s="695" t="s">
        <v>6685</v>
      </c>
      <c r="I4390" s="695">
        <v>32</v>
      </c>
      <c r="J4390" s="695" t="s">
        <v>7532</v>
      </c>
      <c r="K4390" s="695" t="s">
        <v>5334</v>
      </c>
      <c r="L4390" s="696">
        <v>1</v>
      </c>
      <c r="M4390" s="170"/>
    </row>
    <row r="4391" spans="2:13" x14ac:dyDescent="0.2">
      <c r="B4391" s="173"/>
      <c r="C4391" s="694">
        <v>1</v>
      </c>
      <c r="D4391" s="695" t="s">
        <v>3903</v>
      </c>
      <c r="E4391" s="695">
        <v>7</v>
      </c>
      <c r="F4391" s="695" t="s">
        <v>6711</v>
      </c>
      <c r="G4391" s="695">
        <v>11</v>
      </c>
      <c r="H4391" s="695" t="s">
        <v>6685</v>
      </c>
      <c r="I4391" s="695">
        <v>33</v>
      </c>
      <c r="J4391" s="695" t="s">
        <v>7533</v>
      </c>
      <c r="K4391" s="695" t="s">
        <v>5334</v>
      </c>
      <c r="L4391" s="696">
        <v>0</v>
      </c>
      <c r="M4391" s="170"/>
    </row>
    <row r="4392" spans="2:13" x14ac:dyDescent="0.2">
      <c r="B4392" s="173"/>
      <c r="C4392" s="694">
        <v>1</v>
      </c>
      <c r="D4392" s="695" t="s">
        <v>3903</v>
      </c>
      <c r="E4392" s="695">
        <v>7</v>
      </c>
      <c r="F4392" s="695" t="s">
        <v>6711</v>
      </c>
      <c r="G4392" s="695">
        <v>11</v>
      </c>
      <c r="H4392" s="695" t="s">
        <v>6685</v>
      </c>
      <c r="I4392" s="695">
        <v>34</v>
      </c>
      <c r="J4392" s="695" t="s">
        <v>7534</v>
      </c>
      <c r="K4392" s="695" t="s">
        <v>5334</v>
      </c>
      <c r="L4392" s="696">
        <v>1</v>
      </c>
      <c r="M4392" s="170"/>
    </row>
    <row r="4393" spans="2:13" x14ac:dyDescent="0.2">
      <c r="B4393" s="173"/>
      <c r="C4393" s="694">
        <v>1</v>
      </c>
      <c r="D4393" s="695" t="s">
        <v>3903</v>
      </c>
      <c r="E4393" s="695">
        <v>7</v>
      </c>
      <c r="F4393" s="695" t="s">
        <v>6711</v>
      </c>
      <c r="G4393" s="695">
        <v>11</v>
      </c>
      <c r="H4393" s="695" t="s">
        <v>6685</v>
      </c>
      <c r="I4393" s="695">
        <v>35</v>
      </c>
      <c r="J4393" s="695" t="s">
        <v>7535</v>
      </c>
      <c r="K4393" s="695" t="s">
        <v>5334</v>
      </c>
      <c r="L4393" s="696">
        <v>1</v>
      </c>
      <c r="M4393" s="170"/>
    </row>
    <row r="4394" spans="2:13" x14ac:dyDescent="0.2">
      <c r="B4394" s="173"/>
      <c r="C4394" s="694">
        <v>1</v>
      </c>
      <c r="D4394" s="695" t="s">
        <v>3903</v>
      </c>
      <c r="E4394" s="695">
        <v>7</v>
      </c>
      <c r="F4394" s="695" t="s">
        <v>6711</v>
      </c>
      <c r="G4394" s="695">
        <v>11</v>
      </c>
      <c r="H4394" s="695" t="s">
        <v>6685</v>
      </c>
      <c r="I4394" s="695">
        <v>38</v>
      </c>
      <c r="J4394" s="695" t="s">
        <v>7536</v>
      </c>
      <c r="K4394" s="695" t="s">
        <v>5334</v>
      </c>
      <c r="L4394" s="696">
        <v>0</v>
      </c>
      <c r="M4394" s="170"/>
    </row>
    <row r="4395" spans="2:13" x14ac:dyDescent="0.2">
      <c r="B4395" s="173"/>
      <c r="C4395" s="694">
        <v>1</v>
      </c>
      <c r="D4395" s="695" t="s">
        <v>3903</v>
      </c>
      <c r="E4395" s="695">
        <v>7</v>
      </c>
      <c r="F4395" s="695" t="s">
        <v>6711</v>
      </c>
      <c r="G4395" s="695">
        <v>11</v>
      </c>
      <c r="H4395" s="695" t="s">
        <v>6685</v>
      </c>
      <c r="I4395" s="695">
        <v>39</v>
      </c>
      <c r="J4395" s="695" t="s">
        <v>4076</v>
      </c>
      <c r="K4395" s="695" t="s">
        <v>5334</v>
      </c>
      <c r="L4395" s="696">
        <v>33</v>
      </c>
      <c r="M4395" s="170"/>
    </row>
    <row r="4396" spans="2:13" x14ac:dyDescent="0.2">
      <c r="B4396" s="173"/>
      <c r="C4396" s="694">
        <v>1</v>
      </c>
      <c r="D4396" s="695" t="s">
        <v>3903</v>
      </c>
      <c r="E4396" s="695">
        <v>7</v>
      </c>
      <c r="F4396" s="695" t="s">
        <v>6711</v>
      </c>
      <c r="G4396" s="695">
        <v>11</v>
      </c>
      <c r="H4396" s="695" t="s">
        <v>6685</v>
      </c>
      <c r="I4396" s="695">
        <v>40</v>
      </c>
      <c r="J4396" s="695" t="s">
        <v>7537</v>
      </c>
      <c r="K4396" s="695" t="s">
        <v>5334</v>
      </c>
      <c r="L4396" s="696">
        <v>0</v>
      </c>
      <c r="M4396" s="170"/>
    </row>
    <row r="4397" spans="2:13" x14ac:dyDescent="0.2">
      <c r="B4397" s="173"/>
      <c r="C4397" s="694">
        <v>1</v>
      </c>
      <c r="D4397" s="695" t="s">
        <v>3903</v>
      </c>
      <c r="E4397" s="695">
        <v>7</v>
      </c>
      <c r="F4397" s="695" t="s">
        <v>6711</v>
      </c>
      <c r="G4397" s="695">
        <v>11</v>
      </c>
      <c r="H4397" s="695" t="s">
        <v>6685</v>
      </c>
      <c r="I4397" s="695">
        <v>41</v>
      </c>
      <c r="J4397" s="695" t="s">
        <v>7538</v>
      </c>
      <c r="K4397" s="695" t="s">
        <v>5334</v>
      </c>
      <c r="L4397" s="696">
        <v>0</v>
      </c>
      <c r="M4397" s="170"/>
    </row>
    <row r="4398" spans="2:13" x14ac:dyDescent="0.2">
      <c r="B4398" s="173"/>
      <c r="C4398" s="694">
        <v>1</v>
      </c>
      <c r="D4398" s="695" t="s">
        <v>3903</v>
      </c>
      <c r="E4398" s="695">
        <v>7</v>
      </c>
      <c r="F4398" s="695" t="s">
        <v>6711</v>
      </c>
      <c r="G4398" s="695">
        <v>11</v>
      </c>
      <c r="H4398" s="695" t="s">
        <v>6685</v>
      </c>
      <c r="I4398" s="695">
        <v>42</v>
      </c>
      <c r="J4398" s="695" t="s">
        <v>7539</v>
      </c>
      <c r="K4398" s="695" t="s">
        <v>5334</v>
      </c>
      <c r="L4398" s="696">
        <v>0</v>
      </c>
      <c r="M4398" s="170"/>
    </row>
    <row r="4399" spans="2:13" x14ac:dyDescent="0.2">
      <c r="B4399" s="173"/>
      <c r="C4399" s="694">
        <v>1</v>
      </c>
      <c r="D4399" s="695" t="s">
        <v>3903</v>
      </c>
      <c r="E4399" s="695">
        <v>7</v>
      </c>
      <c r="F4399" s="695" t="s">
        <v>6711</v>
      </c>
      <c r="G4399" s="695">
        <v>11</v>
      </c>
      <c r="H4399" s="695" t="s">
        <v>6685</v>
      </c>
      <c r="I4399" s="695">
        <v>43</v>
      </c>
      <c r="J4399" s="695" t="s">
        <v>7540</v>
      </c>
      <c r="K4399" s="695" t="s">
        <v>5334</v>
      </c>
      <c r="L4399" s="696">
        <v>0</v>
      </c>
      <c r="M4399" s="170"/>
    </row>
    <row r="4400" spans="2:13" x14ac:dyDescent="0.2">
      <c r="B4400" s="173"/>
      <c r="C4400" s="694">
        <v>1</v>
      </c>
      <c r="D4400" s="695" t="s">
        <v>3903</v>
      </c>
      <c r="E4400" s="695">
        <v>7</v>
      </c>
      <c r="F4400" s="695" t="s">
        <v>6711</v>
      </c>
      <c r="G4400" s="695">
        <v>11</v>
      </c>
      <c r="H4400" s="695" t="s">
        <v>6685</v>
      </c>
      <c r="I4400" s="695">
        <v>44</v>
      </c>
      <c r="J4400" s="695" t="s">
        <v>7541</v>
      </c>
      <c r="K4400" s="695" t="s">
        <v>5334</v>
      </c>
      <c r="L4400" s="696">
        <v>0</v>
      </c>
      <c r="M4400" s="170"/>
    </row>
    <row r="4401" spans="2:13" x14ac:dyDescent="0.2">
      <c r="B4401" s="173"/>
      <c r="C4401" s="694">
        <v>1</v>
      </c>
      <c r="D4401" s="695" t="s">
        <v>3903</v>
      </c>
      <c r="E4401" s="695">
        <v>7</v>
      </c>
      <c r="F4401" s="695" t="s">
        <v>6711</v>
      </c>
      <c r="G4401" s="695">
        <v>11</v>
      </c>
      <c r="H4401" s="695" t="s">
        <v>6685</v>
      </c>
      <c r="I4401" s="695">
        <v>45</v>
      </c>
      <c r="J4401" s="695" t="s">
        <v>7542</v>
      </c>
      <c r="K4401" s="695" t="s">
        <v>5334</v>
      </c>
      <c r="L4401" s="696">
        <v>1</v>
      </c>
      <c r="M4401" s="170"/>
    </row>
    <row r="4402" spans="2:13" x14ac:dyDescent="0.2">
      <c r="B4402" s="173"/>
      <c r="C4402" s="694">
        <v>1</v>
      </c>
      <c r="D4402" s="695" t="s">
        <v>3903</v>
      </c>
      <c r="E4402" s="695">
        <v>7</v>
      </c>
      <c r="F4402" s="695" t="s">
        <v>6711</v>
      </c>
      <c r="G4402" s="695">
        <v>11</v>
      </c>
      <c r="H4402" s="695" t="s">
        <v>6685</v>
      </c>
      <c r="I4402" s="695">
        <v>46</v>
      </c>
      <c r="J4402" s="695" t="s">
        <v>7543</v>
      </c>
      <c r="K4402" s="695" t="s">
        <v>5334</v>
      </c>
      <c r="L4402" s="696">
        <v>0</v>
      </c>
      <c r="M4402" s="170"/>
    </row>
    <row r="4403" spans="2:13" x14ac:dyDescent="0.2">
      <c r="B4403" s="173"/>
      <c r="C4403" s="694">
        <v>1</v>
      </c>
      <c r="D4403" s="695" t="s">
        <v>3903</v>
      </c>
      <c r="E4403" s="695">
        <v>7</v>
      </c>
      <c r="F4403" s="695" t="s">
        <v>6711</v>
      </c>
      <c r="G4403" s="695">
        <v>11</v>
      </c>
      <c r="H4403" s="695" t="s">
        <v>6685</v>
      </c>
      <c r="I4403" s="695">
        <v>47</v>
      </c>
      <c r="J4403" s="695" t="s">
        <v>7544</v>
      </c>
      <c r="K4403" s="695" t="s">
        <v>5334</v>
      </c>
      <c r="L4403" s="696">
        <v>0</v>
      </c>
      <c r="M4403" s="170"/>
    </row>
    <row r="4404" spans="2:13" x14ac:dyDescent="0.2">
      <c r="B4404" s="173"/>
      <c r="C4404" s="694">
        <v>1</v>
      </c>
      <c r="D4404" s="695" t="s">
        <v>3903</v>
      </c>
      <c r="E4404" s="695">
        <v>7</v>
      </c>
      <c r="F4404" s="695" t="s">
        <v>6711</v>
      </c>
      <c r="G4404" s="695">
        <v>11</v>
      </c>
      <c r="H4404" s="695" t="s">
        <v>6685</v>
      </c>
      <c r="I4404" s="695">
        <v>48</v>
      </c>
      <c r="J4404" s="695" t="s">
        <v>7545</v>
      </c>
      <c r="K4404" s="695" t="s">
        <v>5334</v>
      </c>
      <c r="L4404" s="696">
        <v>0</v>
      </c>
      <c r="M4404" s="170"/>
    </row>
    <row r="4405" spans="2:13" x14ac:dyDescent="0.2">
      <c r="B4405" s="173"/>
      <c r="C4405" s="694">
        <v>1</v>
      </c>
      <c r="D4405" s="695" t="s">
        <v>3903</v>
      </c>
      <c r="E4405" s="695">
        <v>7</v>
      </c>
      <c r="F4405" s="695" t="s">
        <v>6711</v>
      </c>
      <c r="G4405" s="695">
        <v>11</v>
      </c>
      <c r="H4405" s="695" t="s">
        <v>6685</v>
      </c>
      <c r="I4405" s="695">
        <v>49</v>
      </c>
      <c r="J4405" s="695" t="s">
        <v>7546</v>
      </c>
      <c r="K4405" s="695" t="s">
        <v>5334</v>
      </c>
      <c r="L4405" s="696">
        <v>0</v>
      </c>
      <c r="M4405" s="170"/>
    </row>
    <row r="4406" spans="2:13" x14ac:dyDescent="0.2">
      <c r="B4406" s="173"/>
      <c r="C4406" s="694">
        <v>1</v>
      </c>
      <c r="D4406" s="695" t="s">
        <v>3903</v>
      </c>
      <c r="E4406" s="695">
        <v>7</v>
      </c>
      <c r="F4406" s="695" t="s">
        <v>6711</v>
      </c>
      <c r="G4406" s="695">
        <v>11</v>
      </c>
      <c r="H4406" s="695" t="s">
        <v>6685</v>
      </c>
      <c r="I4406" s="695">
        <v>50</v>
      </c>
      <c r="J4406" s="695" t="s">
        <v>7547</v>
      </c>
      <c r="K4406" s="695" t="s">
        <v>5334</v>
      </c>
      <c r="L4406" s="696">
        <v>1</v>
      </c>
      <c r="M4406" s="170"/>
    </row>
    <row r="4407" spans="2:13" x14ac:dyDescent="0.2">
      <c r="B4407" s="173"/>
      <c r="C4407" s="694">
        <v>1</v>
      </c>
      <c r="D4407" s="695" t="s">
        <v>3903</v>
      </c>
      <c r="E4407" s="695">
        <v>7</v>
      </c>
      <c r="F4407" s="695" t="s">
        <v>6711</v>
      </c>
      <c r="G4407" s="695">
        <v>11</v>
      </c>
      <c r="H4407" s="695" t="s">
        <v>6685</v>
      </c>
      <c r="I4407" s="695">
        <v>51</v>
      </c>
      <c r="J4407" s="695" t="s">
        <v>7548</v>
      </c>
      <c r="K4407" s="695" t="s">
        <v>5334</v>
      </c>
      <c r="L4407" s="696">
        <v>0</v>
      </c>
      <c r="M4407" s="170"/>
    </row>
    <row r="4408" spans="2:13" x14ac:dyDescent="0.2">
      <c r="B4408" s="173"/>
      <c r="C4408" s="694">
        <v>1</v>
      </c>
      <c r="D4408" s="695" t="s">
        <v>3903</v>
      </c>
      <c r="E4408" s="695">
        <v>7</v>
      </c>
      <c r="F4408" s="695" t="s">
        <v>6711</v>
      </c>
      <c r="G4408" s="695">
        <v>11</v>
      </c>
      <c r="H4408" s="695" t="s">
        <v>6685</v>
      </c>
      <c r="I4408" s="695">
        <v>52</v>
      </c>
      <c r="J4408" s="695" t="s">
        <v>7549</v>
      </c>
      <c r="K4408" s="695" t="s">
        <v>5334</v>
      </c>
      <c r="L4408" s="696">
        <v>0</v>
      </c>
      <c r="M4408" s="170"/>
    </row>
    <row r="4409" spans="2:13" x14ac:dyDescent="0.2">
      <c r="B4409" s="173"/>
      <c r="C4409" s="694">
        <v>1</v>
      </c>
      <c r="D4409" s="695" t="s">
        <v>3903</v>
      </c>
      <c r="E4409" s="695">
        <v>7</v>
      </c>
      <c r="F4409" s="695" t="s">
        <v>6711</v>
      </c>
      <c r="G4409" s="695">
        <v>11</v>
      </c>
      <c r="H4409" s="695" t="s">
        <v>6685</v>
      </c>
      <c r="I4409" s="695">
        <v>53</v>
      </c>
      <c r="J4409" s="695" t="s">
        <v>7550</v>
      </c>
      <c r="K4409" s="695" t="s">
        <v>5334</v>
      </c>
      <c r="L4409" s="696">
        <v>0</v>
      </c>
      <c r="M4409" s="170"/>
    </row>
    <row r="4410" spans="2:13" x14ac:dyDescent="0.2">
      <c r="B4410" s="173"/>
      <c r="C4410" s="694">
        <v>1</v>
      </c>
      <c r="D4410" s="695" t="s">
        <v>3903</v>
      </c>
      <c r="E4410" s="695">
        <v>7</v>
      </c>
      <c r="F4410" s="695" t="s">
        <v>6711</v>
      </c>
      <c r="G4410" s="695">
        <v>11</v>
      </c>
      <c r="H4410" s="695" t="s">
        <v>6685</v>
      </c>
      <c r="I4410" s="695">
        <v>54</v>
      </c>
      <c r="J4410" s="695" t="s">
        <v>7551</v>
      </c>
      <c r="K4410" s="695" t="s">
        <v>5334</v>
      </c>
      <c r="L4410" s="696">
        <v>0</v>
      </c>
      <c r="M4410" s="170"/>
    </row>
    <row r="4411" spans="2:13" x14ac:dyDescent="0.2">
      <c r="B4411" s="173"/>
      <c r="C4411" s="694">
        <v>1</v>
      </c>
      <c r="D4411" s="695" t="s">
        <v>3903</v>
      </c>
      <c r="E4411" s="695">
        <v>7</v>
      </c>
      <c r="F4411" s="695" t="s">
        <v>6711</v>
      </c>
      <c r="G4411" s="695">
        <v>11</v>
      </c>
      <c r="H4411" s="695" t="s">
        <v>6685</v>
      </c>
      <c r="I4411" s="695">
        <v>55</v>
      </c>
      <c r="J4411" s="695" t="s">
        <v>7552</v>
      </c>
      <c r="K4411" s="695" t="s">
        <v>5334</v>
      </c>
      <c r="L4411" s="696">
        <v>4</v>
      </c>
      <c r="M4411" s="170"/>
    </row>
    <row r="4412" spans="2:13" x14ac:dyDescent="0.2">
      <c r="B4412" s="173"/>
      <c r="C4412" s="694">
        <v>1</v>
      </c>
      <c r="D4412" s="695" t="s">
        <v>3903</v>
      </c>
      <c r="E4412" s="695">
        <v>7</v>
      </c>
      <c r="F4412" s="695" t="s">
        <v>6711</v>
      </c>
      <c r="G4412" s="695">
        <v>11</v>
      </c>
      <c r="H4412" s="695" t="s">
        <v>6685</v>
      </c>
      <c r="I4412" s="695">
        <v>56</v>
      </c>
      <c r="J4412" s="695" t="s">
        <v>7553</v>
      </c>
      <c r="K4412" s="695" t="s">
        <v>5334</v>
      </c>
      <c r="L4412" s="696">
        <v>0</v>
      </c>
      <c r="M4412" s="170"/>
    </row>
    <row r="4413" spans="2:13" x14ac:dyDescent="0.2">
      <c r="B4413" s="173"/>
      <c r="C4413" s="694">
        <v>1</v>
      </c>
      <c r="D4413" s="695" t="s">
        <v>3903</v>
      </c>
      <c r="E4413" s="695">
        <v>7</v>
      </c>
      <c r="F4413" s="695" t="s">
        <v>6711</v>
      </c>
      <c r="G4413" s="695">
        <v>11</v>
      </c>
      <c r="H4413" s="695" t="s">
        <v>6685</v>
      </c>
      <c r="I4413" s="695">
        <v>57</v>
      </c>
      <c r="J4413" s="695" t="s">
        <v>7554</v>
      </c>
      <c r="K4413" s="695" t="s">
        <v>5334</v>
      </c>
      <c r="L4413" s="696">
        <v>0</v>
      </c>
      <c r="M4413" s="170"/>
    </row>
    <row r="4414" spans="2:13" x14ac:dyDescent="0.2">
      <c r="B4414" s="173"/>
      <c r="C4414" s="694">
        <v>1</v>
      </c>
      <c r="D4414" s="695" t="s">
        <v>3903</v>
      </c>
      <c r="E4414" s="695">
        <v>7</v>
      </c>
      <c r="F4414" s="695" t="s">
        <v>6711</v>
      </c>
      <c r="G4414" s="695">
        <v>11</v>
      </c>
      <c r="H4414" s="695" t="s">
        <v>6685</v>
      </c>
      <c r="I4414" s="695">
        <v>58</v>
      </c>
      <c r="J4414" s="695" t="s">
        <v>7555</v>
      </c>
      <c r="K4414" s="695" t="s">
        <v>5334</v>
      </c>
      <c r="L4414" s="696">
        <v>30</v>
      </c>
      <c r="M4414" s="170"/>
    </row>
    <row r="4415" spans="2:13" x14ac:dyDescent="0.2">
      <c r="B4415" s="173"/>
      <c r="C4415" s="694">
        <v>1</v>
      </c>
      <c r="D4415" s="695" t="s">
        <v>3903</v>
      </c>
      <c r="E4415" s="695">
        <v>7</v>
      </c>
      <c r="F4415" s="695" t="s">
        <v>6711</v>
      </c>
      <c r="G4415" s="695">
        <v>11</v>
      </c>
      <c r="H4415" s="695" t="s">
        <v>6685</v>
      </c>
      <c r="I4415" s="695">
        <v>59</v>
      </c>
      <c r="J4415" s="695" t="s">
        <v>7556</v>
      </c>
      <c r="K4415" s="695" t="s">
        <v>5334</v>
      </c>
      <c r="L4415" s="696">
        <v>3</v>
      </c>
      <c r="M4415" s="170"/>
    </row>
    <row r="4416" spans="2:13" x14ac:dyDescent="0.2">
      <c r="B4416" s="173"/>
      <c r="C4416" s="694">
        <v>1</v>
      </c>
      <c r="D4416" s="695" t="s">
        <v>3903</v>
      </c>
      <c r="E4416" s="695">
        <v>7</v>
      </c>
      <c r="F4416" s="695" t="s">
        <v>6711</v>
      </c>
      <c r="G4416" s="695">
        <v>11</v>
      </c>
      <c r="H4416" s="695" t="s">
        <v>6685</v>
      </c>
      <c r="I4416" s="695">
        <v>60</v>
      </c>
      <c r="J4416" s="695" t="s">
        <v>7557</v>
      </c>
      <c r="K4416" s="695" t="s">
        <v>5334</v>
      </c>
      <c r="L4416" s="696">
        <v>1</v>
      </c>
      <c r="M4416" s="170"/>
    </row>
    <row r="4417" spans="2:13" x14ac:dyDescent="0.2">
      <c r="B4417" s="173"/>
      <c r="C4417" s="694">
        <v>1</v>
      </c>
      <c r="D4417" s="695" t="s">
        <v>3903</v>
      </c>
      <c r="E4417" s="695">
        <v>7</v>
      </c>
      <c r="F4417" s="695" t="s">
        <v>6711</v>
      </c>
      <c r="G4417" s="695">
        <v>11</v>
      </c>
      <c r="H4417" s="695" t="s">
        <v>6685</v>
      </c>
      <c r="I4417" s="695">
        <v>61</v>
      </c>
      <c r="J4417" s="695" t="s">
        <v>7558</v>
      </c>
      <c r="K4417" s="695" t="s">
        <v>5334</v>
      </c>
      <c r="L4417" s="696">
        <v>3</v>
      </c>
      <c r="M4417" s="170"/>
    </row>
    <row r="4418" spans="2:13" x14ac:dyDescent="0.2">
      <c r="B4418" s="173"/>
      <c r="C4418" s="694">
        <v>1</v>
      </c>
      <c r="D4418" s="695" t="s">
        <v>3903</v>
      </c>
      <c r="E4418" s="695">
        <v>7</v>
      </c>
      <c r="F4418" s="695" t="s">
        <v>6711</v>
      </c>
      <c r="G4418" s="695">
        <v>11</v>
      </c>
      <c r="H4418" s="695" t="s">
        <v>6685</v>
      </c>
      <c r="I4418" s="695">
        <v>62</v>
      </c>
      <c r="J4418" s="695" t="s">
        <v>7559</v>
      </c>
      <c r="K4418" s="695" t="s">
        <v>5334</v>
      </c>
      <c r="L4418" s="696">
        <v>10</v>
      </c>
      <c r="M4418" s="170"/>
    </row>
    <row r="4419" spans="2:13" x14ac:dyDescent="0.2">
      <c r="B4419" s="173"/>
      <c r="C4419" s="694">
        <v>1</v>
      </c>
      <c r="D4419" s="695" t="s">
        <v>3903</v>
      </c>
      <c r="E4419" s="695">
        <v>7</v>
      </c>
      <c r="F4419" s="695" t="s">
        <v>6711</v>
      </c>
      <c r="G4419" s="695">
        <v>11</v>
      </c>
      <c r="H4419" s="695" t="s">
        <v>6685</v>
      </c>
      <c r="I4419" s="695">
        <v>63</v>
      </c>
      <c r="J4419" s="695" t="s">
        <v>7560</v>
      </c>
      <c r="K4419" s="695" t="s">
        <v>5334</v>
      </c>
      <c r="L4419" s="696">
        <v>3</v>
      </c>
      <c r="M4419" s="170"/>
    </row>
    <row r="4420" spans="2:13" x14ac:dyDescent="0.2">
      <c r="B4420" s="173"/>
      <c r="C4420" s="694">
        <v>1</v>
      </c>
      <c r="D4420" s="695" t="s">
        <v>3903</v>
      </c>
      <c r="E4420" s="695">
        <v>7</v>
      </c>
      <c r="F4420" s="695" t="s">
        <v>6711</v>
      </c>
      <c r="G4420" s="695">
        <v>11</v>
      </c>
      <c r="H4420" s="695" t="s">
        <v>6685</v>
      </c>
      <c r="I4420" s="695">
        <v>64</v>
      </c>
      <c r="J4420" s="695" t="s">
        <v>7561</v>
      </c>
      <c r="K4420" s="695" t="s">
        <v>5334</v>
      </c>
      <c r="L4420" s="696">
        <v>0</v>
      </c>
      <c r="M4420" s="170"/>
    </row>
    <row r="4421" spans="2:13" x14ac:dyDescent="0.2">
      <c r="B4421" s="173"/>
      <c r="C4421" s="694">
        <v>1</v>
      </c>
      <c r="D4421" s="695" t="s">
        <v>3903</v>
      </c>
      <c r="E4421" s="695">
        <v>7</v>
      </c>
      <c r="F4421" s="695" t="s">
        <v>6711</v>
      </c>
      <c r="G4421" s="695">
        <v>11</v>
      </c>
      <c r="H4421" s="695" t="s">
        <v>6685</v>
      </c>
      <c r="I4421" s="695">
        <v>65</v>
      </c>
      <c r="J4421" s="695" t="s">
        <v>7558</v>
      </c>
      <c r="K4421" s="695" t="s">
        <v>5334</v>
      </c>
      <c r="L4421" s="696">
        <v>1</v>
      </c>
      <c r="M4421" s="170"/>
    </row>
    <row r="4422" spans="2:13" x14ac:dyDescent="0.2">
      <c r="B4422" s="173"/>
      <c r="C4422" s="694">
        <v>1</v>
      </c>
      <c r="D4422" s="695" t="s">
        <v>3903</v>
      </c>
      <c r="E4422" s="695">
        <v>7</v>
      </c>
      <c r="F4422" s="695" t="s">
        <v>6711</v>
      </c>
      <c r="G4422" s="695">
        <v>11</v>
      </c>
      <c r="H4422" s="695" t="s">
        <v>6685</v>
      </c>
      <c r="I4422" s="695">
        <v>66</v>
      </c>
      <c r="J4422" s="695" t="s">
        <v>7562</v>
      </c>
      <c r="K4422" s="695" t="s">
        <v>5334</v>
      </c>
      <c r="L4422" s="696">
        <v>0</v>
      </c>
      <c r="M4422" s="170"/>
    </row>
    <row r="4423" spans="2:13" x14ac:dyDescent="0.2">
      <c r="B4423" s="173"/>
      <c r="C4423" s="694">
        <v>1</v>
      </c>
      <c r="D4423" s="695" t="s">
        <v>3903</v>
      </c>
      <c r="E4423" s="695">
        <v>7</v>
      </c>
      <c r="F4423" s="695" t="s">
        <v>6711</v>
      </c>
      <c r="G4423" s="695">
        <v>11</v>
      </c>
      <c r="H4423" s="695" t="s">
        <v>6685</v>
      </c>
      <c r="I4423" s="695">
        <v>67</v>
      </c>
      <c r="J4423" s="695" t="s">
        <v>7563</v>
      </c>
      <c r="K4423" s="695" t="s">
        <v>5334</v>
      </c>
      <c r="L4423" s="696">
        <v>0</v>
      </c>
      <c r="M4423" s="170"/>
    </row>
    <row r="4424" spans="2:13" x14ac:dyDescent="0.2">
      <c r="B4424" s="173"/>
      <c r="C4424" s="694">
        <v>1</v>
      </c>
      <c r="D4424" s="695" t="s">
        <v>3903</v>
      </c>
      <c r="E4424" s="695">
        <v>7</v>
      </c>
      <c r="F4424" s="695" t="s">
        <v>6711</v>
      </c>
      <c r="G4424" s="695">
        <v>11</v>
      </c>
      <c r="H4424" s="695" t="s">
        <v>6685</v>
      </c>
      <c r="I4424" s="695">
        <v>68</v>
      </c>
      <c r="J4424" s="695" t="s">
        <v>7564</v>
      </c>
      <c r="K4424" s="695" t="s">
        <v>5334</v>
      </c>
      <c r="L4424" s="696">
        <v>0</v>
      </c>
      <c r="M4424" s="170"/>
    </row>
    <row r="4425" spans="2:13" x14ac:dyDescent="0.2">
      <c r="B4425" s="173"/>
      <c r="C4425" s="694">
        <v>1</v>
      </c>
      <c r="D4425" s="695" t="s">
        <v>3903</v>
      </c>
      <c r="E4425" s="695">
        <v>7</v>
      </c>
      <c r="F4425" s="695" t="s">
        <v>6711</v>
      </c>
      <c r="G4425" s="695">
        <v>11</v>
      </c>
      <c r="H4425" s="695" t="s">
        <v>6685</v>
      </c>
      <c r="I4425" s="695">
        <v>69</v>
      </c>
      <c r="J4425" s="695" t="s">
        <v>7565</v>
      </c>
      <c r="K4425" s="695" t="s">
        <v>5334</v>
      </c>
      <c r="L4425" s="696">
        <v>0</v>
      </c>
      <c r="M4425" s="170"/>
    </row>
    <row r="4426" spans="2:13" x14ac:dyDescent="0.2">
      <c r="B4426" s="173"/>
      <c r="C4426" s="694">
        <v>1</v>
      </c>
      <c r="D4426" s="695" t="s">
        <v>3903</v>
      </c>
      <c r="E4426" s="695">
        <v>7</v>
      </c>
      <c r="F4426" s="695" t="s">
        <v>6711</v>
      </c>
      <c r="G4426" s="695">
        <v>11</v>
      </c>
      <c r="H4426" s="695" t="s">
        <v>6685</v>
      </c>
      <c r="I4426" s="695">
        <v>70</v>
      </c>
      <c r="J4426" s="695" t="s">
        <v>7566</v>
      </c>
      <c r="K4426" s="695" t="s">
        <v>5334</v>
      </c>
      <c r="L4426" s="696">
        <v>0</v>
      </c>
      <c r="M4426" s="170"/>
    </row>
    <row r="4427" spans="2:13" x14ac:dyDescent="0.2">
      <c r="B4427" s="173"/>
      <c r="C4427" s="694">
        <v>1</v>
      </c>
      <c r="D4427" s="695" t="s">
        <v>3903</v>
      </c>
      <c r="E4427" s="695">
        <v>7</v>
      </c>
      <c r="F4427" s="695" t="s">
        <v>6711</v>
      </c>
      <c r="G4427" s="695">
        <v>11</v>
      </c>
      <c r="H4427" s="695" t="s">
        <v>6685</v>
      </c>
      <c r="I4427" s="695">
        <v>71</v>
      </c>
      <c r="J4427" s="695" t="s">
        <v>7567</v>
      </c>
      <c r="K4427" s="695" t="s">
        <v>5334</v>
      </c>
      <c r="L4427" s="696">
        <v>0</v>
      </c>
      <c r="M4427" s="170"/>
    </row>
    <row r="4428" spans="2:13" x14ac:dyDescent="0.2">
      <c r="B4428" s="173"/>
      <c r="C4428" s="694">
        <v>1</v>
      </c>
      <c r="D4428" s="695" t="s">
        <v>3903</v>
      </c>
      <c r="E4428" s="695">
        <v>7</v>
      </c>
      <c r="F4428" s="695" t="s">
        <v>6711</v>
      </c>
      <c r="G4428" s="695">
        <v>11</v>
      </c>
      <c r="H4428" s="695" t="s">
        <v>6685</v>
      </c>
      <c r="I4428" s="695">
        <v>72</v>
      </c>
      <c r="J4428" s="695" t="s">
        <v>7568</v>
      </c>
      <c r="K4428" s="695" t="s">
        <v>5334</v>
      </c>
      <c r="L4428" s="696">
        <v>0</v>
      </c>
      <c r="M4428" s="170"/>
    </row>
    <row r="4429" spans="2:13" x14ac:dyDescent="0.2">
      <c r="B4429" s="173"/>
      <c r="C4429" s="694">
        <v>1</v>
      </c>
      <c r="D4429" s="695" t="s">
        <v>3903</v>
      </c>
      <c r="E4429" s="695">
        <v>7</v>
      </c>
      <c r="F4429" s="695" t="s">
        <v>6711</v>
      </c>
      <c r="G4429" s="695">
        <v>11</v>
      </c>
      <c r="H4429" s="695" t="s">
        <v>6685</v>
      </c>
      <c r="I4429" s="695">
        <v>73</v>
      </c>
      <c r="J4429" s="695" t="s">
        <v>7569</v>
      </c>
      <c r="K4429" s="695" t="s">
        <v>5334</v>
      </c>
      <c r="L4429" s="696">
        <v>0</v>
      </c>
      <c r="M4429" s="170"/>
    </row>
    <row r="4430" spans="2:13" x14ac:dyDescent="0.2">
      <c r="B4430" s="173"/>
      <c r="C4430" s="694">
        <v>1</v>
      </c>
      <c r="D4430" s="695" t="s">
        <v>3903</v>
      </c>
      <c r="E4430" s="695">
        <v>7</v>
      </c>
      <c r="F4430" s="695" t="s">
        <v>6711</v>
      </c>
      <c r="G4430" s="695">
        <v>11</v>
      </c>
      <c r="H4430" s="695" t="s">
        <v>6685</v>
      </c>
      <c r="I4430" s="695">
        <v>74</v>
      </c>
      <c r="J4430" s="695" t="s">
        <v>7570</v>
      </c>
      <c r="K4430" s="695" t="s">
        <v>5334</v>
      </c>
      <c r="L4430" s="696">
        <v>0</v>
      </c>
      <c r="M4430" s="170"/>
    </row>
    <row r="4431" spans="2:13" x14ac:dyDescent="0.2">
      <c r="B4431" s="173"/>
      <c r="C4431" s="694">
        <v>1</v>
      </c>
      <c r="D4431" s="695" t="s">
        <v>3903</v>
      </c>
      <c r="E4431" s="695">
        <v>7</v>
      </c>
      <c r="F4431" s="695" t="s">
        <v>6711</v>
      </c>
      <c r="G4431" s="695">
        <v>11</v>
      </c>
      <c r="H4431" s="695" t="s">
        <v>6685</v>
      </c>
      <c r="I4431" s="695">
        <v>75</v>
      </c>
      <c r="J4431" s="695" t="s">
        <v>7571</v>
      </c>
      <c r="K4431" s="695" t="s">
        <v>5334</v>
      </c>
      <c r="L4431" s="696">
        <v>7</v>
      </c>
      <c r="M4431" s="170"/>
    </row>
    <row r="4432" spans="2:13" x14ac:dyDescent="0.2">
      <c r="B4432" s="173"/>
      <c r="C4432" s="694">
        <v>1</v>
      </c>
      <c r="D4432" s="695" t="s">
        <v>3903</v>
      </c>
      <c r="E4432" s="695">
        <v>7</v>
      </c>
      <c r="F4432" s="695" t="s">
        <v>6711</v>
      </c>
      <c r="G4432" s="695">
        <v>11</v>
      </c>
      <c r="H4432" s="695" t="s">
        <v>6685</v>
      </c>
      <c r="I4432" s="695">
        <v>76</v>
      </c>
      <c r="J4432" s="695" t="s">
        <v>7572</v>
      </c>
      <c r="K4432" s="695" t="s">
        <v>5334</v>
      </c>
      <c r="L4432" s="696">
        <v>3</v>
      </c>
      <c r="M4432" s="170"/>
    </row>
    <row r="4433" spans="2:13" x14ac:dyDescent="0.2">
      <c r="B4433" s="173"/>
      <c r="C4433" s="694">
        <v>1</v>
      </c>
      <c r="D4433" s="695" t="s">
        <v>3903</v>
      </c>
      <c r="E4433" s="695">
        <v>7</v>
      </c>
      <c r="F4433" s="695" t="s">
        <v>6711</v>
      </c>
      <c r="G4433" s="695">
        <v>11</v>
      </c>
      <c r="H4433" s="695" t="s">
        <v>6685</v>
      </c>
      <c r="I4433" s="695">
        <v>77</v>
      </c>
      <c r="J4433" s="695" t="s">
        <v>7573</v>
      </c>
      <c r="K4433" s="695" t="s">
        <v>5334</v>
      </c>
      <c r="L4433" s="696">
        <v>3</v>
      </c>
      <c r="M4433" s="170"/>
    </row>
    <row r="4434" spans="2:13" x14ac:dyDescent="0.2">
      <c r="B4434" s="173"/>
      <c r="C4434" s="694">
        <v>1</v>
      </c>
      <c r="D4434" s="695" t="s">
        <v>3903</v>
      </c>
      <c r="E4434" s="695">
        <v>7</v>
      </c>
      <c r="F4434" s="695" t="s">
        <v>6711</v>
      </c>
      <c r="G4434" s="695">
        <v>11</v>
      </c>
      <c r="H4434" s="695" t="s">
        <v>6685</v>
      </c>
      <c r="I4434" s="695">
        <v>78</v>
      </c>
      <c r="J4434" s="695" t="s">
        <v>7574</v>
      </c>
      <c r="K4434" s="695" t="s">
        <v>5334</v>
      </c>
      <c r="L4434" s="696">
        <v>0</v>
      </c>
      <c r="M4434" s="170"/>
    </row>
    <row r="4435" spans="2:13" x14ac:dyDescent="0.2">
      <c r="B4435" s="173"/>
      <c r="C4435" s="694">
        <v>1</v>
      </c>
      <c r="D4435" s="695" t="s">
        <v>3903</v>
      </c>
      <c r="E4435" s="695">
        <v>7</v>
      </c>
      <c r="F4435" s="695" t="s">
        <v>6711</v>
      </c>
      <c r="G4435" s="695">
        <v>11</v>
      </c>
      <c r="H4435" s="695" t="s">
        <v>6685</v>
      </c>
      <c r="I4435" s="695">
        <v>79</v>
      </c>
      <c r="J4435" s="695" t="s">
        <v>7575</v>
      </c>
      <c r="K4435" s="695" t="s">
        <v>5334</v>
      </c>
      <c r="L4435" s="696">
        <v>0</v>
      </c>
      <c r="M4435" s="170"/>
    </row>
    <row r="4436" spans="2:13" x14ac:dyDescent="0.2">
      <c r="B4436" s="173"/>
      <c r="C4436" s="694">
        <v>1</v>
      </c>
      <c r="D4436" s="695" t="s">
        <v>3903</v>
      </c>
      <c r="E4436" s="695">
        <v>7</v>
      </c>
      <c r="F4436" s="695" t="s">
        <v>6711</v>
      </c>
      <c r="G4436" s="695">
        <v>11</v>
      </c>
      <c r="H4436" s="695" t="s">
        <v>6685</v>
      </c>
      <c r="I4436" s="695">
        <v>80</v>
      </c>
      <c r="J4436" s="695" t="s">
        <v>7576</v>
      </c>
      <c r="K4436" s="695" t="s">
        <v>5334</v>
      </c>
      <c r="L4436" s="696">
        <v>4</v>
      </c>
      <c r="M4436" s="170"/>
    </row>
    <row r="4437" spans="2:13" x14ac:dyDescent="0.2">
      <c r="B4437" s="173"/>
      <c r="C4437" s="694">
        <v>1</v>
      </c>
      <c r="D4437" s="695" t="s">
        <v>3903</v>
      </c>
      <c r="E4437" s="695">
        <v>7</v>
      </c>
      <c r="F4437" s="695" t="s">
        <v>6711</v>
      </c>
      <c r="G4437" s="695">
        <v>11</v>
      </c>
      <c r="H4437" s="695" t="s">
        <v>6685</v>
      </c>
      <c r="I4437" s="695">
        <v>81</v>
      </c>
      <c r="J4437" s="695" t="s">
        <v>7577</v>
      </c>
      <c r="K4437" s="695" t="s">
        <v>5334</v>
      </c>
      <c r="L4437" s="696">
        <v>4</v>
      </c>
      <c r="M4437" s="170"/>
    </row>
    <row r="4438" spans="2:13" x14ac:dyDescent="0.2">
      <c r="B4438" s="173"/>
      <c r="C4438" s="694">
        <v>1</v>
      </c>
      <c r="D4438" s="695" t="s">
        <v>3903</v>
      </c>
      <c r="E4438" s="695">
        <v>7</v>
      </c>
      <c r="F4438" s="695" t="s">
        <v>6711</v>
      </c>
      <c r="G4438" s="695">
        <v>11</v>
      </c>
      <c r="H4438" s="695" t="s">
        <v>6685</v>
      </c>
      <c r="I4438" s="695">
        <v>82</v>
      </c>
      <c r="J4438" s="695" t="s">
        <v>7578</v>
      </c>
      <c r="K4438" s="695" t="s">
        <v>5334</v>
      </c>
      <c r="L4438" s="696">
        <v>0</v>
      </c>
      <c r="M4438" s="170"/>
    </row>
    <row r="4439" spans="2:13" x14ac:dyDescent="0.2">
      <c r="B4439" s="173"/>
      <c r="C4439" s="694">
        <v>1</v>
      </c>
      <c r="D4439" s="695" t="s">
        <v>3903</v>
      </c>
      <c r="E4439" s="695">
        <v>7</v>
      </c>
      <c r="F4439" s="695" t="s">
        <v>6711</v>
      </c>
      <c r="G4439" s="695">
        <v>11</v>
      </c>
      <c r="H4439" s="695" t="s">
        <v>6685</v>
      </c>
      <c r="I4439" s="695">
        <v>83</v>
      </c>
      <c r="J4439" s="695" t="s">
        <v>7579</v>
      </c>
      <c r="K4439" s="695" t="s">
        <v>5334</v>
      </c>
      <c r="L4439" s="696">
        <v>0</v>
      </c>
      <c r="M4439" s="170"/>
    </row>
    <row r="4440" spans="2:13" x14ac:dyDescent="0.2">
      <c r="B4440" s="173"/>
      <c r="C4440" s="694">
        <v>1</v>
      </c>
      <c r="D4440" s="695" t="s">
        <v>3903</v>
      </c>
      <c r="E4440" s="695">
        <v>7</v>
      </c>
      <c r="F4440" s="695" t="s">
        <v>6711</v>
      </c>
      <c r="G4440" s="695">
        <v>11</v>
      </c>
      <c r="H4440" s="695" t="s">
        <v>6685</v>
      </c>
      <c r="I4440" s="695">
        <v>84</v>
      </c>
      <c r="J4440" s="695" t="s">
        <v>7580</v>
      </c>
      <c r="K4440" s="695" t="s">
        <v>5334</v>
      </c>
      <c r="L4440" s="696">
        <v>0</v>
      </c>
      <c r="M4440" s="170"/>
    </row>
    <row r="4441" spans="2:13" x14ac:dyDescent="0.2">
      <c r="B4441" s="173"/>
      <c r="C4441" s="694">
        <v>1</v>
      </c>
      <c r="D4441" s="695" t="s">
        <v>3903</v>
      </c>
      <c r="E4441" s="695">
        <v>7</v>
      </c>
      <c r="F4441" s="695" t="s">
        <v>6711</v>
      </c>
      <c r="G4441" s="695">
        <v>11</v>
      </c>
      <c r="H4441" s="695" t="s">
        <v>6685</v>
      </c>
      <c r="I4441" s="695">
        <v>85</v>
      </c>
      <c r="J4441" s="695" t="s">
        <v>7581</v>
      </c>
      <c r="K4441" s="695" t="s">
        <v>5334</v>
      </c>
      <c r="L4441" s="696">
        <v>0</v>
      </c>
      <c r="M4441" s="170"/>
    </row>
    <row r="4442" spans="2:13" x14ac:dyDescent="0.2">
      <c r="B4442" s="173"/>
      <c r="C4442" s="694">
        <v>1</v>
      </c>
      <c r="D4442" s="695" t="s">
        <v>3903</v>
      </c>
      <c r="E4442" s="695">
        <v>7</v>
      </c>
      <c r="F4442" s="695" t="s">
        <v>6711</v>
      </c>
      <c r="G4442" s="695">
        <v>11</v>
      </c>
      <c r="H4442" s="695" t="s">
        <v>6685</v>
      </c>
      <c r="I4442" s="695">
        <v>86</v>
      </c>
      <c r="J4442" s="695" t="s">
        <v>7582</v>
      </c>
      <c r="K4442" s="695" t="s">
        <v>5334</v>
      </c>
      <c r="L4442" s="696">
        <v>3</v>
      </c>
      <c r="M4442" s="170"/>
    </row>
    <row r="4443" spans="2:13" x14ac:dyDescent="0.2">
      <c r="B4443" s="173"/>
      <c r="C4443" s="694">
        <v>1</v>
      </c>
      <c r="D4443" s="695" t="s">
        <v>3903</v>
      </c>
      <c r="E4443" s="695">
        <v>7</v>
      </c>
      <c r="F4443" s="695" t="s">
        <v>6711</v>
      </c>
      <c r="G4443" s="695">
        <v>11</v>
      </c>
      <c r="H4443" s="695" t="s">
        <v>6685</v>
      </c>
      <c r="I4443" s="695">
        <v>87</v>
      </c>
      <c r="J4443" s="695" t="s">
        <v>7583</v>
      </c>
      <c r="K4443" s="695" t="s">
        <v>5334</v>
      </c>
      <c r="L4443" s="696">
        <v>0</v>
      </c>
      <c r="M4443" s="170"/>
    </row>
    <row r="4444" spans="2:13" x14ac:dyDescent="0.2">
      <c r="B4444" s="173"/>
      <c r="C4444" s="694">
        <v>1</v>
      </c>
      <c r="D4444" s="695" t="s">
        <v>3903</v>
      </c>
      <c r="E4444" s="695">
        <v>7</v>
      </c>
      <c r="F4444" s="695" t="s">
        <v>6711</v>
      </c>
      <c r="G4444" s="695">
        <v>11</v>
      </c>
      <c r="H4444" s="695" t="s">
        <v>6685</v>
      </c>
      <c r="I4444" s="695">
        <v>88</v>
      </c>
      <c r="J4444" s="695" t="s">
        <v>7584</v>
      </c>
      <c r="K4444" s="695" t="s">
        <v>5334</v>
      </c>
      <c r="L4444" s="696">
        <v>0</v>
      </c>
      <c r="M4444" s="170"/>
    </row>
    <row r="4445" spans="2:13" x14ac:dyDescent="0.2">
      <c r="B4445" s="173"/>
      <c r="C4445" s="694">
        <v>1</v>
      </c>
      <c r="D4445" s="695" t="s">
        <v>3903</v>
      </c>
      <c r="E4445" s="695">
        <v>7</v>
      </c>
      <c r="F4445" s="695" t="s">
        <v>6711</v>
      </c>
      <c r="G4445" s="695">
        <v>11</v>
      </c>
      <c r="H4445" s="695" t="s">
        <v>6685</v>
      </c>
      <c r="I4445" s="695">
        <v>89</v>
      </c>
      <c r="J4445" s="695" t="s">
        <v>7585</v>
      </c>
      <c r="K4445" s="695" t="s">
        <v>5334</v>
      </c>
      <c r="L4445" s="696">
        <v>4</v>
      </c>
      <c r="M4445" s="170"/>
    </row>
    <row r="4446" spans="2:13" x14ac:dyDescent="0.2">
      <c r="B4446" s="173"/>
      <c r="C4446" s="694">
        <v>1</v>
      </c>
      <c r="D4446" s="695" t="s">
        <v>3903</v>
      </c>
      <c r="E4446" s="695">
        <v>7</v>
      </c>
      <c r="F4446" s="695" t="s">
        <v>6711</v>
      </c>
      <c r="G4446" s="695">
        <v>11</v>
      </c>
      <c r="H4446" s="695" t="s">
        <v>6685</v>
      </c>
      <c r="I4446" s="695">
        <v>90</v>
      </c>
      <c r="J4446" s="695" t="s">
        <v>7586</v>
      </c>
      <c r="K4446" s="695" t="s">
        <v>5334</v>
      </c>
      <c r="L4446" s="696">
        <v>1</v>
      </c>
      <c r="M4446" s="170"/>
    </row>
    <row r="4447" spans="2:13" x14ac:dyDescent="0.2">
      <c r="B4447" s="173"/>
      <c r="C4447" s="694">
        <v>1</v>
      </c>
      <c r="D4447" s="695" t="s">
        <v>3903</v>
      </c>
      <c r="E4447" s="695">
        <v>7</v>
      </c>
      <c r="F4447" s="695" t="s">
        <v>6711</v>
      </c>
      <c r="G4447" s="695">
        <v>11</v>
      </c>
      <c r="H4447" s="695" t="s">
        <v>6685</v>
      </c>
      <c r="I4447" s="695">
        <v>91</v>
      </c>
      <c r="J4447" s="695" t="s">
        <v>7587</v>
      </c>
      <c r="K4447" s="695" t="s">
        <v>5334</v>
      </c>
      <c r="L4447" s="696">
        <v>3</v>
      </c>
      <c r="M4447" s="170"/>
    </row>
    <row r="4448" spans="2:13" x14ac:dyDescent="0.2">
      <c r="B4448" s="173"/>
      <c r="C4448" s="694">
        <v>1</v>
      </c>
      <c r="D4448" s="695" t="s">
        <v>3903</v>
      </c>
      <c r="E4448" s="695">
        <v>7</v>
      </c>
      <c r="F4448" s="695" t="s">
        <v>6711</v>
      </c>
      <c r="G4448" s="695">
        <v>11</v>
      </c>
      <c r="H4448" s="695" t="s">
        <v>6685</v>
      </c>
      <c r="I4448" s="695">
        <v>92</v>
      </c>
      <c r="J4448" s="695" t="s">
        <v>7588</v>
      </c>
      <c r="K4448" s="695" t="s">
        <v>5334</v>
      </c>
      <c r="L4448" s="696">
        <v>0</v>
      </c>
      <c r="M4448" s="170"/>
    </row>
    <row r="4449" spans="2:13" x14ac:dyDescent="0.2">
      <c r="B4449" s="173"/>
      <c r="C4449" s="694">
        <v>1</v>
      </c>
      <c r="D4449" s="695" t="s">
        <v>3903</v>
      </c>
      <c r="E4449" s="695">
        <v>7</v>
      </c>
      <c r="F4449" s="695" t="s">
        <v>6711</v>
      </c>
      <c r="G4449" s="695">
        <v>11</v>
      </c>
      <c r="H4449" s="695" t="s">
        <v>6685</v>
      </c>
      <c r="I4449" s="695">
        <v>93</v>
      </c>
      <c r="J4449" s="695" t="s">
        <v>7589</v>
      </c>
      <c r="K4449" s="695" t="s">
        <v>5334</v>
      </c>
      <c r="L4449" s="696">
        <v>6</v>
      </c>
      <c r="M4449" s="170"/>
    </row>
    <row r="4450" spans="2:13" x14ac:dyDescent="0.2">
      <c r="B4450" s="173"/>
      <c r="C4450" s="694">
        <v>1</v>
      </c>
      <c r="D4450" s="695" t="s">
        <v>3903</v>
      </c>
      <c r="E4450" s="695">
        <v>7</v>
      </c>
      <c r="F4450" s="695" t="s">
        <v>6711</v>
      </c>
      <c r="G4450" s="695">
        <v>11</v>
      </c>
      <c r="H4450" s="695" t="s">
        <v>6685</v>
      </c>
      <c r="I4450" s="695">
        <v>94</v>
      </c>
      <c r="J4450" s="695" t="s">
        <v>7590</v>
      </c>
      <c r="K4450" s="695" t="s">
        <v>5334</v>
      </c>
      <c r="L4450" s="696">
        <v>1</v>
      </c>
      <c r="M4450" s="170"/>
    </row>
    <row r="4451" spans="2:13" x14ac:dyDescent="0.2">
      <c r="B4451" s="173"/>
      <c r="C4451" s="694">
        <v>1</v>
      </c>
      <c r="D4451" s="695" t="s">
        <v>3903</v>
      </c>
      <c r="E4451" s="695">
        <v>7</v>
      </c>
      <c r="F4451" s="695" t="s">
        <v>6711</v>
      </c>
      <c r="G4451" s="695">
        <v>11</v>
      </c>
      <c r="H4451" s="695" t="s">
        <v>6685</v>
      </c>
      <c r="I4451" s="695">
        <v>95</v>
      </c>
      <c r="J4451" s="695" t="s">
        <v>7591</v>
      </c>
      <c r="K4451" s="695" t="s">
        <v>5334</v>
      </c>
      <c r="L4451" s="696">
        <v>0</v>
      </c>
      <c r="M4451" s="170"/>
    </row>
    <row r="4452" spans="2:13" x14ac:dyDescent="0.2">
      <c r="B4452" s="173"/>
      <c r="C4452" s="694">
        <v>1</v>
      </c>
      <c r="D4452" s="695" t="s">
        <v>3903</v>
      </c>
      <c r="E4452" s="695">
        <v>7</v>
      </c>
      <c r="F4452" s="695" t="s">
        <v>6711</v>
      </c>
      <c r="G4452" s="695">
        <v>11</v>
      </c>
      <c r="H4452" s="695" t="s">
        <v>6685</v>
      </c>
      <c r="I4452" s="695">
        <v>96</v>
      </c>
      <c r="J4452" s="695" t="s">
        <v>7592</v>
      </c>
      <c r="K4452" s="695" t="s">
        <v>5334</v>
      </c>
      <c r="L4452" s="696">
        <v>0</v>
      </c>
      <c r="M4452" s="170"/>
    </row>
    <row r="4453" spans="2:13" x14ac:dyDescent="0.2">
      <c r="B4453" s="173"/>
      <c r="C4453" s="694">
        <v>1</v>
      </c>
      <c r="D4453" s="695" t="s">
        <v>3903</v>
      </c>
      <c r="E4453" s="695">
        <v>7</v>
      </c>
      <c r="F4453" s="695" t="s">
        <v>6711</v>
      </c>
      <c r="G4453" s="695">
        <v>11</v>
      </c>
      <c r="H4453" s="695" t="s">
        <v>6685</v>
      </c>
      <c r="I4453" s="695">
        <v>97</v>
      </c>
      <c r="J4453" s="695" t="s">
        <v>7593</v>
      </c>
      <c r="K4453" s="695" t="s">
        <v>5334</v>
      </c>
      <c r="L4453" s="696">
        <v>25</v>
      </c>
      <c r="M4453" s="170"/>
    </row>
    <row r="4454" spans="2:13" x14ac:dyDescent="0.2">
      <c r="B4454" s="173"/>
      <c r="C4454" s="694">
        <v>1</v>
      </c>
      <c r="D4454" s="695" t="s">
        <v>3903</v>
      </c>
      <c r="E4454" s="695">
        <v>7</v>
      </c>
      <c r="F4454" s="695" t="s">
        <v>6711</v>
      </c>
      <c r="G4454" s="695">
        <v>11</v>
      </c>
      <c r="H4454" s="695" t="s">
        <v>6685</v>
      </c>
      <c r="I4454" s="695">
        <v>98</v>
      </c>
      <c r="J4454" s="695" t="s">
        <v>7594</v>
      </c>
      <c r="K4454" s="695" t="s">
        <v>5334</v>
      </c>
      <c r="L4454" s="696">
        <v>23</v>
      </c>
      <c r="M4454" s="170"/>
    </row>
    <row r="4455" spans="2:13" x14ac:dyDescent="0.2">
      <c r="B4455" s="173"/>
      <c r="C4455" s="694">
        <v>1</v>
      </c>
      <c r="D4455" s="695" t="s">
        <v>3903</v>
      </c>
      <c r="E4455" s="695">
        <v>7</v>
      </c>
      <c r="F4455" s="695" t="s">
        <v>6711</v>
      </c>
      <c r="G4455" s="695">
        <v>11</v>
      </c>
      <c r="H4455" s="695" t="s">
        <v>6685</v>
      </c>
      <c r="I4455" s="695">
        <v>99</v>
      </c>
      <c r="J4455" s="695" t="s">
        <v>7595</v>
      </c>
      <c r="K4455" s="695" t="s">
        <v>5334</v>
      </c>
      <c r="L4455" s="696">
        <v>0</v>
      </c>
      <c r="M4455" s="170"/>
    </row>
    <row r="4456" spans="2:13" x14ac:dyDescent="0.2">
      <c r="B4456" s="173"/>
      <c r="C4456" s="694">
        <v>1</v>
      </c>
      <c r="D4456" s="695" t="s">
        <v>3903</v>
      </c>
      <c r="E4456" s="695">
        <v>7</v>
      </c>
      <c r="F4456" s="695" t="s">
        <v>6711</v>
      </c>
      <c r="G4456" s="695">
        <v>11</v>
      </c>
      <c r="H4456" s="695" t="s">
        <v>6685</v>
      </c>
      <c r="I4456" s="695">
        <v>100</v>
      </c>
      <c r="J4456" s="695" t="s">
        <v>7596</v>
      </c>
      <c r="K4456" s="695" t="s">
        <v>5334</v>
      </c>
      <c r="L4456" s="696">
        <v>0</v>
      </c>
      <c r="M4456" s="170"/>
    </row>
    <row r="4457" spans="2:13" x14ac:dyDescent="0.2">
      <c r="B4457" s="173"/>
      <c r="C4457" s="694">
        <v>1</v>
      </c>
      <c r="D4457" s="695" t="s">
        <v>3903</v>
      </c>
      <c r="E4457" s="695">
        <v>7</v>
      </c>
      <c r="F4457" s="695" t="s">
        <v>6711</v>
      </c>
      <c r="G4457" s="695">
        <v>11</v>
      </c>
      <c r="H4457" s="695" t="s">
        <v>6685</v>
      </c>
      <c r="I4457" s="695">
        <v>101</v>
      </c>
      <c r="J4457" s="695" t="s">
        <v>3912</v>
      </c>
      <c r="K4457" s="695" t="s">
        <v>5334</v>
      </c>
      <c r="L4457" s="696">
        <v>20</v>
      </c>
      <c r="M4457" s="170"/>
    </row>
    <row r="4458" spans="2:13" x14ac:dyDescent="0.2">
      <c r="B4458" s="173"/>
      <c r="C4458" s="694">
        <v>1</v>
      </c>
      <c r="D4458" s="695" t="s">
        <v>3903</v>
      </c>
      <c r="E4458" s="695">
        <v>7</v>
      </c>
      <c r="F4458" s="695" t="s">
        <v>6711</v>
      </c>
      <c r="G4458" s="695">
        <v>11</v>
      </c>
      <c r="H4458" s="695" t="s">
        <v>6685</v>
      </c>
      <c r="I4458" s="695">
        <v>102</v>
      </c>
      <c r="J4458" s="695" t="s">
        <v>7597</v>
      </c>
      <c r="K4458" s="695" t="s">
        <v>5334</v>
      </c>
      <c r="L4458" s="696">
        <v>22</v>
      </c>
      <c r="M4458" s="170"/>
    </row>
    <row r="4459" spans="2:13" x14ac:dyDescent="0.2">
      <c r="B4459" s="173"/>
      <c r="C4459" s="694">
        <v>1</v>
      </c>
      <c r="D4459" s="695" t="s">
        <v>3903</v>
      </c>
      <c r="E4459" s="695">
        <v>7</v>
      </c>
      <c r="F4459" s="695" t="s">
        <v>6711</v>
      </c>
      <c r="G4459" s="695">
        <v>11</v>
      </c>
      <c r="H4459" s="695" t="s">
        <v>6685</v>
      </c>
      <c r="I4459" s="695">
        <v>103</v>
      </c>
      <c r="J4459" s="695" t="s">
        <v>7598</v>
      </c>
      <c r="K4459" s="695" t="s">
        <v>5334</v>
      </c>
      <c r="L4459" s="696">
        <v>0</v>
      </c>
      <c r="M4459" s="170"/>
    </row>
    <row r="4460" spans="2:13" x14ac:dyDescent="0.2">
      <c r="B4460" s="173"/>
      <c r="C4460" s="694">
        <v>1</v>
      </c>
      <c r="D4460" s="695" t="s">
        <v>3903</v>
      </c>
      <c r="E4460" s="695">
        <v>7</v>
      </c>
      <c r="F4460" s="695" t="s">
        <v>6711</v>
      </c>
      <c r="G4460" s="695">
        <v>11</v>
      </c>
      <c r="H4460" s="695" t="s">
        <v>6685</v>
      </c>
      <c r="I4460" s="695">
        <v>104</v>
      </c>
      <c r="J4460" s="695" t="s">
        <v>7599</v>
      </c>
      <c r="K4460" s="695" t="s">
        <v>5334</v>
      </c>
      <c r="L4460" s="696">
        <v>0</v>
      </c>
      <c r="M4460" s="170"/>
    </row>
    <row r="4461" spans="2:13" x14ac:dyDescent="0.2">
      <c r="B4461" s="173"/>
      <c r="C4461" s="694">
        <v>1</v>
      </c>
      <c r="D4461" s="695" t="s">
        <v>3903</v>
      </c>
      <c r="E4461" s="695">
        <v>7</v>
      </c>
      <c r="F4461" s="695" t="s">
        <v>6711</v>
      </c>
      <c r="G4461" s="695">
        <v>11</v>
      </c>
      <c r="H4461" s="695" t="s">
        <v>6685</v>
      </c>
      <c r="I4461" s="695">
        <v>105</v>
      </c>
      <c r="J4461" s="695" t="s">
        <v>7600</v>
      </c>
      <c r="K4461" s="695" t="s">
        <v>5334</v>
      </c>
      <c r="L4461" s="696">
        <v>0</v>
      </c>
      <c r="M4461" s="170"/>
    </row>
    <row r="4462" spans="2:13" x14ac:dyDescent="0.2">
      <c r="B4462" s="173"/>
      <c r="C4462" s="694">
        <v>1</v>
      </c>
      <c r="D4462" s="695" t="s">
        <v>3903</v>
      </c>
      <c r="E4462" s="695">
        <v>7</v>
      </c>
      <c r="F4462" s="695" t="s">
        <v>6711</v>
      </c>
      <c r="G4462" s="695">
        <v>11</v>
      </c>
      <c r="H4462" s="695" t="s">
        <v>6685</v>
      </c>
      <c r="I4462" s="695">
        <v>106</v>
      </c>
      <c r="J4462" s="695" t="s">
        <v>7601</v>
      </c>
      <c r="K4462" s="695" t="s">
        <v>5334</v>
      </c>
      <c r="L4462" s="696">
        <v>0</v>
      </c>
      <c r="M4462" s="170"/>
    </row>
    <row r="4463" spans="2:13" x14ac:dyDescent="0.2">
      <c r="B4463" s="173"/>
      <c r="C4463" s="694">
        <v>1</v>
      </c>
      <c r="D4463" s="695" t="s">
        <v>3903</v>
      </c>
      <c r="E4463" s="695">
        <v>7</v>
      </c>
      <c r="F4463" s="695" t="s">
        <v>6711</v>
      </c>
      <c r="G4463" s="695">
        <v>11</v>
      </c>
      <c r="H4463" s="695" t="s">
        <v>6685</v>
      </c>
      <c r="I4463" s="695">
        <v>107</v>
      </c>
      <c r="J4463" s="695" t="s">
        <v>7602</v>
      </c>
      <c r="K4463" s="695" t="s">
        <v>5334</v>
      </c>
      <c r="L4463" s="696">
        <v>0</v>
      </c>
      <c r="M4463" s="170"/>
    </row>
    <row r="4464" spans="2:13" x14ac:dyDescent="0.2">
      <c r="B4464" s="173"/>
      <c r="C4464" s="694">
        <v>1</v>
      </c>
      <c r="D4464" s="695" t="s">
        <v>3903</v>
      </c>
      <c r="E4464" s="695">
        <v>7</v>
      </c>
      <c r="F4464" s="695" t="s">
        <v>6711</v>
      </c>
      <c r="G4464" s="695">
        <v>11</v>
      </c>
      <c r="H4464" s="695" t="s">
        <v>6685</v>
      </c>
      <c r="I4464" s="695">
        <v>108</v>
      </c>
      <c r="J4464" s="695" t="s">
        <v>7603</v>
      </c>
      <c r="K4464" s="695" t="s">
        <v>5334</v>
      </c>
      <c r="L4464" s="696">
        <v>0</v>
      </c>
      <c r="M4464" s="170"/>
    </row>
    <row r="4465" spans="2:13" x14ac:dyDescent="0.2">
      <c r="B4465" s="173"/>
      <c r="C4465" s="694">
        <v>1</v>
      </c>
      <c r="D4465" s="695" t="s">
        <v>3903</v>
      </c>
      <c r="E4465" s="695">
        <v>7</v>
      </c>
      <c r="F4465" s="695" t="s">
        <v>6711</v>
      </c>
      <c r="G4465" s="695">
        <v>11</v>
      </c>
      <c r="H4465" s="695" t="s">
        <v>6685</v>
      </c>
      <c r="I4465" s="695">
        <v>109</v>
      </c>
      <c r="J4465" s="695" t="s">
        <v>7604</v>
      </c>
      <c r="K4465" s="695" t="s">
        <v>5334</v>
      </c>
      <c r="L4465" s="696">
        <v>0</v>
      </c>
      <c r="M4465" s="170"/>
    </row>
    <row r="4466" spans="2:13" x14ac:dyDescent="0.2">
      <c r="B4466" s="173"/>
      <c r="C4466" s="694">
        <v>1</v>
      </c>
      <c r="D4466" s="695" t="s">
        <v>3903</v>
      </c>
      <c r="E4466" s="695">
        <v>7</v>
      </c>
      <c r="F4466" s="695" t="s">
        <v>6711</v>
      </c>
      <c r="G4466" s="695">
        <v>11</v>
      </c>
      <c r="H4466" s="695" t="s">
        <v>6685</v>
      </c>
      <c r="I4466" s="695">
        <v>110</v>
      </c>
      <c r="J4466" s="695" t="s">
        <v>7605</v>
      </c>
      <c r="K4466" s="695" t="s">
        <v>5334</v>
      </c>
      <c r="L4466" s="696">
        <v>0</v>
      </c>
      <c r="M4466" s="170"/>
    </row>
    <row r="4467" spans="2:13" x14ac:dyDescent="0.2">
      <c r="B4467" s="173"/>
      <c r="C4467" s="694">
        <v>1</v>
      </c>
      <c r="D4467" s="695" t="s">
        <v>3903</v>
      </c>
      <c r="E4467" s="695">
        <v>7</v>
      </c>
      <c r="F4467" s="695" t="s">
        <v>6711</v>
      </c>
      <c r="G4467" s="695">
        <v>11</v>
      </c>
      <c r="H4467" s="695" t="s">
        <v>6685</v>
      </c>
      <c r="I4467" s="695">
        <v>111</v>
      </c>
      <c r="J4467" s="695" t="s">
        <v>7606</v>
      </c>
      <c r="K4467" s="695" t="s">
        <v>5334</v>
      </c>
      <c r="L4467" s="696">
        <v>0</v>
      </c>
      <c r="M4467" s="170"/>
    </row>
    <row r="4468" spans="2:13" x14ac:dyDescent="0.2">
      <c r="B4468" s="173"/>
      <c r="C4468" s="694">
        <v>1</v>
      </c>
      <c r="D4468" s="695" t="s">
        <v>3903</v>
      </c>
      <c r="E4468" s="695">
        <v>7</v>
      </c>
      <c r="F4468" s="695" t="s">
        <v>6711</v>
      </c>
      <c r="G4468" s="695">
        <v>11</v>
      </c>
      <c r="H4468" s="695" t="s">
        <v>6685</v>
      </c>
      <c r="I4468" s="695">
        <v>112</v>
      </c>
      <c r="J4468" s="695" t="s">
        <v>7607</v>
      </c>
      <c r="K4468" s="695" t="s">
        <v>5334</v>
      </c>
      <c r="L4468" s="696">
        <v>0</v>
      </c>
      <c r="M4468" s="170"/>
    </row>
    <row r="4469" spans="2:13" x14ac:dyDescent="0.2">
      <c r="B4469" s="173"/>
      <c r="C4469" s="694">
        <v>1</v>
      </c>
      <c r="D4469" s="695" t="s">
        <v>3903</v>
      </c>
      <c r="E4469" s="695">
        <v>7</v>
      </c>
      <c r="F4469" s="695" t="s">
        <v>6711</v>
      </c>
      <c r="G4469" s="695">
        <v>11</v>
      </c>
      <c r="H4469" s="695" t="s">
        <v>6685</v>
      </c>
      <c r="I4469" s="695">
        <v>113</v>
      </c>
      <c r="J4469" s="695" t="s">
        <v>7608</v>
      </c>
      <c r="K4469" s="695" t="s">
        <v>5334</v>
      </c>
      <c r="L4469" s="696">
        <v>0</v>
      </c>
      <c r="M4469" s="170"/>
    </row>
    <row r="4470" spans="2:13" x14ac:dyDescent="0.2">
      <c r="B4470" s="173"/>
      <c r="C4470" s="694">
        <v>1</v>
      </c>
      <c r="D4470" s="695" t="s">
        <v>3903</v>
      </c>
      <c r="E4470" s="695">
        <v>7</v>
      </c>
      <c r="F4470" s="695" t="s">
        <v>6711</v>
      </c>
      <c r="G4470" s="695">
        <v>11</v>
      </c>
      <c r="H4470" s="695" t="s">
        <v>6685</v>
      </c>
      <c r="I4470" s="695">
        <v>114</v>
      </c>
      <c r="J4470" s="695" t="s">
        <v>7609</v>
      </c>
      <c r="K4470" s="695" t="s">
        <v>5334</v>
      </c>
      <c r="L4470" s="696">
        <v>0</v>
      </c>
      <c r="M4470" s="170"/>
    </row>
    <row r="4471" spans="2:13" x14ac:dyDescent="0.2">
      <c r="B4471" s="173"/>
      <c r="C4471" s="694">
        <v>1</v>
      </c>
      <c r="D4471" s="695" t="s">
        <v>3903</v>
      </c>
      <c r="E4471" s="695">
        <v>7</v>
      </c>
      <c r="F4471" s="695" t="s">
        <v>6711</v>
      </c>
      <c r="G4471" s="695">
        <v>11</v>
      </c>
      <c r="H4471" s="695" t="s">
        <v>6685</v>
      </c>
      <c r="I4471" s="695">
        <v>115</v>
      </c>
      <c r="J4471" s="695" t="s">
        <v>7610</v>
      </c>
      <c r="K4471" s="695" t="s">
        <v>5334</v>
      </c>
      <c r="L4471" s="696">
        <v>0</v>
      </c>
      <c r="M4471" s="170"/>
    </row>
    <row r="4472" spans="2:13" x14ac:dyDescent="0.2">
      <c r="B4472" s="173"/>
      <c r="C4472" s="694">
        <v>1</v>
      </c>
      <c r="D4472" s="695" t="s">
        <v>3903</v>
      </c>
      <c r="E4472" s="695">
        <v>7</v>
      </c>
      <c r="F4472" s="695" t="s">
        <v>6711</v>
      </c>
      <c r="G4472" s="695">
        <v>11</v>
      </c>
      <c r="H4472" s="695" t="s">
        <v>6685</v>
      </c>
      <c r="I4472" s="695">
        <v>116</v>
      </c>
      <c r="J4472" s="695" t="s">
        <v>7611</v>
      </c>
      <c r="K4472" s="695" t="s">
        <v>5334</v>
      </c>
      <c r="L4472" s="696">
        <v>0</v>
      </c>
      <c r="M4472" s="170"/>
    </row>
    <row r="4473" spans="2:13" x14ac:dyDescent="0.2">
      <c r="B4473" s="173"/>
      <c r="C4473" s="694">
        <v>1</v>
      </c>
      <c r="D4473" s="695" t="s">
        <v>3903</v>
      </c>
      <c r="E4473" s="695">
        <v>7</v>
      </c>
      <c r="F4473" s="695" t="s">
        <v>6711</v>
      </c>
      <c r="G4473" s="695">
        <v>11</v>
      </c>
      <c r="H4473" s="695" t="s">
        <v>6685</v>
      </c>
      <c r="I4473" s="695">
        <v>117</v>
      </c>
      <c r="J4473" s="695" t="s">
        <v>7612</v>
      </c>
      <c r="K4473" s="695" t="s">
        <v>5334</v>
      </c>
      <c r="L4473" s="696">
        <v>3</v>
      </c>
      <c r="M4473" s="170"/>
    </row>
    <row r="4474" spans="2:13" x14ac:dyDescent="0.2">
      <c r="B4474" s="173"/>
      <c r="C4474" s="694">
        <v>1</v>
      </c>
      <c r="D4474" s="695" t="s">
        <v>3903</v>
      </c>
      <c r="E4474" s="695">
        <v>7</v>
      </c>
      <c r="F4474" s="695" t="s">
        <v>6711</v>
      </c>
      <c r="G4474" s="695">
        <v>11</v>
      </c>
      <c r="H4474" s="695" t="s">
        <v>6685</v>
      </c>
      <c r="I4474" s="695">
        <v>118</v>
      </c>
      <c r="J4474" s="695" t="s">
        <v>7613</v>
      </c>
      <c r="K4474" s="695" t="s">
        <v>5334</v>
      </c>
      <c r="L4474" s="696">
        <v>0</v>
      </c>
      <c r="M4474" s="170"/>
    </row>
    <row r="4475" spans="2:13" x14ac:dyDescent="0.2">
      <c r="B4475" s="173"/>
      <c r="C4475" s="694">
        <v>1</v>
      </c>
      <c r="D4475" s="695" t="s">
        <v>3903</v>
      </c>
      <c r="E4475" s="695">
        <v>7</v>
      </c>
      <c r="F4475" s="695" t="s">
        <v>6711</v>
      </c>
      <c r="G4475" s="695">
        <v>11</v>
      </c>
      <c r="H4475" s="695" t="s">
        <v>6685</v>
      </c>
      <c r="I4475" s="695">
        <v>119</v>
      </c>
      <c r="J4475" s="695" t="s">
        <v>7614</v>
      </c>
      <c r="K4475" s="695" t="s">
        <v>5334</v>
      </c>
      <c r="L4475" s="696">
        <v>0</v>
      </c>
      <c r="M4475" s="170"/>
    </row>
    <row r="4476" spans="2:13" x14ac:dyDescent="0.2">
      <c r="B4476" s="173"/>
      <c r="C4476" s="694">
        <v>1</v>
      </c>
      <c r="D4476" s="695" t="s">
        <v>3903</v>
      </c>
      <c r="E4476" s="695">
        <v>7</v>
      </c>
      <c r="F4476" s="695" t="s">
        <v>6711</v>
      </c>
      <c r="G4476" s="695">
        <v>11</v>
      </c>
      <c r="H4476" s="695" t="s">
        <v>6685</v>
      </c>
      <c r="I4476" s="695">
        <v>120</v>
      </c>
      <c r="J4476" s="695" t="s">
        <v>7615</v>
      </c>
      <c r="K4476" s="695" t="s">
        <v>5334</v>
      </c>
      <c r="L4476" s="696">
        <v>0</v>
      </c>
      <c r="M4476" s="170"/>
    </row>
    <row r="4477" spans="2:13" x14ac:dyDescent="0.2">
      <c r="B4477" s="173"/>
      <c r="C4477" s="694">
        <v>1</v>
      </c>
      <c r="D4477" s="695" t="s">
        <v>3903</v>
      </c>
      <c r="E4477" s="695">
        <v>7</v>
      </c>
      <c r="F4477" s="695" t="s">
        <v>6711</v>
      </c>
      <c r="G4477" s="695">
        <v>11</v>
      </c>
      <c r="H4477" s="695" t="s">
        <v>6685</v>
      </c>
      <c r="I4477" s="695">
        <v>121</v>
      </c>
      <c r="J4477" s="695" t="s">
        <v>7616</v>
      </c>
      <c r="K4477" s="695" t="s">
        <v>5334</v>
      </c>
      <c r="L4477" s="696">
        <v>0</v>
      </c>
      <c r="M4477" s="170"/>
    </row>
    <row r="4478" spans="2:13" x14ac:dyDescent="0.2">
      <c r="B4478" s="173"/>
      <c r="C4478" s="694">
        <v>1</v>
      </c>
      <c r="D4478" s="695" t="s">
        <v>3903</v>
      </c>
      <c r="E4478" s="695">
        <v>7</v>
      </c>
      <c r="F4478" s="695" t="s">
        <v>6711</v>
      </c>
      <c r="G4478" s="695">
        <v>11</v>
      </c>
      <c r="H4478" s="695" t="s">
        <v>6685</v>
      </c>
      <c r="I4478" s="695">
        <v>122</v>
      </c>
      <c r="J4478" s="695" t="s">
        <v>7617</v>
      </c>
      <c r="K4478" s="695" t="s">
        <v>5334</v>
      </c>
      <c r="L4478" s="696">
        <v>0</v>
      </c>
      <c r="M4478" s="170"/>
    </row>
    <row r="4479" spans="2:13" x14ac:dyDescent="0.2">
      <c r="B4479" s="173"/>
      <c r="C4479" s="694">
        <v>1</v>
      </c>
      <c r="D4479" s="695" t="s">
        <v>3903</v>
      </c>
      <c r="E4479" s="695">
        <v>7</v>
      </c>
      <c r="F4479" s="695" t="s">
        <v>6711</v>
      </c>
      <c r="G4479" s="695">
        <v>11</v>
      </c>
      <c r="H4479" s="695" t="s">
        <v>6685</v>
      </c>
      <c r="I4479" s="695">
        <v>123</v>
      </c>
      <c r="J4479" s="695" t="s">
        <v>7618</v>
      </c>
      <c r="K4479" s="695" t="s">
        <v>5334</v>
      </c>
      <c r="L4479" s="696">
        <v>0</v>
      </c>
      <c r="M4479" s="170"/>
    </row>
    <row r="4480" spans="2:13" x14ac:dyDescent="0.2">
      <c r="B4480" s="173"/>
      <c r="C4480" s="694">
        <v>1</v>
      </c>
      <c r="D4480" s="695" t="s">
        <v>3903</v>
      </c>
      <c r="E4480" s="695">
        <v>7</v>
      </c>
      <c r="F4480" s="695" t="s">
        <v>6711</v>
      </c>
      <c r="G4480" s="695">
        <v>11</v>
      </c>
      <c r="H4480" s="695" t="s">
        <v>6685</v>
      </c>
      <c r="I4480" s="695">
        <v>124</v>
      </c>
      <c r="J4480" s="695" t="s">
        <v>7619</v>
      </c>
      <c r="K4480" s="695" t="s">
        <v>5334</v>
      </c>
      <c r="L4480" s="696">
        <v>0</v>
      </c>
      <c r="M4480" s="170"/>
    </row>
    <row r="4481" spans="2:13" x14ac:dyDescent="0.2">
      <c r="B4481" s="173"/>
      <c r="C4481" s="694">
        <v>1</v>
      </c>
      <c r="D4481" s="695" t="s">
        <v>3903</v>
      </c>
      <c r="E4481" s="695">
        <v>7</v>
      </c>
      <c r="F4481" s="695" t="s">
        <v>6711</v>
      </c>
      <c r="G4481" s="695">
        <v>11</v>
      </c>
      <c r="H4481" s="695" t="s">
        <v>6685</v>
      </c>
      <c r="I4481" s="695">
        <v>125</v>
      </c>
      <c r="J4481" s="695" t="s">
        <v>7620</v>
      </c>
      <c r="K4481" s="695" t="s">
        <v>5334</v>
      </c>
      <c r="L4481" s="696">
        <v>2</v>
      </c>
      <c r="M4481" s="170"/>
    </row>
    <row r="4482" spans="2:13" x14ac:dyDescent="0.2">
      <c r="B4482" s="173"/>
      <c r="C4482" s="694">
        <v>1</v>
      </c>
      <c r="D4482" s="695" t="s">
        <v>3903</v>
      </c>
      <c r="E4482" s="695">
        <v>7</v>
      </c>
      <c r="F4482" s="695" t="s">
        <v>6711</v>
      </c>
      <c r="G4482" s="695">
        <v>11</v>
      </c>
      <c r="H4482" s="695" t="s">
        <v>6685</v>
      </c>
      <c r="I4482" s="695">
        <v>126</v>
      </c>
      <c r="J4482" s="695" t="s">
        <v>7621</v>
      </c>
      <c r="K4482" s="695" t="s">
        <v>5334</v>
      </c>
      <c r="L4482" s="696">
        <v>1</v>
      </c>
      <c r="M4482" s="170"/>
    </row>
    <row r="4483" spans="2:13" x14ac:dyDescent="0.2">
      <c r="B4483" s="173"/>
      <c r="C4483" s="694">
        <v>1</v>
      </c>
      <c r="D4483" s="695" t="s">
        <v>3903</v>
      </c>
      <c r="E4483" s="695">
        <v>7</v>
      </c>
      <c r="F4483" s="695" t="s">
        <v>6711</v>
      </c>
      <c r="G4483" s="695">
        <v>11</v>
      </c>
      <c r="H4483" s="695" t="s">
        <v>6685</v>
      </c>
      <c r="I4483" s="695">
        <v>127</v>
      </c>
      <c r="J4483" s="695" t="s">
        <v>7622</v>
      </c>
      <c r="K4483" s="695" t="s">
        <v>5334</v>
      </c>
      <c r="L4483" s="696">
        <v>0</v>
      </c>
      <c r="M4483" s="170"/>
    </row>
    <row r="4484" spans="2:13" x14ac:dyDescent="0.2">
      <c r="B4484" s="173"/>
      <c r="C4484" s="694">
        <v>1</v>
      </c>
      <c r="D4484" s="695" t="s">
        <v>3903</v>
      </c>
      <c r="E4484" s="695">
        <v>7</v>
      </c>
      <c r="F4484" s="695" t="s">
        <v>6711</v>
      </c>
      <c r="G4484" s="695">
        <v>11</v>
      </c>
      <c r="H4484" s="695" t="s">
        <v>6685</v>
      </c>
      <c r="I4484" s="695">
        <v>128</v>
      </c>
      <c r="J4484" s="695" t="s">
        <v>6694</v>
      </c>
      <c r="K4484" s="695" t="s">
        <v>5334</v>
      </c>
      <c r="L4484" s="696">
        <v>2</v>
      </c>
      <c r="M4484" s="170"/>
    </row>
    <row r="4485" spans="2:13" x14ac:dyDescent="0.2">
      <c r="B4485" s="173"/>
      <c r="C4485" s="694">
        <v>1</v>
      </c>
      <c r="D4485" s="695" t="s">
        <v>3903</v>
      </c>
      <c r="E4485" s="695">
        <v>7</v>
      </c>
      <c r="F4485" s="695" t="s">
        <v>6711</v>
      </c>
      <c r="G4485" s="695">
        <v>11</v>
      </c>
      <c r="H4485" s="695" t="s">
        <v>6685</v>
      </c>
      <c r="I4485" s="695">
        <v>129</v>
      </c>
      <c r="J4485" s="695" t="s">
        <v>7623</v>
      </c>
      <c r="K4485" s="695" t="s">
        <v>5334</v>
      </c>
      <c r="L4485" s="696">
        <v>0</v>
      </c>
      <c r="M4485" s="170"/>
    </row>
    <row r="4486" spans="2:13" x14ac:dyDescent="0.2">
      <c r="B4486" s="173"/>
      <c r="C4486" s="694">
        <v>1</v>
      </c>
      <c r="D4486" s="695" t="s">
        <v>3903</v>
      </c>
      <c r="E4486" s="695">
        <v>7</v>
      </c>
      <c r="F4486" s="695" t="s">
        <v>6711</v>
      </c>
      <c r="G4486" s="695">
        <v>11</v>
      </c>
      <c r="H4486" s="695" t="s">
        <v>6685</v>
      </c>
      <c r="I4486" s="695">
        <v>130</v>
      </c>
      <c r="J4486" s="695" t="s">
        <v>7624</v>
      </c>
      <c r="K4486" s="695" t="s">
        <v>5334</v>
      </c>
      <c r="L4486" s="696">
        <v>0</v>
      </c>
      <c r="M4486" s="170"/>
    </row>
    <row r="4487" spans="2:13" x14ac:dyDescent="0.2">
      <c r="B4487" s="173"/>
      <c r="C4487" s="694">
        <v>1</v>
      </c>
      <c r="D4487" s="695" t="s">
        <v>3903</v>
      </c>
      <c r="E4487" s="695">
        <v>7</v>
      </c>
      <c r="F4487" s="695" t="s">
        <v>6711</v>
      </c>
      <c r="G4487" s="695">
        <v>11</v>
      </c>
      <c r="H4487" s="695" t="s">
        <v>6685</v>
      </c>
      <c r="I4487" s="695">
        <v>131</v>
      </c>
      <c r="J4487" s="695" t="s">
        <v>7625</v>
      </c>
      <c r="K4487" s="695" t="s">
        <v>5334</v>
      </c>
      <c r="L4487" s="696">
        <v>0</v>
      </c>
      <c r="M4487" s="170"/>
    </row>
    <row r="4488" spans="2:13" x14ac:dyDescent="0.2">
      <c r="B4488" s="173"/>
      <c r="C4488" s="694">
        <v>1</v>
      </c>
      <c r="D4488" s="695" t="s">
        <v>3903</v>
      </c>
      <c r="E4488" s="695">
        <v>7</v>
      </c>
      <c r="F4488" s="695" t="s">
        <v>6711</v>
      </c>
      <c r="G4488" s="695">
        <v>11</v>
      </c>
      <c r="H4488" s="695" t="s">
        <v>6685</v>
      </c>
      <c r="I4488" s="695">
        <v>132</v>
      </c>
      <c r="J4488" s="695" t="s">
        <v>6702</v>
      </c>
      <c r="K4488" s="695" t="s">
        <v>5334</v>
      </c>
      <c r="L4488" s="696">
        <v>9</v>
      </c>
      <c r="M4488" s="170"/>
    </row>
    <row r="4489" spans="2:13" x14ac:dyDescent="0.2">
      <c r="B4489" s="173"/>
      <c r="C4489" s="694">
        <v>1</v>
      </c>
      <c r="D4489" s="695" t="s">
        <v>3903</v>
      </c>
      <c r="E4489" s="695">
        <v>7</v>
      </c>
      <c r="F4489" s="695" t="s">
        <v>6711</v>
      </c>
      <c r="G4489" s="695">
        <v>12</v>
      </c>
      <c r="H4489" s="695" t="s">
        <v>6707</v>
      </c>
      <c r="I4489" s="695">
        <v>1</v>
      </c>
      <c r="J4489" s="695" t="s">
        <v>7626</v>
      </c>
      <c r="K4489" s="695" t="s">
        <v>5334</v>
      </c>
      <c r="L4489" s="696">
        <v>0</v>
      </c>
      <c r="M4489" s="170"/>
    </row>
    <row r="4490" spans="2:13" x14ac:dyDescent="0.2">
      <c r="B4490" s="173"/>
      <c r="C4490" s="694">
        <v>1</v>
      </c>
      <c r="D4490" s="695" t="s">
        <v>3903</v>
      </c>
      <c r="E4490" s="695">
        <v>7</v>
      </c>
      <c r="F4490" s="695" t="s">
        <v>6711</v>
      </c>
      <c r="G4490" s="695">
        <v>12</v>
      </c>
      <c r="H4490" s="695" t="s">
        <v>6707</v>
      </c>
      <c r="I4490" s="695">
        <v>2</v>
      </c>
      <c r="J4490" s="695" t="s">
        <v>7627</v>
      </c>
      <c r="K4490" s="695" t="s">
        <v>5334</v>
      </c>
      <c r="L4490" s="696">
        <v>0</v>
      </c>
      <c r="M4490" s="170"/>
    </row>
    <row r="4491" spans="2:13" x14ac:dyDescent="0.2">
      <c r="B4491" s="173"/>
      <c r="C4491" s="694">
        <v>1</v>
      </c>
      <c r="D4491" s="695" t="s">
        <v>3903</v>
      </c>
      <c r="E4491" s="695">
        <v>7</v>
      </c>
      <c r="F4491" s="695" t="s">
        <v>6711</v>
      </c>
      <c r="G4491" s="695">
        <v>12</v>
      </c>
      <c r="H4491" s="695" t="s">
        <v>6707</v>
      </c>
      <c r="I4491" s="695">
        <v>3</v>
      </c>
      <c r="J4491" s="695" t="s">
        <v>7628</v>
      </c>
      <c r="K4491" s="695" t="s">
        <v>5334</v>
      </c>
      <c r="L4491" s="696">
        <v>0</v>
      </c>
      <c r="M4491" s="170"/>
    </row>
    <row r="4492" spans="2:13" x14ac:dyDescent="0.2">
      <c r="B4492" s="173"/>
      <c r="C4492" s="694">
        <v>1</v>
      </c>
      <c r="D4492" s="695" t="s">
        <v>3903</v>
      </c>
      <c r="E4492" s="695">
        <v>7</v>
      </c>
      <c r="F4492" s="695" t="s">
        <v>6711</v>
      </c>
      <c r="G4492" s="695">
        <v>12</v>
      </c>
      <c r="H4492" s="695" t="s">
        <v>6707</v>
      </c>
      <c r="I4492" s="695">
        <v>4</v>
      </c>
      <c r="J4492" s="695" t="s">
        <v>7629</v>
      </c>
      <c r="K4492" s="695" t="s">
        <v>5334</v>
      </c>
      <c r="L4492" s="696">
        <v>0</v>
      </c>
      <c r="M4492" s="170"/>
    </row>
    <row r="4493" spans="2:13" x14ac:dyDescent="0.2">
      <c r="B4493" s="173"/>
      <c r="C4493" s="694">
        <v>1</v>
      </c>
      <c r="D4493" s="695" t="s">
        <v>3903</v>
      </c>
      <c r="E4493" s="695">
        <v>7</v>
      </c>
      <c r="F4493" s="695" t="s">
        <v>6711</v>
      </c>
      <c r="G4493" s="695">
        <v>12</v>
      </c>
      <c r="H4493" s="695" t="s">
        <v>6707</v>
      </c>
      <c r="I4493" s="695">
        <v>5</v>
      </c>
      <c r="J4493" s="695" t="s">
        <v>7630</v>
      </c>
      <c r="K4493" s="695" t="s">
        <v>5334</v>
      </c>
      <c r="L4493" s="696">
        <v>5</v>
      </c>
      <c r="M4493" s="170"/>
    </row>
    <row r="4494" spans="2:13" x14ac:dyDescent="0.2">
      <c r="B4494" s="173"/>
      <c r="C4494" s="694">
        <v>1</v>
      </c>
      <c r="D4494" s="695" t="s">
        <v>3903</v>
      </c>
      <c r="E4494" s="695">
        <v>7</v>
      </c>
      <c r="F4494" s="695" t="s">
        <v>6711</v>
      </c>
      <c r="G4494" s="695">
        <v>12</v>
      </c>
      <c r="H4494" s="695" t="s">
        <v>6707</v>
      </c>
      <c r="I4494" s="695">
        <v>6</v>
      </c>
      <c r="J4494" s="695" t="s">
        <v>7631</v>
      </c>
      <c r="K4494" s="695" t="s">
        <v>5334</v>
      </c>
      <c r="L4494" s="696">
        <v>0</v>
      </c>
      <c r="M4494" s="170"/>
    </row>
    <row r="4495" spans="2:13" x14ac:dyDescent="0.2">
      <c r="B4495" s="173"/>
      <c r="C4495" s="694">
        <v>1</v>
      </c>
      <c r="D4495" s="695" t="s">
        <v>3903</v>
      </c>
      <c r="E4495" s="695">
        <v>7</v>
      </c>
      <c r="F4495" s="695" t="s">
        <v>6711</v>
      </c>
      <c r="G4495" s="695">
        <v>12</v>
      </c>
      <c r="H4495" s="695" t="s">
        <v>6707</v>
      </c>
      <c r="I4495" s="695">
        <v>7</v>
      </c>
      <c r="J4495" s="695" t="s">
        <v>7632</v>
      </c>
      <c r="K4495" s="695" t="s">
        <v>5334</v>
      </c>
      <c r="L4495" s="696">
        <v>0</v>
      </c>
      <c r="M4495" s="170"/>
    </row>
    <row r="4496" spans="2:13" x14ac:dyDescent="0.2">
      <c r="B4496" s="173"/>
      <c r="C4496" s="694">
        <v>1</v>
      </c>
      <c r="D4496" s="695" t="s">
        <v>3903</v>
      </c>
      <c r="E4496" s="695">
        <v>7</v>
      </c>
      <c r="F4496" s="695" t="s">
        <v>6711</v>
      </c>
      <c r="G4496" s="695">
        <v>12</v>
      </c>
      <c r="H4496" s="695" t="s">
        <v>6707</v>
      </c>
      <c r="I4496" s="695">
        <v>10</v>
      </c>
      <c r="J4496" s="695" t="s">
        <v>7633</v>
      </c>
      <c r="K4496" s="695" t="s">
        <v>5334</v>
      </c>
      <c r="L4496" s="696">
        <v>0</v>
      </c>
      <c r="M4496" s="170"/>
    </row>
    <row r="4497" spans="2:13" x14ac:dyDescent="0.2">
      <c r="B4497" s="173"/>
      <c r="C4497" s="694">
        <v>1</v>
      </c>
      <c r="D4497" s="695" t="s">
        <v>3903</v>
      </c>
      <c r="E4497" s="695">
        <v>7</v>
      </c>
      <c r="F4497" s="695" t="s">
        <v>6711</v>
      </c>
      <c r="G4497" s="695">
        <v>12</v>
      </c>
      <c r="H4497" s="695" t="s">
        <v>6707</v>
      </c>
      <c r="I4497" s="695">
        <v>11</v>
      </c>
      <c r="J4497" s="695" t="s">
        <v>7634</v>
      </c>
      <c r="K4497" s="695" t="s">
        <v>5334</v>
      </c>
      <c r="L4497" s="696">
        <v>0</v>
      </c>
      <c r="M4497" s="170"/>
    </row>
    <row r="4498" spans="2:13" x14ac:dyDescent="0.2">
      <c r="B4498" s="173"/>
      <c r="C4498" s="694">
        <v>1</v>
      </c>
      <c r="D4498" s="695" t="s">
        <v>3903</v>
      </c>
      <c r="E4498" s="695">
        <v>7</v>
      </c>
      <c r="F4498" s="695" t="s">
        <v>6711</v>
      </c>
      <c r="G4498" s="695">
        <v>12</v>
      </c>
      <c r="H4498" s="695" t="s">
        <v>6707</v>
      </c>
      <c r="I4498" s="695">
        <v>12</v>
      </c>
      <c r="J4498" s="695" t="s">
        <v>7635</v>
      </c>
      <c r="K4498" s="695" t="s">
        <v>5334</v>
      </c>
      <c r="L4498" s="696">
        <v>0</v>
      </c>
      <c r="M4498" s="170"/>
    </row>
    <row r="4499" spans="2:13" x14ac:dyDescent="0.2">
      <c r="B4499" s="173"/>
      <c r="C4499" s="694">
        <v>1</v>
      </c>
      <c r="D4499" s="695" t="s">
        <v>3903</v>
      </c>
      <c r="E4499" s="695">
        <v>7</v>
      </c>
      <c r="F4499" s="695" t="s">
        <v>6711</v>
      </c>
      <c r="G4499" s="695">
        <v>12</v>
      </c>
      <c r="H4499" s="695" t="s">
        <v>6707</v>
      </c>
      <c r="I4499" s="695">
        <v>13</v>
      </c>
      <c r="J4499" s="695" t="s">
        <v>7636</v>
      </c>
      <c r="K4499" s="695" t="s">
        <v>5334</v>
      </c>
      <c r="L4499" s="696">
        <v>0</v>
      </c>
      <c r="M4499" s="170"/>
    </row>
    <row r="4500" spans="2:13" x14ac:dyDescent="0.2">
      <c r="B4500" s="173"/>
      <c r="C4500" s="694">
        <v>1</v>
      </c>
      <c r="D4500" s="695" t="s">
        <v>3903</v>
      </c>
      <c r="E4500" s="695">
        <v>7</v>
      </c>
      <c r="F4500" s="695" t="s">
        <v>6711</v>
      </c>
      <c r="G4500" s="695">
        <v>12</v>
      </c>
      <c r="H4500" s="695" t="s">
        <v>6707</v>
      </c>
      <c r="I4500" s="695">
        <v>14</v>
      </c>
      <c r="J4500" s="695" t="s">
        <v>7637</v>
      </c>
      <c r="K4500" s="695" t="s">
        <v>5334</v>
      </c>
      <c r="L4500" s="696">
        <v>0</v>
      </c>
      <c r="M4500" s="170"/>
    </row>
    <row r="4501" spans="2:13" x14ac:dyDescent="0.2">
      <c r="B4501" s="173"/>
      <c r="C4501" s="694">
        <v>1</v>
      </c>
      <c r="D4501" s="695" t="s">
        <v>3903</v>
      </c>
      <c r="E4501" s="695">
        <v>7</v>
      </c>
      <c r="F4501" s="695" t="s">
        <v>6711</v>
      </c>
      <c r="G4501" s="695">
        <v>12</v>
      </c>
      <c r="H4501" s="695" t="s">
        <v>6707</v>
      </c>
      <c r="I4501" s="695">
        <v>15</v>
      </c>
      <c r="J4501" s="695" t="s">
        <v>7638</v>
      </c>
      <c r="K4501" s="695" t="s">
        <v>5334</v>
      </c>
      <c r="L4501" s="696">
        <v>0</v>
      </c>
      <c r="M4501" s="170"/>
    </row>
    <row r="4502" spans="2:13" x14ac:dyDescent="0.2">
      <c r="B4502" s="173"/>
      <c r="C4502" s="694">
        <v>1</v>
      </c>
      <c r="D4502" s="695" t="s">
        <v>3903</v>
      </c>
      <c r="E4502" s="695">
        <v>7</v>
      </c>
      <c r="F4502" s="695" t="s">
        <v>6711</v>
      </c>
      <c r="G4502" s="695">
        <v>12</v>
      </c>
      <c r="H4502" s="695" t="s">
        <v>6707</v>
      </c>
      <c r="I4502" s="695">
        <v>16</v>
      </c>
      <c r="J4502" s="695" t="s">
        <v>7639</v>
      </c>
      <c r="K4502" s="695" t="s">
        <v>5334</v>
      </c>
      <c r="L4502" s="696">
        <v>0</v>
      </c>
      <c r="M4502" s="170"/>
    </row>
    <row r="4503" spans="2:13" x14ac:dyDescent="0.2">
      <c r="B4503" s="173"/>
      <c r="C4503" s="694">
        <v>1</v>
      </c>
      <c r="D4503" s="695" t="s">
        <v>3903</v>
      </c>
      <c r="E4503" s="695">
        <v>7</v>
      </c>
      <c r="F4503" s="695" t="s">
        <v>6711</v>
      </c>
      <c r="G4503" s="695">
        <v>12</v>
      </c>
      <c r="H4503" s="695" t="s">
        <v>6707</v>
      </c>
      <c r="I4503" s="695">
        <v>17</v>
      </c>
      <c r="J4503" s="695" t="s">
        <v>7640</v>
      </c>
      <c r="K4503" s="695" t="s">
        <v>5334</v>
      </c>
      <c r="L4503" s="696">
        <v>0</v>
      </c>
      <c r="M4503" s="170"/>
    </row>
    <row r="4504" spans="2:13" x14ac:dyDescent="0.2">
      <c r="B4504" s="173"/>
      <c r="C4504" s="694">
        <v>1</v>
      </c>
      <c r="D4504" s="695" t="s">
        <v>3903</v>
      </c>
      <c r="E4504" s="695">
        <v>7</v>
      </c>
      <c r="F4504" s="695" t="s">
        <v>6711</v>
      </c>
      <c r="G4504" s="695">
        <v>12</v>
      </c>
      <c r="H4504" s="695" t="s">
        <v>6707</v>
      </c>
      <c r="I4504" s="695">
        <v>18</v>
      </c>
      <c r="J4504" s="695" t="s">
        <v>7641</v>
      </c>
      <c r="K4504" s="695" t="s">
        <v>5334</v>
      </c>
      <c r="L4504" s="696">
        <v>0</v>
      </c>
      <c r="M4504" s="170"/>
    </row>
    <row r="4505" spans="2:13" x14ac:dyDescent="0.2">
      <c r="B4505" s="173"/>
      <c r="C4505" s="694">
        <v>1</v>
      </c>
      <c r="D4505" s="695" t="s">
        <v>3903</v>
      </c>
      <c r="E4505" s="695">
        <v>7</v>
      </c>
      <c r="F4505" s="695" t="s">
        <v>6711</v>
      </c>
      <c r="G4505" s="695">
        <v>12</v>
      </c>
      <c r="H4505" s="695" t="s">
        <v>6707</v>
      </c>
      <c r="I4505" s="695">
        <v>19</v>
      </c>
      <c r="J4505" s="695" t="s">
        <v>7642</v>
      </c>
      <c r="K4505" s="695" t="s">
        <v>5334</v>
      </c>
      <c r="L4505" s="696">
        <v>0</v>
      </c>
      <c r="M4505" s="170"/>
    </row>
    <row r="4506" spans="2:13" x14ac:dyDescent="0.2">
      <c r="B4506" s="173"/>
      <c r="C4506" s="694">
        <v>1</v>
      </c>
      <c r="D4506" s="695" t="s">
        <v>3903</v>
      </c>
      <c r="E4506" s="695">
        <v>7</v>
      </c>
      <c r="F4506" s="695" t="s">
        <v>6711</v>
      </c>
      <c r="G4506" s="695">
        <v>12</v>
      </c>
      <c r="H4506" s="695" t="s">
        <v>6707</v>
      </c>
      <c r="I4506" s="695">
        <v>20</v>
      </c>
      <c r="J4506" s="695" t="s">
        <v>7643</v>
      </c>
      <c r="K4506" s="695" t="s">
        <v>5334</v>
      </c>
      <c r="L4506" s="696">
        <v>0</v>
      </c>
      <c r="M4506" s="170"/>
    </row>
    <row r="4507" spans="2:13" x14ac:dyDescent="0.2">
      <c r="B4507" s="173"/>
      <c r="C4507" s="694">
        <v>1</v>
      </c>
      <c r="D4507" s="695" t="s">
        <v>3903</v>
      </c>
      <c r="E4507" s="695">
        <v>7</v>
      </c>
      <c r="F4507" s="695" t="s">
        <v>6711</v>
      </c>
      <c r="G4507" s="695">
        <v>12</v>
      </c>
      <c r="H4507" s="695" t="s">
        <v>6707</v>
      </c>
      <c r="I4507" s="695">
        <v>21</v>
      </c>
      <c r="J4507" s="695" t="s">
        <v>7644</v>
      </c>
      <c r="K4507" s="695" t="s">
        <v>5334</v>
      </c>
      <c r="L4507" s="696">
        <v>0</v>
      </c>
      <c r="M4507" s="170"/>
    </row>
    <row r="4508" spans="2:13" x14ac:dyDescent="0.2">
      <c r="B4508" s="173"/>
      <c r="C4508" s="694">
        <v>1</v>
      </c>
      <c r="D4508" s="695" t="s">
        <v>3903</v>
      </c>
      <c r="E4508" s="695">
        <v>7</v>
      </c>
      <c r="F4508" s="695" t="s">
        <v>6711</v>
      </c>
      <c r="G4508" s="695">
        <v>12</v>
      </c>
      <c r="H4508" s="695" t="s">
        <v>6707</v>
      </c>
      <c r="I4508" s="695">
        <v>22</v>
      </c>
      <c r="J4508" s="695" t="s">
        <v>7645</v>
      </c>
      <c r="K4508" s="695" t="s">
        <v>5334</v>
      </c>
      <c r="L4508" s="696">
        <v>0</v>
      </c>
      <c r="M4508" s="170"/>
    </row>
    <row r="4509" spans="2:13" x14ac:dyDescent="0.2">
      <c r="B4509" s="173"/>
      <c r="C4509" s="694">
        <v>1</v>
      </c>
      <c r="D4509" s="695" t="s">
        <v>3903</v>
      </c>
      <c r="E4509" s="695">
        <v>7</v>
      </c>
      <c r="F4509" s="695" t="s">
        <v>6711</v>
      </c>
      <c r="G4509" s="695">
        <v>12</v>
      </c>
      <c r="H4509" s="695" t="s">
        <v>6707</v>
      </c>
      <c r="I4509" s="695">
        <v>23</v>
      </c>
      <c r="J4509" s="695" t="s">
        <v>7646</v>
      </c>
      <c r="K4509" s="695" t="s">
        <v>5334</v>
      </c>
      <c r="L4509" s="696">
        <v>0</v>
      </c>
      <c r="M4509" s="170"/>
    </row>
    <row r="4510" spans="2:13" x14ac:dyDescent="0.2">
      <c r="B4510" s="173"/>
      <c r="C4510" s="694">
        <v>1</v>
      </c>
      <c r="D4510" s="695" t="s">
        <v>3903</v>
      </c>
      <c r="E4510" s="695">
        <v>7</v>
      </c>
      <c r="F4510" s="695" t="s">
        <v>6711</v>
      </c>
      <c r="G4510" s="695">
        <v>12</v>
      </c>
      <c r="H4510" s="695" t="s">
        <v>6707</v>
      </c>
      <c r="I4510" s="695">
        <v>24</v>
      </c>
      <c r="J4510" s="695" t="s">
        <v>7647</v>
      </c>
      <c r="K4510" s="695" t="s">
        <v>5334</v>
      </c>
      <c r="L4510" s="696">
        <v>0</v>
      </c>
      <c r="M4510" s="170"/>
    </row>
    <row r="4511" spans="2:13" x14ac:dyDescent="0.2">
      <c r="B4511" s="173"/>
      <c r="C4511" s="694">
        <v>1</v>
      </c>
      <c r="D4511" s="695" t="s">
        <v>3903</v>
      </c>
      <c r="E4511" s="695">
        <v>7</v>
      </c>
      <c r="F4511" s="695" t="s">
        <v>6711</v>
      </c>
      <c r="G4511" s="695">
        <v>12</v>
      </c>
      <c r="H4511" s="695" t="s">
        <v>6707</v>
      </c>
      <c r="I4511" s="695">
        <v>25</v>
      </c>
      <c r="J4511" s="695" t="s">
        <v>7648</v>
      </c>
      <c r="K4511" s="695" t="s">
        <v>5334</v>
      </c>
      <c r="L4511" s="696">
        <v>1</v>
      </c>
      <c r="M4511" s="170"/>
    </row>
    <row r="4512" spans="2:13" x14ac:dyDescent="0.2">
      <c r="B4512" s="173"/>
      <c r="C4512" s="694">
        <v>1</v>
      </c>
      <c r="D4512" s="695" t="s">
        <v>3903</v>
      </c>
      <c r="E4512" s="695">
        <v>7</v>
      </c>
      <c r="F4512" s="695" t="s">
        <v>6711</v>
      </c>
      <c r="G4512" s="695">
        <v>12</v>
      </c>
      <c r="H4512" s="695" t="s">
        <v>6707</v>
      </c>
      <c r="I4512" s="695">
        <v>26</v>
      </c>
      <c r="J4512" s="695" t="s">
        <v>7649</v>
      </c>
      <c r="K4512" s="695" t="s">
        <v>5334</v>
      </c>
      <c r="L4512" s="696">
        <v>0</v>
      </c>
      <c r="M4512" s="170"/>
    </row>
    <row r="4513" spans="2:13" x14ac:dyDescent="0.2">
      <c r="B4513" s="173"/>
      <c r="C4513" s="694">
        <v>1</v>
      </c>
      <c r="D4513" s="695" t="s">
        <v>3903</v>
      </c>
      <c r="E4513" s="695">
        <v>7</v>
      </c>
      <c r="F4513" s="695" t="s">
        <v>6711</v>
      </c>
      <c r="G4513" s="695">
        <v>12</v>
      </c>
      <c r="H4513" s="695" t="s">
        <v>6707</v>
      </c>
      <c r="I4513" s="695">
        <v>27</v>
      </c>
      <c r="J4513" s="695" t="s">
        <v>7650</v>
      </c>
      <c r="K4513" s="695" t="s">
        <v>5334</v>
      </c>
      <c r="L4513" s="696">
        <v>0</v>
      </c>
      <c r="M4513" s="170"/>
    </row>
    <row r="4514" spans="2:13" x14ac:dyDescent="0.2">
      <c r="B4514" s="173"/>
      <c r="C4514" s="694">
        <v>1</v>
      </c>
      <c r="D4514" s="695" t="s">
        <v>3903</v>
      </c>
      <c r="E4514" s="695">
        <v>7</v>
      </c>
      <c r="F4514" s="695" t="s">
        <v>6711</v>
      </c>
      <c r="G4514" s="695">
        <v>12</v>
      </c>
      <c r="H4514" s="695" t="s">
        <v>6707</v>
      </c>
      <c r="I4514" s="695">
        <v>28</v>
      </c>
      <c r="J4514" s="695" t="s">
        <v>7651</v>
      </c>
      <c r="K4514" s="695" t="s">
        <v>5334</v>
      </c>
      <c r="L4514" s="696">
        <v>0</v>
      </c>
      <c r="M4514" s="170"/>
    </row>
    <row r="4515" spans="2:13" x14ac:dyDescent="0.2">
      <c r="B4515" s="173"/>
      <c r="C4515" s="694">
        <v>1</v>
      </c>
      <c r="D4515" s="695" t="s">
        <v>3903</v>
      </c>
      <c r="E4515" s="695">
        <v>7</v>
      </c>
      <c r="F4515" s="695" t="s">
        <v>6711</v>
      </c>
      <c r="G4515" s="695">
        <v>12</v>
      </c>
      <c r="H4515" s="695" t="s">
        <v>6707</v>
      </c>
      <c r="I4515" s="695">
        <v>29</v>
      </c>
      <c r="J4515" s="695" t="s">
        <v>7652</v>
      </c>
      <c r="K4515" s="695" t="s">
        <v>5334</v>
      </c>
      <c r="L4515" s="696">
        <v>0</v>
      </c>
      <c r="M4515" s="170"/>
    </row>
    <row r="4516" spans="2:13" x14ac:dyDescent="0.2">
      <c r="B4516" s="173"/>
      <c r="C4516" s="694">
        <v>1</v>
      </c>
      <c r="D4516" s="695" t="s">
        <v>3903</v>
      </c>
      <c r="E4516" s="695">
        <v>7</v>
      </c>
      <c r="F4516" s="695" t="s">
        <v>6711</v>
      </c>
      <c r="G4516" s="695">
        <v>12</v>
      </c>
      <c r="H4516" s="695" t="s">
        <v>6707</v>
      </c>
      <c r="I4516" s="695">
        <v>30</v>
      </c>
      <c r="J4516" s="695" t="s">
        <v>7653</v>
      </c>
      <c r="K4516" s="695" t="s">
        <v>5334</v>
      </c>
      <c r="L4516" s="696">
        <v>0</v>
      </c>
      <c r="M4516" s="170"/>
    </row>
    <row r="4517" spans="2:13" x14ac:dyDescent="0.2">
      <c r="B4517" s="173"/>
      <c r="C4517" s="694">
        <v>1</v>
      </c>
      <c r="D4517" s="695" t="s">
        <v>3903</v>
      </c>
      <c r="E4517" s="695">
        <v>7</v>
      </c>
      <c r="F4517" s="695" t="s">
        <v>6711</v>
      </c>
      <c r="G4517" s="695">
        <v>12</v>
      </c>
      <c r="H4517" s="695" t="s">
        <v>6707</v>
      </c>
      <c r="I4517" s="695">
        <v>31</v>
      </c>
      <c r="J4517" s="695" t="s">
        <v>7654</v>
      </c>
      <c r="K4517" s="695" t="s">
        <v>5334</v>
      </c>
      <c r="L4517" s="696">
        <v>0</v>
      </c>
      <c r="M4517" s="170"/>
    </row>
    <row r="4518" spans="2:13" x14ac:dyDescent="0.2">
      <c r="B4518" s="173"/>
      <c r="C4518" s="694">
        <v>1</v>
      </c>
      <c r="D4518" s="695" t="s">
        <v>3903</v>
      </c>
      <c r="E4518" s="695">
        <v>7</v>
      </c>
      <c r="F4518" s="695" t="s">
        <v>6711</v>
      </c>
      <c r="G4518" s="695">
        <v>12</v>
      </c>
      <c r="H4518" s="695" t="s">
        <v>6707</v>
      </c>
      <c r="I4518" s="695">
        <v>32</v>
      </c>
      <c r="J4518" s="695" t="s">
        <v>7655</v>
      </c>
      <c r="K4518" s="695" t="s">
        <v>5334</v>
      </c>
      <c r="L4518" s="696">
        <v>0</v>
      </c>
      <c r="M4518" s="170"/>
    </row>
    <row r="4519" spans="2:13" x14ac:dyDescent="0.2">
      <c r="B4519" s="173"/>
      <c r="C4519" s="694">
        <v>1</v>
      </c>
      <c r="D4519" s="695" t="s">
        <v>3903</v>
      </c>
      <c r="E4519" s="695">
        <v>7</v>
      </c>
      <c r="F4519" s="695" t="s">
        <v>6711</v>
      </c>
      <c r="G4519" s="695">
        <v>12</v>
      </c>
      <c r="H4519" s="695" t="s">
        <v>6707</v>
      </c>
      <c r="I4519" s="695">
        <v>33</v>
      </c>
      <c r="J4519" s="695" t="s">
        <v>7656</v>
      </c>
      <c r="K4519" s="695" t="s">
        <v>5334</v>
      </c>
      <c r="L4519" s="696">
        <v>0</v>
      </c>
      <c r="M4519" s="170"/>
    </row>
    <row r="4520" spans="2:13" x14ac:dyDescent="0.2">
      <c r="B4520" s="173"/>
      <c r="C4520" s="694">
        <v>1</v>
      </c>
      <c r="D4520" s="695" t="s">
        <v>3903</v>
      </c>
      <c r="E4520" s="695">
        <v>7</v>
      </c>
      <c r="F4520" s="695" t="s">
        <v>6711</v>
      </c>
      <c r="G4520" s="695">
        <v>12</v>
      </c>
      <c r="H4520" s="695" t="s">
        <v>6707</v>
      </c>
      <c r="I4520" s="695">
        <v>34</v>
      </c>
      <c r="J4520" s="695" t="s">
        <v>7657</v>
      </c>
      <c r="K4520" s="695" t="s">
        <v>5334</v>
      </c>
      <c r="L4520" s="696">
        <v>0</v>
      </c>
      <c r="M4520" s="170"/>
    </row>
    <row r="4521" spans="2:13" x14ac:dyDescent="0.2">
      <c r="B4521" s="173"/>
      <c r="C4521" s="694">
        <v>1</v>
      </c>
      <c r="D4521" s="695" t="s">
        <v>3903</v>
      </c>
      <c r="E4521" s="695">
        <v>7</v>
      </c>
      <c r="F4521" s="695" t="s">
        <v>6711</v>
      </c>
      <c r="G4521" s="695">
        <v>12</v>
      </c>
      <c r="H4521" s="695" t="s">
        <v>6707</v>
      </c>
      <c r="I4521" s="695">
        <v>35</v>
      </c>
      <c r="J4521" s="695" t="s">
        <v>7658</v>
      </c>
      <c r="K4521" s="695" t="s">
        <v>5334</v>
      </c>
      <c r="L4521" s="696">
        <v>0</v>
      </c>
      <c r="M4521" s="170"/>
    </row>
    <row r="4522" spans="2:13" x14ac:dyDescent="0.2">
      <c r="B4522" s="173"/>
      <c r="C4522" s="694">
        <v>1</v>
      </c>
      <c r="D4522" s="695" t="s">
        <v>3903</v>
      </c>
      <c r="E4522" s="695">
        <v>7</v>
      </c>
      <c r="F4522" s="695" t="s">
        <v>6711</v>
      </c>
      <c r="G4522" s="695">
        <v>12</v>
      </c>
      <c r="H4522" s="695" t="s">
        <v>6707</v>
      </c>
      <c r="I4522" s="695">
        <v>36</v>
      </c>
      <c r="J4522" s="695" t="s">
        <v>7659</v>
      </c>
      <c r="K4522" s="695" t="s">
        <v>5334</v>
      </c>
      <c r="L4522" s="696">
        <v>0</v>
      </c>
      <c r="M4522" s="170"/>
    </row>
    <row r="4523" spans="2:13" x14ac:dyDescent="0.2">
      <c r="B4523" s="173"/>
      <c r="C4523" s="694">
        <v>1</v>
      </c>
      <c r="D4523" s="695" t="s">
        <v>3903</v>
      </c>
      <c r="E4523" s="695">
        <v>7</v>
      </c>
      <c r="F4523" s="695" t="s">
        <v>6711</v>
      </c>
      <c r="G4523" s="695">
        <v>12</v>
      </c>
      <c r="H4523" s="695" t="s">
        <v>6707</v>
      </c>
      <c r="I4523" s="695">
        <v>37</v>
      </c>
      <c r="J4523" s="695" t="s">
        <v>7660</v>
      </c>
      <c r="K4523" s="695" t="s">
        <v>5334</v>
      </c>
      <c r="L4523" s="696">
        <v>0</v>
      </c>
      <c r="M4523" s="170"/>
    </row>
    <row r="4524" spans="2:13" x14ac:dyDescent="0.2">
      <c r="B4524" s="173"/>
      <c r="C4524" s="694">
        <v>1</v>
      </c>
      <c r="D4524" s="695" t="s">
        <v>3903</v>
      </c>
      <c r="E4524" s="695">
        <v>7</v>
      </c>
      <c r="F4524" s="695" t="s">
        <v>6711</v>
      </c>
      <c r="G4524" s="695">
        <v>12</v>
      </c>
      <c r="H4524" s="695" t="s">
        <v>6707</v>
      </c>
      <c r="I4524" s="695">
        <v>38</v>
      </c>
      <c r="J4524" s="695" t="s">
        <v>7661</v>
      </c>
      <c r="K4524" s="695" t="s">
        <v>5334</v>
      </c>
      <c r="L4524" s="696">
        <v>0</v>
      </c>
      <c r="M4524" s="170"/>
    </row>
    <row r="4525" spans="2:13" x14ac:dyDescent="0.2">
      <c r="B4525" s="173"/>
      <c r="C4525" s="694">
        <v>1</v>
      </c>
      <c r="D4525" s="695" t="s">
        <v>3903</v>
      </c>
      <c r="E4525" s="695">
        <v>7</v>
      </c>
      <c r="F4525" s="695" t="s">
        <v>6711</v>
      </c>
      <c r="G4525" s="695">
        <v>12</v>
      </c>
      <c r="H4525" s="695" t="s">
        <v>6707</v>
      </c>
      <c r="I4525" s="695">
        <v>39</v>
      </c>
      <c r="J4525" s="695" t="s">
        <v>7662</v>
      </c>
      <c r="K4525" s="695" t="s">
        <v>5334</v>
      </c>
      <c r="L4525" s="696">
        <v>0</v>
      </c>
      <c r="M4525" s="170"/>
    </row>
    <row r="4526" spans="2:13" x14ac:dyDescent="0.2">
      <c r="B4526" s="173"/>
      <c r="C4526" s="694">
        <v>1</v>
      </c>
      <c r="D4526" s="695" t="s">
        <v>3903</v>
      </c>
      <c r="E4526" s="695">
        <v>7</v>
      </c>
      <c r="F4526" s="695" t="s">
        <v>6711</v>
      </c>
      <c r="G4526" s="695">
        <v>12</v>
      </c>
      <c r="H4526" s="695" t="s">
        <v>6707</v>
      </c>
      <c r="I4526" s="695">
        <v>40</v>
      </c>
      <c r="J4526" s="695" t="s">
        <v>7663</v>
      </c>
      <c r="K4526" s="695" t="s">
        <v>5334</v>
      </c>
      <c r="L4526" s="696">
        <v>0</v>
      </c>
      <c r="M4526" s="170"/>
    </row>
    <row r="4527" spans="2:13" x14ac:dyDescent="0.2">
      <c r="B4527" s="173"/>
      <c r="C4527" s="694">
        <v>1</v>
      </c>
      <c r="D4527" s="695" t="s">
        <v>3903</v>
      </c>
      <c r="E4527" s="695">
        <v>7</v>
      </c>
      <c r="F4527" s="695" t="s">
        <v>6711</v>
      </c>
      <c r="G4527" s="695">
        <v>12</v>
      </c>
      <c r="H4527" s="695" t="s">
        <v>6707</v>
      </c>
      <c r="I4527" s="695">
        <v>41</v>
      </c>
      <c r="J4527" s="695" t="s">
        <v>7664</v>
      </c>
      <c r="K4527" s="695" t="s">
        <v>5334</v>
      </c>
      <c r="L4527" s="696">
        <v>1</v>
      </c>
      <c r="M4527" s="170"/>
    </row>
    <row r="4528" spans="2:13" x14ac:dyDescent="0.2">
      <c r="B4528" s="173"/>
      <c r="C4528" s="694">
        <v>1</v>
      </c>
      <c r="D4528" s="695" t="s">
        <v>3903</v>
      </c>
      <c r="E4528" s="695">
        <v>7</v>
      </c>
      <c r="F4528" s="695" t="s">
        <v>6711</v>
      </c>
      <c r="G4528" s="695">
        <v>12</v>
      </c>
      <c r="H4528" s="695" t="s">
        <v>6707</v>
      </c>
      <c r="I4528" s="695">
        <v>42</v>
      </c>
      <c r="J4528" s="695" t="s">
        <v>7665</v>
      </c>
      <c r="K4528" s="695" t="s">
        <v>5334</v>
      </c>
      <c r="L4528" s="696">
        <v>0</v>
      </c>
      <c r="M4528" s="170"/>
    </row>
    <row r="4529" spans="2:13" x14ac:dyDescent="0.2">
      <c r="B4529" s="173"/>
      <c r="C4529" s="694">
        <v>1</v>
      </c>
      <c r="D4529" s="695" t="s">
        <v>3903</v>
      </c>
      <c r="E4529" s="695">
        <v>7</v>
      </c>
      <c r="F4529" s="695" t="s">
        <v>6711</v>
      </c>
      <c r="G4529" s="695">
        <v>12</v>
      </c>
      <c r="H4529" s="695" t="s">
        <v>6707</v>
      </c>
      <c r="I4529" s="695">
        <v>43</v>
      </c>
      <c r="J4529" s="695" t="s">
        <v>7666</v>
      </c>
      <c r="K4529" s="695" t="s">
        <v>5334</v>
      </c>
      <c r="L4529" s="696">
        <v>0</v>
      </c>
      <c r="M4529" s="170"/>
    </row>
    <row r="4530" spans="2:13" x14ac:dyDescent="0.2">
      <c r="B4530" s="173"/>
      <c r="C4530" s="694">
        <v>1</v>
      </c>
      <c r="D4530" s="695" t="s">
        <v>3903</v>
      </c>
      <c r="E4530" s="695">
        <v>7</v>
      </c>
      <c r="F4530" s="695" t="s">
        <v>6711</v>
      </c>
      <c r="G4530" s="695">
        <v>12</v>
      </c>
      <c r="H4530" s="695" t="s">
        <v>6707</v>
      </c>
      <c r="I4530" s="695">
        <v>44</v>
      </c>
      <c r="J4530" s="695" t="s">
        <v>7667</v>
      </c>
      <c r="K4530" s="695" t="s">
        <v>5334</v>
      </c>
      <c r="L4530" s="696">
        <v>0</v>
      </c>
      <c r="M4530" s="170"/>
    </row>
    <row r="4531" spans="2:13" x14ac:dyDescent="0.2">
      <c r="B4531" s="173"/>
      <c r="C4531" s="694">
        <v>1</v>
      </c>
      <c r="D4531" s="695" t="s">
        <v>3903</v>
      </c>
      <c r="E4531" s="695">
        <v>7</v>
      </c>
      <c r="F4531" s="695" t="s">
        <v>6711</v>
      </c>
      <c r="G4531" s="695">
        <v>12</v>
      </c>
      <c r="H4531" s="695" t="s">
        <v>6707</v>
      </c>
      <c r="I4531" s="695">
        <v>45</v>
      </c>
      <c r="J4531" s="695" t="s">
        <v>7628</v>
      </c>
      <c r="K4531" s="695" t="s">
        <v>5334</v>
      </c>
      <c r="L4531" s="696">
        <v>0</v>
      </c>
      <c r="M4531" s="170"/>
    </row>
    <row r="4532" spans="2:13" x14ac:dyDescent="0.2">
      <c r="B4532" s="173"/>
      <c r="C4532" s="694">
        <v>1</v>
      </c>
      <c r="D4532" s="695" t="s">
        <v>3903</v>
      </c>
      <c r="E4532" s="695">
        <v>7</v>
      </c>
      <c r="F4532" s="695" t="s">
        <v>6711</v>
      </c>
      <c r="G4532" s="695">
        <v>12</v>
      </c>
      <c r="H4532" s="695" t="s">
        <v>6707</v>
      </c>
      <c r="I4532" s="695">
        <v>46</v>
      </c>
      <c r="J4532" s="695" t="s">
        <v>7668</v>
      </c>
      <c r="K4532" s="695" t="s">
        <v>5334</v>
      </c>
      <c r="L4532" s="696">
        <v>0</v>
      </c>
      <c r="M4532" s="170"/>
    </row>
    <row r="4533" spans="2:13" x14ac:dyDescent="0.2">
      <c r="B4533" s="173"/>
      <c r="C4533" s="694">
        <v>1</v>
      </c>
      <c r="D4533" s="695" t="s">
        <v>3903</v>
      </c>
      <c r="E4533" s="695">
        <v>7</v>
      </c>
      <c r="F4533" s="695" t="s">
        <v>6711</v>
      </c>
      <c r="G4533" s="695">
        <v>12</v>
      </c>
      <c r="H4533" s="695" t="s">
        <v>6707</v>
      </c>
      <c r="I4533" s="695">
        <v>47</v>
      </c>
      <c r="J4533" s="695" t="s">
        <v>7669</v>
      </c>
      <c r="K4533" s="695" t="s">
        <v>5334</v>
      </c>
      <c r="L4533" s="696">
        <v>0</v>
      </c>
      <c r="M4533" s="170"/>
    </row>
    <row r="4534" spans="2:13" x14ac:dyDescent="0.2">
      <c r="B4534" s="173"/>
      <c r="C4534" s="694">
        <v>1</v>
      </c>
      <c r="D4534" s="695" t="s">
        <v>3903</v>
      </c>
      <c r="E4534" s="695">
        <v>7</v>
      </c>
      <c r="F4534" s="695" t="s">
        <v>6711</v>
      </c>
      <c r="G4534" s="695">
        <v>12</v>
      </c>
      <c r="H4534" s="695" t="s">
        <v>6707</v>
      </c>
      <c r="I4534" s="695">
        <v>48</v>
      </c>
      <c r="J4534" s="695" t="s">
        <v>7670</v>
      </c>
      <c r="K4534" s="695" t="s">
        <v>5334</v>
      </c>
      <c r="L4534" s="696">
        <v>0</v>
      </c>
      <c r="M4534" s="170"/>
    </row>
    <row r="4535" spans="2:13" x14ac:dyDescent="0.2">
      <c r="B4535" s="173"/>
      <c r="C4535" s="694">
        <v>1</v>
      </c>
      <c r="D4535" s="695" t="s">
        <v>3903</v>
      </c>
      <c r="E4535" s="695">
        <v>7</v>
      </c>
      <c r="F4535" s="695" t="s">
        <v>6711</v>
      </c>
      <c r="G4535" s="695">
        <v>12</v>
      </c>
      <c r="H4535" s="695" t="s">
        <v>6707</v>
      </c>
      <c r="I4535" s="695">
        <v>49</v>
      </c>
      <c r="J4535" s="695" t="s">
        <v>7671</v>
      </c>
      <c r="K4535" s="695" t="s">
        <v>5334</v>
      </c>
      <c r="L4535" s="696">
        <v>0</v>
      </c>
      <c r="M4535" s="170"/>
    </row>
    <row r="4536" spans="2:13" x14ac:dyDescent="0.2">
      <c r="B4536" s="173"/>
      <c r="C4536" s="694">
        <v>1</v>
      </c>
      <c r="D4536" s="695" t="s">
        <v>3903</v>
      </c>
      <c r="E4536" s="695">
        <v>7</v>
      </c>
      <c r="F4536" s="695" t="s">
        <v>6711</v>
      </c>
      <c r="G4536" s="695">
        <v>12</v>
      </c>
      <c r="H4536" s="695" t="s">
        <v>6707</v>
      </c>
      <c r="I4536" s="695">
        <v>50</v>
      </c>
      <c r="J4536" s="695" t="s">
        <v>7672</v>
      </c>
      <c r="K4536" s="695" t="s">
        <v>5334</v>
      </c>
      <c r="L4536" s="696">
        <v>0</v>
      </c>
      <c r="M4536" s="170"/>
    </row>
    <row r="4537" spans="2:13" x14ac:dyDescent="0.2">
      <c r="B4537" s="173"/>
      <c r="C4537" s="694">
        <v>1</v>
      </c>
      <c r="D4537" s="695" t="s">
        <v>3903</v>
      </c>
      <c r="E4537" s="695">
        <v>7</v>
      </c>
      <c r="F4537" s="695" t="s">
        <v>6711</v>
      </c>
      <c r="G4537" s="695">
        <v>12</v>
      </c>
      <c r="H4537" s="695" t="s">
        <v>6707</v>
      </c>
      <c r="I4537" s="695">
        <v>51</v>
      </c>
      <c r="J4537" s="695" t="s">
        <v>7673</v>
      </c>
      <c r="K4537" s="695" t="s">
        <v>5334</v>
      </c>
      <c r="L4537" s="696">
        <v>2</v>
      </c>
      <c r="M4537" s="170"/>
    </row>
    <row r="4538" spans="2:13" x14ac:dyDescent="0.2">
      <c r="B4538" s="173"/>
      <c r="C4538" s="694">
        <v>1</v>
      </c>
      <c r="D4538" s="695" t="s">
        <v>3903</v>
      </c>
      <c r="E4538" s="695">
        <v>7</v>
      </c>
      <c r="F4538" s="695" t="s">
        <v>6711</v>
      </c>
      <c r="G4538" s="695">
        <v>12</v>
      </c>
      <c r="H4538" s="695" t="s">
        <v>6707</v>
      </c>
      <c r="I4538" s="695">
        <v>52</v>
      </c>
      <c r="J4538" s="695" t="s">
        <v>7674</v>
      </c>
      <c r="K4538" s="695" t="s">
        <v>5334</v>
      </c>
      <c r="L4538" s="696">
        <v>0</v>
      </c>
      <c r="M4538" s="170"/>
    </row>
    <row r="4539" spans="2:13" x14ac:dyDescent="0.2">
      <c r="B4539" s="173"/>
      <c r="C4539" s="694">
        <v>1</v>
      </c>
      <c r="D4539" s="695" t="s">
        <v>3903</v>
      </c>
      <c r="E4539" s="695">
        <v>7</v>
      </c>
      <c r="F4539" s="695" t="s">
        <v>6711</v>
      </c>
      <c r="G4539" s="695">
        <v>13</v>
      </c>
      <c r="H4539" s="695" t="s">
        <v>6704</v>
      </c>
      <c r="I4539" s="695">
        <v>1</v>
      </c>
      <c r="J4539" s="695" t="s">
        <v>7675</v>
      </c>
      <c r="K4539" s="695" t="s">
        <v>5334</v>
      </c>
      <c r="L4539" s="696">
        <v>0</v>
      </c>
      <c r="M4539" s="170"/>
    </row>
    <row r="4540" spans="2:13" x14ac:dyDescent="0.2">
      <c r="B4540" s="173"/>
      <c r="C4540" s="694">
        <v>1</v>
      </c>
      <c r="D4540" s="695" t="s">
        <v>3903</v>
      </c>
      <c r="E4540" s="695">
        <v>7</v>
      </c>
      <c r="F4540" s="695" t="s">
        <v>6711</v>
      </c>
      <c r="G4540" s="695">
        <v>13</v>
      </c>
      <c r="H4540" s="695" t="s">
        <v>6704</v>
      </c>
      <c r="I4540" s="695">
        <v>2</v>
      </c>
      <c r="J4540" s="695" t="s">
        <v>7676</v>
      </c>
      <c r="K4540" s="695" t="s">
        <v>5334</v>
      </c>
      <c r="L4540" s="696">
        <v>0</v>
      </c>
      <c r="M4540" s="170"/>
    </row>
    <row r="4541" spans="2:13" x14ac:dyDescent="0.2">
      <c r="B4541" s="173"/>
      <c r="C4541" s="694">
        <v>1</v>
      </c>
      <c r="D4541" s="695" t="s">
        <v>3903</v>
      </c>
      <c r="E4541" s="695">
        <v>7</v>
      </c>
      <c r="F4541" s="695" t="s">
        <v>6711</v>
      </c>
      <c r="G4541" s="695">
        <v>13</v>
      </c>
      <c r="H4541" s="695" t="s">
        <v>6704</v>
      </c>
      <c r="I4541" s="695">
        <v>3</v>
      </c>
      <c r="J4541" s="695" t="s">
        <v>7677</v>
      </c>
      <c r="K4541" s="695" t="s">
        <v>5334</v>
      </c>
      <c r="L4541" s="696">
        <v>0</v>
      </c>
      <c r="M4541" s="170"/>
    </row>
    <row r="4542" spans="2:13" x14ac:dyDescent="0.2">
      <c r="B4542" s="173"/>
      <c r="C4542" s="694">
        <v>1</v>
      </c>
      <c r="D4542" s="695" t="s">
        <v>3903</v>
      </c>
      <c r="E4542" s="695">
        <v>7</v>
      </c>
      <c r="F4542" s="695" t="s">
        <v>6711</v>
      </c>
      <c r="G4542" s="695">
        <v>13</v>
      </c>
      <c r="H4542" s="695" t="s">
        <v>6704</v>
      </c>
      <c r="I4542" s="695">
        <v>4</v>
      </c>
      <c r="J4542" s="695" t="s">
        <v>7678</v>
      </c>
      <c r="K4542" s="695" t="s">
        <v>5334</v>
      </c>
      <c r="L4542" s="696">
        <v>0</v>
      </c>
      <c r="M4542" s="170"/>
    </row>
    <row r="4543" spans="2:13" x14ac:dyDescent="0.2">
      <c r="B4543" s="173"/>
      <c r="C4543" s="694">
        <v>1</v>
      </c>
      <c r="D4543" s="695" t="s">
        <v>3903</v>
      </c>
      <c r="E4543" s="695">
        <v>7</v>
      </c>
      <c r="F4543" s="695" t="s">
        <v>6711</v>
      </c>
      <c r="G4543" s="695">
        <v>13</v>
      </c>
      <c r="H4543" s="695" t="s">
        <v>6704</v>
      </c>
      <c r="I4543" s="695">
        <v>5</v>
      </c>
      <c r="J4543" s="695" t="s">
        <v>7679</v>
      </c>
      <c r="K4543" s="695" t="s">
        <v>5334</v>
      </c>
      <c r="L4543" s="696">
        <v>4</v>
      </c>
      <c r="M4543" s="170"/>
    </row>
    <row r="4544" spans="2:13" x14ac:dyDescent="0.2">
      <c r="B4544" s="173"/>
      <c r="C4544" s="694">
        <v>1</v>
      </c>
      <c r="D4544" s="695" t="s">
        <v>3903</v>
      </c>
      <c r="E4544" s="695">
        <v>7</v>
      </c>
      <c r="F4544" s="695" t="s">
        <v>6711</v>
      </c>
      <c r="G4544" s="695">
        <v>13</v>
      </c>
      <c r="H4544" s="695" t="s">
        <v>6704</v>
      </c>
      <c r="I4544" s="695">
        <v>6</v>
      </c>
      <c r="J4544" s="695" t="s">
        <v>7680</v>
      </c>
      <c r="K4544" s="695" t="s">
        <v>5334</v>
      </c>
      <c r="L4544" s="696">
        <v>0</v>
      </c>
      <c r="M4544" s="170"/>
    </row>
    <row r="4545" spans="2:13" x14ac:dyDescent="0.2">
      <c r="B4545" s="173"/>
      <c r="C4545" s="694">
        <v>1</v>
      </c>
      <c r="D4545" s="695" t="s">
        <v>3903</v>
      </c>
      <c r="E4545" s="695">
        <v>7</v>
      </c>
      <c r="F4545" s="695" t="s">
        <v>6711</v>
      </c>
      <c r="G4545" s="695">
        <v>13</v>
      </c>
      <c r="H4545" s="695" t="s">
        <v>6704</v>
      </c>
      <c r="I4545" s="695">
        <v>7</v>
      </c>
      <c r="J4545" s="695" t="s">
        <v>7681</v>
      </c>
      <c r="K4545" s="695" t="s">
        <v>5334</v>
      </c>
      <c r="L4545" s="696">
        <v>0</v>
      </c>
      <c r="M4545" s="170"/>
    </row>
    <row r="4546" spans="2:13" x14ac:dyDescent="0.2">
      <c r="B4546" s="173"/>
      <c r="C4546" s="694">
        <v>1</v>
      </c>
      <c r="D4546" s="695" t="s">
        <v>3903</v>
      </c>
      <c r="E4546" s="695">
        <v>7</v>
      </c>
      <c r="F4546" s="695" t="s">
        <v>6711</v>
      </c>
      <c r="G4546" s="695">
        <v>13</v>
      </c>
      <c r="H4546" s="695" t="s">
        <v>6704</v>
      </c>
      <c r="I4546" s="695">
        <v>8</v>
      </c>
      <c r="J4546" s="695" t="s">
        <v>7682</v>
      </c>
      <c r="K4546" s="695" t="s">
        <v>5334</v>
      </c>
      <c r="L4546" s="696">
        <v>0</v>
      </c>
      <c r="M4546" s="170"/>
    </row>
    <row r="4547" spans="2:13" x14ac:dyDescent="0.2">
      <c r="B4547" s="173"/>
      <c r="C4547" s="694">
        <v>1</v>
      </c>
      <c r="D4547" s="695" t="s">
        <v>3903</v>
      </c>
      <c r="E4547" s="695">
        <v>7</v>
      </c>
      <c r="F4547" s="695" t="s">
        <v>6711</v>
      </c>
      <c r="G4547" s="695">
        <v>13</v>
      </c>
      <c r="H4547" s="695" t="s">
        <v>6704</v>
      </c>
      <c r="I4547" s="695">
        <v>9</v>
      </c>
      <c r="J4547" s="695" t="s">
        <v>9190</v>
      </c>
      <c r="K4547" s="695" t="s">
        <v>3907</v>
      </c>
      <c r="L4547" s="696">
        <v>1</v>
      </c>
      <c r="M4547" s="170"/>
    </row>
    <row r="4548" spans="2:13" x14ac:dyDescent="0.2">
      <c r="B4548" s="173"/>
      <c r="C4548" s="694">
        <v>1</v>
      </c>
      <c r="D4548" s="695" t="s">
        <v>3903</v>
      </c>
      <c r="E4548" s="695">
        <v>7</v>
      </c>
      <c r="F4548" s="695" t="s">
        <v>6711</v>
      </c>
      <c r="G4548" s="695">
        <v>14</v>
      </c>
      <c r="H4548" s="695" t="s">
        <v>6681</v>
      </c>
      <c r="I4548" s="695">
        <v>1</v>
      </c>
      <c r="J4548" s="695" t="s">
        <v>7683</v>
      </c>
      <c r="K4548" s="695" t="s">
        <v>5334</v>
      </c>
      <c r="L4548" s="696">
        <v>4</v>
      </c>
      <c r="M4548" s="170"/>
    </row>
    <row r="4549" spans="2:13" x14ac:dyDescent="0.2">
      <c r="B4549" s="173"/>
      <c r="C4549" s="694">
        <v>1</v>
      </c>
      <c r="D4549" s="695" t="s">
        <v>3903</v>
      </c>
      <c r="E4549" s="695">
        <v>7</v>
      </c>
      <c r="F4549" s="695" t="s">
        <v>6711</v>
      </c>
      <c r="G4549" s="695">
        <v>14</v>
      </c>
      <c r="H4549" s="695" t="s">
        <v>6681</v>
      </c>
      <c r="I4549" s="695">
        <v>2</v>
      </c>
      <c r="J4549" s="695" t="s">
        <v>7684</v>
      </c>
      <c r="K4549" s="695" t="s">
        <v>5334</v>
      </c>
      <c r="L4549" s="696">
        <v>0</v>
      </c>
      <c r="M4549" s="170"/>
    </row>
    <row r="4550" spans="2:13" x14ac:dyDescent="0.2">
      <c r="B4550" s="173"/>
      <c r="C4550" s="694">
        <v>1</v>
      </c>
      <c r="D4550" s="695" t="s">
        <v>3903</v>
      </c>
      <c r="E4550" s="695">
        <v>7</v>
      </c>
      <c r="F4550" s="695" t="s">
        <v>6711</v>
      </c>
      <c r="G4550" s="695">
        <v>14</v>
      </c>
      <c r="H4550" s="695" t="s">
        <v>6681</v>
      </c>
      <c r="I4550" s="695">
        <v>3</v>
      </c>
      <c r="J4550" s="695" t="s">
        <v>7685</v>
      </c>
      <c r="K4550" s="695" t="s">
        <v>5334</v>
      </c>
      <c r="L4550" s="696">
        <v>1</v>
      </c>
      <c r="M4550" s="170"/>
    </row>
    <row r="4551" spans="2:13" x14ac:dyDescent="0.2">
      <c r="B4551" s="173"/>
      <c r="C4551" s="694">
        <v>1</v>
      </c>
      <c r="D4551" s="695" t="s">
        <v>3903</v>
      </c>
      <c r="E4551" s="695">
        <v>7</v>
      </c>
      <c r="F4551" s="695" t="s">
        <v>6711</v>
      </c>
      <c r="G4551" s="695">
        <v>14</v>
      </c>
      <c r="H4551" s="695" t="s">
        <v>6681</v>
      </c>
      <c r="I4551" s="695">
        <v>4</v>
      </c>
      <c r="J4551" s="695" t="s">
        <v>7686</v>
      </c>
      <c r="K4551" s="695" t="s">
        <v>5334</v>
      </c>
      <c r="L4551" s="696">
        <v>0</v>
      </c>
      <c r="M4551" s="170"/>
    </row>
    <row r="4552" spans="2:13" x14ac:dyDescent="0.2">
      <c r="B4552" s="173"/>
      <c r="C4552" s="694">
        <v>1</v>
      </c>
      <c r="D4552" s="695" t="s">
        <v>3903</v>
      </c>
      <c r="E4552" s="695">
        <v>7</v>
      </c>
      <c r="F4552" s="695" t="s">
        <v>6711</v>
      </c>
      <c r="G4552" s="695">
        <v>14</v>
      </c>
      <c r="H4552" s="695" t="s">
        <v>6681</v>
      </c>
      <c r="I4552" s="695">
        <v>5</v>
      </c>
      <c r="J4552" s="695" t="s">
        <v>7687</v>
      </c>
      <c r="K4552" s="695" t="s">
        <v>5334</v>
      </c>
      <c r="L4552" s="696">
        <v>1</v>
      </c>
      <c r="M4552" s="170"/>
    </row>
    <row r="4553" spans="2:13" x14ac:dyDescent="0.2">
      <c r="B4553" s="173"/>
      <c r="C4553" s="694">
        <v>1</v>
      </c>
      <c r="D4553" s="695" t="s">
        <v>3903</v>
      </c>
      <c r="E4553" s="695">
        <v>7</v>
      </c>
      <c r="F4553" s="695" t="s">
        <v>6711</v>
      </c>
      <c r="G4553" s="695">
        <v>14</v>
      </c>
      <c r="H4553" s="695" t="s">
        <v>6681</v>
      </c>
      <c r="I4553" s="695">
        <v>6</v>
      </c>
      <c r="J4553" s="695" t="s">
        <v>7688</v>
      </c>
      <c r="K4553" s="695" t="s">
        <v>5334</v>
      </c>
      <c r="L4553" s="696">
        <v>4</v>
      </c>
      <c r="M4553" s="170"/>
    </row>
    <row r="4554" spans="2:13" x14ac:dyDescent="0.2">
      <c r="B4554" s="173"/>
      <c r="C4554" s="694">
        <v>1</v>
      </c>
      <c r="D4554" s="695" t="s">
        <v>3903</v>
      </c>
      <c r="E4554" s="695">
        <v>7</v>
      </c>
      <c r="F4554" s="695" t="s">
        <v>6711</v>
      </c>
      <c r="G4554" s="695">
        <v>14</v>
      </c>
      <c r="H4554" s="695" t="s">
        <v>6681</v>
      </c>
      <c r="I4554" s="695">
        <v>7</v>
      </c>
      <c r="J4554" s="695" t="s">
        <v>7689</v>
      </c>
      <c r="K4554" s="695" t="s">
        <v>5334</v>
      </c>
      <c r="L4554" s="696">
        <v>0</v>
      </c>
      <c r="M4554" s="170"/>
    </row>
    <row r="4555" spans="2:13" x14ac:dyDescent="0.2">
      <c r="B4555" s="173"/>
      <c r="C4555" s="694">
        <v>1</v>
      </c>
      <c r="D4555" s="695" t="s">
        <v>3903</v>
      </c>
      <c r="E4555" s="695">
        <v>7</v>
      </c>
      <c r="F4555" s="695" t="s">
        <v>6711</v>
      </c>
      <c r="G4555" s="695">
        <v>14</v>
      </c>
      <c r="H4555" s="695" t="s">
        <v>6681</v>
      </c>
      <c r="I4555" s="695">
        <v>8</v>
      </c>
      <c r="J4555" s="695" t="s">
        <v>7690</v>
      </c>
      <c r="K4555" s="695" t="s">
        <v>5334</v>
      </c>
      <c r="L4555" s="696">
        <v>15</v>
      </c>
      <c r="M4555" s="170"/>
    </row>
    <row r="4556" spans="2:13" x14ac:dyDescent="0.2">
      <c r="B4556" s="173"/>
      <c r="C4556" s="694">
        <v>1</v>
      </c>
      <c r="D4556" s="695" t="s">
        <v>3903</v>
      </c>
      <c r="E4556" s="695">
        <v>7</v>
      </c>
      <c r="F4556" s="695" t="s">
        <v>6711</v>
      </c>
      <c r="G4556" s="695">
        <v>14</v>
      </c>
      <c r="H4556" s="695" t="s">
        <v>6681</v>
      </c>
      <c r="I4556" s="695">
        <v>9</v>
      </c>
      <c r="J4556" s="695" t="s">
        <v>7691</v>
      </c>
      <c r="K4556" s="695" t="s">
        <v>5334</v>
      </c>
      <c r="L4556" s="696">
        <v>0</v>
      </c>
      <c r="M4556" s="170"/>
    </row>
    <row r="4557" spans="2:13" x14ac:dyDescent="0.2">
      <c r="B4557" s="173"/>
      <c r="C4557" s="694">
        <v>1</v>
      </c>
      <c r="D4557" s="695" t="s">
        <v>3903</v>
      </c>
      <c r="E4557" s="695">
        <v>7</v>
      </c>
      <c r="F4557" s="695" t="s">
        <v>6711</v>
      </c>
      <c r="G4557" s="695">
        <v>14</v>
      </c>
      <c r="H4557" s="695" t="s">
        <v>6681</v>
      </c>
      <c r="I4557" s="695">
        <v>10</v>
      </c>
      <c r="J4557" s="695" t="s">
        <v>7692</v>
      </c>
      <c r="K4557" s="695" t="s">
        <v>5334</v>
      </c>
      <c r="L4557" s="696">
        <v>0</v>
      </c>
      <c r="M4557" s="170"/>
    </row>
    <row r="4558" spans="2:13" x14ac:dyDescent="0.2">
      <c r="B4558" s="173"/>
      <c r="C4558" s="694">
        <v>1</v>
      </c>
      <c r="D4558" s="695" t="s">
        <v>3903</v>
      </c>
      <c r="E4558" s="695">
        <v>7</v>
      </c>
      <c r="F4558" s="695" t="s">
        <v>6711</v>
      </c>
      <c r="G4558" s="695">
        <v>14</v>
      </c>
      <c r="H4558" s="695" t="s">
        <v>6681</v>
      </c>
      <c r="I4558" s="695">
        <v>11</v>
      </c>
      <c r="J4558" s="695" t="s">
        <v>7693</v>
      </c>
      <c r="K4558" s="695" t="s">
        <v>5334</v>
      </c>
      <c r="L4558" s="696">
        <v>15</v>
      </c>
      <c r="M4558" s="170"/>
    </row>
    <row r="4559" spans="2:13" x14ac:dyDescent="0.2">
      <c r="B4559" s="173"/>
      <c r="C4559" s="694">
        <v>1</v>
      </c>
      <c r="D4559" s="695" t="s">
        <v>3903</v>
      </c>
      <c r="E4559" s="695">
        <v>7</v>
      </c>
      <c r="F4559" s="695" t="s">
        <v>6711</v>
      </c>
      <c r="G4559" s="695">
        <v>14</v>
      </c>
      <c r="H4559" s="695" t="s">
        <v>6681</v>
      </c>
      <c r="I4559" s="695">
        <v>12</v>
      </c>
      <c r="J4559" s="695" t="s">
        <v>7694</v>
      </c>
      <c r="K4559" s="695" t="s">
        <v>5334</v>
      </c>
      <c r="L4559" s="696">
        <v>0</v>
      </c>
      <c r="M4559" s="170"/>
    </row>
    <row r="4560" spans="2:13" x14ac:dyDescent="0.2">
      <c r="B4560" s="173"/>
      <c r="C4560" s="694">
        <v>1</v>
      </c>
      <c r="D4560" s="695" t="s">
        <v>3903</v>
      </c>
      <c r="E4560" s="695">
        <v>7</v>
      </c>
      <c r="F4560" s="695" t="s">
        <v>6711</v>
      </c>
      <c r="G4560" s="695">
        <v>14</v>
      </c>
      <c r="H4560" s="695" t="s">
        <v>6681</v>
      </c>
      <c r="I4560" s="695">
        <v>13</v>
      </c>
      <c r="J4560" s="695" t="s">
        <v>7695</v>
      </c>
      <c r="K4560" s="695" t="s">
        <v>5334</v>
      </c>
      <c r="L4560" s="696">
        <v>0</v>
      </c>
      <c r="M4560" s="170"/>
    </row>
    <row r="4561" spans="2:13" x14ac:dyDescent="0.2">
      <c r="B4561" s="173"/>
      <c r="C4561" s="694">
        <v>1</v>
      </c>
      <c r="D4561" s="695" t="s">
        <v>3903</v>
      </c>
      <c r="E4561" s="695">
        <v>7</v>
      </c>
      <c r="F4561" s="695" t="s">
        <v>6711</v>
      </c>
      <c r="G4561" s="695">
        <v>14</v>
      </c>
      <c r="H4561" s="695" t="s">
        <v>6681</v>
      </c>
      <c r="I4561" s="695">
        <v>14</v>
      </c>
      <c r="J4561" s="695" t="s">
        <v>7696</v>
      </c>
      <c r="K4561" s="695" t="s">
        <v>5334</v>
      </c>
      <c r="L4561" s="696">
        <v>0</v>
      </c>
      <c r="M4561" s="170"/>
    </row>
    <row r="4562" spans="2:13" x14ac:dyDescent="0.2">
      <c r="B4562" s="173"/>
      <c r="C4562" s="694">
        <v>1</v>
      </c>
      <c r="D4562" s="695" t="s">
        <v>3903</v>
      </c>
      <c r="E4562" s="695">
        <v>7</v>
      </c>
      <c r="F4562" s="695" t="s">
        <v>6711</v>
      </c>
      <c r="G4562" s="695">
        <v>14</v>
      </c>
      <c r="H4562" s="695" t="s">
        <v>6681</v>
      </c>
      <c r="I4562" s="695">
        <v>15</v>
      </c>
      <c r="J4562" s="695" t="s">
        <v>7697</v>
      </c>
      <c r="K4562" s="695" t="s">
        <v>5334</v>
      </c>
      <c r="L4562" s="696">
        <v>0</v>
      </c>
      <c r="M4562" s="170"/>
    </row>
    <row r="4563" spans="2:13" x14ac:dyDescent="0.2">
      <c r="B4563" s="173"/>
      <c r="C4563" s="694">
        <v>1</v>
      </c>
      <c r="D4563" s="695" t="s">
        <v>3903</v>
      </c>
      <c r="E4563" s="695">
        <v>7</v>
      </c>
      <c r="F4563" s="695" t="s">
        <v>6711</v>
      </c>
      <c r="G4563" s="695">
        <v>14</v>
      </c>
      <c r="H4563" s="695" t="s">
        <v>6681</v>
      </c>
      <c r="I4563" s="695">
        <v>16</v>
      </c>
      <c r="J4563" s="695" t="s">
        <v>7698</v>
      </c>
      <c r="K4563" s="695" t="s">
        <v>5334</v>
      </c>
      <c r="L4563" s="696">
        <v>0</v>
      </c>
      <c r="M4563" s="170"/>
    </row>
    <row r="4564" spans="2:13" x14ac:dyDescent="0.2">
      <c r="B4564" s="173"/>
      <c r="C4564" s="694">
        <v>1</v>
      </c>
      <c r="D4564" s="695" t="s">
        <v>3903</v>
      </c>
      <c r="E4564" s="695">
        <v>7</v>
      </c>
      <c r="F4564" s="695" t="s">
        <v>6711</v>
      </c>
      <c r="G4564" s="695">
        <v>14</v>
      </c>
      <c r="H4564" s="695" t="s">
        <v>6681</v>
      </c>
      <c r="I4564" s="695">
        <v>17</v>
      </c>
      <c r="J4564" s="695" t="s">
        <v>7699</v>
      </c>
      <c r="K4564" s="695" t="s">
        <v>5334</v>
      </c>
      <c r="L4564" s="696">
        <v>0</v>
      </c>
      <c r="M4564" s="170"/>
    </row>
    <row r="4565" spans="2:13" x14ac:dyDescent="0.2">
      <c r="B4565" s="173"/>
      <c r="C4565" s="694">
        <v>1</v>
      </c>
      <c r="D4565" s="695" t="s">
        <v>3903</v>
      </c>
      <c r="E4565" s="695">
        <v>7</v>
      </c>
      <c r="F4565" s="695" t="s">
        <v>6711</v>
      </c>
      <c r="G4565" s="695">
        <v>14</v>
      </c>
      <c r="H4565" s="695" t="s">
        <v>6681</v>
      </c>
      <c r="I4565" s="695">
        <v>18</v>
      </c>
      <c r="J4565" s="695" t="s">
        <v>7700</v>
      </c>
      <c r="K4565" s="695" t="s">
        <v>5334</v>
      </c>
      <c r="L4565" s="696">
        <v>0</v>
      </c>
      <c r="M4565" s="170"/>
    </row>
    <row r="4566" spans="2:13" x14ac:dyDescent="0.2">
      <c r="B4566" s="173"/>
      <c r="C4566" s="694">
        <v>1</v>
      </c>
      <c r="D4566" s="695" t="s">
        <v>3903</v>
      </c>
      <c r="E4566" s="695">
        <v>7</v>
      </c>
      <c r="F4566" s="695" t="s">
        <v>6711</v>
      </c>
      <c r="G4566" s="695">
        <v>14</v>
      </c>
      <c r="H4566" s="695" t="s">
        <v>6681</v>
      </c>
      <c r="I4566" s="695">
        <v>19</v>
      </c>
      <c r="J4566" s="695" t="s">
        <v>7701</v>
      </c>
      <c r="K4566" s="695" t="s">
        <v>5334</v>
      </c>
      <c r="L4566" s="696">
        <v>1</v>
      </c>
      <c r="M4566" s="170"/>
    </row>
    <row r="4567" spans="2:13" x14ac:dyDescent="0.2">
      <c r="B4567" s="173"/>
      <c r="C4567" s="694">
        <v>1</v>
      </c>
      <c r="D4567" s="695" t="s">
        <v>3903</v>
      </c>
      <c r="E4567" s="695">
        <v>7</v>
      </c>
      <c r="F4567" s="695" t="s">
        <v>6711</v>
      </c>
      <c r="G4567" s="695">
        <v>14</v>
      </c>
      <c r="H4567" s="695" t="s">
        <v>6681</v>
      </c>
      <c r="I4567" s="695">
        <v>20</v>
      </c>
      <c r="J4567" s="695" t="s">
        <v>7702</v>
      </c>
      <c r="K4567" s="695" t="s">
        <v>5334</v>
      </c>
      <c r="L4567" s="696">
        <v>0</v>
      </c>
      <c r="M4567" s="170"/>
    </row>
    <row r="4568" spans="2:13" x14ac:dyDescent="0.2">
      <c r="B4568" s="173"/>
      <c r="C4568" s="694">
        <v>1</v>
      </c>
      <c r="D4568" s="695" t="s">
        <v>3903</v>
      </c>
      <c r="E4568" s="695">
        <v>7</v>
      </c>
      <c r="F4568" s="695" t="s">
        <v>6711</v>
      </c>
      <c r="G4568" s="695">
        <v>14</v>
      </c>
      <c r="H4568" s="695" t="s">
        <v>6681</v>
      </c>
      <c r="I4568" s="695">
        <v>21</v>
      </c>
      <c r="J4568" s="695" t="s">
        <v>7703</v>
      </c>
      <c r="K4568" s="695" t="s">
        <v>5334</v>
      </c>
      <c r="L4568" s="696">
        <v>0</v>
      </c>
      <c r="M4568" s="170"/>
    </row>
    <row r="4569" spans="2:13" x14ac:dyDescent="0.2">
      <c r="B4569" s="173"/>
      <c r="C4569" s="694">
        <v>1</v>
      </c>
      <c r="D4569" s="695" t="s">
        <v>3903</v>
      </c>
      <c r="E4569" s="695">
        <v>7</v>
      </c>
      <c r="F4569" s="695" t="s">
        <v>6711</v>
      </c>
      <c r="G4569" s="695">
        <v>14</v>
      </c>
      <c r="H4569" s="695" t="s">
        <v>6681</v>
      </c>
      <c r="I4569" s="695">
        <v>22</v>
      </c>
      <c r="J4569" s="695" t="s">
        <v>7704</v>
      </c>
      <c r="K4569" s="695" t="s">
        <v>5334</v>
      </c>
      <c r="L4569" s="696">
        <v>0</v>
      </c>
      <c r="M4569" s="170"/>
    </row>
    <row r="4570" spans="2:13" x14ac:dyDescent="0.2">
      <c r="B4570" s="173"/>
      <c r="C4570" s="694">
        <v>1</v>
      </c>
      <c r="D4570" s="695" t="s">
        <v>3903</v>
      </c>
      <c r="E4570" s="695">
        <v>7</v>
      </c>
      <c r="F4570" s="695" t="s">
        <v>6711</v>
      </c>
      <c r="G4570" s="695">
        <v>14</v>
      </c>
      <c r="H4570" s="695" t="s">
        <v>6681</v>
      </c>
      <c r="I4570" s="695">
        <v>23</v>
      </c>
      <c r="J4570" s="695" t="s">
        <v>7705</v>
      </c>
      <c r="K4570" s="695" t="s">
        <v>5334</v>
      </c>
      <c r="L4570" s="696">
        <v>0</v>
      </c>
      <c r="M4570" s="170"/>
    </row>
    <row r="4571" spans="2:13" x14ac:dyDescent="0.2">
      <c r="B4571" s="173"/>
      <c r="C4571" s="694">
        <v>1</v>
      </c>
      <c r="D4571" s="695" t="s">
        <v>3903</v>
      </c>
      <c r="E4571" s="695">
        <v>7</v>
      </c>
      <c r="F4571" s="695" t="s">
        <v>6711</v>
      </c>
      <c r="G4571" s="695">
        <v>14</v>
      </c>
      <c r="H4571" s="695" t="s">
        <v>6681</v>
      </c>
      <c r="I4571" s="695">
        <v>24</v>
      </c>
      <c r="J4571" s="695" t="s">
        <v>7706</v>
      </c>
      <c r="K4571" s="695" t="s">
        <v>5334</v>
      </c>
      <c r="L4571" s="696">
        <v>0</v>
      </c>
      <c r="M4571" s="170"/>
    </row>
    <row r="4572" spans="2:13" x14ac:dyDescent="0.2">
      <c r="B4572" s="173"/>
      <c r="C4572" s="694">
        <v>1</v>
      </c>
      <c r="D4572" s="695" t="s">
        <v>3903</v>
      </c>
      <c r="E4572" s="695">
        <v>7</v>
      </c>
      <c r="F4572" s="695" t="s">
        <v>6711</v>
      </c>
      <c r="G4572" s="695">
        <v>14</v>
      </c>
      <c r="H4572" s="695" t="s">
        <v>6681</v>
      </c>
      <c r="I4572" s="695">
        <v>25</v>
      </c>
      <c r="J4572" s="695" t="s">
        <v>7707</v>
      </c>
      <c r="K4572" s="695" t="s">
        <v>5334</v>
      </c>
      <c r="L4572" s="696">
        <v>0</v>
      </c>
      <c r="M4572" s="170"/>
    </row>
    <row r="4573" spans="2:13" x14ac:dyDescent="0.2">
      <c r="B4573" s="173"/>
      <c r="C4573" s="694">
        <v>1</v>
      </c>
      <c r="D4573" s="695" t="s">
        <v>3903</v>
      </c>
      <c r="E4573" s="695">
        <v>7</v>
      </c>
      <c r="F4573" s="695" t="s">
        <v>6711</v>
      </c>
      <c r="G4573" s="695">
        <v>14</v>
      </c>
      <c r="H4573" s="695" t="s">
        <v>6681</v>
      </c>
      <c r="I4573" s="695">
        <v>26</v>
      </c>
      <c r="J4573" s="695" t="s">
        <v>7708</v>
      </c>
      <c r="K4573" s="695" t="s">
        <v>5334</v>
      </c>
      <c r="L4573" s="696">
        <v>0</v>
      </c>
      <c r="M4573" s="170"/>
    </row>
    <row r="4574" spans="2:13" x14ac:dyDescent="0.2">
      <c r="B4574" s="173"/>
      <c r="C4574" s="694">
        <v>1</v>
      </c>
      <c r="D4574" s="695" t="s">
        <v>3903</v>
      </c>
      <c r="E4574" s="695">
        <v>7</v>
      </c>
      <c r="F4574" s="695" t="s">
        <v>6711</v>
      </c>
      <c r="G4574" s="695">
        <v>14</v>
      </c>
      <c r="H4574" s="695" t="s">
        <v>6681</v>
      </c>
      <c r="I4574" s="695">
        <v>27</v>
      </c>
      <c r="J4574" s="695" t="s">
        <v>7709</v>
      </c>
      <c r="K4574" s="695" t="s">
        <v>5334</v>
      </c>
      <c r="L4574" s="696">
        <v>1</v>
      </c>
      <c r="M4574" s="170"/>
    </row>
    <row r="4575" spans="2:13" x14ac:dyDescent="0.2">
      <c r="B4575" s="173"/>
      <c r="C4575" s="694">
        <v>1</v>
      </c>
      <c r="D4575" s="695" t="s">
        <v>3903</v>
      </c>
      <c r="E4575" s="695">
        <v>7</v>
      </c>
      <c r="F4575" s="695" t="s">
        <v>6711</v>
      </c>
      <c r="G4575" s="695">
        <v>14</v>
      </c>
      <c r="H4575" s="695" t="s">
        <v>6681</v>
      </c>
      <c r="I4575" s="695">
        <v>28</v>
      </c>
      <c r="J4575" s="695" t="s">
        <v>7710</v>
      </c>
      <c r="K4575" s="695" t="s">
        <v>5334</v>
      </c>
      <c r="L4575" s="696">
        <v>0</v>
      </c>
      <c r="M4575" s="170"/>
    </row>
    <row r="4576" spans="2:13" x14ac:dyDescent="0.2">
      <c r="B4576" s="173"/>
      <c r="C4576" s="694">
        <v>1</v>
      </c>
      <c r="D4576" s="695" t="s">
        <v>3903</v>
      </c>
      <c r="E4576" s="695">
        <v>7</v>
      </c>
      <c r="F4576" s="695" t="s">
        <v>6711</v>
      </c>
      <c r="G4576" s="695">
        <v>14</v>
      </c>
      <c r="H4576" s="695" t="s">
        <v>6681</v>
      </c>
      <c r="I4576" s="695">
        <v>29</v>
      </c>
      <c r="J4576" s="695" t="s">
        <v>7711</v>
      </c>
      <c r="K4576" s="695" t="s">
        <v>5334</v>
      </c>
      <c r="L4576" s="696">
        <v>0</v>
      </c>
      <c r="M4576" s="170"/>
    </row>
    <row r="4577" spans="2:13" x14ac:dyDescent="0.2">
      <c r="B4577" s="173"/>
      <c r="C4577" s="694">
        <v>1</v>
      </c>
      <c r="D4577" s="695" t="s">
        <v>3903</v>
      </c>
      <c r="E4577" s="695">
        <v>7</v>
      </c>
      <c r="F4577" s="695" t="s">
        <v>6711</v>
      </c>
      <c r="G4577" s="695">
        <v>14</v>
      </c>
      <c r="H4577" s="695" t="s">
        <v>6681</v>
      </c>
      <c r="I4577" s="695">
        <v>30</v>
      </c>
      <c r="J4577" s="695" t="s">
        <v>7712</v>
      </c>
      <c r="K4577" s="695" t="s">
        <v>5334</v>
      </c>
      <c r="L4577" s="696">
        <v>0</v>
      </c>
      <c r="M4577" s="170"/>
    </row>
    <row r="4578" spans="2:13" x14ac:dyDescent="0.2">
      <c r="B4578" s="173"/>
      <c r="C4578" s="694">
        <v>1</v>
      </c>
      <c r="D4578" s="695" t="s">
        <v>3903</v>
      </c>
      <c r="E4578" s="695">
        <v>7</v>
      </c>
      <c r="F4578" s="695" t="s">
        <v>6711</v>
      </c>
      <c r="G4578" s="695">
        <v>14</v>
      </c>
      <c r="H4578" s="695" t="s">
        <v>6681</v>
      </c>
      <c r="I4578" s="695">
        <v>31</v>
      </c>
      <c r="J4578" s="695" t="s">
        <v>6683</v>
      </c>
      <c r="K4578" s="695" t="s">
        <v>5334</v>
      </c>
      <c r="L4578" s="696">
        <v>45</v>
      </c>
      <c r="M4578" s="170"/>
    </row>
    <row r="4579" spans="2:13" x14ac:dyDescent="0.2">
      <c r="B4579" s="173"/>
      <c r="C4579" s="694">
        <v>1</v>
      </c>
      <c r="D4579" s="695" t="s">
        <v>3903</v>
      </c>
      <c r="E4579" s="695">
        <v>7</v>
      </c>
      <c r="F4579" s="695" t="s">
        <v>6711</v>
      </c>
      <c r="G4579" s="695">
        <v>15</v>
      </c>
      <c r="H4579" s="695" t="s">
        <v>6362</v>
      </c>
      <c r="I4579" s="695">
        <v>1</v>
      </c>
      <c r="J4579" s="695" t="s">
        <v>7713</v>
      </c>
      <c r="K4579" s="695" t="s">
        <v>5334</v>
      </c>
      <c r="L4579" s="696">
        <v>0</v>
      </c>
      <c r="M4579" s="170"/>
    </row>
    <row r="4580" spans="2:13" x14ac:dyDescent="0.2">
      <c r="B4580" s="173"/>
      <c r="C4580" s="694">
        <v>1</v>
      </c>
      <c r="D4580" s="695" t="s">
        <v>3903</v>
      </c>
      <c r="E4580" s="695">
        <v>7</v>
      </c>
      <c r="F4580" s="695" t="s">
        <v>6711</v>
      </c>
      <c r="G4580" s="695">
        <v>15</v>
      </c>
      <c r="H4580" s="695" t="s">
        <v>6362</v>
      </c>
      <c r="I4580" s="695">
        <v>2</v>
      </c>
      <c r="J4580" s="695" t="s">
        <v>7714</v>
      </c>
      <c r="K4580" s="695" t="s">
        <v>5334</v>
      </c>
      <c r="L4580" s="696">
        <v>0</v>
      </c>
      <c r="M4580" s="170"/>
    </row>
    <row r="4581" spans="2:13" x14ac:dyDescent="0.2">
      <c r="B4581" s="173"/>
      <c r="C4581" s="694">
        <v>1</v>
      </c>
      <c r="D4581" s="695" t="s">
        <v>3903</v>
      </c>
      <c r="E4581" s="695">
        <v>7</v>
      </c>
      <c r="F4581" s="695" t="s">
        <v>6711</v>
      </c>
      <c r="G4581" s="695">
        <v>15</v>
      </c>
      <c r="H4581" s="695" t="s">
        <v>6362</v>
      </c>
      <c r="I4581" s="695">
        <v>3</v>
      </c>
      <c r="J4581" s="695" t="s">
        <v>7715</v>
      </c>
      <c r="K4581" s="695" t="s">
        <v>5334</v>
      </c>
      <c r="L4581" s="696">
        <v>0</v>
      </c>
      <c r="M4581" s="170"/>
    </row>
    <row r="4582" spans="2:13" x14ac:dyDescent="0.2">
      <c r="B4582" s="173"/>
      <c r="C4582" s="694">
        <v>1</v>
      </c>
      <c r="D4582" s="695" t="s">
        <v>3903</v>
      </c>
      <c r="E4582" s="695">
        <v>7</v>
      </c>
      <c r="F4582" s="695" t="s">
        <v>6711</v>
      </c>
      <c r="G4582" s="695">
        <v>15</v>
      </c>
      <c r="H4582" s="695" t="s">
        <v>6362</v>
      </c>
      <c r="I4582" s="695">
        <v>4</v>
      </c>
      <c r="J4582" s="695" t="s">
        <v>7716</v>
      </c>
      <c r="K4582" s="695" t="s">
        <v>5334</v>
      </c>
      <c r="L4582" s="696">
        <v>0</v>
      </c>
      <c r="M4582" s="170"/>
    </row>
    <row r="4583" spans="2:13" x14ac:dyDescent="0.2">
      <c r="B4583" s="173"/>
      <c r="C4583" s="694">
        <v>1</v>
      </c>
      <c r="D4583" s="695" t="s">
        <v>3903</v>
      </c>
      <c r="E4583" s="695">
        <v>7</v>
      </c>
      <c r="F4583" s="695" t="s">
        <v>6711</v>
      </c>
      <c r="G4583" s="695">
        <v>15</v>
      </c>
      <c r="H4583" s="695" t="s">
        <v>6362</v>
      </c>
      <c r="I4583" s="695">
        <v>5</v>
      </c>
      <c r="J4583" s="695" t="s">
        <v>7717</v>
      </c>
      <c r="K4583" s="695" t="s">
        <v>5334</v>
      </c>
      <c r="L4583" s="696">
        <v>14</v>
      </c>
      <c r="M4583" s="170"/>
    </row>
    <row r="4584" spans="2:13" x14ac:dyDescent="0.2">
      <c r="B4584" s="173"/>
      <c r="C4584" s="694">
        <v>1</v>
      </c>
      <c r="D4584" s="695" t="s">
        <v>3903</v>
      </c>
      <c r="E4584" s="695">
        <v>7</v>
      </c>
      <c r="F4584" s="695" t="s">
        <v>6711</v>
      </c>
      <c r="G4584" s="695">
        <v>15</v>
      </c>
      <c r="H4584" s="695" t="s">
        <v>6362</v>
      </c>
      <c r="I4584" s="695">
        <v>6</v>
      </c>
      <c r="J4584" s="695" t="s">
        <v>7718</v>
      </c>
      <c r="K4584" s="695" t="s">
        <v>5334</v>
      </c>
      <c r="L4584" s="696">
        <v>3</v>
      </c>
      <c r="M4584" s="170"/>
    </row>
    <row r="4585" spans="2:13" x14ac:dyDescent="0.2">
      <c r="B4585" s="173"/>
      <c r="C4585" s="694">
        <v>1</v>
      </c>
      <c r="D4585" s="695" t="s">
        <v>3903</v>
      </c>
      <c r="E4585" s="695">
        <v>7</v>
      </c>
      <c r="F4585" s="695" t="s">
        <v>6711</v>
      </c>
      <c r="G4585" s="695">
        <v>15</v>
      </c>
      <c r="H4585" s="695" t="s">
        <v>6362</v>
      </c>
      <c r="I4585" s="695">
        <v>7</v>
      </c>
      <c r="J4585" s="695" t="s">
        <v>7719</v>
      </c>
      <c r="K4585" s="695" t="s">
        <v>5334</v>
      </c>
      <c r="L4585" s="696">
        <v>0</v>
      </c>
      <c r="M4585" s="170"/>
    </row>
    <row r="4586" spans="2:13" x14ac:dyDescent="0.2">
      <c r="B4586" s="173"/>
      <c r="C4586" s="694">
        <v>1</v>
      </c>
      <c r="D4586" s="695" t="s">
        <v>3903</v>
      </c>
      <c r="E4586" s="695">
        <v>7</v>
      </c>
      <c r="F4586" s="695" t="s">
        <v>6711</v>
      </c>
      <c r="G4586" s="695">
        <v>15</v>
      </c>
      <c r="H4586" s="695" t="s">
        <v>6362</v>
      </c>
      <c r="I4586" s="695">
        <v>8</v>
      </c>
      <c r="J4586" s="695" t="s">
        <v>7720</v>
      </c>
      <c r="K4586" s="695" t="s">
        <v>5334</v>
      </c>
      <c r="L4586" s="696">
        <v>0</v>
      </c>
      <c r="M4586" s="170"/>
    </row>
    <row r="4587" spans="2:13" x14ac:dyDescent="0.2">
      <c r="B4587" s="173"/>
      <c r="C4587" s="694">
        <v>1</v>
      </c>
      <c r="D4587" s="695" t="s">
        <v>3903</v>
      </c>
      <c r="E4587" s="695">
        <v>7</v>
      </c>
      <c r="F4587" s="695" t="s">
        <v>6711</v>
      </c>
      <c r="G4587" s="695">
        <v>15</v>
      </c>
      <c r="H4587" s="695" t="s">
        <v>6362</v>
      </c>
      <c r="I4587" s="695">
        <v>9</v>
      </c>
      <c r="J4587" s="695" t="s">
        <v>7721</v>
      </c>
      <c r="K4587" s="695" t="s">
        <v>5334</v>
      </c>
      <c r="L4587" s="696">
        <v>1</v>
      </c>
      <c r="M4587" s="170"/>
    </row>
    <row r="4588" spans="2:13" x14ac:dyDescent="0.2">
      <c r="B4588" s="173"/>
      <c r="C4588" s="694">
        <v>1</v>
      </c>
      <c r="D4588" s="695" t="s">
        <v>3903</v>
      </c>
      <c r="E4588" s="695">
        <v>7</v>
      </c>
      <c r="F4588" s="695" t="s">
        <v>6711</v>
      </c>
      <c r="G4588" s="695">
        <v>15</v>
      </c>
      <c r="H4588" s="695" t="s">
        <v>6362</v>
      </c>
      <c r="I4588" s="695">
        <v>10</v>
      </c>
      <c r="J4588" s="695" t="s">
        <v>7722</v>
      </c>
      <c r="K4588" s="695" t="s">
        <v>5334</v>
      </c>
      <c r="L4588" s="696">
        <v>0</v>
      </c>
      <c r="M4588" s="170"/>
    </row>
    <row r="4589" spans="2:13" x14ac:dyDescent="0.2">
      <c r="B4589" s="173"/>
      <c r="C4589" s="694">
        <v>1</v>
      </c>
      <c r="D4589" s="695" t="s">
        <v>3903</v>
      </c>
      <c r="E4589" s="695">
        <v>7</v>
      </c>
      <c r="F4589" s="695" t="s">
        <v>6711</v>
      </c>
      <c r="G4589" s="695">
        <v>15</v>
      </c>
      <c r="H4589" s="695" t="s">
        <v>6362</v>
      </c>
      <c r="I4589" s="695">
        <v>11</v>
      </c>
      <c r="J4589" s="695" t="s">
        <v>7723</v>
      </c>
      <c r="K4589" s="695" t="s">
        <v>5334</v>
      </c>
      <c r="L4589" s="696">
        <v>0</v>
      </c>
      <c r="M4589" s="170"/>
    </row>
    <row r="4590" spans="2:13" x14ac:dyDescent="0.2">
      <c r="B4590" s="173"/>
      <c r="C4590" s="694">
        <v>1</v>
      </c>
      <c r="D4590" s="695" t="s">
        <v>3903</v>
      </c>
      <c r="E4590" s="695">
        <v>7</v>
      </c>
      <c r="F4590" s="695" t="s">
        <v>6711</v>
      </c>
      <c r="G4590" s="695">
        <v>15</v>
      </c>
      <c r="H4590" s="695" t="s">
        <v>6362</v>
      </c>
      <c r="I4590" s="695">
        <v>12</v>
      </c>
      <c r="J4590" s="695" t="s">
        <v>7724</v>
      </c>
      <c r="K4590" s="695" t="s">
        <v>5334</v>
      </c>
      <c r="L4590" s="696">
        <v>0</v>
      </c>
      <c r="M4590" s="170"/>
    </row>
    <row r="4591" spans="2:13" x14ac:dyDescent="0.2">
      <c r="B4591" s="173"/>
      <c r="C4591" s="694">
        <v>1</v>
      </c>
      <c r="D4591" s="695" t="s">
        <v>3903</v>
      </c>
      <c r="E4591" s="695">
        <v>7</v>
      </c>
      <c r="F4591" s="695" t="s">
        <v>6711</v>
      </c>
      <c r="G4591" s="695">
        <v>15</v>
      </c>
      <c r="H4591" s="695" t="s">
        <v>6362</v>
      </c>
      <c r="I4591" s="695">
        <v>13</v>
      </c>
      <c r="J4591" s="695" t="s">
        <v>7725</v>
      </c>
      <c r="K4591" s="695" t="s">
        <v>5334</v>
      </c>
      <c r="L4591" s="696">
        <v>0</v>
      </c>
      <c r="M4591" s="170"/>
    </row>
    <row r="4592" spans="2:13" x14ac:dyDescent="0.2">
      <c r="B4592" s="173"/>
      <c r="C4592" s="694">
        <v>1</v>
      </c>
      <c r="D4592" s="695" t="s">
        <v>3903</v>
      </c>
      <c r="E4592" s="695">
        <v>7</v>
      </c>
      <c r="F4592" s="695" t="s">
        <v>6711</v>
      </c>
      <c r="G4592" s="695">
        <v>15</v>
      </c>
      <c r="H4592" s="695" t="s">
        <v>6362</v>
      </c>
      <c r="I4592" s="695">
        <v>14</v>
      </c>
      <c r="J4592" s="695" t="s">
        <v>7726</v>
      </c>
      <c r="K4592" s="695" t="s">
        <v>5334</v>
      </c>
      <c r="L4592" s="696">
        <v>0</v>
      </c>
      <c r="M4592" s="170"/>
    </row>
    <row r="4593" spans="2:13" x14ac:dyDescent="0.2">
      <c r="B4593" s="173"/>
      <c r="C4593" s="694">
        <v>1</v>
      </c>
      <c r="D4593" s="695" t="s">
        <v>3903</v>
      </c>
      <c r="E4593" s="695">
        <v>7</v>
      </c>
      <c r="F4593" s="695" t="s">
        <v>6711</v>
      </c>
      <c r="G4593" s="695">
        <v>15</v>
      </c>
      <c r="H4593" s="695" t="s">
        <v>6362</v>
      </c>
      <c r="I4593" s="695">
        <v>15</v>
      </c>
      <c r="J4593" s="695" t="s">
        <v>7727</v>
      </c>
      <c r="K4593" s="695" t="s">
        <v>5334</v>
      </c>
      <c r="L4593" s="696">
        <v>0</v>
      </c>
      <c r="M4593" s="170"/>
    </row>
    <row r="4594" spans="2:13" x14ac:dyDescent="0.2">
      <c r="B4594" s="173"/>
      <c r="C4594" s="694">
        <v>1</v>
      </c>
      <c r="D4594" s="695" t="s">
        <v>3903</v>
      </c>
      <c r="E4594" s="695">
        <v>7</v>
      </c>
      <c r="F4594" s="695" t="s">
        <v>6711</v>
      </c>
      <c r="G4594" s="695">
        <v>15</v>
      </c>
      <c r="H4594" s="695" t="s">
        <v>6362</v>
      </c>
      <c r="I4594" s="695">
        <v>16</v>
      </c>
      <c r="J4594" s="695" t="s">
        <v>6370</v>
      </c>
      <c r="K4594" s="695" t="s">
        <v>5334</v>
      </c>
      <c r="L4594" s="696">
        <v>1</v>
      </c>
      <c r="M4594" s="170"/>
    </row>
    <row r="4595" spans="2:13" x14ac:dyDescent="0.2">
      <c r="B4595" s="173"/>
      <c r="C4595" s="694">
        <v>1</v>
      </c>
      <c r="D4595" s="695" t="s">
        <v>3903</v>
      </c>
      <c r="E4595" s="695">
        <v>7</v>
      </c>
      <c r="F4595" s="695" t="s">
        <v>6711</v>
      </c>
      <c r="G4595" s="695">
        <v>15</v>
      </c>
      <c r="H4595" s="695" t="s">
        <v>6362</v>
      </c>
      <c r="I4595" s="695">
        <v>17</v>
      </c>
      <c r="J4595" s="695" t="s">
        <v>7728</v>
      </c>
      <c r="K4595" s="695" t="s">
        <v>5334</v>
      </c>
      <c r="L4595" s="696">
        <v>0</v>
      </c>
      <c r="M4595" s="170"/>
    </row>
    <row r="4596" spans="2:13" x14ac:dyDescent="0.2">
      <c r="B4596" s="173"/>
      <c r="C4596" s="694">
        <v>1</v>
      </c>
      <c r="D4596" s="695" t="s">
        <v>3903</v>
      </c>
      <c r="E4596" s="695">
        <v>7</v>
      </c>
      <c r="F4596" s="695" t="s">
        <v>6711</v>
      </c>
      <c r="G4596" s="695">
        <v>15</v>
      </c>
      <c r="H4596" s="695" t="s">
        <v>6362</v>
      </c>
      <c r="I4596" s="695">
        <v>18</v>
      </c>
      <c r="J4596" s="695" t="s">
        <v>7729</v>
      </c>
      <c r="K4596" s="695" t="s">
        <v>5334</v>
      </c>
      <c r="L4596" s="696">
        <v>2</v>
      </c>
      <c r="M4596" s="170"/>
    </row>
    <row r="4597" spans="2:13" x14ac:dyDescent="0.2">
      <c r="B4597" s="173"/>
      <c r="C4597" s="694">
        <v>1</v>
      </c>
      <c r="D4597" s="695" t="s">
        <v>3903</v>
      </c>
      <c r="E4597" s="695">
        <v>7</v>
      </c>
      <c r="F4597" s="695" t="s">
        <v>6711</v>
      </c>
      <c r="G4597" s="695">
        <v>15</v>
      </c>
      <c r="H4597" s="695" t="s">
        <v>6362</v>
      </c>
      <c r="I4597" s="695">
        <v>19</v>
      </c>
      <c r="J4597" s="695" t="s">
        <v>7730</v>
      </c>
      <c r="K4597" s="695" t="s">
        <v>5334</v>
      </c>
      <c r="L4597" s="696">
        <v>0</v>
      </c>
      <c r="M4597" s="170"/>
    </row>
    <row r="4598" spans="2:13" x14ac:dyDescent="0.2">
      <c r="B4598" s="173"/>
      <c r="C4598" s="694">
        <v>1</v>
      </c>
      <c r="D4598" s="695" t="s">
        <v>3903</v>
      </c>
      <c r="E4598" s="695">
        <v>7</v>
      </c>
      <c r="F4598" s="695" t="s">
        <v>6711</v>
      </c>
      <c r="G4598" s="695">
        <v>15</v>
      </c>
      <c r="H4598" s="695" t="s">
        <v>6362</v>
      </c>
      <c r="I4598" s="695">
        <v>20</v>
      </c>
      <c r="J4598" s="695" t="s">
        <v>7731</v>
      </c>
      <c r="K4598" s="695" t="s">
        <v>5334</v>
      </c>
      <c r="L4598" s="696">
        <v>0</v>
      </c>
      <c r="M4598" s="170"/>
    </row>
    <row r="4599" spans="2:13" x14ac:dyDescent="0.2">
      <c r="B4599" s="173"/>
      <c r="C4599" s="694">
        <v>1</v>
      </c>
      <c r="D4599" s="695" t="s">
        <v>3903</v>
      </c>
      <c r="E4599" s="695">
        <v>7</v>
      </c>
      <c r="F4599" s="695" t="s">
        <v>6711</v>
      </c>
      <c r="G4599" s="695">
        <v>15</v>
      </c>
      <c r="H4599" s="695" t="s">
        <v>6362</v>
      </c>
      <c r="I4599" s="695">
        <v>21</v>
      </c>
      <c r="J4599" s="695" t="s">
        <v>7732</v>
      </c>
      <c r="K4599" s="695" t="s">
        <v>5334</v>
      </c>
      <c r="L4599" s="696">
        <v>1</v>
      </c>
      <c r="M4599" s="170"/>
    </row>
    <row r="4600" spans="2:13" x14ac:dyDescent="0.2">
      <c r="B4600" s="173"/>
      <c r="C4600" s="694">
        <v>1</v>
      </c>
      <c r="D4600" s="695" t="s">
        <v>3903</v>
      </c>
      <c r="E4600" s="695">
        <v>7</v>
      </c>
      <c r="F4600" s="695" t="s">
        <v>6711</v>
      </c>
      <c r="G4600" s="695">
        <v>15</v>
      </c>
      <c r="H4600" s="695" t="s">
        <v>6362</v>
      </c>
      <c r="I4600" s="695">
        <v>22</v>
      </c>
      <c r="J4600" s="695" t="s">
        <v>7733</v>
      </c>
      <c r="K4600" s="695" t="s">
        <v>5334</v>
      </c>
      <c r="L4600" s="696">
        <v>0</v>
      </c>
      <c r="M4600" s="170"/>
    </row>
    <row r="4601" spans="2:13" x14ac:dyDescent="0.2">
      <c r="B4601" s="173"/>
      <c r="C4601" s="694">
        <v>1</v>
      </c>
      <c r="D4601" s="695" t="s">
        <v>3903</v>
      </c>
      <c r="E4601" s="695">
        <v>7</v>
      </c>
      <c r="F4601" s="695" t="s">
        <v>6711</v>
      </c>
      <c r="G4601" s="695">
        <v>15</v>
      </c>
      <c r="H4601" s="695" t="s">
        <v>6362</v>
      </c>
      <c r="I4601" s="695">
        <v>23</v>
      </c>
      <c r="J4601" s="695" t="s">
        <v>7734</v>
      </c>
      <c r="K4601" s="695" t="s">
        <v>5334</v>
      </c>
      <c r="L4601" s="696">
        <v>0</v>
      </c>
      <c r="M4601" s="170"/>
    </row>
    <row r="4602" spans="2:13" x14ac:dyDescent="0.2">
      <c r="B4602" s="173"/>
      <c r="C4602" s="694">
        <v>1</v>
      </c>
      <c r="D4602" s="695" t="s">
        <v>3903</v>
      </c>
      <c r="E4602" s="695">
        <v>7</v>
      </c>
      <c r="F4602" s="695" t="s">
        <v>6711</v>
      </c>
      <c r="G4602" s="695">
        <v>15</v>
      </c>
      <c r="H4602" s="695" t="s">
        <v>6362</v>
      </c>
      <c r="I4602" s="695">
        <v>24</v>
      </c>
      <c r="J4602" s="695" t="s">
        <v>7735</v>
      </c>
      <c r="K4602" s="695" t="s">
        <v>5334</v>
      </c>
      <c r="L4602" s="696">
        <v>0</v>
      </c>
      <c r="M4602" s="170"/>
    </row>
    <row r="4603" spans="2:13" x14ac:dyDescent="0.2">
      <c r="B4603" s="173"/>
      <c r="C4603" s="694">
        <v>1</v>
      </c>
      <c r="D4603" s="695" t="s">
        <v>3903</v>
      </c>
      <c r="E4603" s="695">
        <v>7</v>
      </c>
      <c r="F4603" s="695" t="s">
        <v>6711</v>
      </c>
      <c r="G4603" s="695">
        <v>15</v>
      </c>
      <c r="H4603" s="695" t="s">
        <v>6362</v>
      </c>
      <c r="I4603" s="695">
        <v>25</v>
      </c>
      <c r="J4603" s="695" t="s">
        <v>7736</v>
      </c>
      <c r="K4603" s="695" t="s">
        <v>5334</v>
      </c>
      <c r="L4603" s="696">
        <v>0</v>
      </c>
      <c r="M4603" s="170"/>
    </row>
    <row r="4604" spans="2:13" x14ac:dyDescent="0.2">
      <c r="B4604" s="173"/>
      <c r="C4604" s="694">
        <v>1</v>
      </c>
      <c r="D4604" s="695" t="s">
        <v>3903</v>
      </c>
      <c r="E4604" s="695">
        <v>7</v>
      </c>
      <c r="F4604" s="695" t="s">
        <v>6711</v>
      </c>
      <c r="G4604" s="695">
        <v>15</v>
      </c>
      <c r="H4604" s="695" t="s">
        <v>6362</v>
      </c>
      <c r="I4604" s="695">
        <v>26</v>
      </c>
      <c r="J4604" s="695" t="s">
        <v>7737</v>
      </c>
      <c r="K4604" s="695" t="s">
        <v>5334</v>
      </c>
      <c r="L4604" s="696">
        <v>0</v>
      </c>
      <c r="M4604" s="170"/>
    </row>
    <row r="4605" spans="2:13" x14ac:dyDescent="0.2">
      <c r="B4605" s="173"/>
      <c r="C4605" s="694">
        <v>1</v>
      </c>
      <c r="D4605" s="695" t="s">
        <v>3903</v>
      </c>
      <c r="E4605" s="695">
        <v>7</v>
      </c>
      <c r="F4605" s="695" t="s">
        <v>6711</v>
      </c>
      <c r="G4605" s="695">
        <v>15</v>
      </c>
      <c r="H4605" s="695" t="s">
        <v>6362</v>
      </c>
      <c r="I4605" s="695">
        <v>27</v>
      </c>
      <c r="J4605" s="695" t="s">
        <v>7738</v>
      </c>
      <c r="K4605" s="695" t="s">
        <v>5334</v>
      </c>
      <c r="L4605" s="696">
        <v>0</v>
      </c>
      <c r="M4605" s="170"/>
    </row>
    <row r="4606" spans="2:13" x14ac:dyDescent="0.2">
      <c r="B4606" s="173"/>
      <c r="C4606" s="694">
        <v>1</v>
      </c>
      <c r="D4606" s="695" t="s">
        <v>3903</v>
      </c>
      <c r="E4606" s="695">
        <v>7</v>
      </c>
      <c r="F4606" s="695" t="s">
        <v>6711</v>
      </c>
      <c r="G4606" s="695">
        <v>15</v>
      </c>
      <c r="H4606" s="695" t="s">
        <v>6362</v>
      </c>
      <c r="I4606" s="695">
        <v>28</v>
      </c>
      <c r="J4606" s="695" t="s">
        <v>7739</v>
      </c>
      <c r="K4606" s="695" t="s">
        <v>5334</v>
      </c>
      <c r="L4606" s="696">
        <v>0</v>
      </c>
      <c r="M4606" s="170"/>
    </row>
    <row r="4607" spans="2:13" x14ac:dyDescent="0.2">
      <c r="B4607" s="173"/>
      <c r="C4607" s="694">
        <v>1</v>
      </c>
      <c r="D4607" s="695" t="s">
        <v>3903</v>
      </c>
      <c r="E4607" s="695">
        <v>7</v>
      </c>
      <c r="F4607" s="695" t="s">
        <v>6711</v>
      </c>
      <c r="G4607" s="695">
        <v>15</v>
      </c>
      <c r="H4607" s="695" t="s">
        <v>6362</v>
      </c>
      <c r="I4607" s="695">
        <v>29</v>
      </c>
      <c r="J4607" s="695" t="s">
        <v>7740</v>
      </c>
      <c r="K4607" s="695" t="s">
        <v>5334</v>
      </c>
      <c r="L4607" s="696">
        <v>0</v>
      </c>
      <c r="M4607" s="170"/>
    </row>
    <row r="4608" spans="2:13" x14ac:dyDescent="0.2">
      <c r="B4608" s="173"/>
      <c r="C4608" s="694">
        <v>1</v>
      </c>
      <c r="D4608" s="695" t="s">
        <v>3903</v>
      </c>
      <c r="E4608" s="695">
        <v>7</v>
      </c>
      <c r="F4608" s="695" t="s">
        <v>6711</v>
      </c>
      <c r="G4608" s="695">
        <v>15</v>
      </c>
      <c r="H4608" s="695" t="s">
        <v>6362</v>
      </c>
      <c r="I4608" s="695">
        <v>30</v>
      </c>
      <c r="J4608" s="695" t="s">
        <v>7741</v>
      </c>
      <c r="K4608" s="695" t="s">
        <v>5334</v>
      </c>
      <c r="L4608" s="696">
        <v>0</v>
      </c>
      <c r="M4608" s="170"/>
    </row>
    <row r="4609" spans="2:13" x14ac:dyDescent="0.2">
      <c r="B4609" s="173"/>
      <c r="C4609" s="694">
        <v>1</v>
      </c>
      <c r="D4609" s="695" t="s">
        <v>3903</v>
      </c>
      <c r="E4609" s="695">
        <v>7</v>
      </c>
      <c r="F4609" s="695" t="s">
        <v>6711</v>
      </c>
      <c r="G4609" s="695">
        <v>15</v>
      </c>
      <c r="H4609" s="695" t="s">
        <v>6362</v>
      </c>
      <c r="I4609" s="695">
        <v>31</v>
      </c>
      <c r="J4609" s="695" t="s">
        <v>7742</v>
      </c>
      <c r="K4609" s="695" t="s">
        <v>5334</v>
      </c>
      <c r="L4609" s="696">
        <v>0</v>
      </c>
      <c r="M4609" s="170"/>
    </row>
    <row r="4610" spans="2:13" x14ac:dyDescent="0.2">
      <c r="B4610" s="173"/>
      <c r="C4610" s="694">
        <v>1</v>
      </c>
      <c r="D4610" s="695" t="s">
        <v>3903</v>
      </c>
      <c r="E4610" s="695">
        <v>7</v>
      </c>
      <c r="F4610" s="695" t="s">
        <v>6711</v>
      </c>
      <c r="G4610" s="695">
        <v>15</v>
      </c>
      <c r="H4610" s="695" t="s">
        <v>6362</v>
      </c>
      <c r="I4610" s="695">
        <v>32</v>
      </c>
      <c r="J4610" s="695" t="s">
        <v>7743</v>
      </c>
      <c r="K4610" s="695" t="s">
        <v>5334</v>
      </c>
      <c r="L4610" s="696">
        <v>0</v>
      </c>
      <c r="M4610" s="170"/>
    </row>
    <row r="4611" spans="2:13" x14ac:dyDescent="0.2">
      <c r="B4611" s="173"/>
      <c r="C4611" s="694">
        <v>1</v>
      </c>
      <c r="D4611" s="695" t="s">
        <v>3903</v>
      </c>
      <c r="E4611" s="695">
        <v>7</v>
      </c>
      <c r="F4611" s="695" t="s">
        <v>6711</v>
      </c>
      <c r="G4611" s="695">
        <v>15</v>
      </c>
      <c r="H4611" s="695" t="s">
        <v>6362</v>
      </c>
      <c r="I4611" s="695">
        <v>33</v>
      </c>
      <c r="J4611" s="695" t="s">
        <v>7744</v>
      </c>
      <c r="K4611" s="695" t="s">
        <v>5334</v>
      </c>
      <c r="L4611" s="696">
        <v>0</v>
      </c>
      <c r="M4611" s="170"/>
    </row>
    <row r="4612" spans="2:13" x14ac:dyDescent="0.2">
      <c r="B4612" s="173"/>
      <c r="C4612" s="694">
        <v>1</v>
      </c>
      <c r="D4612" s="695" t="s">
        <v>3903</v>
      </c>
      <c r="E4612" s="695">
        <v>7</v>
      </c>
      <c r="F4612" s="695" t="s">
        <v>6711</v>
      </c>
      <c r="G4612" s="695">
        <v>15</v>
      </c>
      <c r="H4612" s="695" t="s">
        <v>6362</v>
      </c>
      <c r="I4612" s="695">
        <v>34</v>
      </c>
      <c r="J4612" s="695" t="s">
        <v>7745</v>
      </c>
      <c r="K4612" s="695" t="s">
        <v>5334</v>
      </c>
      <c r="L4612" s="696">
        <v>0</v>
      </c>
      <c r="M4612" s="170"/>
    </row>
    <row r="4613" spans="2:13" x14ac:dyDescent="0.2">
      <c r="B4613" s="173"/>
      <c r="C4613" s="694">
        <v>1</v>
      </c>
      <c r="D4613" s="695" t="s">
        <v>3903</v>
      </c>
      <c r="E4613" s="695">
        <v>7</v>
      </c>
      <c r="F4613" s="695" t="s">
        <v>6711</v>
      </c>
      <c r="G4613" s="695">
        <v>15</v>
      </c>
      <c r="H4613" s="695" t="s">
        <v>6362</v>
      </c>
      <c r="I4613" s="695">
        <v>35</v>
      </c>
      <c r="J4613" s="695" t="s">
        <v>7746</v>
      </c>
      <c r="K4613" s="695" t="s">
        <v>5334</v>
      </c>
      <c r="L4613" s="696">
        <v>0</v>
      </c>
      <c r="M4613" s="170"/>
    </row>
    <row r="4614" spans="2:13" x14ac:dyDescent="0.2">
      <c r="B4614" s="173"/>
      <c r="C4614" s="694">
        <v>1</v>
      </c>
      <c r="D4614" s="695" t="s">
        <v>3903</v>
      </c>
      <c r="E4614" s="695">
        <v>7</v>
      </c>
      <c r="F4614" s="695" t="s">
        <v>6711</v>
      </c>
      <c r="G4614" s="695">
        <v>15</v>
      </c>
      <c r="H4614" s="695" t="s">
        <v>6362</v>
      </c>
      <c r="I4614" s="695">
        <v>36</v>
      </c>
      <c r="J4614" s="695" t="s">
        <v>7747</v>
      </c>
      <c r="K4614" s="695" t="s">
        <v>5334</v>
      </c>
      <c r="L4614" s="696">
        <v>0</v>
      </c>
      <c r="M4614" s="170"/>
    </row>
    <row r="4615" spans="2:13" x14ac:dyDescent="0.2">
      <c r="B4615" s="173"/>
      <c r="C4615" s="694">
        <v>1</v>
      </c>
      <c r="D4615" s="695" t="s">
        <v>3903</v>
      </c>
      <c r="E4615" s="695">
        <v>7</v>
      </c>
      <c r="F4615" s="695" t="s">
        <v>6711</v>
      </c>
      <c r="G4615" s="695">
        <v>16</v>
      </c>
      <c r="H4615" s="695" t="s">
        <v>7748</v>
      </c>
      <c r="I4615" s="695">
        <v>1</v>
      </c>
      <c r="J4615" s="695" t="s">
        <v>7749</v>
      </c>
      <c r="K4615" s="695" t="s">
        <v>5334</v>
      </c>
      <c r="L4615" s="696">
        <v>10</v>
      </c>
      <c r="M4615" s="170"/>
    </row>
    <row r="4616" spans="2:13" x14ac:dyDescent="0.2">
      <c r="B4616" s="173"/>
      <c r="C4616" s="694">
        <v>1</v>
      </c>
      <c r="D4616" s="695" t="s">
        <v>3903</v>
      </c>
      <c r="E4616" s="695">
        <v>7</v>
      </c>
      <c r="F4616" s="695" t="s">
        <v>6711</v>
      </c>
      <c r="G4616" s="695">
        <v>16</v>
      </c>
      <c r="H4616" s="695" t="s">
        <v>7748</v>
      </c>
      <c r="I4616" s="695">
        <v>2</v>
      </c>
      <c r="J4616" s="695" t="s">
        <v>7750</v>
      </c>
      <c r="K4616" s="695" t="s">
        <v>5334</v>
      </c>
      <c r="L4616" s="696">
        <v>56</v>
      </c>
      <c r="M4616" s="170"/>
    </row>
    <row r="4617" spans="2:13" x14ac:dyDescent="0.2">
      <c r="B4617" s="173"/>
      <c r="C4617" s="694">
        <v>1</v>
      </c>
      <c r="D4617" s="695" t="s">
        <v>3903</v>
      </c>
      <c r="E4617" s="695">
        <v>7</v>
      </c>
      <c r="F4617" s="695" t="s">
        <v>6711</v>
      </c>
      <c r="G4617" s="695">
        <v>16</v>
      </c>
      <c r="H4617" s="695" t="s">
        <v>7748</v>
      </c>
      <c r="I4617" s="695">
        <v>3</v>
      </c>
      <c r="J4617" s="695" t="s">
        <v>7751</v>
      </c>
      <c r="K4617" s="695" t="s">
        <v>5334</v>
      </c>
      <c r="L4617" s="696">
        <v>12</v>
      </c>
      <c r="M4617" s="170"/>
    </row>
    <row r="4618" spans="2:13" x14ac:dyDescent="0.2">
      <c r="B4618" s="173"/>
      <c r="C4618" s="694">
        <v>1</v>
      </c>
      <c r="D4618" s="695" t="s">
        <v>3903</v>
      </c>
      <c r="E4618" s="695">
        <v>7</v>
      </c>
      <c r="F4618" s="695" t="s">
        <v>6711</v>
      </c>
      <c r="G4618" s="695">
        <v>16</v>
      </c>
      <c r="H4618" s="695" t="s">
        <v>7748</v>
      </c>
      <c r="I4618" s="695">
        <v>4</v>
      </c>
      <c r="J4618" s="695" t="s">
        <v>5333</v>
      </c>
      <c r="K4618" s="695" t="s">
        <v>5334</v>
      </c>
      <c r="L4618" s="696">
        <v>62</v>
      </c>
      <c r="M4618" s="170"/>
    </row>
    <row r="4619" spans="2:13" x14ac:dyDescent="0.2">
      <c r="B4619" s="173"/>
      <c r="C4619" s="694">
        <v>1</v>
      </c>
      <c r="D4619" s="695" t="s">
        <v>3903</v>
      </c>
      <c r="E4619" s="695">
        <v>7</v>
      </c>
      <c r="F4619" s="695" t="s">
        <v>6711</v>
      </c>
      <c r="G4619" s="695">
        <v>16</v>
      </c>
      <c r="H4619" s="695" t="s">
        <v>7748</v>
      </c>
      <c r="I4619" s="695">
        <v>5</v>
      </c>
      <c r="J4619" s="695" t="s">
        <v>7752</v>
      </c>
      <c r="K4619" s="695" t="s">
        <v>5334</v>
      </c>
      <c r="L4619" s="696">
        <v>47567</v>
      </c>
      <c r="M4619" s="170"/>
    </row>
    <row r="4620" spans="2:13" x14ac:dyDescent="0.2">
      <c r="B4620" s="173"/>
      <c r="C4620" s="694">
        <v>1</v>
      </c>
      <c r="D4620" s="695" t="s">
        <v>3903</v>
      </c>
      <c r="E4620" s="695">
        <v>7</v>
      </c>
      <c r="F4620" s="695" t="s">
        <v>6711</v>
      </c>
      <c r="G4620" s="695">
        <v>16</v>
      </c>
      <c r="H4620" s="695" t="s">
        <v>7748</v>
      </c>
      <c r="I4620" s="695">
        <v>6</v>
      </c>
      <c r="J4620" s="695" t="s">
        <v>9191</v>
      </c>
      <c r="K4620" s="695" t="s">
        <v>5334</v>
      </c>
      <c r="L4620" s="696">
        <v>30</v>
      </c>
      <c r="M4620" s="170"/>
    </row>
    <row r="4621" spans="2:13" x14ac:dyDescent="0.2">
      <c r="B4621" s="173"/>
      <c r="C4621" s="694">
        <v>1</v>
      </c>
      <c r="D4621" s="695" t="s">
        <v>3903</v>
      </c>
      <c r="E4621" s="695">
        <v>7</v>
      </c>
      <c r="F4621" s="695" t="s">
        <v>6711</v>
      </c>
      <c r="G4621" s="695">
        <v>17</v>
      </c>
      <c r="H4621" s="695" t="s">
        <v>4823</v>
      </c>
      <c r="I4621" s="695">
        <v>1</v>
      </c>
      <c r="J4621" s="695" t="s">
        <v>7753</v>
      </c>
      <c r="K4621" s="695" t="s">
        <v>5334</v>
      </c>
      <c r="L4621" s="696">
        <v>0</v>
      </c>
      <c r="M4621" s="170"/>
    </row>
    <row r="4622" spans="2:13" x14ac:dyDescent="0.2">
      <c r="B4622" s="173"/>
      <c r="C4622" s="694">
        <v>1</v>
      </c>
      <c r="D4622" s="695" t="s">
        <v>3903</v>
      </c>
      <c r="E4622" s="695">
        <v>7</v>
      </c>
      <c r="F4622" s="695" t="s">
        <v>6711</v>
      </c>
      <c r="G4622" s="695">
        <v>17</v>
      </c>
      <c r="H4622" s="695" t="s">
        <v>4823</v>
      </c>
      <c r="I4622" s="695">
        <v>2</v>
      </c>
      <c r="J4622" s="695" t="s">
        <v>7754</v>
      </c>
      <c r="K4622" s="695" t="s">
        <v>5334</v>
      </c>
      <c r="L4622" s="696">
        <v>0</v>
      </c>
      <c r="M4622" s="170"/>
    </row>
    <row r="4623" spans="2:13" x14ac:dyDescent="0.2">
      <c r="B4623" s="173"/>
      <c r="C4623" s="694">
        <v>1</v>
      </c>
      <c r="D4623" s="695" t="s">
        <v>3903</v>
      </c>
      <c r="E4623" s="695">
        <v>7</v>
      </c>
      <c r="F4623" s="695" t="s">
        <v>6711</v>
      </c>
      <c r="G4623" s="695">
        <v>17</v>
      </c>
      <c r="H4623" s="695" t="s">
        <v>4823</v>
      </c>
      <c r="I4623" s="695">
        <v>3</v>
      </c>
      <c r="J4623" s="695" t="s">
        <v>7755</v>
      </c>
      <c r="K4623" s="695" t="s">
        <v>5334</v>
      </c>
      <c r="L4623" s="696">
        <v>0</v>
      </c>
      <c r="M4623" s="170"/>
    </row>
    <row r="4624" spans="2:13" x14ac:dyDescent="0.2">
      <c r="B4624" s="173"/>
      <c r="C4624" s="694">
        <v>1</v>
      </c>
      <c r="D4624" s="695" t="s">
        <v>3903</v>
      </c>
      <c r="E4624" s="695">
        <v>7</v>
      </c>
      <c r="F4624" s="695" t="s">
        <v>6711</v>
      </c>
      <c r="G4624" s="695">
        <v>17</v>
      </c>
      <c r="H4624" s="695" t="s">
        <v>4823</v>
      </c>
      <c r="I4624" s="695">
        <v>4</v>
      </c>
      <c r="J4624" s="695" t="s">
        <v>7756</v>
      </c>
      <c r="K4624" s="695" t="s">
        <v>5334</v>
      </c>
      <c r="L4624" s="696">
        <v>2</v>
      </c>
      <c r="M4624" s="170"/>
    </row>
    <row r="4625" spans="2:13" x14ac:dyDescent="0.2">
      <c r="B4625" s="173"/>
      <c r="C4625" s="694">
        <v>1</v>
      </c>
      <c r="D4625" s="695" t="s">
        <v>3903</v>
      </c>
      <c r="E4625" s="695">
        <v>7</v>
      </c>
      <c r="F4625" s="695" t="s">
        <v>6711</v>
      </c>
      <c r="G4625" s="695">
        <v>17</v>
      </c>
      <c r="H4625" s="695" t="s">
        <v>4823</v>
      </c>
      <c r="I4625" s="695">
        <v>5</v>
      </c>
      <c r="J4625" s="695" t="s">
        <v>7757</v>
      </c>
      <c r="K4625" s="695" t="s">
        <v>5334</v>
      </c>
      <c r="L4625" s="696">
        <v>2</v>
      </c>
      <c r="M4625" s="170"/>
    </row>
    <row r="4626" spans="2:13" x14ac:dyDescent="0.2">
      <c r="B4626" s="173"/>
      <c r="C4626" s="694">
        <v>1</v>
      </c>
      <c r="D4626" s="695" t="s">
        <v>3903</v>
      </c>
      <c r="E4626" s="695">
        <v>7</v>
      </c>
      <c r="F4626" s="695" t="s">
        <v>6711</v>
      </c>
      <c r="G4626" s="695">
        <v>17</v>
      </c>
      <c r="H4626" s="695" t="s">
        <v>4823</v>
      </c>
      <c r="I4626" s="695">
        <v>6</v>
      </c>
      <c r="J4626" s="695" t="s">
        <v>7758</v>
      </c>
      <c r="K4626" s="695" t="s">
        <v>5334</v>
      </c>
      <c r="L4626" s="696">
        <v>0</v>
      </c>
      <c r="M4626" s="170"/>
    </row>
    <row r="4627" spans="2:13" x14ac:dyDescent="0.2">
      <c r="B4627" s="173"/>
      <c r="C4627" s="694">
        <v>1</v>
      </c>
      <c r="D4627" s="695" t="s">
        <v>3903</v>
      </c>
      <c r="E4627" s="695">
        <v>7</v>
      </c>
      <c r="F4627" s="695" t="s">
        <v>6711</v>
      </c>
      <c r="G4627" s="695">
        <v>17</v>
      </c>
      <c r="H4627" s="695" t="s">
        <v>4823</v>
      </c>
      <c r="I4627" s="695">
        <v>7</v>
      </c>
      <c r="J4627" s="695" t="s">
        <v>7759</v>
      </c>
      <c r="K4627" s="695" t="s">
        <v>5334</v>
      </c>
      <c r="L4627" s="696">
        <v>0</v>
      </c>
      <c r="M4627" s="170"/>
    </row>
    <row r="4628" spans="2:13" x14ac:dyDescent="0.2">
      <c r="B4628" s="173"/>
      <c r="C4628" s="694">
        <v>1</v>
      </c>
      <c r="D4628" s="695" t="s">
        <v>3903</v>
      </c>
      <c r="E4628" s="695">
        <v>7</v>
      </c>
      <c r="F4628" s="695" t="s">
        <v>6711</v>
      </c>
      <c r="G4628" s="695">
        <v>17</v>
      </c>
      <c r="H4628" s="695" t="s">
        <v>4823</v>
      </c>
      <c r="I4628" s="695">
        <v>8</v>
      </c>
      <c r="J4628" s="695" t="s">
        <v>7760</v>
      </c>
      <c r="K4628" s="695" t="s">
        <v>5334</v>
      </c>
      <c r="L4628" s="696">
        <v>0</v>
      </c>
      <c r="M4628" s="170"/>
    </row>
    <row r="4629" spans="2:13" x14ac:dyDescent="0.2">
      <c r="B4629" s="173"/>
      <c r="C4629" s="694">
        <v>1</v>
      </c>
      <c r="D4629" s="695" t="s">
        <v>3903</v>
      </c>
      <c r="E4629" s="695">
        <v>7</v>
      </c>
      <c r="F4629" s="695" t="s">
        <v>6711</v>
      </c>
      <c r="G4629" s="695">
        <v>17</v>
      </c>
      <c r="H4629" s="695" t="s">
        <v>4823</v>
      </c>
      <c r="I4629" s="695">
        <v>9</v>
      </c>
      <c r="J4629" s="695" t="s">
        <v>7761</v>
      </c>
      <c r="K4629" s="695" t="s">
        <v>5334</v>
      </c>
      <c r="L4629" s="696">
        <v>3</v>
      </c>
      <c r="M4629" s="170"/>
    </row>
    <row r="4630" spans="2:13" x14ac:dyDescent="0.2">
      <c r="B4630" s="173"/>
      <c r="C4630" s="694">
        <v>1</v>
      </c>
      <c r="D4630" s="695" t="s">
        <v>3903</v>
      </c>
      <c r="E4630" s="695">
        <v>7</v>
      </c>
      <c r="F4630" s="695" t="s">
        <v>6711</v>
      </c>
      <c r="G4630" s="695">
        <v>17</v>
      </c>
      <c r="H4630" s="695" t="s">
        <v>4823</v>
      </c>
      <c r="I4630" s="695">
        <v>10</v>
      </c>
      <c r="J4630" s="695" t="s">
        <v>7762</v>
      </c>
      <c r="K4630" s="695" t="s">
        <v>5334</v>
      </c>
      <c r="L4630" s="696">
        <v>0</v>
      </c>
      <c r="M4630" s="170"/>
    </row>
    <row r="4631" spans="2:13" x14ac:dyDescent="0.2">
      <c r="B4631" s="173"/>
      <c r="C4631" s="694">
        <v>1</v>
      </c>
      <c r="D4631" s="695" t="s">
        <v>3903</v>
      </c>
      <c r="E4631" s="695">
        <v>7</v>
      </c>
      <c r="F4631" s="695" t="s">
        <v>6711</v>
      </c>
      <c r="G4631" s="695">
        <v>17</v>
      </c>
      <c r="H4631" s="695" t="s">
        <v>4823</v>
      </c>
      <c r="I4631" s="695">
        <v>11</v>
      </c>
      <c r="J4631" s="695" t="s">
        <v>7763</v>
      </c>
      <c r="K4631" s="695" t="s">
        <v>5334</v>
      </c>
      <c r="L4631" s="696">
        <v>0</v>
      </c>
      <c r="M4631" s="170"/>
    </row>
    <row r="4632" spans="2:13" x14ac:dyDescent="0.2">
      <c r="B4632" s="173"/>
      <c r="C4632" s="694">
        <v>1</v>
      </c>
      <c r="D4632" s="695" t="s">
        <v>3903</v>
      </c>
      <c r="E4632" s="695">
        <v>7</v>
      </c>
      <c r="F4632" s="695" t="s">
        <v>6711</v>
      </c>
      <c r="G4632" s="695">
        <v>17</v>
      </c>
      <c r="H4632" s="695" t="s">
        <v>4823</v>
      </c>
      <c r="I4632" s="695">
        <v>12</v>
      </c>
      <c r="J4632" s="695" t="s">
        <v>7764</v>
      </c>
      <c r="K4632" s="695" t="s">
        <v>5334</v>
      </c>
      <c r="L4632" s="696">
        <v>2</v>
      </c>
      <c r="M4632" s="170"/>
    </row>
    <row r="4633" spans="2:13" x14ac:dyDescent="0.2">
      <c r="B4633" s="173"/>
      <c r="C4633" s="694">
        <v>1</v>
      </c>
      <c r="D4633" s="695" t="s">
        <v>3903</v>
      </c>
      <c r="E4633" s="695">
        <v>7</v>
      </c>
      <c r="F4633" s="695" t="s">
        <v>6711</v>
      </c>
      <c r="G4633" s="695">
        <v>17</v>
      </c>
      <c r="H4633" s="695" t="s">
        <v>4823</v>
      </c>
      <c r="I4633" s="695">
        <v>13</v>
      </c>
      <c r="J4633" s="695" t="s">
        <v>7765</v>
      </c>
      <c r="K4633" s="695" t="s">
        <v>5334</v>
      </c>
      <c r="L4633" s="696">
        <v>2</v>
      </c>
      <c r="M4633" s="170"/>
    </row>
    <row r="4634" spans="2:13" x14ac:dyDescent="0.2">
      <c r="B4634" s="173"/>
      <c r="C4634" s="694">
        <v>1</v>
      </c>
      <c r="D4634" s="695" t="s">
        <v>3903</v>
      </c>
      <c r="E4634" s="695">
        <v>7</v>
      </c>
      <c r="F4634" s="695" t="s">
        <v>6711</v>
      </c>
      <c r="G4634" s="695">
        <v>17</v>
      </c>
      <c r="H4634" s="695" t="s">
        <v>4823</v>
      </c>
      <c r="I4634" s="695">
        <v>14</v>
      </c>
      <c r="J4634" s="695" t="s">
        <v>7766</v>
      </c>
      <c r="K4634" s="695" t="s">
        <v>5334</v>
      </c>
      <c r="L4634" s="696">
        <v>2</v>
      </c>
      <c r="M4634" s="170"/>
    </row>
    <row r="4635" spans="2:13" x14ac:dyDescent="0.2">
      <c r="B4635" s="173"/>
      <c r="C4635" s="694">
        <v>1</v>
      </c>
      <c r="D4635" s="695" t="s">
        <v>3903</v>
      </c>
      <c r="E4635" s="695">
        <v>7</v>
      </c>
      <c r="F4635" s="695" t="s">
        <v>6711</v>
      </c>
      <c r="G4635" s="695">
        <v>17</v>
      </c>
      <c r="H4635" s="695" t="s">
        <v>4823</v>
      </c>
      <c r="I4635" s="695">
        <v>15</v>
      </c>
      <c r="J4635" s="695" t="s">
        <v>7767</v>
      </c>
      <c r="K4635" s="695" t="s">
        <v>5334</v>
      </c>
      <c r="L4635" s="696">
        <v>0</v>
      </c>
      <c r="M4635" s="170"/>
    </row>
    <row r="4636" spans="2:13" x14ac:dyDescent="0.2">
      <c r="B4636" s="173"/>
      <c r="C4636" s="694">
        <v>1</v>
      </c>
      <c r="D4636" s="695" t="s">
        <v>3903</v>
      </c>
      <c r="E4636" s="695">
        <v>7</v>
      </c>
      <c r="F4636" s="695" t="s">
        <v>6711</v>
      </c>
      <c r="G4636" s="695">
        <v>17</v>
      </c>
      <c r="H4636" s="695" t="s">
        <v>4823</v>
      </c>
      <c r="I4636" s="695">
        <v>16</v>
      </c>
      <c r="J4636" s="695" t="s">
        <v>7768</v>
      </c>
      <c r="K4636" s="695" t="s">
        <v>5334</v>
      </c>
      <c r="L4636" s="696">
        <v>66</v>
      </c>
      <c r="M4636" s="170"/>
    </row>
    <row r="4637" spans="2:13" x14ac:dyDescent="0.2">
      <c r="B4637" s="173"/>
      <c r="C4637" s="694">
        <v>1</v>
      </c>
      <c r="D4637" s="695" t="s">
        <v>3903</v>
      </c>
      <c r="E4637" s="695">
        <v>7</v>
      </c>
      <c r="F4637" s="695" t="s">
        <v>6711</v>
      </c>
      <c r="G4637" s="695">
        <v>17</v>
      </c>
      <c r="H4637" s="695" t="s">
        <v>4823</v>
      </c>
      <c r="I4637" s="695">
        <v>17</v>
      </c>
      <c r="J4637" s="695" t="s">
        <v>7769</v>
      </c>
      <c r="K4637" s="695" t="s">
        <v>5334</v>
      </c>
      <c r="L4637" s="696">
        <v>11</v>
      </c>
      <c r="M4637" s="170"/>
    </row>
    <row r="4638" spans="2:13" x14ac:dyDescent="0.2">
      <c r="B4638" s="173"/>
      <c r="C4638" s="694">
        <v>1</v>
      </c>
      <c r="D4638" s="695" t="s">
        <v>3903</v>
      </c>
      <c r="E4638" s="695">
        <v>7</v>
      </c>
      <c r="F4638" s="695" t="s">
        <v>6711</v>
      </c>
      <c r="G4638" s="695">
        <v>17</v>
      </c>
      <c r="H4638" s="695" t="s">
        <v>4823</v>
      </c>
      <c r="I4638" s="695">
        <v>18</v>
      </c>
      <c r="J4638" s="695" t="s">
        <v>7770</v>
      </c>
      <c r="K4638" s="695" t="s">
        <v>5334</v>
      </c>
      <c r="L4638" s="696">
        <v>203</v>
      </c>
      <c r="M4638" s="170"/>
    </row>
    <row r="4639" spans="2:13" x14ac:dyDescent="0.2">
      <c r="B4639" s="173"/>
      <c r="C4639" s="694">
        <v>1</v>
      </c>
      <c r="D4639" s="695" t="s">
        <v>3903</v>
      </c>
      <c r="E4639" s="695">
        <v>8</v>
      </c>
      <c r="F4639" s="695" t="s">
        <v>7771</v>
      </c>
      <c r="G4639" s="695">
        <v>1</v>
      </c>
      <c r="H4639" s="695" t="s">
        <v>6685</v>
      </c>
      <c r="I4639" s="695">
        <v>1</v>
      </c>
      <c r="J4639" s="695" t="s">
        <v>7597</v>
      </c>
      <c r="K4639" s="695" t="s">
        <v>7772</v>
      </c>
      <c r="L4639" s="696">
        <v>14</v>
      </c>
      <c r="M4639" s="170"/>
    </row>
    <row r="4640" spans="2:13" x14ac:dyDescent="0.2">
      <c r="B4640" s="173"/>
      <c r="C4640" s="694">
        <v>1</v>
      </c>
      <c r="D4640" s="695" t="s">
        <v>3903</v>
      </c>
      <c r="E4640" s="695">
        <v>8</v>
      </c>
      <c r="F4640" s="695" t="s">
        <v>7771</v>
      </c>
      <c r="G4640" s="695">
        <v>2</v>
      </c>
      <c r="H4640" s="695" t="s">
        <v>6707</v>
      </c>
      <c r="I4640" s="695">
        <v>1</v>
      </c>
      <c r="J4640" s="695" t="s">
        <v>7773</v>
      </c>
      <c r="K4640" s="695" t="s">
        <v>7772</v>
      </c>
      <c r="L4640" s="696">
        <v>5</v>
      </c>
      <c r="M4640" s="170"/>
    </row>
    <row r="4641" spans="2:13" x14ac:dyDescent="0.2">
      <c r="B4641" s="173"/>
      <c r="C4641" s="694">
        <v>1</v>
      </c>
      <c r="D4641" s="695" t="s">
        <v>3903</v>
      </c>
      <c r="E4641" s="695">
        <v>3</v>
      </c>
      <c r="F4641" s="695" t="s">
        <v>4822</v>
      </c>
      <c r="G4641" s="695">
        <v>2</v>
      </c>
      <c r="H4641" s="695" t="s">
        <v>9193</v>
      </c>
      <c r="I4641" s="695">
        <v>335</v>
      </c>
      <c r="J4641" s="695" t="s">
        <v>9192</v>
      </c>
      <c r="K4641" s="695" t="s">
        <v>8544</v>
      </c>
      <c r="L4641" s="696"/>
      <c r="M4641" s="170"/>
    </row>
    <row r="4642" spans="2:13" x14ac:dyDescent="0.2">
      <c r="B4642" s="173"/>
      <c r="C4642" s="694">
        <v>1</v>
      </c>
      <c r="D4642" s="695" t="s">
        <v>3903</v>
      </c>
      <c r="E4642" s="695">
        <v>3</v>
      </c>
      <c r="F4642" s="695" t="s">
        <v>4822</v>
      </c>
      <c r="G4642" s="695">
        <v>5</v>
      </c>
      <c r="H4642" s="695" t="s">
        <v>5320</v>
      </c>
      <c r="I4642" s="695">
        <v>758</v>
      </c>
      <c r="J4642" s="695" t="s">
        <v>9194</v>
      </c>
      <c r="K4642" s="695" t="s">
        <v>8544</v>
      </c>
      <c r="L4642" s="696"/>
      <c r="M4642" s="170"/>
    </row>
    <row r="4643" spans="2:13" x14ac:dyDescent="0.2">
      <c r="B4643" s="173"/>
      <c r="C4643" s="694">
        <v>1</v>
      </c>
      <c r="D4643" s="695" t="s">
        <v>3903</v>
      </c>
      <c r="E4643" s="695">
        <v>3</v>
      </c>
      <c r="F4643" s="695" t="s">
        <v>4822</v>
      </c>
      <c r="G4643" s="695">
        <v>2</v>
      </c>
      <c r="H4643" s="695" t="s">
        <v>9193</v>
      </c>
      <c r="I4643" s="695">
        <v>336</v>
      </c>
      <c r="J4643" s="695" t="s">
        <v>9195</v>
      </c>
      <c r="K4643" s="695" t="s">
        <v>8544</v>
      </c>
      <c r="L4643" s="696"/>
      <c r="M4643" s="170"/>
    </row>
    <row r="4644" spans="2:13" x14ac:dyDescent="0.2">
      <c r="B4644" s="173"/>
      <c r="C4644" s="694">
        <v>2</v>
      </c>
      <c r="D4644" s="695" t="s">
        <v>3903</v>
      </c>
      <c r="E4644" s="695">
        <v>1</v>
      </c>
      <c r="F4644" s="695" t="s">
        <v>7774</v>
      </c>
      <c r="G4644" s="695">
        <v>1</v>
      </c>
      <c r="H4644" s="695" t="s">
        <v>6674</v>
      </c>
      <c r="I4644" s="695">
        <v>1</v>
      </c>
      <c r="J4644" s="695" t="s">
        <v>7775</v>
      </c>
      <c r="K4644" s="695" t="s">
        <v>7776</v>
      </c>
      <c r="L4644" s="696">
        <v>0</v>
      </c>
      <c r="M4644" s="170"/>
    </row>
    <row r="4645" spans="2:13" x14ac:dyDescent="0.2">
      <c r="B4645" s="173"/>
      <c r="C4645" s="694">
        <v>2</v>
      </c>
      <c r="D4645" s="695" t="s">
        <v>3903</v>
      </c>
      <c r="E4645" s="695">
        <v>1</v>
      </c>
      <c r="F4645" s="695" t="s">
        <v>7774</v>
      </c>
      <c r="G4645" s="695">
        <v>1</v>
      </c>
      <c r="H4645" s="695" t="s">
        <v>6674</v>
      </c>
      <c r="I4645" s="695">
        <v>2</v>
      </c>
      <c r="J4645" s="695" t="s">
        <v>7777</v>
      </c>
      <c r="K4645" s="695" t="s">
        <v>7776</v>
      </c>
      <c r="L4645" s="696">
        <v>0</v>
      </c>
      <c r="M4645" s="170"/>
    </row>
    <row r="4646" spans="2:13" x14ac:dyDescent="0.2">
      <c r="B4646" s="173"/>
      <c r="C4646" s="694">
        <v>2</v>
      </c>
      <c r="D4646" s="695" t="s">
        <v>3903</v>
      </c>
      <c r="E4646" s="695">
        <v>1</v>
      </c>
      <c r="F4646" s="695" t="s">
        <v>7774</v>
      </c>
      <c r="G4646" s="695">
        <v>1</v>
      </c>
      <c r="H4646" s="695" t="s">
        <v>6674</v>
      </c>
      <c r="I4646" s="695">
        <v>3</v>
      </c>
      <c r="J4646" s="695" t="s">
        <v>7778</v>
      </c>
      <c r="K4646" s="695" t="s">
        <v>7776</v>
      </c>
      <c r="L4646" s="696">
        <v>0</v>
      </c>
      <c r="M4646" s="170"/>
    </row>
    <row r="4647" spans="2:13" x14ac:dyDescent="0.2">
      <c r="B4647" s="173"/>
      <c r="C4647" s="694">
        <v>2</v>
      </c>
      <c r="D4647" s="695" t="s">
        <v>3903</v>
      </c>
      <c r="E4647" s="695">
        <v>1</v>
      </c>
      <c r="F4647" s="695" t="s">
        <v>7774</v>
      </c>
      <c r="G4647" s="695">
        <v>1</v>
      </c>
      <c r="H4647" s="695" t="s">
        <v>6674</v>
      </c>
      <c r="I4647" s="695">
        <v>4</v>
      </c>
      <c r="J4647" s="695" t="s">
        <v>7779</v>
      </c>
      <c r="K4647" s="695" t="s">
        <v>7776</v>
      </c>
      <c r="L4647" s="696">
        <v>0</v>
      </c>
      <c r="M4647" s="170"/>
    </row>
    <row r="4648" spans="2:13" x14ac:dyDescent="0.2">
      <c r="B4648" s="173"/>
      <c r="C4648" s="694">
        <v>2</v>
      </c>
      <c r="D4648" s="695" t="s">
        <v>3903</v>
      </c>
      <c r="E4648" s="695">
        <v>1</v>
      </c>
      <c r="F4648" s="695" t="s">
        <v>7774</v>
      </c>
      <c r="G4648" s="695">
        <v>1</v>
      </c>
      <c r="H4648" s="695" t="s">
        <v>6674</v>
      </c>
      <c r="I4648" s="695">
        <v>5</v>
      </c>
      <c r="J4648" s="695" t="s">
        <v>7780</v>
      </c>
      <c r="K4648" s="695" t="s">
        <v>7776</v>
      </c>
      <c r="L4648" s="696">
        <v>0</v>
      </c>
      <c r="M4648" s="170"/>
    </row>
    <row r="4649" spans="2:13" x14ac:dyDescent="0.2">
      <c r="B4649" s="173"/>
      <c r="C4649" s="694">
        <v>2</v>
      </c>
      <c r="D4649" s="695" t="s">
        <v>3903</v>
      </c>
      <c r="E4649" s="695">
        <v>1</v>
      </c>
      <c r="F4649" s="695" t="s">
        <v>7774</v>
      </c>
      <c r="G4649" s="695">
        <v>1</v>
      </c>
      <c r="H4649" s="695" t="s">
        <v>6674</v>
      </c>
      <c r="I4649" s="695">
        <v>6</v>
      </c>
      <c r="J4649" s="695" t="s">
        <v>7781</v>
      </c>
      <c r="K4649" s="695" t="s">
        <v>7776</v>
      </c>
      <c r="L4649" s="696">
        <v>0</v>
      </c>
      <c r="M4649" s="170"/>
    </row>
    <row r="4650" spans="2:13" x14ac:dyDescent="0.2">
      <c r="B4650" s="173"/>
      <c r="C4650" s="694">
        <v>2</v>
      </c>
      <c r="D4650" s="695" t="s">
        <v>3903</v>
      </c>
      <c r="E4650" s="695">
        <v>1</v>
      </c>
      <c r="F4650" s="695" t="s">
        <v>7774</v>
      </c>
      <c r="G4650" s="695">
        <v>1</v>
      </c>
      <c r="H4650" s="695" t="s">
        <v>6674</v>
      </c>
      <c r="I4650" s="695">
        <v>7</v>
      </c>
      <c r="J4650" s="695" t="s">
        <v>7782</v>
      </c>
      <c r="K4650" s="695" t="s">
        <v>7776</v>
      </c>
      <c r="L4650" s="696">
        <v>0</v>
      </c>
      <c r="M4650" s="170"/>
    </row>
    <row r="4651" spans="2:13" x14ac:dyDescent="0.2">
      <c r="B4651" s="173"/>
      <c r="C4651" s="694">
        <v>2</v>
      </c>
      <c r="D4651" s="695" t="s">
        <v>3903</v>
      </c>
      <c r="E4651" s="695">
        <v>1</v>
      </c>
      <c r="F4651" s="695" t="s">
        <v>7774</v>
      </c>
      <c r="G4651" s="695">
        <v>1</v>
      </c>
      <c r="H4651" s="695" t="s">
        <v>6674</v>
      </c>
      <c r="I4651" s="695">
        <v>8</v>
      </c>
      <c r="J4651" s="695" t="s">
        <v>7783</v>
      </c>
      <c r="K4651" s="695" t="s">
        <v>7776</v>
      </c>
      <c r="L4651" s="696">
        <v>0</v>
      </c>
      <c r="M4651" s="170"/>
    </row>
    <row r="4652" spans="2:13" x14ac:dyDescent="0.2">
      <c r="B4652" s="173"/>
      <c r="C4652" s="694">
        <v>2</v>
      </c>
      <c r="D4652" s="695" t="s">
        <v>3903</v>
      </c>
      <c r="E4652" s="695">
        <v>1</v>
      </c>
      <c r="F4652" s="695" t="s">
        <v>7774</v>
      </c>
      <c r="G4652" s="695">
        <v>1</v>
      </c>
      <c r="H4652" s="695" t="s">
        <v>6674</v>
      </c>
      <c r="I4652" s="695">
        <v>9</v>
      </c>
      <c r="J4652" s="695" t="s">
        <v>7784</v>
      </c>
      <c r="K4652" s="695" t="s">
        <v>7776</v>
      </c>
      <c r="L4652" s="696">
        <v>0</v>
      </c>
      <c r="M4652" s="170"/>
    </row>
    <row r="4653" spans="2:13" x14ac:dyDescent="0.2">
      <c r="B4653" s="173"/>
      <c r="C4653" s="694">
        <v>2</v>
      </c>
      <c r="D4653" s="695" t="s">
        <v>3903</v>
      </c>
      <c r="E4653" s="695">
        <v>1</v>
      </c>
      <c r="F4653" s="695" t="s">
        <v>7774</v>
      </c>
      <c r="G4653" s="695">
        <v>1</v>
      </c>
      <c r="H4653" s="695" t="s">
        <v>6674</v>
      </c>
      <c r="I4653" s="695">
        <v>10</v>
      </c>
      <c r="J4653" s="695" t="s">
        <v>7785</v>
      </c>
      <c r="K4653" s="695" t="s">
        <v>7776</v>
      </c>
      <c r="L4653" s="696">
        <v>0</v>
      </c>
      <c r="M4653" s="170"/>
    </row>
    <row r="4654" spans="2:13" x14ac:dyDescent="0.2">
      <c r="B4654" s="173"/>
      <c r="C4654" s="694">
        <v>2</v>
      </c>
      <c r="D4654" s="695" t="s">
        <v>3903</v>
      </c>
      <c r="E4654" s="695">
        <v>1</v>
      </c>
      <c r="F4654" s="695" t="s">
        <v>7774</v>
      </c>
      <c r="G4654" s="695">
        <v>1</v>
      </c>
      <c r="H4654" s="695" t="s">
        <v>6674</v>
      </c>
      <c r="I4654" s="695">
        <v>11</v>
      </c>
      <c r="J4654" s="695" t="s">
        <v>7786</v>
      </c>
      <c r="K4654" s="695" t="s">
        <v>7776</v>
      </c>
      <c r="L4654" s="696">
        <v>0</v>
      </c>
      <c r="M4654" s="170"/>
    </row>
    <row r="4655" spans="2:13" x14ac:dyDescent="0.2">
      <c r="B4655" s="173"/>
      <c r="C4655" s="694">
        <v>2</v>
      </c>
      <c r="D4655" s="695" t="s">
        <v>3903</v>
      </c>
      <c r="E4655" s="695">
        <v>1</v>
      </c>
      <c r="F4655" s="695" t="s">
        <v>7774</v>
      </c>
      <c r="G4655" s="695">
        <v>1</v>
      </c>
      <c r="H4655" s="695" t="s">
        <v>6674</v>
      </c>
      <c r="I4655" s="695">
        <v>12</v>
      </c>
      <c r="J4655" s="695" t="s">
        <v>7787</v>
      </c>
      <c r="K4655" s="695" t="s">
        <v>7776</v>
      </c>
      <c r="L4655" s="696">
        <v>0</v>
      </c>
      <c r="M4655" s="170"/>
    </row>
    <row r="4656" spans="2:13" x14ac:dyDescent="0.2">
      <c r="B4656" s="173"/>
      <c r="C4656" s="694">
        <v>2</v>
      </c>
      <c r="D4656" s="695" t="s">
        <v>3903</v>
      </c>
      <c r="E4656" s="695">
        <v>1</v>
      </c>
      <c r="F4656" s="695" t="s">
        <v>7774</v>
      </c>
      <c r="G4656" s="695">
        <v>1</v>
      </c>
      <c r="H4656" s="695" t="s">
        <v>6674</v>
      </c>
      <c r="I4656" s="695">
        <v>13</v>
      </c>
      <c r="J4656" s="695" t="s">
        <v>7788</v>
      </c>
      <c r="K4656" s="695" t="s">
        <v>7776</v>
      </c>
      <c r="L4656" s="696">
        <v>0</v>
      </c>
      <c r="M4656" s="170"/>
    </row>
    <row r="4657" spans="2:13" x14ac:dyDescent="0.2">
      <c r="B4657" s="173"/>
      <c r="C4657" s="694">
        <v>2</v>
      </c>
      <c r="D4657" s="695" t="s">
        <v>3903</v>
      </c>
      <c r="E4657" s="695">
        <v>1</v>
      </c>
      <c r="F4657" s="695" t="s">
        <v>7774</v>
      </c>
      <c r="G4657" s="695">
        <v>1</v>
      </c>
      <c r="H4657" s="695" t="s">
        <v>6674</v>
      </c>
      <c r="I4657" s="695">
        <v>14</v>
      </c>
      <c r="J4657" s="695" t="s">
        <v>7328</v>
      </c>
      <c r="K4657" s="695" t="s">
        <v>7776</v>
      </c>
      <c r="L4657" s="696">
        <v>0</v>
      </c>
      <c r="M4657" s="170"/>
    </row>
    <row r="4658" spans="2:13" x14ac:dyDescent="0.2">
      <c r="B4658" s="173"/>
      <c r="C4658" s="694">
        <v>2</v>
      </c>
      <c r="D4658" s="695" t="s">
        <v>3903</v>
      </c>
      <c r="E4658" s="695">
        <v>1</v>
      </c>
      <c r="F4658" s="695" t="s">
        <v>7774</v>
      </c>
      <c r="G4658" s="695">
        <v>1</v>
      </c>
      <c r="H4658" s="695" t="s">
        <v>6674</v>
      </c>
      <c r="I4658" s="695">
        <v>15</v>
      </c>
      <c r="J4658" s="695" t="s">
        <v>7789</v>
      </c>
      <c r="K4658" s="695" t="s">
        <v>7776</v>
      </c>
      <c r="L4658" s="696">
        <v>0</v>
      </c>
      <c r="M4658" s="170"/>
    </row>
    <row r="4659" spans="2:13" x14ac:dyDescent="0.2">
      <c r="B4659" s="173"/>
      <c r="C4659" s="694">
        <v>2</v>
      </c>
      <c r="D4659" s="695" t="s">
        <v>3903</v>
      </c>
      <c r="E4659" s="695">
        <v>1</v>
      </c>
      <c r="F4659" s="695" t="s">
        <v>7774</v>
      </c>
      <c r="G4659" s="695">
        <v>1</v>
      </c>
      <c r="H4659" s="695" t="s">
        <v>6674</v>
      </c>
      <c r="I4659" s="695">
        <v>16</v>
      </c>
      <c r="J4659" s="695" t="s">
        <v>7790</v>
      </c>
      <c r="K4659" s="695" t="s">
        <v>7776</v>
      </c>
      <c r="L4659" s="696">
        <v>0</v>
      </c>
      <c r="M4659" s="170"/>
    </row>
    <row r="4660" spans="2:13" x14ac:dyDescent="0.2">
      <c r="B4660" s="173"/>
      <c r="C4660" s="694">
        <v>2</v>
      </c>
      <c r="D4660" s="695" t="s">
        <v>3903</v>
      </c>
      <c r="E4660" s="695">
        <v>1</v>
      </c>
      <c r="F4660" s="695" t="s">
        <v>7774</v>
      </c>
      <c r="G4660" s="695">
        <v>1</v>
      </c>
      <c r="H4660" s="695" t="s">
        <v>6674</v>
      </c>
      <c r="I4660" s="695">
        <v>17</v>
      </c>
      <c r="J4660" s="695" t="s">
        <v>7791</v>
      </c>
      <c r="K4660" s="695" t="s">
        <v>7776</v>
      </c>
      <c r="L4660" s="696">
        <v>0</v>
      </c>
      <c r="M4660" s="170"/>
    </row>
    <row r="4661" spans="2:13" x14ac:dyDescent="0.2">
      <c r="B4661" s="173"/>
      <c r="C4661" s="694">
        <v>2</v>
      </c>
      <c r="D4661" s="695" t="s">
        <v>3903</v>
      </c>
      <c r="E4661" s="695">
        <v>1</v>
      </c>
      <c r="F4661" s="695" t="s">
        <v>7774</v>
      </c>
      <c r="G4661" s="695">
        <v>1</v>
      </c>
      <c r="H4661" s="695" t="s">
        <v>6674</v>
      </c>
      <c r="I4661" s="695">
        <v>18</v>
      </c>
      <c r="J4661" s="695" t="s">
        <v>7792</v>
      </c>
      <c r="K4661" s="695" t="s">
        <v>7776</v>
      </c>
      <c r="L4661" s="696">
        <v>0</v>
      </c>
      <c r="M4661" s="170"/>
    </row>
    <row r="4662" spans="2:13" x14ac:dyDescent="0.2">
      <c r="B4662" s="173"/>
      <c r="C4662" s="694">
        <v>2</v>
      </c>
      <c r="D4662" s="695" t="s">
        <v>3903</v>
      </c>
      <c r="E4662" s="695">
        <v>1</v>
      </c>
      <c r="F4662" s="695" t="s">
        <v>7774</v>
      </c>
      <c r="G4662" s="695">
        <v>1</v>
      </c>
      <c r="H4662" s="695" t="s">
        <v>6674</v>
      </c>
      <c r="I4662" s="695">
        <v>19</v>
      </c>
      <c r="J4662" s="695" t="s">
        <v>7793</v>
      </c>
      <c r="K4662" s="695" t="s">
        <v>7776</v>
      </c>
      <c r="L4662" s="696">
        <v>0</v>
      </c>
      <c r="M4662" s="170"/>
    </row>
    <row r="4663" spans="2:13" x14ac:dyDescent="0.2">
      <c r="B4663" s="173"/>
      <c r="C4663" s="694">
        <v>2</v>
      </c>
      <c r="D4663" s="695" t="s">
        <v>3903</v>
      </c>
      <c r="E4663" s="695">
        <v>1</v>
      </c>
      <c r="F4663" s="695" t="s">
        <v>7774</v>
      </c>
      <c r="G4663" s="695">
        <v>1</v>
      </c>
      <c r="H4663" s="695" t="s">
        <v>6674</v>
      </c>
      <c r="I4663" s="695">
        <v>20</v>
      </c>
      <c r="J4663" s="695" t="s">
        <v>7794</v>
      </c>
      <c r="K4663" s="695" t="s">
        <v>7776</v>
      </c>
      <c r="L4663" s="696">
        <v>0</v>
      </c>
      <c r="M4663" s="170"/>
    </row>
    <row r="4664" spans="2:13" x14ac:dyDescent="0.2">
      <c r="B4664" s="173"/>
      <c r="C4664" s="694">
        <v>2</v>
      </c>
      <c r="D4664" s="695" t="s">
        <v>3903</v>
      </c>
      <c r="E4664" s="695">
        <v>1</v>
      </c>
      <c r="F4664" s="695" t="s">
        <v>7774</v>
      </c>
      <c r="G4664" s="695">
        <v>1</v>
      </c>
      <c r="H4664" s="695" t="s">
        <v>6674</v>
      </c>
      <c r="I4664" s="695">
        <v>21</v>
      </c>
      <c r="J4664" s="695" t="s">
        <v>7795</v>
      </c>
      <c r="K4664" s="695" t="s">
        <v>7776</v>
      </c>
      <c r="L4664" s="696">
        <v>0</v>
      </c>
      <c r="M4664" s="170"/>
    </row>
    <row r="4665" spans="2:13" x14ac:dyDescent="0.2">
      <c r="B4665" s="173"/>
      <c r="C4665" s="694">
        <v>2</v>
      </c>
      <c r="D4665" s="695" t="s">
        <v>3903</v>
      </c>
      <c r="E4665" s="695">
        <v>1</v>
      </c>
      <c r="F4665" s="695" t="s">
        <v>7774</v>
      </c>
      <c r="G4665" s="695">
        <v>1</v>
      </c>
      <c r="H4665" s="695" t="s">
        <v>6674</v>
      </c>
      <c r="I4665" s="695">
        <v>22</v>
      </c>
      <c r="J4665" s="695" t="s">
        <v>7796</v>
      </c>
      <c r="K4665" s="695" t="s">
        <v>7776</v>
      </c>
      <c r="L4665" s="696">
        <v>0</v>
      </c>
      <c r="M4665" s="170"/>
    </row>
    <row r="4666" spans="2:13" x14ac:dyDescent="0.2">
      <c r="B4666" s="173"/>
      <c r="C4666" s="694">
        <v>2</v>
      </c>
      <c r="D4666" s="695" t="s">
        <v>3903</v>
      </c>
      <c r="E4666" s="695">
        <v>1</v>
      </c>
      <c r="F4666" s="695" t="s">
        <v>7774</v>
      </c>
      <c r="G4666" s="695">
        <v>1</v>
      </c>
      <c r="H4666" s="695" t="s">
        <v>6674</v>
      </c>
      <c r="I4666" s="695">
        <v>23</v>
      </c>
      <c r="J4666" s="695" t="s">
        <v>7797</v>
      </c>
      <c r="K4666" s="695" t="s">
        <v>7776</v>
      </c>
      <c r="L4666" s="696">
        <v>0</v>
      </c>
      <c r="M4666" s="170"/>
    </row>
    <row r="4667" spans="2:13" x14ac:dyDescent="0.2">
      <c r="B4667" s="173"/>
      <c r="C4667" s="694">
        <v>2</v>
      </c>
      <c r="D4667" s="695" t="s">
        <v>3903</v>
      </c>
      <c r="E4667" s="695">
        <v>1</v>
      </c>
      <c r="F4667" s="695" t="s">
        <v>7774</v>
      </c>
      <c r="G4667" s="695">
        <v>1</v>
      </c>
      <c r="H4667" s="695" t="s">
        <v>6674</v>
      </c>
      <c r="I4667" s="695">
        <v>24</v>
      </c>
      <c r="J4667" s="695" t="s">
        <v>7798</v>
      </c>
      <c r="K4667" s="695" t="s">
        <v>7776</v>
      </c>
      <c r="L4667" s="696">
        <v>0</v>
      </c>
      <c r="M4667" s="170"/>
    </row>
    <row r="4668" spans="2:13" x14ac:dyDescent="0.2">
      <c r="B4668" s="173"/>
      <c r="C4668" s="694">
        <v>2</v>
      </c>
      <c r="D4668" s="695" t="s">
        <v>3903</v>
      </c>
      <c r="E4668" s="695">
        <v>1</v>
      </c>
      <c r="F4668" s="695" t="s">
        <v>7774</v>
      </c>
      <c r="G4668" s="695">
        <v>2</v>
      </c>
      <c r="H4668" s="695" t="s">
        <v>7799</v>
      </c>
      <c r="I4668" s="695">
        <v>1</v>
      </c>
      <c r="J4668" s="695" t="s">
        <v>7800</v>
      </c>
      <c r="K4668" s="695" t="s">
        <v>7776</v>
      </c>
      <c r="L4668" s="696">
        <v>0</v>
      </c>
      <c r="M4668" s="170"/>
    </row>
    <row r="4669" spans="2:13" x14ac:dyDescent="0.2">
      <c r="B4669" s="173"/>
      <c r="C4669" s="694">
        <v>2</v>
      </c>
      <c r="D4669" s="695" t="s">
        <v>3903</v>
      </c>
      <c r="E4669" s="695">
        <v>1</v>
      </c>
      <c r="F4669" s="695" t="s">
        <v>7774</v>
      </c>
      <c r="G4669" s="695">
        <v>2</v>
      </c>
      <c r="H4669" s="695" t="s">
        <v>7799</v>
      </c>
      <c r="I4669" s="695">
        <v>2</v>
      </c>
      <c r="J4669" s="695" t="s">
        <v>6016</v>
      </c>
      <c r="K4669" s="695" t="s">
        <v>7776</v>
      </c>
      <c r="L4669" s="696">
        <v>0</v>
      </c>
      <c r="M4669" s="170"/>
    </row>
    <row r="4670" spans="2:13" x14ac:dyDescent="0.2">
      <c r="B4670" s="173"/>
      <c r="C4670" s="694">
        <v>2</v>
      </c>
      <c r="D4670" s="695" t="s">
        <v>3903</v>
      </c>
      <c r="E4670" s="695">
        <v>1</v>
      </c>
      <c r="F4670" s="695" t="s">
        <v>7774</v>
      </c>
      <c r="G4670" s="695">
        <v>2</v>
      </c>
      <c r="H4670" s="695" t="s">
        <v>7799</v>
      </c>
      <c r="I4670" s="695">
        <v>3</v>
      </c>
      <c r="J4670" s="695" t="s">
        <v>7801</v>
      </c>
      <c r="K4670" s="695" t="s">
        <v>7776</v>
      </c>
      <c r="L4670" s="696">
        <v>0</v>
      </c>
      <c r="M4670" s="170"/>
    </row>
    <row r="4671" spans="2:13" x14ac:dyDescent="0.2">
      <c r="B4671" s="173"/>
      <c r="C4671" s="694">
        <v>2</v>
      </c>
      <c r="D4671" s="695" t="s">
        <v>3903</v>
      </c>
      <c r="E4671" s="695">
        <v>1</v>
      </c>
      <c r="F4671" s="695" t="s">
        <v>7774</v>
      </c>
      <c r="G4671" s="695">
        <v>2</v>
      </c>
      <c r="H4671" s="695" t="s">
        <v>7799</v>
      </c>
      <c r="I4671" s="695">
        <v>4</v>
      </c>
      <c r="J4671" s="695" t="s">
        <v>7802</v>
      </c>
      <c r="K4671" s="695" t="s">
        <v>7776</v>
      </c>
      <c r="L4671" s="696">
        <v>0</v>
      </c>
      <c r="M4671" s="170"/>
    </row>
    <row r="4672" spans="2:13" x14ac:dyDescent="0.2">
      <c r="B4672" s="173"/>
      <c r="C4672" s="694">
        <v>2</v>
      </c>
      <c r="D4672" s="695" t="s">
        <v>3903</v>
      </c>
      <c r="E4672" s="695">
        <v>1</v>
      </c>
      <c r="F4672" s="695" t="s">
        <v>7774</v>
      </c>
      <c r="G4672" s="695">
        <v>2</v>
      </c>
      <c r="H4672" s="695" t="s">
        <v>7799</v>
      </c>
      <c r="I4672" s="695">
        <v>5</v>
      </c>
      <c r="J4672" s="695" t="s">
        <v>7803</v>
      </c>
      <c r="K4672" s="695" t="s">
        <v>7776</v>
      </c>
      <c r="L4672" s="696">
        <v>0</v>
      </c>
      <c r="M4672" s="170"/>
    </row>
    <row r="4673" spans="2:13" x14ac:dyDescent="0.2">
      <c r="B4673" s="173"/>
      <c r="C4673" s="694">
        <v>2</v>
      </c>
      <c r="D4673" s="695" t="s">
        <v>3903</v>
      </c>
      <c r="E4673" s="695">
        <v>1</v>
      </c>
      <c r="F4673" s="695" t="s">
        <v>7774</v>
      </c>
      <c r="G4673" s="695">
        <v>2</v>
      </c>
      <c r="H4673" s="695" t="s">
        <v>7799</v>
      </c>
      <c r="I4673" s="695">
        <v>6</v>
      </c>
      <c r="J4673" s="695" t="s">
        <v>7804</v>
      </c>
      <c r="K4673" s="695" t="s">
        <v>7776</v>
      </c>
      <c r="L4673" s="696">
        <v>0</v>
      </c>
      <c r="M4673" s="170"/>
    </row>
    <row r="4674" spans="2:13" x14ac:dyDescent="0.2">
      <c r="B4674" s="173"/>
      <c r="C4674" s="694">
        <v>2</v>
      </c>
      <c r="D4674" s="695" t="s">
        <v>3903</v>
      </c>
      <c r="E4674" s="695">
        <v>1</v>
      </c>
      <c r="F4674" s="695" t="s">
        <v>7774</v>
      </c>
      <c r="G4674" s="695">
        <v>2</v>
      </c>
      <c r="H4674" s="695" t="s">
        <v>7799</v>
      </c>
      <c r="I4674" s="695">
        <v>7</v>
      </c>
      <c r="J4674" s="695" t="s">
        <v>7805</v>
      </c>
      <c r="K4674" s="695" t="s">
        <v>7776</v>
      </c>
      <c r="L4674" s="696">
        <v>0</v>
      </c>
      <c r="M4674" s="170"/>
    </row>
    <row r="4675" spans="2:13" x14ac:dyDescent="0.2">
      <c r="B4675" s="173"/>
      <c r="C4675" s="694">
        <v>2</v>
      </c>
      <c r="D4675" s="695" t="s">
        <v>3903</v>
      </c>
      <c r="E4675" s="695">
        <v>1</v>
      </c>
      <c r="F4675" s="695" t="s">
        <v>7774</v>
      </c>
      <c r="G4675" s="695">
        <v>2</v>
      </c>
      <c r="H4675" s="695" t="s">
        <v>7799</v>
      </c>
      <c r="I4675" s="695">
        <v>8</v>
      </c>
      <c r="J4675" s="695" t="s">
        <v>7806</v>
      </c>
      <c r="K4675" s="695" t="s">
        <v>7776</v>
      </c>
      <c r="L4675" s="696">
        <v>0</v>
      </c>
      <c r="M4675" s="170"/>
    </row>
    <row r="4676" spans="2:13" x14ac:dyDescent="0.2">
      <c r="B4676" s="173"/>
      <c r="C4676" s="694">
        <v>2</v>
      </c>
      <c r="D4676" s="695" t="s">
        <v>3903</v>
      </c>
      <c r="E4676" s="695">
        <v>1</v>
      </c>
      <c r="F4676" s="695" t="s">
        <v>7774</v>
      </c>
      <c r="G4676" s="695">
        <v>2</v>
      </c>
      <c r="H4676" s="695" t="s">
        <v>7799</v>
      </c>
      <c r="I4676" s="695">
        <v>9</v>
      </c>
      <c r="J4676" s="695" t="s">
        <v>7807</v>
      </c>
      <c r="K4676" s="695" t="s">
        <v>7776</v>
      </c>
      <c r="L4676" s="696">
        <v>0</v>
      </c>
      <c r="M4676" s="170"/>
    </row>
    <row r="4677" spans="2:13" x14ac:dyDescent="0.2">
      <c r="B4677" s="173"/>
      <c r="C4677" s="694">
        <v>2</v>
      </c>
      <c r="D4677" s="695" t="s">
        <v>3903</v>
      </c>
      <c r="E4677" s="695">
        <v>1</v>
      </c>
      <c r="F4677" s="695" t="s">
        <v>7774</v>
      </c>
      <c r="G4677" s="695">
        <v>2</v>
      </c>
      <c r="H4677" s="695" t="s">
        <v>7799</v>
      </c>
      <c r="I4677" s="695">
        <v>10</v>
      </c>
      <c r="J4677" s="695" t="s">
        <v>7808</v>
      </c>
      <c r="K4677" s="695" t="s">
        <v>7776</v>
      </c>
      <c r="L4677" s="696">
        <v>0</v>
      </c>
      <c r="M4677" s="170"/>
    </row>
    <row r="4678" spans="2:13" x14ac:dyDescent="0.2">
      <c r="B4678" s="173"/>
      <c r="C4678" s="694">
        <v>2</v>
      </c>
      <c r="D4678" s="695" t="s">
        <v>3903</v>
      </c>
      <c r="E4678" s="695">
        <v>1</v>
      </c>
      <c r="F4678" s="695" t="s">
        <v>7774</v>
      </c>
      <c r="G4678" s="695">
        <v>2</v>
      </c>
      <c r="H4678" s="695" t="s">
        <v>7799</v>
      </c>
      <c r="I4678" s="695">
        <v>11</v>
      </c>
      <c r="J4678" s="695" t="s">
        <v>7809</v>
      </c>
      <c r="K4678" s="695" t="s">
        <v>7776</v>
      </c>
      <c r="L4678" s="696">
        <v>0</v>
      </c>
      <c r="M4678" s="170"/>
    </row>
    <row r="4679" spans="2:13" x14ac:dyDescent="0.2">
      <c r="B4679" s="173"/>
      <c r="C4679" s="694">
        <v>2</v>
      </c>
      <c r="D4679" s="695" t="s">
        <v>3903</v>
      </c>
      <c r="E4679" s="695">
        <v>1</v>
      </c>
      <c r="F4679" s="695" t="s">
        <v>7774</v>
      </c>
      <c r="G4679" s="695">
        <v>2</v>
      </c>
      <c r="H4679" s="695" t="s">
        <v>7799</v>
      </c>
      <c r="I4679" s="695">
        <v>12</v>
      </c>
      <c r="J4679" s="695" t="s">
        <v>7810</v>
      </c>
      <c r="K4679" s="695" t="s">
        <v>7776</v>
      </c>
      <c r="L4679" s="696">
        <v>0</v>
      </c>
      <c r="M4679" s="170"/>
    </row>
    <row r="4680" spans="2:13" x14ac:dyDescent="0.2">
      <c r="B4680" s="173"/>
      <c r="C4680" s="694">
        <v>2</v>
      </c>
      <c r="D4680" s="695" t="s">
        <v>3903</v>
      </c>
      <c r="E4680" s="695">
        <v>1</v>
      </c>
      <c r="F4680" s="695" t="s">
        <v>7774</v>
      </c>
      <c r="G4680" s="695">
        <v>2</v>
      </c>
      <c r="H4680" s="695" t="s">
        <v>7799</v>
      </c>
      <c r="I4680" s="695">
        <v>13</v>
      </c>
      <c r="J4680" s="695" t="s">
        <v>7811</v>
      </c>
      <c r="K4680" s="695" t="s">
        <v>7776</v>
      </c>
      <c r="L4680" s="696">
        <v>0</v>
      </c>
      <c r="M4680" s="170"/>
    </row>
    <row r="4681" spans="2:13" x14ac:dyDescent="0.2">
      <c r="B4681" s="173"/>
      <c r="C4681" s="694">
        <v>2</v>
      </c>
      <c r="D4681" s="695" t="s">
        <v>3903</v>
      </c>
      <c r="E4681" s="695">
        <v>1</v>
      </c>
      <c r="F4681" s="695" t="s">
        <v>7774</v>
      </c>
      <c r="G4681" s="695">
        <v>2</v>
      </c>
      <c r="H4681" s="695" t="s">
        <v>7799</v>
      </c>
      <c r="I4681" s="695">
        <v>14</v>
      </c>
      <c r="J4681" s="695" t="s">
        <v>7812</v>
      </c>
      <c r="K4681" s="695" t="s">
        <v>7776</v>
      </c>
      <c r="L4681" s="696">
        <v>0</v>
      </c>
      <c r="M4681" s="170"/>
    </row>
    <row r="4682" spans="2:13" x14ac:dyDescent="0.2">
      <c r="B4682" s="173"/>
      <c r="C4682" s="694">
        <v>2</v>
      </c>
      <c r="D4682" s="695" t="s">
        <v>3903</v>
      </c>
      <c r="E4682" s="695">
        <v>1</v>
      </c>
      <c r="F4682" s="695" t="s">
        <v>7774</v>
      </c>
      <c r="G4682" s="695">
        <v>2</v>
      </c>
      <c r="H4682" s="695" t="s">
        <v>7799</v>
      </c>
      <c r="I4682" s="695">
        <v>16</v>
      </c>
      <c r="J4682" s="695" t="s">
        <v>7813</v>
      </c>
      <c r="K4682" s="695" t="s">
        <v>7776</v>
      </c>
      <c r="L4682" s="696">
        <v>0</v>
      </c>
      <c r="M4682" s="170"/>
    </row>
    <row r="4683" spans="2:13" x14ac:dyDescent="0.2">
      <c r="B4683" s="173"/>
      <c r="C4683" s="694">
        <v>2</v>
      </c>
      <c r="D4683" s="695" t="s">
        <v>3903</v>
      </c>
      <c r="E4683" s="695">
        <v>1</v>
      </c>
      <c r="F4683" s="695" t="s">
        <v>7774</v>
      </c>
      <c r="G4683" s="695">
        <v>3</v>
      </c>
      <c r="H4683" s="695" t="s">
        <v>7814</v>
      </c>
      <c r="I4683" s="695">
        <v>1</v>
      </c>
      <c r="J4683" s="695" t="s">
        <v>7815</v>
      </c>
      <c r="K4683" s="695" t="s">
        <v>7776</v>
      </c>
      <c r="L4683" s="696">
        <v>0</v>
      </c>
      <c r="M4683" s="170"/>
    </row>
    <row r="4684" spans="2:13" x14ac:dyDescent="0.2">
      <c r="B4684" s="173"/>
      <c r="C4684" s="694">
        <v>2</v>
      </c>
      <c r="D4684" s="695" t="s">
        <v>3903</v>
      </c>
      <c r="E4684" s="695">
        <v>1</v>
      </c>
      <c r="F4684" s="695" t="s">
        <v>7774</v>
      </c>
      <c r="G4684" s="695">
        <v>3</v>
      </c>
      <c r="H4684" s="695" t="s">
        <v>7814</v>
      </c>
      <c r="I4684" s="695">
        <v>2</v>
      </c>
      <c r="J4684" s="695" t="s">
        <v>7816</v>
      </c>
      <c r="K4684" s="695" t="s">
        <v>7776</v>
      </c>
      <c r="L4684" s="696">
        <v>0</v>
      </c>
      <c r="M4684" s="170"/>
    </row>
    <row r="4685" spans="2:13" x14ac:dyDescent="0.2">
      <c r="B4685" s="173"/>
      <c r="C4685" s="694">
        <v>2</v>
      </c>
      <c r="D4685" s="695" t="s">
        <v>3903</v>
      </c>
      <c r="E4685" s="695">
        <v>1</v>
      </c>
      <c r="F4685" s="695" t="s">
        <v>7774</v>
      </c>
      <c r="G4685" s="695">
        <v>3</v>
      </c>
      <c r="H4685" s="695" t="s">
        <v>7814</v>
      </c>
      <c r="I4685" s="695">
        <v>3</v>
      </c>
      <c r="J4685" s="695" t="s">
        <v>7817</v>
      </c>
      <c r="K4685" s="695" t="s">
        <v>7776</v>
      </c>
      <c r="L4685" s="696">
        <v>0</v>
      </c>
      <c r="M4685" s="170"/>
    </row>
    <row r="4686" spans="2:13" x14ac:dyDescent="0.2">
      <c r="B4686" s="173"/>
      <c r="C4686" s="694">
        <v>2</v>
      </c>
      <c r="D4686" s="695" t="s">
        <v>3903</v>
      </c>
      <c r="E4686" s="695">
        <v>1</v>
      </c>
      <c r="F4686" s="695" t="s">
        <v>7774</v>
      </c>
      <c r="G4686" s="695">
        <v>3</v>
      </c>
      <c r="H4686" s="695" t="s">
        <v>7814</v>
      </c>
      <c r="I4686" s="695">
        <v>4</v>
      </c>
      <c r="J4686" s="695" t="s">
        <v>7818</v>
      </c>
      <c r="K4686" s="695" t="s">
        <v>7776</v>
      </c>
      <c r="L4686" s="696">
        <v>0</v>
      </c>
      <c r="M4686" s="170"/>
    </row>
    <row r="4687" spans="2:13" x14ac:dyDescent="0.2">
      <c r="B4687" s="173"/>
      <c r="C4687" s="694">
        <v>2</v>
      </c>
      <c r="D4687" s="695" t="s">
        <v>3903</v>
      </c>
      <c r="E4687" s="695">
        <v>1</v>
      </c>
      <c r="F4687" s="695" t="s">
        <v>7774</v>
      </c>
      <c r="G4687" s="695">
        <v>3</v>
      </c>
      <c r="H4687" s="695" t="s">
        <v>7814</v>
      </c>
      <c r="I4687" s="695">
        <v>5</v>
      </c>
      <c r="J4687" s="695" t="s">
        <v>7819</v>
      </c>
      <c r="K4687" s="695" t="s">
        <v>7776</v>
      </c>
      <c r="L4687" s="696">
        <v>0</v>
      </c>
      <c r="M4687" s="170"/>
    </row>
    <row r="4688" spans="2:13" x14ac:dyDescent="0.2">
      <c r="B4688" s="173"/>
      <c r="C4688" s="694">
        <v>2</v>
      </c>
      <c r="D4688" s="695" t="s">
        <v>3903</v>
      </c>
      <c r="E4688" s="695">
        <v>1</v>
      </c>
      <c r="F4688" s="695" t="s">
        <v>7774</v>
      </c>
      <c r="G4688" s="695">
        <v>3</v>
      </c>
      <c r="H4688" s="695" t="s">
        <v>7814</v>
      </c>
      <c r="I4688" s="695">
        <v>6</v>
      </c>
      <c r="J4688" s="695" t="s">
        <v>7820</v>
      </c>
      <c r="K4688" s="695" t="s">
        <v>7776</v>
      </c>
      <c r="L4688" s="696">
        <v>0</v>
      </c>
      <c r="M4688" s="170"/>
    </row>
    <row r="4689" spans="2:13" x14ac:dyDescent="0.2">
      <c r="B4689" s="173"/>
      <c r="C4689" s="694">
        <v>2</v>
      </c>
      <c r="D4689" s="695" t="s">
        <v>3903</v>
      </c>
      <c r="E4689" s="695">
        <v>1</v>
      </c>
      <c r="F4689" s="695" t="s">
        <v>7774</v>
      </c>
      <c r="G4689" s="695">
        <v>3</v>
      </c>
      <c r="H4689" s="695" t="s">
        <v>7814</v>
      </c>
      <c r="I4689" s="695">
        <v>7</v>
      </c>
      <c r="J4689" s="695" t="s">
        <v>7821</v>
      </c>
      <c r="K4689" s="695" t="s">
        <v>7776</v>
      </c>
      <c r="L4689" s="696">
        <v>0</v>
      </c>
      <c r="M4689" s="170"/>
    </row>
    <row r="4690" spans="2:13" x14ac:dyDescent="0.2">
      <c r="B4690" s="173"/>
      <c r="C4690" s="694">
        <v>2</v>
      </c>
      <c r="D4690" s="695" t="s">
        <v>3903</v>
      </c>
      <c r="E4690" s="695">
        <v>1</v>
      </c>
      <c r="F4690" s="695" t="s">
        <v>7774</v>
      </c>
      <c r="G4690" s="695">
        <v>3</v>
      </c>
      <c r="H4690" s="695" t="s">
        <v>7814</v>
      </c>
      <c r="I4690" s="695">
        <v>8</v>
      </c>
      <c r="J4690" s="695" t="s">
        <v>7822</v>
      </c>
      <c r="K4690" s="695" t="s">
        <v>7776</v>
      </c>
      <c r="L4690" s="696">
        <v>0</v>
      </c>
      <c r="M4690" s="170"/>
    </row>
    <row r="4691" spans="2:13" x14ac:dyDescent="0.2">
      <c r="B4691" s="173"/>
      <c r="C4691" s="694">
        <v>2</v>
      </c>
      <c r="D4691" s="695" t="s">
        <v>3903</v>
      </c>
      <c r="E4691" s="695">
        <v>1</v>
      </c>
      <c r="F4691" s="695" t="s">
        <v>7774</v>
      </c>
      <c r="G4691" s="695">
        <v>3</v>
      </c>
      <c r="H4691" s="695" t="s">
        <v>7814</v>
      </c>
      <c r="I4691" s="695">
        <v>9</v>
      </c>
      <c r="J4691" s="695" t="s">
        <v>7823</v>
      </c>
      <c r="K4691" s="695" t="s">
        <v>7776</v>
      </c>
      <c r="L4691" s="696">
        <v>0</v>
      </c>
      <c r="M4691" s="170"/>
    </row>
    <row r="4692" spans="2:13" x14ac:dyDescent="0.2">
      <c r="B4692" s="173"/>
      <c r="C4692" s="694">
        <v>2</v>
      </c>
      <c r="D4692" s="695" t="s">
        <v>3903</v>
      </c>
      <c r="E4692" s="695">
        <v>1</v>
      </c>
      <c r="F4692" s="695" t="s">
        <v>7774</v>
      </c>
      <c r="G4692" s="695">
        <v>3</v>
      </c>
      <c r="H4692" s="695" t="s">
        <v>7814</v>
      </c>
      <c r="I4692" s="695">
        <v>10</v>
      </c>
      <c r="J4692" s="695" t="s">
        <v>7029</v>
      </c>
      <c r="K4692" s="695" t="s">
        <v>7776</v>
      </c>
      <c r="L4692" s="696">
        <v>0</v>
      </c>
      <c r="M4692" s="170"/>
    </row>
    <row r="4693" spans="2:13" x14ac:dyDescent="0.2">
      <c r="B4693" s="173"/>
      <c r="C4693" s="694">
        <v>2</v>
      </c>
      <c r="D4693" s="695" t="s">
        <v>3903</v>
      </c>
      <c r="E4693" s="695">
        <v>1</v>
      </c>
      <c r="F4693" s="695" t="s">
        <v>7774</v>
      </c>
      <c r="G4693" s="695">
        <v>4</v>
      </c>
      <c r="H4693" s="695" t="s">
        <v>7824</v>
      </c>
      <c r="I4693" s="695">
        <v>1</v>
      </c>
      <c r="J4693" s="695" t="s">
        <v>7825</v>
      </c>
      <c r="K4693" s="695" t="s">
        <v>7776</v>
      </c>
      <c r="L4693" s="696">
        <v>0</v>
      </c>
      <c r="M4693" s="170"/>
    </row>
    <row r="4694" spans="2:13" x14ac:dyDescent="0.2">
      <c r="B4694" s="173"/>
      <c r="C4694" s="694">
        <v>2</v>
      </c>
      <c r="D4694" s="695" t="s">
        <v>3903</v>
      </c>
      <c r="E4694" s="695">
        <v>1</v>
      </c>
      <c r="F4694" s="695" t="s">
        <v>7774</v>
      </c>
      <c r="G4694" s="695">
        <v>4</v>
      </c>
      <c r="H4694" s="695" t="s">
        <v>7824</v>
      </c>
      <c r="I4694" s="695">
        <v>2</v>
      </c>
      <c r="J4694" s="695" t="s">
        <v>7826</v>
      </c>
      <c r="K4694" s="695" t="s">
        <v>7776</v>
      </c>
      <c r="L4694" s="696">
        <v>0</v>
      </c>
      <c r="M4694" s="170"/>
    </row>
    <row r="4695" spans="2:13" x14ac:dyDescent="0.2">
      <c r="B4695" s="173"/>
      <c r="C4695" s="694">
        <v>2</v>
      </c>
      <c r="D4695" s="695" t="s">
        <v>3903</v>
      </c>
      <c r="E4695" s="695">
        <v>1</v>
      </c>
      <c r="F4695" s="695" t="s">
        <v>7774</v>
      </c>
      <c r="G4695" s="695">
        <v>4</v>
      </c>
      <c r="H4695" s="695" t="s">
        <v>7824</v>
      </c>
      <c r="I4695" s="695">
        <v>3</v>
      </c>
      <c r="J4695" s="695" t="s">
        <v>7827</v>
      </c>
      <c r="K4695" s="695" t="s">
        <v>7776</v>
      </c>
      <c r="L4695" s="696">
        <v>0</v>
      </c>
      <c r="M4695" s="170"/>
    </row>
    <row r="4696" spans="2:13" x14ac:dyDescent="0.2">
      <c r="B4696" s="173"/>
      <c r="C4696" s="694">
        <v>2</v>
      </c>
      <c r="D4696" s="695" t="s">
        <v>3903</v>
      </c>
      <c r="E4696" s="695">
        <v>1</v>
      </c>
      <c r="F4696" s="695" t="s">
        <v>7774</v>
      </c>
      <c r="G4696" s="695">
        <v>4</v>
      </c>
      <c r="H4696" s="695" t="s">
        <v>7824</v>
      </c>
      <c r="I4696" s="695">
        <v>4</v>
      </c>
      <c r="J4696" s="695" t="s">
        <v>7828</v>
      </c>
      <c r="K4696" s="695" t="s">
        <v>7776</v>
      </c>
      <c r="L4696" s="696">
        <v>0</v>
      </c>
      <c r="M4696" s="170"/>
    </row>
    <row r="4697" spans="2:13" x14ac:dyDescent="0.2">
      <c r="B4697" s="173"/>
      <c r="C4697" s="694">
        <v>2</v>
      </c>
      <c r="D4697" s="695" t="s">
        <v>3903</v>
      </c>
      <c r="E4697" s="695">
        <v>1</v>
      </c>
      <c r="F4697" s="695" t="s">
        <v>7774</v>
      </c>
      <c r="G4697" s="695">
        <v>4</v>
      </c>
      <c r="H4697" s="695" t="s">
        <v>7824</v>
      </c>
      <c r="I4697" s="695">
        <v>5</v>
      </c>
      <c r="J4697" s="695" t="s">
        <v>7829</v>
      </c>
      <c r="K4697" s="695" t="s">
        <v>7776</v>
      </c>
      <c r="L4697" s="696">
        <v>0</v>
      </c>
      <c r="M4697" s="170"/>
    </row>
    <row r="4698" spans="2:13" x14ac:dyDescent="0.2">
      <c r="B4698" s="173"/>
      <c r="C4698" s="694">
        <v>2</v>
      </c>
      <c r="D4698" s="695" t="s">
        <v>3903</v>
      </c>
      <c r="E4698" s="695">
        <v>1</v>
      </c>
      <c r="F4698" s="695" t="s">
        <v>7774</v>
      </c>
      <c r="G4698" s="695">
        <v>4</v>
      </c>
      <c r="H4698" s="695" t="s">
        <v>7824</v>
      </c>
      <c r="I4698" s="695">
        <v>6</v>
      </c>
      <c r="J4698" s="695" t="s">
        <v>7830</v>
      </c>
      <c r="K4698" s="695" t="s">
        <v>7776</v>
      </c>
      <c r="L4698" s="696">
        <v>0</v>
      </c>
      <c r="M4698" s="170"/>
    </row>
    <row r="4699" spans="2:13" x14ac:dyDescent="0.2">
      <c r="B4699" s="173"/>
      <c r="C4699" s="694">
        <v>2</v>
      </c>
      <c r="D4699" s="695" t="s">
        <v>3903</v>
      </c>
      <c r="E4699" s="695">
        <v>1</v>
      </c>
      <c r="F4699" s="695" t="s">
        <v>7774</v>
      </c>
      <c r="G4699" s="695">
        <v>4</v>
      </c>
      <c r="H4699" s="695" t="s">
        <v>7824</v>
      </c>
      <c r="I4699" s="695">
        <v>7</v>
      </c>
      <c r="J4699" s="695" t="s">
        <v>7831</v>
      </c>
      <c r="K4699" s="695" t="s">
        <v>7776</v>
      </c>
      <c r="L4699" s="696">
        <v>0</v>
      </c>
      <c r="M4699" s="170"/>
    </row>
    <row r="4700" spans="2:13" x14ac:dyDescent="0.2">
      <c r="B4700" s="173"/>
      <c r="C4700" s="694">
        <v>2</v>
      </c>
      <c r="D4700" s="695" t="s">
        <v>3903</v>
      </c>
      <c r="E4700" s="695">
        <v>1</v>
      </c>
      <c r="F4700" s="695" t="s">
        <v>7774</v>
      </c>
      <c r="G4700" s="695">
        <v>4</v>
      </c>
      <c r="H4700" s="695" t="s">
        <v>7824</v>
      </c>
      <c r="I4700" s="695">
        <v>8</v>
      </c>
      <c r="J4700" s="695" t="s">
        <v>7832</v>
      </c>
      <c r="K4700" s="695" t="s">
        <v>7776</v>
      </c>
      <c r="L4700" s="696">
        <v>0</v>
      </c>
      <c r="M4700" s="170"/>
    </row>
    <row r="4701" spans="2:13" x14ac:dyDescent="0.2">
      <c r="B4701" s="173"/>
      <c r="C4701" s="694">
        <v>2</v>
      </c>
      <c r="D4701" s="695" t="s">
        <v>3903</v>
      </c>
      <c r="E4701" s="695">
        <v>1</v>
      </c>
      <c r="F4701" s="695" t="s">
        <v>7774</v>
      </c>
      <c r="G4701" s="695">
        <v>4</v>
      </c>
      <c r="H4701" s="695" t="s">
        <v>7824</v>
      </c>
      <c r="I4701" s="695">
        <v>9</v>
      </c>
      <c r="J4701" s="695" t="s">
        <v>7833</v>
      </c>
      <c r="K4701" s="695" t="s">
        <v>7776</v>
      </c>
      <c r="L4701" s="696">
        <v>0</v>
      </c>
      <c r="M4701" s="170"/>
    </row>
    <row r="4702" spans="2:13" x14ac:dyDescent="0.2">
      <c r="B4702" s="173"/>
      <c r="C4702" s="694">
        <v>2</v>
      </c>
      <c r="D4702" s="695" t="s">
        <v>3903</v>
      </c>
      <c r="E4702" s="695">
        <v>1</v>
      </c>
      <c r="F4702" s="695" t="s">
        <v>7774</v>
      </c>
      <c r="G4702" s="695">
        <v>5</v>
      </c>
      <c r="H4702" s="695" t="s">
        <v>7834</v>
      </c>
      <c r="I4702" s="695">
        <v>1</v>
      </c>
      <c r="J4702" s="695" t="s">
        <v>7835</v>
      </c>
      <c r="K4702" s="695" t="s">
        <v>7776</v>
      </c>
      <c r="L4702" s="696">
        <v>0</v>
      </c>
      <c r="M4702" s="170"/>
    </row>
    <row r="4703" spans="2:13" x14ac:dyDescent="0.2">
      <c r="B4703" s="173"/>
      <c r="C4703" s="694">
        <v>2</v>
      </c>
      <c r="D4703" s="695" t="s">
        <v>3903</v>
      </c>
      <c r="E4703" s="695">
        <v>1</v>
      </c>
      <c r="F4703" s="695" t="s">
        <v>7774</v>
      </c>
      <c r="G4703" s="695">
        <v>5</v>
      </c>
      <c r="H4703" s="695" t="s">
        <v>7834</v>
      </c>
      <c r="I4703" s="695">
        <v>2</v>
      </c>
      <c r="J4703" s="695" t="s">
        <v>7836</v>
      </c>
      <c r="K4703" s="695" t="s">
        <v>7776</v>
      </c>
      <c r="L4703" s="696">
        <v>0</v>
      </c>
      <c r="M4703" s="170"/>
    </row>
    <row r="4704" spans="2:13" x14ac:dyDescent="0.2">
      <c r="B4704" s="173"/>
      <c r="C4704" s="694">
        <v>2</v>
      </c>
      <c r="D4704" s="695" t="s">
        <v>3903</v>
      </c>
      <c r="E4704" s="695">
        <v>1</v>
      </c>
      <c r="F4704" s="695" t="s">
        <v>7774</v>
      </c>
      <c r="G4704" s="695">
        <v>5</v>
      </c>
      <c r="H4704" s="695" t="s">
        <v>7834</v>
      </c>
      <c r="I4704" s="695">
        <v>6</v>
      </c>
      <c r="J4704" s="695" t="s">
        <v>7837</v>
      </c>
      <c r="K4704" s="695" t="s">
        <v>7776</v>
      </c>
      <c r="L4704" s="696">
        <v>0</v>
      </c>
      <c r="M4704" s="170"/>
    </row>
    <row r="4705" spans="2:13" x14ac:dyDescent="0.2">
      <c r="B4705" s="173"/>
      <c r="C4705" s="694">
        <v>2</v>
      </c>
      <c r="D4705" s="695" t="s">
        <v>3903</v>
      </c>
      <c r="E4705" s="695">
        <v>1</v>
      </c>
      <c r="F4705" s="695" t="s">
        <v>7774</v>
      </c>
      <c r="G4705" s="695">
        <v>5</v>
      </c>
      <c r="H4705" s="695" t="s">
        <v>7834</v>
      </c>
      <c r="I4705" s="695">
        <v>7</v>
      </c>
      <c r="J4705" s="695" t="s">
        <v>7838</v>
      </c>
      <c r="K4705" s="695" t="s">
        <v>7776</v>
      </c>
      <c r="L4705" s="696">
        <v>0</v>
      </c>
      <c r="M4705" s="170"/>
    </row>
    <row r="4706" spans="2:13" x14ac:dyDescent="0.2">
      <c r="B4706" s="173"/>
      <c r="C4706" s="694">
        <v>2</v>
      </c>
      <c r="D4706" s="695" t="s">
        <v>3903</v>
      </c>
      <c r="E4706" s="695">
        <v>1</v>
      </c>
      <c r="F4706" s="695" t="s">
        <v>7774</v>
      </c>
      <c r="G4706" s="695">
        <v>5</v>
      </c>
      <c r="H4706" s="695" t="s">
        <v>7834</v>
      </c>
      <c r="I4706" s="695">
        <v>8</v>
      </c>
      <c r="J4706" s="695" t="s">
        <v>7839</v>
      </c>
      <c r="K4706" s="695" t="s">
        <v>7776</v>
      </c>
      <c r="L4706" s="696">
        <v>0</v>
      </c>
      <c r="M4706" s="170"/>
    </row>
    <row r="4707" spans="2:13" x14ac:dyDescent="0.2">
      <c r="B4707" s="173"/>
      <c r="C4707" s="694">
        <v>2</v>
      </c>
      <c r="D4707" s="695" t="s">
        <v>3903</v>
      </c>
      <c r="E4707" s="695">
        <v>1</v>
      </c>
      <c r="F4707" s="695" t="s">
        <v>7774</v>
      </c>
      <c r="G4707" s="695">
        <v>5</v>
      </c>
      <c r="H4707" s="695" t="s">
        <v>7834</v>
      </c>
      <c r="I4707" s="695">
        <v>9</v>
      </c>
      <c r="J4707" s="695" t="s">
        <v>5992</v>
      </c>
      <c r="K4707" s="695" t="s">
        <v>7776</v>
      </c>
      <c r="L4707" s="696">
        <v>0</v>
      </c>
      <c r="M4707" s="170"/>
    </row>
    <row r="4708" spans="2:13" x14ac:dyDescent="0.2">
      <c r="B4708" s="173"/>
      <c r="C4708" s="694">
        <v>2</v>
      </c>
      <c r="D4708" s="695" t="s">
        <v>3903</v>
      </c>
      <c r="E4708" s="695">
        <v>1</v>
      </c>
      <c r="F4708" s="695" t="s">
        <v>7774</v>
      </c>
      <c r="G4708" s="695">
        <v>5</v>
      </c>
      <c r="H4708" s="695" t="s">
        <v>7834</v>
      </c>
      <c r="I4708" s="695">
        <v>10</v>
      </c>
      <c r="J4708" s="695" t="s">
        <v>7840</v>
      </c>
      <c r="K4708" s="695" t="s">
        <v>7776</v>
      </c>
      <c r="L4708" s="696">
        <v>0</v>
      </c>
      <c r="M4708" s="170"/>
    </row>
    <row r="4709" spans="2:13" x14ac:dyDescent="0.2">
      <c r="B4709" s="173"/>
      <c r="C4709" s="694">
        <v>2</v>
      </c>
      <c r="D4709" s="695" t="s">
        <v>3903</v>
      </c>
      <c r="E4709" s="695">
        <v>1</v>
      </c>
      <c r="F4709" s="695" t="s">
        <v>7774</v>
      </c>
      <c r="G4709" s="695">
        <v>5</v>
      </c>
      <c r="H4709" s="695" t="s">
        <v>7834</v>
      </c>
      <c r="I4709" s="695">
        <v>11</v>
      </c>
      <c r="J4709" s="695" t="s">
        <v>7841</v>
      </c>
      <c r="K4709" s="695" t="s">
        <v>7776</v>
      </c>
      <c r="L4709" s="696">
        <v>0</v>
      </c>
      <c r="M4709" s="170"/>
    </row>
    <row r="4710" spans="2:13" x14ac:dyDescent="0.2">
      <c r="B4710" s="173"/>
      <c r="C4710" s="694">
        <v>2</v>
      </c>
      <c r="D4710" s="695" t="s">
        <v>3903</v>
      </c>
      <c r="E4710" s="695">
        <v>1</v>
      </c>
      <c r="F4710" s="695" t="s">
        <v>7774</v>
      </c>
      <c r="G4710" s="695">
        <v>5</v>
      </c>
      <c r="H4710" s="695" t="s">
        <v>7834</v>
      </c>
      <c r="I4710" s="695">
        <v>12</v>
      </c>
      <c r="J4710" s="695" t="s">
        <v>7842</v>
      </c>
      <c r="K4710" s="695" t="s">
        <v>7776</v>
      </c>
      <c r="L4710" s="696">
        <v>0</v>
      </c>
      <c r="M4710" s="170"/>
    </row>
    <row r="4711" spans="2:13" x14ac:dyDescent="0.2">
      <c r="B4711" s="173"/>
      <c r="C4711" s="694">
        <v>2</v>
      </c>
      <c r="D4711" s="695" t="s">
        <v>3903</v>
      </c>
      <c r="E4711" s="695">
        <v>1</v>
      </c>
      <c r="F4711" s="695" t="s">
        <v>7774</v>
      </c>
      <c r="G4711" s="695">
        <v>5</v>
      </c>
      <c r="H4711" s="695" t="s">
        <v>7834</v>
      </c>
      <c r="I4711" s="695">
        <v>13</v>
      </c>
      <c r="J4711" s="695" t="s">
        <v>7843</v>
      </c>
      <c r="K4711" s="695" t="s">
        <v>7776</v>
      </c>
      <c r="L4711" s="696">
        <v>0</v>
      </c>
      <c r="M4711" s="170"/>
    </row>
    <row r="4712" spans="2:13" x14ac:dyDescent="0.2">
      <c r="B4712" s="173"/>
      <c r="C4712" s="694">
        <v>2</v>
      </c>
      <c r="D4712" s="695" t="s">
        <v>3903</v>
      </c>
      <c r="E4712" s="695">
        <v>1</v>
      </c>
      <c r="F4712" s="695" t="s">
        <v>7774</v>
      </c>
      <c r="G4712" s="695">
        <v>5</v>
      </c>
      <c r="H4712" s="695" t="s">
        <v>7834</v>
      </c>
      <c r="I4712" s="695">
        <v>14</v>
      </c>
      <c r="J4712" s="695" t="s">
        <v>7844</v>
      </c>
      <c r="K4712" s="695" t="s">
        <v>7776</v>
      </c>
      <c r="L4712" s="696">
        <v>0</v>
      </c>
      <c r="M4712" s="170"/>
    </row>
    <row r="4713" spans="2:13" x14ac:dyDescent="0.2">
      <c r="B4713" s="173"/>
      <c r="C4713" s="694">
        <v>2</v>
      </c>
      <c r="D4713" s="695" t="s">
        <v>3903</v>
      </c>
      <c r="E4713" s="695">
        <v>1</v>
      </c>
      <c r="F4713" s="695" t="s">
        <v>7774</v>
      </c>
      <c r="G4713" s="695">
        <v>5</v>
      </c>
      <c r="H4713" s="695" t="s">
        <v>7834</v>
      </c>
      <c r="I4713" s="695">
        <v>15</v>
      </c>
      <c r="J4713" s="695" t="s">
        <v>7845</v>
      </c>
      <c r="K4713" s="695" t="s">
        <v>7776</v>
      </c>
      <c r="L4713" s="696">
        <v>0</v>
      </c>
      <c r="M4713" s="170"/>
    </row>
    <row r="4714" spans="2:13" x14ac:dyDescent="0.2">
      <c r="B4714" s="173"/>
      <c r="C4714" s="694">
        <v>2</v>
      </c>
      <c r="D4714" s="695" t="s">
        <v>3903</v>
      </c>
      <c r="E4714" s="695">
        <v>1</v>
      </c>
      <c r="F4714" s="695" t="s">
        <v>7774</v>
      </c>
      <c r="G4714" s="695">
        <v>5</v>
      </c>
      <c r="H4714" s="695" t="s">
        <v>7834</v>
      </c>
      <c r="I4714" s="695">
        <v>16</v>
      </c>
      <c r="J4714" s="695" t="s">
        <v>6133</v>
      </c>
      <c r="K4714" s="695" t="s">
        <v>7776</v>
      </c>
      <c r="L4714" s="696">
        <v>0</v>
      </c>
      <c r="M4714" s="170"/>
    </row>
    <row r="4715" spans="2:13" x14ac:dyDescent="0.2">
      <c r="B4715" s="173"/>
      <c r="C4715" s="694">
        <v>2</v>
      </c>
      <c r="D4715" s="695" t="s">
        <v>3903</v>
      </c>
      <c r="E4715" s="695">
        <v>1</v>
      </c>
      <c r="F4715" s="695" t="s">
        <v>7774</v>
      </c>
      <c r="G4715" s="695">
        <v>5</v>
      </c>
      <c r="H4715" s="695" t="s">
        <v>7834</v>
      </c>
      <c r="I4715" s="695">
        <v>17</v>
      </c>
      <c r="J4715" s="695" t="s">
        <v>7846</v>
      </c>
      <c r="K4715" s="695" t="s">
        <v>7776</v>
      </c>
      <c r="L4715" s="696">
        <v>0</v>
      </c>
      <c r="M4715" s="170"/>
    </row>
    <row r="4716" spans="2:13" x14ac:dyDescent="0.2">
      <c r="B4716" s="173"/>
      <c r="C4716" s="694">
        <v>2</v>
      </c>
      <c r="D4716" s="695" t="s">
        <v>3903</v>
      </c>
      <c r="E4716" s="695">
        <v>1</v>
      </c>
      <c r="F4716" s="695" t="s">
        <v>7774</v>
      </c>
      <c r="G4716" s="695">
        <v>6</v>
      </c>
      <c r="H4716" s="695" t="s">
        <v>7847</v>
      </c>
      <c r="I4716" s="695">
        <v>1</v>
      </c>
      <c r="J4716" s="695" t="s">
        <v>7848</v>
      </c>
      <c r="K4716" s="695" t="s">
        <v>7776</v>
      </c>
      <c r="L4716" s="696">
        <v>0</v>
      </c>
      <c r="M4716" s="170"/>
    </row>
    <row r="4717" spans="2:13" x14ac:dyDescent="0.2">
      <c r="B4717" s="173"/>
      <c r="C4717" s="694">
        <v>2</v>
      </c>
      <c r="D4717" s="695" t="s">
        <v>3903</v>
      </c>
      <c r="E4717" s="695">
        <v>1</v>
      </c>
      <c r="F4717" s="695" t="s">
        <v>7774</v>
      </c>
      <c r="G4717" s="695">
        <v>6</v>
      </c>
      <c r="H4717" s="695" t="s">
        <v>7847</v>
      </c>
      <c r="I4717" s="695">
        <v>2</v>
      </c>
      <c r="J4717" s="695" t="s">
        <v>7849</v>
      </c>
      <c r="K4717" s="695" t="s">
        <v>7776</v>
      </c>
      <c r="L4717" s="696">
        <v>0</v>
      </c>
      <c r="M4717" s="170"/>
    </row>
    <row r="4718" spans="2:13" x14ac:dyDescent="0.2">
      <c r="B4718" s="173"/>
      <c r="C4718" s="694">
        <v>2</v>
      </c>
      <c r="D4718" s="695" t="s">
        <v>3903</v>
      </c>
      <c r="E4718" s="695">
        <v>1</v>
      </c>
      <c r="F4718" s="695" t="s">
        <v>7774</v>
      </c>
      <c r="G4718" s="695">
        <v>6</v>
      </c>
      <c r="H4718" s="695" t="s">
        <v>7847</v>
      </c>
      <c r="I4718" s="695">
        <v>3</v>
      </c>
      <c r="J4718" s="695" t="s">
        <v>7850</v>
      </c>
      <c r="K4718" s="695" t="s">
        <v>7776</v>
      </c>
      <c r="L4718" s="696">
        <v>0</v>
      </c>
      <c r="M4718" s="170"/>
    </row>
    <row r="4719" spans="2:13" x14ac:dyDescent="0.2">
      <c r="B4719" s="173"/>
      <c r="C4719" s="694">
        <v>2</v>
      </c>
      <c r="D4719" s="695" t="s">
        <v>3903</v>
      </c>
      <c r="E4719" s="695">
        <v>1</v>
      </c>
      <c r="F4719" s="695" t="s">
        <v>7774</v>
      </c>
      <c r="G4719" s="695">
        <v>6</v>
      </c>
      <c r="H4719" s="695" t="s">
        <v>7847</v>
      </c>
      <c r="I4719" s="695">
        <v>4</v>
      </c>
      <c r="J4719" s="695" t="s">
        <v>7851</v>
      </c>
      <c r="K4719" s="695" t="s">
        <v>7776</v>
      </c>
      <c r="L4719" s="696">
        <v>0</v>
      </c>
      <c r="M4719" s="170"/>
    </row>
    <row r="4720" spans="2:13" x14ac:dyDescent="0.2">
      <c r="B4720" s="173"/>
      <c r="C4720" s="694">
        <v>2</v>
      </c>
      <c r="D4720" s="695" t="s">
        <v>3903</v>
      </c>
      <c r="E4720" s="695">
        <v>1</v>
      </c>
      <c r="F4720" s="695" t="s">
        <v>7774</v>
      </c>
      <c r="G4720" s="695">
        <v>6</v>
      </c>
      <c r="H4720" s="695" t="s">
        <v>7847</v>
      </c>
      <c r="I4720" s="695">
        <v>5</v>
      </c>
      <c r="J4720" s="695" t="s">
        <v>7852</v>
      </c>
      <c r="K4720" s="695" t="s">
        <v>7776</v>
      </c>
      <c r="L4720" s="696">
        <v>0</v>
      </c>
      <c r="M4720" s="170"/>
    </row>
    <row r="4721" spans="2:13" x14ac:dyDescent="0.2">
      <c r="B4721" s="173"/>
      <c r="C4721" s="694">
        <v>2</v>
      </c>
      <c r="D4721" s="695" t="s">
        <v>3903</v>
      </c>
      <c r="E4721" s="695">
        <v>1</v>
      </c>
      <c r="F4721" s="695" t="s">
        <v>7774</v>
      </c>
      <c r="G4721" s="695">
        <v>6</v>
      </c>
      <c r="H4721" s="695" t="s">
        <v>7847</v>
      </c>
      <c r="I4721" s="695">
        <v>6</v>
      </c>
      <c r="J4721" s="695" t="s">
        <v>7853</v>
      </c>
      <c r="K4721" s="695" t="s">
        <v>7776</v>
      </c>
      <c r="L4721" s="696">
        <v>0</v>
      </c>
      <c r="M4721" s="170"/>
    </row>
    <row r="4722" spans="2:13" x14ac:dyDescent="0.2">
      <c r="B4722" s="173"/>
      <c r="C4722" s="694">
        <v>2</v>
      </c>
      <c r="D4722" s="695" t="s">
        <v>3903</v>
      </c>
      <c r="E4722" s="695">
        <v>1</v>
      </c>
      <c r="F4722" s="695" t="s">
        <v>7774</v>
      </c>
      <c r="G4722" s="695">
        <v>6</v>
      </c>
      <c r="H4722" s="695" t="s">
        <v>7847</v>
      </c>
      <c r="I4722" s="695">
        <v>7</v>
      </c>
      <c r="J4722" s="695" t="s">
        <v>7854</v>
      </c>
      <c r="K4722" s="695" t="s">
        <v>7776</v>
      </c>
      <c r="L4722" s="696">
        <v>0</v>
      </c>
      <c r="M4722" s="170"/>
    </row>
    <row r="4723" spans="2:13" x14ac:dyDescent="0.2">
      <c r="B4723" s="173"/>
      <c r="C4723" s="694">
        <v>2</v>
      </c>
      <c r="D4723" s="695" t="s">
        <v>3903</v>
      </c>
      <c r="E4723" s="695">
        <v>1</v>
      </c>
      <c r="F4723" s="695" t="s">
        <v>7774</v>
      </c>
      <c r="G4723" s="695">
        <v>6</v>
      </c>
      <c r="H4723" s="695" t="s">
        <v>7847</v>
      </c>
      <c r="I4723" s="695">
        <v>8</v>
      </c>
      <c r="J4723" s="695" t="s">
        <v>7855</v>
      </c>
      <c r="K4723" s="695" t="s">
        <v>7776</v>
      </c>
      <c r="L4723" s="696">
        <v>0</v>
      </c>
      <c r="M4723" s="170"/>
    </row>
    <row r="4724" spans="2:13" x14ac:dyDescent="0.2">
      <c r="B4724" s="173"/>
      <c r="C4724" s="694">
        <v>2</v>
      </c>
      <c r="D4724" s="695" t="s">
        <v>3903</v>
      </c>
      <c r="E4724" s="695">
        <v>1</v>
      </c>
      <c r="F4724" s="695" t="s">
        <v>7774</v>
      </c>
      <c r="G4724" s="695">
        <v>6</v>
      </c>
      <c r="H4724" s="695" t="s">
        <v>7847</v>
      </c>
      <c r="I4724" s="695">
        <v>9</v>
      </c>
      <c r="J4724" s="695" t="s">
        <v>7856</v>
      </c>
      <c r="K4724" s="695" t="s">
        <v>7776</v>
      </c>
      <c r="L4724" s="696">
        <v>0</v>
      </c>
      <c r="M4724" s="170"/>
    </row>
    <row r="4725" spans="2:13" x14ac:dyDescent="0.2">
      <c r="B4725" s="173"/>
      <c r="C4725" s="694">
        <v>2</v>
      </c>
      <c r="D4725" s="695" t="s">
        <v>3903</v>
      </c>
      <c r="E4725" s="695">
        <v>1</v>
      </c>
      <c r="F4725" s="695" t="s">
        <v>7774</v>
      </c>
      <c r="G4725" s="695">
        <v>6</v>
      </c>
      <c r="H4725" s="695" t="s">
        <v>7847</v>
      </c>
      <c r="I4725" s="695">
        <v>10</v>
      </c>
      <c r="J4725" s="695" t="s">
        <v>7857</v>
      </c>
      <c r="K4725" s="695" t="s">
        <v>7776</v>
      </c>
      <c r="L4725" s="696">
        <v>0</v>
      </c>
      <c r="M4725" s="170"/>
    </row>
    <row r="4726" spans="2:13" x14ac:dyDescent="0.2">
      <c r="B4726" s="173"/>
      <c r="C4726" s="694">
        <v>2</v>
      </c>
      <c r="D4726" s="695" t="s">
        <v>3903</v>
      </c>
      <c r="E4726" s="695">
        <v>1</v>
      </c>
      <c r="F4726" s="695" t="s">
        <v>7774</v>
      </c>
      <c r="G4726" s="695">
        <v>7</v>
      </c>
      <c r="H4726" s="695" t="s">
        <v>6654</v>
      </c>
      <c r="I4726" s="695">
        <v>1</v>
      </c>
      <c r="J4726" s="695" t="s">
        <v>7858</v>
      </c>
      <c r="K4726" s="695" t="s">
        <v>7776</v>
      </c>
      <c r="L4726" s="696">
        <v>0</v>
      </c>
      <c r="M4726" s="170"/>
    </row>
    <row r="4727" spans="2:13" x14ac:dyDescent="0.2">
      <c r="B4727" s="173"/>
      <c r="C4727" s="694">
        <v>2</v>
      </c>
      <c r="D4727" s="695" t="s">
        <v>3903</v>
      </c>
      <c r="E4727" s="695">
        <v>1</v>
      </c>
      <c r="F4727" s="695" t="s">
        <v>7774</v>
      </c>
      <c r="G4727" s="695">
        <v>7</v>
      </c>
      <c r="H4727" s="695" t="s">
        <v>6654</v>
      </c>
      <c r="I4727" s="695">
        <v>2</v>
      </c>
      <c r="J4727" s="695" t="s">
        <v>7859</v>
      </c>
      <c r="K4727" s="695" t="s">
        <v>7776</v>
      </c>
      <c r="L4727" s="696">
        <v>0</v>
      </c>
      <c r="M4727" s="170"/>
    </row>
    <row r="4728" spans="2:13" x14ac:dyDescent="0.2">
      <c r="B4728" s="173"/>
      <c r="C4728" s="694">
        <v>2</v>
      </c>
      <c r="D4728" s="695" t="s">
        <v>3903</v>
      </c>
      <c r="E4728" s="695">
        <v>1</v>
      </c>
      <c r="F4728" s="695" t="s">
        <v>7774</v>
      </c>
      <c r="G4728" s="695">
        <v>7</v>
      </c>
      <c r="H4728" s="695" t="s">
        <v>6654</v>
      </c>
      <c r="I4728" s="695">
        <v>3</v>
      </c>
      <c r="J4728" s="695" t="s">
        <v>7860</v>
      </c>
      <c r="K4728" s="695" t="s">
        <v>7776</v>
      </c>
      <c r="L4728" s="696">
        <v>0</v>
      </c>
      <c r="M4728" s="170"/>
    </row>
    <row r="4729" spans="2:13" x14ac:dyDescent="0.2">
      <c r="B4729" s="173"/>
      <c r="C4729" s="694">
        <v>2</v>
      </c>
      <c r="D4729" s="695" t="s">
        <v>3903</v>
      </c>
      <c r="E4729" s="695">
        <v>1</v>
      </c>
      <c r="F4729" s="695" t="s">
        <v>7774</v>
      </c>
      <c r="G4729" s="695">
        <v>7</v>
      </c>
      <c r="H4729" s="695" t="s">
        <v>6654</v>
      </c>
      <c r="I4729" s="695">
        <v>4</v>
      </c>
      <c r="J4729" s="695" t="s">
        <v>6001</v>
      </c>
      <c r="K4729" s="695" t="s">
        <v>7776</v>
      </c>
      <c r="L4729" s="696">
        <v>0</v>
      </c>
      <c r="M4729" s="170"/>
    </row>
    <row r="4730" spans="2:13" x14ac:dyDescent="0.2">
      <c r="B4730" s="173"/>
      <c r="C4730" s="700">
        <v>2</v>
      </c>
      <c r="D4730" s="701" t="s">
        <v>3903</v>
      </c>
      <c r="E4730" s="701">
        <v>1</v>
      </c>
      <c r="F4730" s="701" t="s">
        <v>7774</v>
      </c>
      <c r="G4730" s="701">
        <v>7</v>
      </c>
      <c r="H4730" s="701" t="s">
        <v>6654</v>
      </c>
      <c r="I4730" s="701">
        <v>5</v>
      </c>
      <c r="J4730" s="701" t="s">
        <v>7861</v>
      </c>
      <c r="K4730" s="701" t="s">
        <v>7776</v>
      </c>
      <c r="L4730" s="702">
        <v>0</v>
      </c>
      <c r="M4730" s="170"/>
    </row>
    <row r="4731" spans="2:13" x14ac:dyDescent="0.2">
      <c r="B4731" s="173"/>
      <c r="C4731" s="703"/>
      <c r="D4731" s="690"/>
      <c r="E4731" s="690"/>
      <c r="F4731" s="690"/>
      <c r="G4731" s="690"/>
      <c r="H4731" s="690"/>
      <c r="I4731" s="690"/>
      <c r="J4731" s="690"/>
      <c r="K4731" s="690"/>
      <c r="L4731" s="704"/>
      <c r="M4731" s="170"/>
    </row>
    <row r="4732" spans="2:13" x14ac:dyDescent="0.2">
      <c r="B4732" s="173"/>
      <c r="C4732" s="703"/>
      <c r="D4732" s="690"/>
      <c r="E4732" s="690"/>
      <c r="F4732" s="690"/>
      <c r="G4732" s="690"/>
      <c r="H4732" s="690"/>
      <c r="I4732" s="690"/>
      <c r="J4732" s="690"/>
      <c r="K4732" s="690"/>
      <c r="L4732" s="704"/>
      <c r="M4732" s="170"/>
    </row>
    <row r="4733" spans="2:13" x14ac:dyDescent="0.2">
      <c r="B4733" s="173"/>
      <c r="C4733" s="703"/>
      <c r="D4733" s="690"/>
      <c r="E4733" s="690"/>
      <c r="F4733" s="690"/>
      <c r="G4733" s="690"/>
      <c r="H4733" s="690"/>
      <c r="I4733" s="690"/>
      <c r="J4733" s="690"/>
      <c r="K4733" s="690"/>
      <c r="L4733" s="704"/>
      <c r="M4733" s="170"/>
    </row>
    <row r="4734" spans="2:13" x14ac:dyDescent="0.2">
      <c r="B4734" s="173"/>
      <c r="C4734" s="703"/>
      <c r="D4734" s="690"/>
      <c r="E4734" s="690"/>
      <c r="F4734" s="690"/>
      <c r="G4734" s="690"/>
      <c r="H4734" s="690"/>
      <c r="I4734" s="690"/>
      <c r="J4734" s="690"/>
      <c r="K4734" s="690"/>
      <c r="L4734" s="704"/>
      <c r="M4734" s="170"/>
    </row>
    <row r="4735" spans="2:13" x14ac:dyDescent="0.2">
      <c r="B4735" s="173"/>
      <c r="C4735" s="703"/>
      <c r="D4735" s="690"/>
      <c r="E4735" s="690"/>
      <c r="F4735" s="690"/>
      <c r="G4735" s="690"/>
      <c r="H4735" s="690"/>
      <c r="I4735" s="690"/>
      <c r="J4735" s="690"/>
      <c r="K4735" s="690"/>
      <c r="L4735" s="704"/>
      <c r="M4735" s="170"/>
    </row>
    <row r="4736" spans="2:13" x14ac:dyDescent="0.2">
      <c r="B4736" s="173"/>
      <c r="C4736" s="703"/>
      <c r="D4736" s="690"/>
      <c r="E4736" s="690"/>
      <c r="F4736" s="690"/>
      <c r="G4736" s="690"/>
      <c r="H4736" s="690"/>
      <c r="I4736" s="690"/>
      <c r="J4736" s="690"/>
      <c r="K4736" s="690"/>
      <c r="L4736" s="704"/>
      <c r="M4736" s="170"/>
    </row>
    <row r="4737" spans="2:13" x14ac:dyDescent="0.2">
      <c r="B4737" s="173"/>
      <c r="C4737" s="703"/>
      <c r="D4737" s="690"/>
      <c r="E4737" s="690"/>
      <c r="F4737" s="690"/>
      <c r="G4737" s="690"/>
      <c r="H4737" s="690"/>
      <c r="I4737" s="690"/>
      <c r="J4737" s="690"/>
      <c r="K4737" s="690"/>
      <c r="L4737" s="704"/>
      <c r="M4737" s="170"/>
    </row>
    <row r="4738" spans="2:13" x14ac:dyDescent="0.2">
      <c r="B4738" s="173"/>
      <c r="C4738" s="703"/>
      <c r="D4738" s="690"/>
      <c r="E4738" s="690"/>
      <c r="F4738" s="690"/>
      <c r="G4738" s="690"/>
      <c r="H4738" s="690"/>
      <c r="I4738" s="690"/>
      <c r="J4738" s="690"/>
      <c r="K4738" s="690"/>
      <c r="L4738" s="704"/>
      <c r="M4738" s="170"/>
    </row>
    <row r="4739" spans="2:13" x14ac:dyDescent="0.2">
      <c r="B4739" s="173"/>
      <c r="C4739" s="703"/>
      <c r="D4739" s="690"/>
      <c r="E4739" s="690"/>
      <c r="F4739" s="690"/>
      <c r="G4739" s="690"/>
      <c r="H4739" s="690"/>
      <c r="I4739" s="690"/>
      <c r="J4739" s="690"/>
      <c r="K4739" s="690"/>
      <c r="L4739" s="704"/>
      <c r="M4739" s="170"/>
    </row>
    <row r="4740" spans="2:13" x14ac:dyDescent="0.2">
      <c r="B4740" s="173"/>
      <c r="C4740" s="703"/>
      <c r="D4740" s="690"/>
      <c r="E4740" s="690"/>
      <c r="F4740" s="690"/>
      <c r="G4740" s="690"/>
      <c r="H4740" s="690"/>
      <c r="I4740" s="690"/>
      <c r="J4740" s="690"/>
      <c r="K4740" s="690"/>
      <c r="L4740" s="704"/>
      <c r="M4740" s="170"/>
    </row>
    <row r="4741" spans="2:13" x14ac:dyDescent="0.2">
      <c r="B4741" s="173"/>
      <c r="C4741" s="703"/>
      <c r="D4741" s="690"/>
      <c r="E4741" s="690"/>
      <c r="F4741" s="690"/>
      <c r="G4741" s="690"/>
      <c r="H4741" s="690"/>
      <c r="I4741" s="690"/>
      <c r="J4741" s="690"/>
      <c r="K4741" s="690"/>
      <c r="L4741" s="704"/>
      <c r="M4741" s="170"/>
    </row>
    <row r="4742" spans="2:13" x14ac:dyDescent="0.2">
      <c r="B4742" s="173"/>
      <c r="C4742" s="703"/>
      <c r="D4742" s="690"/>
      <c r="E4742" s="690"/>
      <c r="F4742" s="690"/>
      <c r="G4742" s="690"/>
      <c r="H4742" s="690"/>
      <c r="I4742" s="690"/>
      <c r="J4742" s="690"/>
      <c r="K4742" s="690"/>
      <c r="L4742" s="704"/>
      <c r="M4742" s="170"/>
    </row>
    <row r="4743" spans="2:13" x14ac:dyDescent="0.2">
      <c r="B4743" s="173"/>
      <c r="C4743" s="703"/>
      <c r="D4743" s="690"/>
      <c r="E4743" s="690"/>
      <c r="F4743" s="690"/>
      <c r="G4743" s="690"/>
      <c r="H4743" s="690"/>
      <c r="I4743" s="690"/>
      <c r="J4743" s="690"/>
      <c r="K4743" s="690"/>
      <c r="L4743" s="704"/>
      <c r="M4743" s="170"/>
    </row>
    <row r="4744" spans="2:13" x14ac:dyDescent="0.2">
      <c r="B4744" s="173"/>
      <c r="C4744" s="703"/>
      <c r="D4744" s="690"/>
      <c r="E4744" s="690"/>
      <c r="F4744" s="690"/>
      <c r="G4744" s="690"/>
      <c r="H4744" s="690"/>
      <c r="I4744" s="690"/>
      <c r="J4744" s="690"/>
      <c r="K4744" s="690"/>
      <c r="L4744" s="704"/>
      <c r="M4744" s="170"/>
    </row>
    <row r="4745" spans="2:13" x14ac:dyDescent="0.2">
      <c r="B4745" s="173"/>
      <c r="C4745" s="703"/>
      <c r="D4745" s="690"/>
      <c r="E4745" s="690"/>
      <c r="F4745" s="690"/>
      <c r="G4745" s="690"/>
      <c r="H4745" s="690"/>
      <c r="I4745" s="690"/>
      <c r="J4745" s="690"/>
      <c r="K4745" s="690"/>
      <c r="L4745" s="704"/>
      <c r="M4745" s="170"/>
    </row>
    <row r="4746" spans="2:13" x14ac:dyDescent="0.2">
      <c r="B4746" s="173"/>
      <c r="C4746" s="703"/>
      <c r="D4746" s="690"/>
      <c r="E4746" s="690"/>
      <c r="F4746" s="690"/>
      <c r="G4746" s="690"/>
      <c r="H4746" s="690"/>
      <c r="I4746" s="690"/>
      <c r="J4746" s="690"/>
      <c r="K4746" s="690"/>
      <c r="L4746" s="704"/>
      <c r="M4746" s="170"/>
    </row>
    <row r="4747" spans="2:13" x14ac:dyDescent="0.2">
      <c r="B4747" s="173"/>
      <c r="C4747" s="703"/>
      <c r="D4747" s="690"/>
      <c r="E4747" s="690"/>
      <c r="F4747" s="690"/>
      <c r="G4747" s="690"/>
      <c r="H4747" s="690"/>
      <c r="I4747" s="690"/>
      <c r="J4747" s="690"/>
      <c r="K4747" s="690"/>
      <c r="L4747" s="704"/>
      <c r="M4747" s="170"/>
    </row>
    <row r="4748" spans="2:13" x14ac:dyDescent="0.2">
      <c r="B4748" s="173"/>
      <c r="C4748" s="703"/>
      <c r="D4748" s="690"/>
      <c r="E4748" s="690"/>
      <c r="F4748" s="690"/>
      <c r="G4748" s="690"/>
      <c r="H4748" s="690"/>
      <c r="I4748" s="690"/>
      <c r="J4748" s="690"/>
      <c r="K4748" s="690"/>
      <c r="L4748" s="704"/>
      <c r="M4748" s="170"/>
    </row>
    <row r="4749" spans="2:13" x14ac:dyDescent="0.2">
      <c r="B4749" s="173"/>
      <c r="C4749" s="703"/>
      <c r="D4749" s="690"/>
      <c r="E4749" s="690"/>
      <c r="F4749" s="690"/>
      <c r="G4749" s="690"/>
      <c r="H4749" s="690"/>
      <c r="I4749" s="690"/>
      <c r="J4749" s="690"/>
      <c r="K4749" s="690"/>
      <c r="L4749" s="704"/>
      <c r="M4749" s="170"/>
    </row>
    <row r="4750" spans="2:13" x14ac:dyDescent="0.2">
      <c r="B4750" s="173"/>
      <c r="C4750" s="703"/>
      <c r="D4750" s="690"/>
      <c r="E4750" s="690"/>
      <c r="F4750" s="690"/>
      <c r="G4750" s="690"/>
      <c r="H4750" s="690"/>
      <c r="I4750" s="690"/>
      <c r="J4750" s="690"/>
      <c r="K4750" s="690"/>
      <c r="L4750" s="704"/>
      <c r="M4750" s="170"/>
    </row>
    <row r="4751" spans="2:13" x14ac:dyDescent="0.2">
      <c r="B4751" s="173"/>
      <c r="C4751" s="703"/>
      <c r="D4751" s="690"/>
      <c r="E4751" s="690"/>
      <c r="F4751" s="690"/>
      <c r="G4751" s="690"/>
      <c r="H4751" s="690"/>
      <c r="I4751" s="690"/>
      <c r="J4751" s="690"/>
      <c r="K4751" s="690"/>
      <c r="L4751" s="704"/>
      <c r="M4751" s="170"/>
    </row>
    <row r="4752" spans="2:13" x14ac:dyDescent="0.2">
      <c r="B4752" s="173"/>
      <c r="C4752" s="703"/>
      <c r="D4752" s="690"/>
      <c r="E4752" s="690"/>
      <c r="F4752" s="690"/>
      <c r="G4752" s="690"/>
      <c r="H4752" s="690"/>
      <c r="I4752" s="690"/>
      <c r="J4752" s="690"/>
      <c r="K4752" s="690"/>
      <c r="L4752" s="704"/>
      <c r="M4752" s="170"/>
    </row>
    <row r="4753" spans="2:13" x14ac:dyDescent="0.2">
      <c r="B4753" s="173"/>
      <c r="C4753" s="703"/>
      <c r="D4753" s="690"/>
      <c r="E4753" s="690"/>
      <c r="F4753" s="690"/>
      <c r="G4753" s="690"/>
      <c r="H4753" s="690"/>
      <c r="I4753" s="690"/>
      <c r="J4753" s="690"/>
      <c r="K4753" s="690"/>
      <c r="L4753" s="704"/>
      <c r="M4753" s="170"/>
    </row>
    <row r="4754" spans="2:13" x14ac:dyDescent="0.2">
      <c r="B4754" s="173"/>
      <c r="C4754" s="703"/>
      <c r="D4754" s="690"/>
      <c r="E4754" s="690"/>
      <c r="F4754" s="690"/>
      <c r="G4754" s="690"/>
      <c r="H4754" s="690"/>
      <c r="I4754" s="690"/>
      <c r="J4754" s="690"/>
      <c r="K4754" s="690"/>
      <c r="L4754" s="704"/>
      <c r="M4754" s="170"/>
    </row>
    <row r="4755" spans="2:13" x14ac:dyDescent="0.2">
      <c r="B4755" s="173"/>
      <c r="C4755" s="703"/>
      <c r="D4755" s="690"/>
      <c r="E4755" s="690"/>
      <c r="F4755" s="690"/>
      <c r="G4755" s="690"/>
      <c r="H4755" s="690"/>
      <c r="I4755" s="690"/>
      <c r="J4755" s="690"/>
      <c r="K4755" s="690"/>
      <c r="L4755" s="704"/>
      <c r="M4755" s="170"/>
    </row>
    <row r="4756" spans="2:13" x14ac:dyDescent="0.2">
      <c r="B4756" s="173"/>
      <c r="C4756" s="703"/>
      <c r="D4756" s="690"/>
      <c r="E4756" s="690"/>
      <c r="F4756" s="690"/>
      <c r="G4756" s="690"/>
      <c r="H4756" s="690"/>
      <c r="I4756" s="690"/>
      <c r="J4756" s="690"/>
      <c r="K4756" s="690"/>
      <c r="L4756" s="704"/>
      <c r="M4756" s="170"/>
    </row>
    <row r="4757" spans="2:13" x14ac:dyDescent="0.2">
      <c r="B4757" s="173"/>
      <c r="C4757" s="703"/>
      <c r="D4757" s="690"/>
      <c r="E4757" s="690"/>
      <c r="F4757" s="690"/>
      <c r="G4757" s="690"/>
      <c r="H4757" s="690"/>
      <c r="I4757" s="690"/>
      <c r="J4757" s="690"/>
      <c r="K4757" s="690"/>
      <c r="L4757" s="704"/>
      <c r="M4757" s="170"/>
    </row>
    <row r="4758" spans="2:13" x14ac:dyDescent="0.2">
      <c r="B4758" s="173"/>
      <c r="C4758" s="703"/>
      <c r="D4758" s="690"/>
      <c r="E4758" s="690"/>
      <c r="F4758" s="690"/>
      <c r="G4758" s="690"/>
      <c r="H4758" s="690"/>
      <c r="I4758" s="690"/>
      <c r="J4758" s="690"/>
      <c r="K4758" s="690"/>
      <c r="L4758" s="704"/>
      <c r="M4758" s="170"/>
    </row>
    <row r="4759" spans="2:13" x14ac:dyDescent="0.2">
      <c r="B4759" s="173"/>
      <c r="C4759" s="703"/>
      <c r="D4759" s="690"/>
      <c r="E4759" s="690"/>
      <c r="F4759" s="690"/>
      <c r="G4759" s="690"/>
      <c r="H4759" s="690"/>
      <c r="I4759" s="690"/>
      <c r="J4759" s="690"/>
      <c r="K4759" s="690"/>
      <c r="L4759" s="704"/>
      <c r="M4759" s="170"/>
    </row>
    <row r="4760" spans="2:13" x14ac:dyDescent="0.2">
      <c r="B4760" s="173"/>
      <c r="C4760" s="703"/>
      <c r="D4760" s="690"/>
      <c r="E4760" s="690"/>
      <c r="F4760" s="690"/>
      <c r="G4760" s="690"/>
      <c r="H4760" s="690"/>
      <c r="I4760" s="690"/>
      <c r="J4760" s="690"/>
      <c r="K4760" s="690"/>
      <c r="L4760" s="704"/>
      <c r="M4760" s="170"/>
    </row>
    <row r="4761" spans="2:13" x14ac:dyDescent="0.2">
      <c r="B4761" s="173"/>
      <c r="C4761" s="703"/>
      <c r="D4761" s="690"/>
      <c r="E4761" s="690"/>
      <c r="F4761" s="690"/>
      <c r="G4761" s="690"/>
      <c r="H4761" s="690"/>
      <c r="I4761" s="690"/>
      <c r="J4761" s="690"/>
      <c r="K4761" s="690"/>
      <c r="L4761" s="704"/>
      <c r="M4761" s="170"/>
    </row>
    <row r="4762" spans="2:13" x14ac:dyDescent="0.2">
      <c r="B4762" s="173"/>
      <c r="C4762" s="703"/>
      <c r="D4762" s="690"/>
      <c r="E4762" s="690"/>
      <c r="F4762" s="690"/>
      <c r="G4762" s="690"/>
      <c r="H4762" s="690"/>
      <c r="I4762" s="690"/>
      <c r="J4762" s="690"/>
      <c r="K4762" s="690"/>
      <c r="L4762" s="704"/>
      <c r="M4762" s="170"/>
    </row>
    <row r="4763" spans="2:13" x14ac:dyDescent="0.2">
      <c r="B4763" s="173"/>
      <c r="C4763" s="703"/>
      <c r="D4763" s="690"/>
      <c r="E4763" s="690"/>
      <c r="F4763" s="690"/>
      <c r="G4763" s="690"/>
      <c r="H4763" s="690"/>
      <c r="I4763" s="690"/>
      <c r="J4763" s="690"/>
      <c r="K4763" s="690"/>
      <c r="L4763" s="704"/>
      <c r="M4763" s="170"/>
    </row>
    <row r="4764" spans="2:13" x14ac:dyDescent="0.2">
      <c r="B4764" s="173"/>
      <c r="C4764" s="703"/>
      <c r="D4764" s="690"/>
      <c r="E4764" s="690"/>
      <c r="F4764" s="690"/>
      <c r="G4764" s="690"/>
      <c r="H4764" s="690"/>
      <c r="I4764" s="690"/>
      <c r="J4764" s="690"/>
      <c r="K4764" s="690"/>
      <c r="L4764" s="704"/>
      <c r="M4764" s="170"/>
    </row>
    <row r="4765" spans="2:13" x14ac:dyDescent="0.2">
      <c r="B4765" s="173"/>
      <c r="C4765" s="703"/>
      <c r="D4765" s="690"/>
      <c r="E4765" s="690"/>
      <c r="F4765" s="690"/>
      <c r="G4765" s="690"/>
      <c r="H4765" s="690"/>
      <c r="I4765" s="690"/>
      <c r="J4765" s="690"/>
      <c r="K4765" s="690"/>
      <c r="L4765" s="704"/>
      <c r="M4765" s="170"/>
    </row>
    <row r="4766" spans="2:13" x14ac:dyDescent="0.2">
      <c r="B4766" s="173"/>
      <c r="C4766" s="703"/>
      <c r="D4766" s="690"/>
      <c r="E4766" s="690"/>
      <c r="F4766" s="690"/>
      <c r="G4766" s="690"/>
      <c r="H4766" s="690"/>
      <c r="I4766" s="690"/>
      <c r="J4766" s="690"/>
      <c r="K4766" s="690"/>
      <c r="L4766" s="704"/>
      <c r="M4766" s="170"/>
    </row>
    <row r="4767" spans="2:13" x14ac:dyDescent="0.2">
      <c r="B4767" s="173"/>
      <c r="C4767" s="703"/>
      <c r="D4767" s="690"/>
      <c r="E4767" s="690"/>
      <c r="F4767" s="690"/>
      <c r="G4767" s="690"/>
      <c r="H4767" s="690"/>
      <c r="I4767" s="690"/>
      <c r="J4767" s="690"/>
      <c r="K4767" s="690"/>
      <c r="L4767" s="704"/>
      <c r="M4767" s="170"/>
    </row>
    <row r="4768" spans="2:13" x14ac:dyDescent="0.2">
      <c r="B4768" s="173"/>
      <c r="C4768" s="703"/>
      <c r="D4768" s="690"/>
      <c r="E4768" s="690"/>
      <c r="F4768" s="690"/>
      <c r="G4768" s="690"/>
      <c r="H4768" s="690"/>
      <c r="I4768" s="690"/>
      <c r="J4768" s="690"/>
      <c r="K4768" s="690"/>
      <c r="L4768" s="704"/>
      <c r="M4768" s="170"/>
    </row>
    <row r="4769" spans="2:13" x14ac:dyDescent="0.2">
      <c r="B4769" s="173"/>
      <c r="C4769" s="703"/>
      <c r="D4769" s="690"/>
      <c r="E4769" s="690"/>
      <c r="F4769" s="690"/>
      <c r="G4769" s="690"/>
      <c r="H4769" s="690"/>
      <c r="I4769" s="690"/>
      <c r="J4769" s="690"/>
      <c r="K4769" s="690"/>
      <c r="L4769" s="704"/>
      <c r="M4769" s="170"/>
    </row>
    <row r="4770" spans="2:13" x14ac:dyDescent="0.2">
      <c r="B4770" s="173"/>
      <c r="C4770" s="703"/>
      <c r="D4770" s="690"/>
      <c r="E4770" s="690"/>
      <c r="F4770" s="690"/>
      <c r="G4770" s="690"/>
      <c r="H4770" s="690"/>
      <c r="I4770" s="690"/>
      <c r="J4770" s="690"/>
      <c r="K4770" s="690"/>
      <c r="L4770" s="704"/>
      <c r="M4770" s="170"/>
    </row>
    <row r="4771" spans="2:13" x14ac:dyDescent="0.2">
      <c r="B4771" s="173"/>
      <c r="C4771" s="703"/>
      <c r="D4771" s="690"/>
      <c r="E4771" s="690"/>
      <c r="F4771" s="690"/>
      <c r="G4771" s="690"/>
      <c r="H4771" s="690"/>
      <c r="I4771" s="690"/>
      <c r="J4771" s="690"/>
      <c r="K4771" s="690"/>
      <c r="L4771" s="704"/>
      <c r="M4771" s="170"/>
    </row>
    <row r="4772" spans="2:13" x14ac:dyDescent="0.2">
      <c r="B4772" s="173"/>
      <c r="C4772" s="703"/>
      <c r="D4772" s="690"/>
      <c r="E4772" s="690"/>
      <c r="F4772" s="690"/>
      <c r="G4772" s="690"/>
      <c r="H4772" s="690"/>
      <c r="I4772" s="690"/>
      <c r="J4772" s="690"/>
      <c r="K4772" s="690"/>
      <c r="L4772" s="704"/>
      <c r="M4772" s="170"/>
    </row>
    <row r="4773" spans="2:13" x14ac:dyDescent="0.2">
      <c r="B4773" s="173"/>
      <c r="C4773" s="703"/>
      <c r="D4773" s="690"/>
      <c r="E4773" s="690"/>
      <c r="F4773" s="690"/>
      <c r="G4773" s="690"/>
      <c r="H4773" s="690"/>
      <c r="I4773" s="690"/>
      <c r="J4773" s="690"/>
      <c r="K4773" s="690"/>
      <c r="L4773" s="704"/>
      <c r="M4773" s="170"/>
    </row>
    <row r="4774" spans="2:13" x14ac:dyDescent="0.2">
      <c r="B4774" s="173"/>
      <c r="C4774" s="703"/>
      <c r="D4774" s="690"/>
      <c r="E4774" s="690"/>
      <c r="F4774" s="690"/>
      <c r="G4774" s="690"/>
      <c r="H4774" s="690"/>
      <c r="I4774" s="690"/>
      <c r="J4774" s="690"/>
      <c r="K4774" s="690"/>
      <c r="L4774" s="704"/>
      <c r="M4774" s="170"/>
    </row>
    <row r="4775" spans="2:13" x14ac:dyDescent="0.2">
      <c r="B4775" s="173"/>
      <c r="C4775" s="703"/>
      <c r="D4775" s="690"/>
      <c r="E4775" s="690"/>
      <c r="F4775" s="690"/>
      <c r="G4775" s="690"/>
      <c r="H4775" s="690"/>
      <c r="I4775" s="690"/>
      <c r="J4775" s="690"/>
      <c r="K4775" s="690"/>
      <c r="L4775" s="704"/>
      <c r="M4775" s="170"/>
    </row>
    <row r="4776" spans="2:13" x14ac:dyDescent="0.2">
      <c r="B4776" s="173"/>
      <c r="C4776" s="703"/>
      <c r="D4776" s="690"/>
      <c r="E4776" s="690"/>
      <c r="F4776" s="690"/>
      <c r="G4776" s="690"/>
      <c r="H4776" s="690"/>
      <c r="I4776" s="690"/>
      <c r="J4776" s="690"/>
      <c r="K4776" s="690"/>
      <c r="L4776" s="704"/>
      <c r="M4776" s="170"/>
    </row>
    <row r="4777" spans="2:13" x14ac:dyDescent="0.2">
      <c r="B4777" s="173"/>
      <c r="C4777" s="703"/>
      <c r="D4777" s="690"/>
      <c r="E4777" s="690"/>
      <c r="F4777" s="690"/>
      <c r="G4777" s="690"/>
      <c r="H4777" s="690"/>
      <c r="I4777" s="690"/>
      <c r="J4777" s="690"/>
      <c r="K4777" s="690"/>
      <c r="L4777" s="704"/>
      <c r="M4777" s="170"/>
    </row>
    <row r="4778" spans="2:13" x14ac:dyDescent="0.2">
      <c r="B4778" s="173"/>
      <c r="C4778" s="703"/>
      <c r="D4778" s="690"/>
      <c r="E4778" s="690"/>
      <c r="F4778" s="690"/>
      <c r="G4778" s="690"/>
      <c r="H4778" s="690"/>
      <c r="I4778" s="690"/>
      <c r="J4778" s="690"/>
      <c r="K4778" s="690"/>
      <c r="L4778" s="704"/>
      <c r="M4778" s="170"/>
    </row>
    <row r="4779" spans="2:13" x14ac:dyDescent="0.2">
      <c r="B4779" s="173"/>
      <c r="C4779" s="703"/>
      <c r="D4779" s="690"/>
      <c r="E4779" s="690"/>
      <c r="F4779" s="690"/>
      <c r="G4779" s="690"/>
      <c r="H4779" s="690"/>
      <c r="I4779" s="690"/>
      <c r="J4779" s="690"/>
      <c r="K4779" s="690"/>
      <c r="L4779" s="704"/>
      <c r="M4779" s="170"/>
    </row>
    <row r="4780" spans="2:13" x14ac:dyDescent="0.2">
      <c r="B4780" s="173"/>
      <c r="C4780" s="703"/>
      <c r="D4780" s="690"/>
      <c r="E4780" s="690"/>
      <c r="F4780" s="690"/>
      <c r="G4780" s="690"/>
      <c r="H4780" s="690"/>
      <c r="I4780" s="690"/>
      <c r="J4780" s="690"/>
      <c r="K4780" s="690"/>
      <c r="L4780" s="704"/>
      <c r="M4780" s="170"/>
    </row>
    <row r="4781" spans="2:13" x14ac:dyDescent="0.2">
      <c r="B4781" s="173"/>
      <c r="C4781" s="703"/>
      <c r="D4781" s="690"/>
      <c r="E4781" s="690"/>
      <c r="F4781" s="690"/>
      <c r="G4781" s="690"/>
      <c r="H4781" s="690"/>
      <c r="I4781" s="690"/>
      <c r="J4781" s="690"/>
      <c r="K4781" s="690"/>
      <c r="L4781" s="704"/>
      <c r="M4781" s="170"/>
    </row>
    <row r="4782" spans="2:13" x14ac:dyDescent="0.2">
      <c r="B4782" s="173"/>
      <c r="C4782" s="703"/>
      <c r="D4782" s="690"/>
      <c r="E4782" s="690"/>
      <c r="F4782" s="690"/>
      <c r="G4782" s="690"/>
      <c r="H4782" s="690"/>
      <c r="I4782" s="690"/>
      <c r="J4782" s="690"/>
      <c r="K4782" s="690"/>
      <c r="L4782" s="704"/>
      <c r="M4782" s="170"/>
    </row>
    <row r="4783" spans="2:13" x14ac:dyDescent="0.2">
      <c r="B4783" s="173"/>
      <c r="C4783" s="703"/>
      <c r="D4783" s="690"/>
      <c r="E4783" s="690"/>
      <c r="F4783" s="690"/>
      <c r="G4783" s="690"/>
      <c r="H4783" s="690"/>
      <c r="I4783" s="690"/>
      <c r="J4783" s="690"/>
      <c r="K4783" s="690"/>
      <c r="L4783" s="704"/>
      <c r="M4783" s="170"/>
    </row>
    <row r="4784" spans="2:13" x14ac:dyDescent="0.2">
      <c r="B4784" s="173"/>
      <c r="C4784" s="703"/>
      <c r="D4784" s="690"/>
      <c r="E4784" s="690"/>
      <c r="F4784" s="690"/>
      <c r="G4784" s="690"/>
      <c r="H4784" s="690"/>
      <c r="I4784" s="690"/>
      <c r="J4784" s="690"/>
      <c r="K4784" s="690"/>
      <c r="L4784" s="704"/>
      <c r="M4784" s="170"/>
    </row>
    <row r="4785" spans="2:13" x14ac:dyDescent="0.2">
      <c r="B4785" s="173"/>
      <c r="C4785" s="703"/>
      <c r="D4785" s="690"/>
      <c r="E4785" s="690"/>
      <c r="F4785" s="690"/>
      <c r="G4785" s="690"/>
      <c r="H4785" s="690"/>
      <c r="I4785" s="690"/>
      <c r="J4785" s="690"/>
      <c r="K4785" s="690"/>
      <c r="L4785" s="704"/>
      <c r="M4785" s="170"/>
    </row>
    <row r="4786" spans="2:13" x14ac:dyDescent="0.2">
      <c r="B4786" s="173"/>
      <c r="C4786" s="703"/>
      <c r="D4786" s="690"/>
      <c r="E4786" s="690"/>
      <c r="F4786" s="690"/>
      <c r="G4786" s="690"/>
      <c r="H4786" s="690"/>
      <c r="I4786" s="690"/>
      <c r="J4786" s="690"/>
      <c r="K4786" s="690"/>
      <c r="L4786" s="704"/>
      <c r="M4786" s="170"/>
    </row>
    <row r="4787" spans="2:13" x14ac:dyDescent="0.2">
      <c r="B4787" s="173"/>
      <c r="C4787" s="703"/>
      <c r="D4787" s="690"/>
      <c r="E4787" s="690"/>
      <c r="F4787" s="690"/>
      <c r="G4787" s="690"/>
      <c r="H4787" s="690"/>
      <c r="I4787" s="690"/>
      <c r="J4787" s="690"/>
      <c r="K4787" s="690"/>
      <c r="L4787" s="704"/>
      <c r="M4787" s="170"/>
    </row>
    <row r="4788" spans="2:13" x14ac:dyDescent="0.2">
      <c r="B4788" s="173"/>
      <c r="C4788" s="703"/>
      <c r="D4788" s="690"/>
      <c r="E4788" s="690"/>
      <c r="F4788" s="690"/>
      <c r="G4788" s="690"/>
      <c r="H4788" s="690"/>
      <c r="I4788" s="690"/>
      <c r="J4788" s="690"/>
      <c r="K4788" s="690"/>
      <c r="L4788" s="704"/>
      <c r="M4788" s="170"/>
    </row>
    <row r="4789" spans="2:13" x14ac:dyDescent="0.2">
      <c r="B4789" s="173"/>
      <c r="C4789" s="703"/>
      <c r="D4789" s="690"/>
      <c r="E4789" s="690"/>
      <c r="F4789" s="690"/>
      <c r="G4789" s="690"/>
      <c r="H4789" s="690"/>
      <c r="I4789" s="690"/>
      <c r="J4789" s="690"/>
      <c r="K4789" s="690"/>
      <c r="L4789" s="704"/>
      <c r="M4789" s="170"/>
    </row>
    <row r="4790" spans="2:13" x14ac:dyDescent="0.2">
      <c r="B4790" s="173"/>
      <c r="C4790" s="703"/>
      <c r="D4790" s="690"/>
      <c r="E4790" s="690"/>
      <c r="F4790" s="690"/>
      <c r="G4790" s="690"/>
      <c r="H4790" s="690"/>
      <c r="I4790" s="690"/>
      <c r="J4790" s="690"/>
      <c r="K4790" s="690"/>
      <c r="L4790" s="704"/>
      <c r="M4790" s="170"/>
    </row>
    <row r="4791" spans="2:13" x14ac:dyDescent="0.2">
      <c r="B4791" s="173"/>
      <c r="C4791" s="703"/>
      <c r="D4791" s="690"/>
      <c r="E4791" s="690"/>
      <c r="F4791" s="690"/>
      <c r="G4791" s="690"/>
      <c r="H4791" s="690"/>
      <c r="I4791" s="690"/>
      <c r="J4791" s="690"/>
      <c r="K4791" s="690"/>
      <c r="L4791" s="704"/>
      <c r="M4791" s="170"/>
    </row>
    <row r="4792" spans="2:13" x14ac:dyDescent="0.2">
      <c r="B4792" s="173"/>
      <c r="C4792" s="703"/>
      <c r="D4792" s="690"/>
      <c r="E4792" s="690"/>
      <c r="F4792" s="690"/>
      <c r="G4792" s="690"/>
      <c r="H4792" s="690"/>
      <c r="I4792" s="690"/>
      <c r="J4792" s="690"/>
      <c r="K4792" s="690"/>
      <c r="L4792" s="704"/>
      <c r="M4792" s="170"/>
    </row>
    <row r="4793" spans="2:13" x14ac:dyDescent="0.2">
      <c r="B4793" s="173"/>
      <c r="C4793" s="703"/>
      <c r="D4793" s="690"/>
      <c r="E4793" s="690"/>
      <c r="F4793" s="690"/>
      <c r="G4793" s="690"/>
      <c r="H4793" s="690"/>
      <c r="I4793" s="690"/>
      <c r="J4793" s="690"/>
      <c r="K4793" s="690"/>
      <c r="L4793" s="704"/>
      <c r="M4793" s="170"/>
    </row>
    <row r="4794" spans="2:13" x14ac:dyDescent="0.2">
      <c r="B4794" s="173"/>
      <c r="C4794" s="703"/>
      <c r="D4794" s="690"/>
      <c r="E4794" s="690"/>
      <c r="F4794" s="690"/>
      <c r="G4794" s="690"/>
      <c r="H4794" s="690"/>
      <c r="I4794" s="690"/>
      <c r="J4794" s="690"/>
      <c r="K4794" s="690"/>
      <c r="L4794" s="704"/>
      <c r="M4794" s="170"/>
    </row>
    <row r="4795" spans="2:13" x14ac:dyDescent="0.2">
      <c r="B4795" s="173"/>
      <c r="C4795" s="703"/>
      <c r="D4795" s="690"/>
      <c r="E4795" s="690"/>
      <c r="F4795" s="690"/>
      <c r="G4795" s="690"/>
      <c r="H4795" s="690"/>
      <c r="I4795" s="690"/>
      <c r="J4795" s="690"/>
      <c r="K4795" s="690"/>
      <c r="L4795" s="704"/>
      <c r="M4795" s="170"/>
    </row>
    <row r="4796" spans="2:13" x14ac:dyDescent="0.2">
      <c r="B4796" s="173"/>
      <c r="C4796" s="703"/>
      <c r="D4796" s="690"/>
      <c r="E4796" s="690"/>
      <c r="F4796" s="690"/>
      <c r="G4796" s="690"/>
      <c r="H4796" s="690"/>
      <c r="I4796" s="690"/>
      <c r="J4796" s="690"/>
      <c r="K4796" s="690"/>
      <c r="L4796" s="704"/>
      <c r="M4796" s="170"/>
    </row>
    <row r="4797" spans="2:13" x14ac:dyDescent="0.2">
      <c r="B4797" s="173"/>
      <c r="C4797" s="703"/>
      <c r="D4797" s="690"/>
      <c r="E4797" s="690"/>
      <c r="F4797" s="690"/>
      <c r="G4797" s="690"/>
      <c r="H4797" s="690"/>
      <c r="I4797" s="690"/>
      <c r="J4797" s="690"/>
      <c r="K4797" s="690"/>
      <c r="L4797" s="704"/>
      <c r="M4797" s="170"/>
    </row>
    <row r="4798" spans="2:13" x14ac:dyDescent="0.2">
      <c r="B4798" s="173"/>
      <c r="C4798" s="703"/>
      <c r="D4798" s="690"/>
      <c r="E4798" s="690"/>
      <c r="F4798" s="690"/>
      <c r="G4798" s="690"/>
      <c r="H4798" s="690"/>
      <c r="I4798" s="690"/>
      <c r="J4798" s="690"/>
      <c r="K4798" s="690"/>
      <c r="L4798" s="704"/>
      <c r="M4798" s="170"/>
    </row>
    <row r="4799" spans="2:13" x14ac:dyDescent="0.2">
      <c r="B4799" s="173"/>
      <c r="C4799" s="703"/>
      <c r="D4799" s="690"/>
      <c r="E4799" s="690"/>
      <c r="F4799" s="690"/>
      <c r="G4799" s="690"/>
      <c r="H4799" s="690"/>
      <c r="I4799" s="690"/>
      <c r="J4799" s="690"/>
      <c r="K4799" s="690"/>
      <c r="L4799" s="704"/>
      <c r="M4799" s="170"/>
    </row>
    <row r="4800" spans="2:13" x14ac:dyDescent="0.2">
      <c r="B4800" s="173"/>
      <c r="C4800" s="703"/>
      <c r="D4800" s="690"/>
      <c r="E4800" s="690"/>
      <c r="F4800" s="690"/>
      <c r="G4800" s="690"/>
      <c r="H4800" s="690"/>
      <c r="I4800" s="690"/>
      <c r="J4800" s="690"/>
      <c r="K4800" s="690"/>
      <c r="L4800" s="704"/>
      <c r="M4800" s="170"/>
    </row>
    <row r="4801" spans="2:13" x14ac:dyDescent="0.2">
      <c r="B4801" s="173"/>
      <c r="C4801" s="703"/>
      <c r="D4801" s="690"/>
      <c r="E4801" s="690"/>
      <c r="F4801" s="690"/>
      <c r="G4801" s="690"/>
      <c r="H4801" s="690"/>
      <c r="I4801" s="690"/>
      <c r="J4801" s="690"/>
      <c r="K4801" s="690"/>
      <c r="L4801" s="704"/>
      <c r="M4801" s="170"/>
    </row>
    <row r="4802" spans="2:13" x14ac:dyDescent="0.2">
      <c r="B4802" s="173"/>
      <c r="C4802" s="703"/>
      <c r="D4802" s="690"/>
      <c r="E4802" s="690"/>
      <c r="F4802" s="690"/>
      <c r="G4802" s="690"/>
      <c r="H4802" s="690"/>
      <c r="I4802" s="690"/>
      <c r="J4802" s="690"/>
      <c r="K4802" s="690"/>
      <c r="L4802" s="704"/>
      <c r="M4802" s="170"/>
    </row>
    <row r="4803" spans="2:13" x14ac:dyDescent="0.2">
      <c r="B4803" s="173"/>
      <c r="C4803" s="703"/>
      <c r="D4803" s="690"/>
      <c r="E4803" s="690"/>
      <c r="F4803" s="690"/>
      <c r="G4803" s="690"/>
      <c r="H4803" s="690"/>
      <c r="I4803" s="690"/>
      <c r="J4803" s="690"/>
      <c r="K4803" s="690"/>
      <c r="L4803" s="704"/>
      <c r="M4803" s="170"/>
    </row>
    <row r="4804" spans="2:13" x14ac:dyDescent="0.2">
      <c r="B4804" s="173"/>
      <c r="C4804" s="703"/>
      <c r="D4804" s="690"/>
      <c r="E4804" s="690"/>
      <c r="F4804" s="690"/>
      <c r="G4804" s="690"/>
      <c r="H4804" s="690"/>
      <c r="I4804" s="690"/>
      <c r="J4804" s="690"/>
      <c r="K4804" s="690"/>
      <c r="L4804" s="704"/>
      <c r="M4804" s="170"/>
    </row>
    <row r="4805" spans="2:13" x14ac:dyDescent="0.2">
      <c r="B4805" s="173"/>
      <c r="C4805" s="703"/>
      <c r="D4805" s="690"/>
      <c r="E4805" s="690"/>
      <c r="F4805" s="690"/>
      <c r="G4805" s="690"/>
      <c r="H4805" s="690"/>
      <c r="I4805" s="690"/>
      <c r="J4805" s="690"/>
      <c r="K4805" s="690"/>
      <c r="L4805" s="704"/>
      <c r="M4805" s="170"/>
    </row>
    <row r="4806" spans="2:13" x14ac:dyDescent="0.2">
      <c r="B4806" s="173"/>
      <c r="C4806" s="703"/>
      <c r="D4806" s="690"/>
      <c r="E4806" s="690"/>
      <c r="F4806" s="690"/>
      <c r="G4806" s="690"/>
      <c r="H4806" s="690"/>
      <c r="I4806" s="690"/>
      <c r="J4806" s="690"/>
      <c r="K4806" s="690"/>
      <c r="L4806" s="704"/>
      <c r="M4806" s="170"/>
    </row>
    <row r="4807" spans="2:13" x14ac:dyDescent="0.2">
      <c r="B4807" s="173"/>
      <c r="C4807" s="703"/>
      <c r="D4807" s="690"/>
      <c r="E4807" s="690"/>
      <c r="F4807" s="690"/>
      <c r="G4807" s="690"/>
      <c r="H4807" s="690"/>
      <c r="I4807" s="690"/>
      <c r="J4807" s="690"/>
      <c r="K4807" s="690"/>
      <c r="L4807" s="704"/>
      <c r="M4807" s="170"/>
    </row>
    <row r="4808" spans="2:13" x14ac:dyDescent="0.2">
      <c r="B4808" s="173"/>
      <c r="C4808" s="703"/>
      <c r="D4808" s="690"/>
      <c r="E4808" s="690"/>
      <c r="F4808" s="690"/>
      <c r="G4808" s="690"/>
      <c r="H4808" s="690"/>
      <c r="I4808" s="690"/>
      <c r="J4808" s="690"/>
      <c r="K4808" s="690"/>
      <c r="L4808" s="704"/>
      <c r="M4808" s="170"/>
    </row>
    <row r="4809" spans="2:13" x14ac:dyDescent="0.2">
      <c r="B4809" s="173"/>
      <c r="C4809" s="703"/>
      <c r="D4809" s="690"/>
      <c r="E4809" s="690"/>
      <c r="F4809" s="690"/>
      <c r="G4809" s="690"/>
      <c r="H4809" s="690"/>
      <c r="I4809" s="690"/>
      <c r="J4809" s="690"/>
      <c r="K4809" s="690"/>
      <c r="L4809" s="704"/>
      <c r="M4809" s="170"/>
    </row>
    <row r="4810" spans="2:13" x14ac:dyDescent="0.2">
      <c r="B4810" s="173"/>
      <c r="C4810" s="703"/>
      <c r="D4810" s="690"/>
      <c r="E4810" s="690"/>
      <c r="F4810" s="690"/>
      <c r="G4810" s="690"/>
      <c r="H4810" s="690"/>
      <c r="I4810" s="690"/>
      <c r="J4810" s="690"/>
      <c r="K4810" s="690"/>
      <c r="L4810" s="704"/>
      <c r="M4810" s="170"/>
    </row>
    <row r="4811" spans="2:13" x14ac:dyDescent="0.2">
      <c r="B4811" s="173"/>
      <c r="C4811" s="703"/>
      <c r="D4811" s="690"/>
      <c r="E4811" s="690"/>
      <c r="F4811" s="690"/>
      <c r="G4811" s="690"/>
      <c r="H4811" s="690"/>
      <c r="I4811" s="690"/>
      <c r="J4811" s="690"/>
      <c r="K4811" s="690"/>
      <c r="L4811" s="704"/>
      <c r="M4811" s="170"/>
    </row>
    <row r="4812" spans="2:13" x14ac:dyDescent="0.2">
      <c r="B4812" s="173"/>
      <c r="C4812" s="703"/>
      <c r="D4812" s="690"/>
      <c r="E4812" s="690"/>
      <c r="F4812" s="690"/>
      <c r="G4812" s="690"/>
      <c r="H4812" s="690"/>
      <c r="I4812" s="690"/>
      <c r="J4812" s="690"/>
      <c r="K4812" s="690"/>
      <c r="L4812" s="704"/>
      <c r="M4812" s="170"/>
    </row>
    <row r="4813" spans="2:13" x14ac:dyDescent="0.2">
      <c r="B4813" s="173"/>
      <c r="C4813" s="703"/>
      <c r="D4813" s="690"/>
      <c r="E4813" s="690"/>
      <c r="F4813" s="690"/>
      <c r="G4813" s="690"/>
      <c r="H4813" s="690"/>
      <c r="I4813" s="690"/>
      <c r="J4813" s="690"/>
      <c r="K4813" s="690"/>
      <c r="L4813" s="704"/>
      <c r="M4813" s="170"/>
    </row>
    <row r="4814" spans="2:13" x14ac:dyDescent="0.2">
      <c r="B4814" s="173"/>
      <c r="C4814" s="703"/>
      <c r="D4814" s="690"/>
      <c r="E4814" s="690"/>
      <c r="F4814" s="690"/>
      <c r="G4814" s="690"/>
      <c r="H4814" s="690"/>
      <c r="I4814" s="690"/>
      <c r="J4814" s="690"/>
      <c r="K4814" s="690"/>
      <c r="L4814" s="704"/>
      <c r="M4814" s="170"/>
    </row>
    <row r="4815" spans="2:13" x14ac:dyDescent="0.2">
      <c r="B4815" s="173"/>
      <c r="C4815" s="703"/>
      <c r="D4815" s="690"/>
      <c r="E4815" s="690"/>
      <c r="F4815" s="690"/>
      <c r="G4815" s="690"/>
      <c r="H4815" s="690"/>
      <c r="I4815" s="690"/>
      <c r="J4815" s="690"/>
      <c r="K4815" s="690"/>
      <c r="L4815" s="704"/>
      <c r="M4815" s="170"/>
    </row>
    <row r="4816" spans="2:13" x14ac:dyDescent="0.2">
      <c r="B4816" s="173"/>
      <c r="C4816" s="703"/>
      <c r="D4816" s="690"/>
      <c r="E4816" s="690"/>
      <c r="F4816" s="690"/>
      <c r="G4816" s="690"/>
      <c r="H4816" s="690"/>
      <c r="I4816" s="690"/>
      <c r="J4816" s="690"/>
      <c r="K4816" s="690"/>
      <c r="L4816" s="704"/>
      <c r="M4816" s="170"/>
    </row>
    <row r="4817" spans="2:13" x14ac:dyDescent="0.2">
      <c r="B4817" s="173"/>
      <c r="C4817" s="703"/>
      <c r="D4817" s="690"/>
      <c r="E4817" s="690"/>
      <c r="F4817" s="690"/>
      <c r="G4817" s="690"/>
      <c r="H4817" s="690"/>
      <c r="I4817" s="690"/>
      <c r="J4817" s="690"/>
      <c r="K4817" s="690"/>
      <c r="L4817" s="704"/>
      <c r="M4817" s="170"/>
    </row>
    <row r="4818" spans="2:13" x14ac:dyDescent="0.2">
      <c r="B4818" s="173"/>
      <c r="C4818" s="703"/>
      <c r="D4818" s="690"/>
      <c r="E4818" s="690"/>
      <c r="F4818" s="690"/>
      <c r="G4818" s="690"/>
      <c r="H4818" s="690"/>
      <c r="I4818" s="690"/>
      <c r="J4818" s="690"/>
      <c r="K4818" s="690"/>
      <c r="L4818" s="704"/>
      <c r="M4818" s="170"/>
    </row>
    <row r="4819" spans="2:13" x14ac:dyDescent="0.2">
      <c r="B4819" s="173"/>
      <c r="C4819" s="703"/>
      <c r="D4819" s="690"/>
      <c r="E4819" s="690"/>
      <c r="F4819" s="690"/>
      <c r="G4819" s="690"/>
      <c r="H4819" s="690"/>
      <c r="I4819" s="690"/>
      <c r="J4819" s="690"/>
      <c r="K4819" s="690"/>
      <c r="L4819" s="704"/>
      <c r="M4819" s="170"/>
    </row>
    <row r="4820" spans="2:13" x14ac:dyDescent="0.2">
      <c r="B4820" s="173"/>
      <c r="C4820" s="703"/>
      <c r="D4820" s="690"/>
      <c r="E4820" s="690"/>
      <c r="F4820" s="690"/>
      <c r="G4820" s="690"/>
      <c r="H4820" s="690"/>
      <c r="I4820" s="690"/>
      <c r="J4820" s="690"/>
      <c r="K4820" s="690"/>
      <c r="L4820" s="704"/>
      <c r="M4820" s="170"/>
    </row>
    <row r="4821" spans="2:13" x14ac:dyDescent="0.2">
      <c r="B4821" s="173"/>
      <c r="C4821" s="703"/>
      <c r="D4821" s="690"/>
      <c r="E4821" s="690"/>
      <c r="F4821" s="690"/>
      <c r="G4821" s="690"/>
      <c r="H4821" s="690"/>
      <c r="I4821" s="690"/>
      <c r="J4821" s="690"/>
      <c r="K4821" s="690"/>
      <c r="L4821" s="704"/>
      <c r="M4821" s="170"/>
    </row>
    <row r="4822" spans="2:13" x14ac:dyDescent="0.2">
      <c r="B4822" s="173"/>
      <c r="C4822" s="703"/>
      <c r="D4822" s="690"/>
      <c r="E4822" s="690"/>
      <c r="F4822" s="690"/>
      <c r="G4822" s="690"/>
      <c r="H4822" s="690"/>
      <c r="I4822" s="690"/>
      <c r="J4822" s="690"/>
      <c r="K4822" s="690"/>
      <c r="L4822" s="704"/>
      <c r="M4822" s="170"/>
    </row>
    <row r="4823" spans="2:13" x14ac:dyDescent="0.2">
      <c r="B4823" s="173"/>
      <c r="C4823" s="703"/>
      <c r="D4823" s="690"/>
      <c r="E4823" s="690"/>
      <c r="F4823" s="690"/>
      <c r="G4823" s="690"/>
      <c r="H4823" s="690"/>
      <c r="I4823" s="690"/>
      <c r="J4823" s="690"/>
      <c r="K4823" s="690"/>
      <c r="L4823" s="704"/>
      <c r="M4823" s="170"/>
    </row>
    <row r="4824" spans="2:13" x14ac:dyDescent="0.2">
      <c r="B4824" s="173"/>
      <c r="C4824" s="703"/>
      <c r="D4824" s="690"/>
      <c r="E4824" s="690"/>
      <c r="F4824" s="690"/>
      <c r="G4824" s="690"/>
      <c r="H4824" s="690"/>
      <c r="I4824" s="690"/>
      <c r="J4824" s="690"/>
      <c r="K4824" s="690"/>
      <c r="L4824" s="704"/>
      <c r="M4824" s="170"/>
    </row>
    <row r="4825" spans="2:13" x14ac:dyDescent="0.2">
      <c r="B4825" s="173"/>
      <c r="C4825" s="703"/>
      <c r="D4825" s="690"/>
      <c r="E4825" s="690"/>
      <c r="F4825" s="690"/>
      <c r="G4825" s="690"/>
      <c r="H4825" s="690"/>
      <c r="I4825" s="690"/>
      <c r="J4825" s="690"/>
      <c r="K4825" s="690"/>
      <c r="L4825" s="704"/>
      <c r="M4825" s="170"/>
    </row>
    <row r="4826" spans="2:13" x14ac:dyDescent="0.2">
      <c r="B4826" s="173"/>
      <c r="C4826" s="703"/>
      <c r="D4826" s="690"/>
      <c r="E4826" s="690"/>
      <c r="F4826" s="690"/>
      <c r="G4826" s="690"/>
      <c r="H4826" s="690"/>
      <c r="I4826" s="690"/>
      <c r="J4826" s="690"/>
      <c r="K4826" s="690"/>
      <c r="L4826" s="704"/>
      <c r="M4826" s="170"/>
    </row>
    <row r="4827" spans="2:13" x14ac:dyDescent="0.2">
      <c r="B4827" s="173"/>
      <c r="C4827" s="703"/>
      <c r="D4827" s="690"/>
      <c r="E4827" s="690"/>
      <c r="F4827" s="690"/>
      <c r="G4827" s="690"/>
      <c r="H4827" s="690"/>
      <c r="I4827" s="690"/>
      <c r="J4827" s="690"/>
      <c r="K4827" s="690"/>
      <c r="L4827" s="704"/>
      <c r="M4827" s="170"/>
    </row>
    <row r="4828" spans="2:13" x14ac:dyDescent="0.2">
      <c r="B4828" s="173"/>
      <c r="C4828" s="703"/>
      <c r="D4828" s="690"/>
      <c r="E4828" s="690"/>
      <c r="F4828" s="690"/>
      <c r="G4828" s="690"/>
      <c r="H4828" s="690"/>
      <c r="I4828" s="690"/>
      <c r="J4828" s="690"/>
      <c r="K4828" s="690"/>
      <c r="L4828" s="704"/>
      <c r="M4828" s="170"/>
    </row>
    <row r="4829" spans="2:13" x14ac:dyDescent="0.2">
      <c r="B4829" s="173"/>
      <c r="C4829" s="703"/>
      <c r="D4829" s="690"/>
      <c r="E4829" s="690"/>
      <c r="F4829" s="690"/>
      <c r="G4829" s="690"/>
      <c r="H4829" s="690"/>
      <c r="I4829" s="690"/>
      <c r="J4829" s="690"/>
      <c r="K4829" s="690"/>
      <c r="L4829" s="704"/>
      <c r="M4829" s="170"/>
    </row>
    <row r="4830" spans="2:13" x14ac:dyDescent="0.2">
      <c r="B4830" s="173"/>
      <c r="C4830" s="703"/>
      <c r="D4830" s="690"/>
      <c r="E4830" s="690"/>
      <c r="F4830" s="690"/>
      <c r="G4830" s="690"/>
      <c r="H4830" s="690"/>
      <c r="I4830" s="690"/>
      <c r="J4830" s="690"/>
      <c r="K4830" s="690"/>
      <c r="L4830" s="704"/>
      <c r="M4830" s="170"/>
    </row>
    <row r="4831" spans="2:13" x14ac:dyDescent="0.2">
      <c r="B4831" s="173"/>
      <c r="C4831" s="703"/>
      <c r="D4831" s="690"/>
      <c r="E4831" s="690"/>
      <c r="F4831" s="690"/>
      <c r="G4831" s="690"/>
      <c r="H4831" s="690"/>
      <c r="I4831" s="690"/>
      <c r="J4831" s="690"/>
      <c r="K4831" s="690"/>
      <c r="L4831" s="704"/>
      <c r="M4831" s="170"/>
    </row>
    <row r="4832" spans="2:13" x14ac:dyDescent="0.2">
      <c r="B4832" s="173"/>
      <c r="C4832" s="703"/>
      <c r="D4832" s="690"/>
      <c r="E4832" s="690"/>
      <c r="F4832" s="690"/>
      <c r="G4832" s="690"/>
      <c r="H4832" s="690"/>
      <c r="I4832" s="690"/>
      <c r="J4832" s="690"/>
      <c r="K4832" s="690"/>
      <c r="L4832" s="704"/>
      <c r="M4832" s="170"/>
    </row>
    <row r="4833" spans="2:13" x14ac:dyDescent="0.2">
      <c r="B4833" s="173"/>
      <c r="C4833" s="703"/>
      <c r="D4833" s="690"/>
      <c r="E4833" s="690"/>
      <c r="F4833" s="690"/>
      <c r="G4833" s="690"/>
      <c r="H4833" s="690"/>
      <c r="I4833" s="690"/>
      <c r="J4833" s="690"/>
      <c r="K4833" s="690"/>
      <c r="L4833" s="704"/>
      <c r="M4833" s="170"/>
    </row>
    <row r="4834" spans="2:13" x14ac:dyDescent="0.2">
      <c r="B4834" s="173"/>
      <c r="C4834" s="703"/>
      <c r="D4834" s="690"/>
      <c r="E4834" s="690"/>
      <c r="F4834" s="690"/>
      <c r="G4834" s="690"/>
      <c r="H4834" s="690"/>
      <c r="I4834" s="690"/>
      <c r="J4834" s="690"/>
      <c r="K4834" s="690"/>
      <c r="L4834" s="704"/>
      <c r="M4834" s="170"/>
    </row>
    <row r="4835" spans="2:13" x14ac:dyDescent="0.2">
      <c r="B4835" s="173"/>
      <c r="C4835" s="703"/>
      <c r="D4835" s="690"/>
      <c r="E4835" s="690"/>
      <c r="F4835" s="690"/>
      <c r="G4835" s="690"/>
      <c r="H4835" s="690"/>
      <c r="I4835" s="690"/>
      <c r="J4835" s="690"/>
      <c r="K4835" s="690"/>
      <c r="L4835" s="704"/>
      <c r="M4835" s="170"/>
    </row>
    <row r="4836" spans="2:13" x14ac:dyDescent="0.2">
      <c r="B4836" s="173"/>
      <c r="C4836" s="703"/>
      <c r="D4836" s="690"/>
      <c r="E4836" s="690"/>
      <c r="F4836" s="690"/>
      <c r="G4836" s="690"/>
      <c r="H4836" s="690"/>
      <c r="I4836" s="690"/>
      <c r="J4836" s="690"/>
      <c r="K4836" s="690"/>
      <c r="L4836" s="704"/>
      <c r="M4836" s="170"/>
    </row>
    <row r="4837" spans="2:13" x14ac:dyDescent="0.2">
      <c r="B4837" s="173"/>
      <c r="C4837" s="703"/>
      <c r="D4837" s="690"/>
      <c r="E4837" s="690"/>
      <c r="F4837" s="690"/>
      <c r="G4837" s="690"/>
      <c r="H4837" s="690"/>
      <c r="I4837" s="690"/>
      <c r="J4837" s="690"/>
      <c r="K4837" s="690"/>
      <c r="L4837" s="704"/>
      <c r="M4837" s="170"/>
    </row>
    <row r="4838" spans="2:13" x14ac:dyDescent="0.2">
      <c r="B4838" s="173"/>
      <c r="C4838" s="703"/>
      <c r="D4838" s="690"/>
      <c r="E4838" s="690"/>
      <c r="F4838" s="690"/>
      <c r="G4838" s="690"/>
      <c r="H4838" s="690"/>
      <c r="I4838" s="690"/>
      <c r="J4838" s="690"/>
      <c r="K4838" s="690"/>
      <c r="L4838" s="704"/>
      <c r="M4838" s="170"/>
    </row>
    <row r="4839" spans="2:13" x14ac:dyDescent="0.2">
      <c r="B4839" s="173"/>
      <c r="C4839" s="703"/>
      <c r="D4839" s="690"/>
      <c r="E4839" s="690"/>
      <c r="F4839" s="690"/>
      <c r="G4839" s="690"/>
      <c r="H4839" s="690"/>
      <c r="I4839" s="690"/>
      <c r="J4839" s="690"/>
      <c r="K4839" s="690"/>
      <c r="L4839" s="704"/>
      <c r="M4839" s="170"/>
    </row>
    <row r="4840" spans="2:13" x14ac:dyDescent="0.2">
      <c r="B4840" s="173"/>
      <c r="C4840" s="703"/>
      <c r="D4840" s="690"/>
      <c r="E4840" s="690"/>
      <c r="F4840" s="690"/>
      <c r="G4840" s="690"/>
      <c r="H4840" s="690"/>
      <c r="I4840" s="690"/>
      <c r="J4840" s="690"/>
      <c r="K4840" s="690"/>
      <c r="L4840" s="704"/>
      <c r="M4840" s="170"/>
    </row>
    <row r="4841" spans="2:13" x14ac:dyDescent="0.2">
      <c r="B4841" s="173"/>
      <c r="C4841" s="703"/>
      <c r="D4841" s="690"/>
      <c r="E4841" s="690"/>
      <c r="F4841" s="690"/>
      <c r="G4841" s="690"/>
      <c r="H4841" s="690"/>
      <c r="I4841" s="690"/>
      <c r="J4841" s="690"/>
      <c r="K4841" s="690"/>
      <c r="L4841" s="704"/>
      <c r="M4841" s="170"/>
    </row>
    <row r="4842" spans="2:13" x14ac:dyDescent="0.2">
      <c r="B4842" s="173"/>
      <c r="C4842" s="703"/>
      <c r="D4842" s="690"/>
      <c r="E4842" s="690"/>
      <c r="F4842" s="690"/>
      <c r="G4842" s="690"/>
      <c r="H4842" s="690"/>
      <c r="I4842" s="690"/>
      <c r="J4842" s="690"/>
      <c r="K4842" s="690"/>
      <c r="L4842" s="704"/>
      <c r="M4842" s="170"/>
    </row>
    <row r="4843" spans="2:13" x14ac:dyDescent="0.2">
      <c r="B4843" s="173"/>
      <c r="C4843" s="703"/>
      <c r="D4843" s="690"/>
      <c r="E4843" s="690"/>
      <c r="F4843" s="690"/>
      <c r="G4843" s="690"/>
      <c r="H4843" s="690"/>
      <c r="I4843" s="690"/>
      <c r="J4843" s="690"/>
      <c r="K4843" s="690"/>
      <c r="L4843" s="704"/>
      <c r="M4843" s="170"/>
    </row>
    <row r="4844" spans="2:13" x14ac:dyDescent="0.2">
      <c r="B4844" s="173"/>
      <c r="C4844" s="703"/>
      <c r="D4844" s="690"/>
      <c r="E4844" s="690"/>
      <c r="F4844" s="690"/>
      <c r="G4844" s="690"/>
      <c r="H4844" s="690"/>
      <c r="I4844" s="690"/>
      <c r="J4844" s="690"/>
      <c r="K4844" s="690"/>
      <c r="L4844" s="704"/>
      <c r="M4844" s="170"/>
    </row>
    <row r="4845" spans="2:13" x14ac:dyDescent="0.2">
      <c r="B4845" s="173"/>
      <c r="C4845" s="703"/>
      <c r="D4845" s="690"/>
      <c r="E4845" s="690"/>
      <c r="F4845" s="690"/>
      <c r="G4845" s="690"/>
      <c r="H4845" s="690"/>
      <c r="I4845" s="690"/>
      <c r="J4845" s="690"/>
      <c r="K4845" s="690"/>
      <c r="L4845" s="704"/>
      <c r="M4845" s="170"/>
    </row>
    <row r="4846" spans="2:13" x14ac:dyDescent="0.2">
      <c r="B4846" s="173"/>
      <c r="C4846" s="703"/>
      <c r="D4846" s="690"/>
      <c r="E4846" s="690"/>
      <c r="F4846" s="690"/>
      <c r="G4846" s="690"/>
      <c r="H4846" s="690"/>
      <c r="I4846" s="690"/>
      <c r="J4846" s="690"/>
      <c r="K4846" s="690"/>
      <c r="L4846" s="704"/>
      <c r="M4846" s="170"/>
    </row>
    <row r="4847" spans="2:13" x14ac:dyDescent="0.2">
      <c r="B4847" s="173"/>
      <c r="C4847" s="703"/>
      <c r="D4847" s="690"/>
      <c r="E4847" s="690"/>
      <c r="F4847" s="690"/>
      <c r="G4847" s="690"/>
      <c r="H4847" s="690"/>
      <c r="I4847" s="690"/>
      <c r="J4847" s="690"/>
      <c r="K4847" s="690"/>
      <c r="L4847" s="704"/>
      <c r="M4847" s="170"/>
    </row>
    <row r="4848" spans="2:13" x14ac:dyDescent="0.2">
      <c r="B4848" s="173"/>
      <c r="C4848" s="703"/>
      <c r="D4848" s="690"/>
      <c r="E4848" s="690"/>
      <c r="F4848" s="690"/>
      <c r="G4848" s="690"/>
      <c r="H4848" s="690"/>
      <c r="I4848" s="690"/>
      <c r="J4848" s="690"/>
      <c r="K4848" s="690"/>
      <c r="L4848" s="704"/>
      <c r="M4848" s="170"/>
    </row>
    <row r="4849" spans="2:13" x14ac:dyDescent="0.2">
      <c r="B4849" s="173"/>
      <c r="C4849" s="703"/>
      <c r="D4849" s="690"/>
      <c r="E4849" s="690"/>
      <c r="F4849" s="690"/>
      <c r="G4849" s="690"/>
      <c r="H4849" s="690"/>
      <c r="I4849" s="690"/>
      <c r="J4849" s="690"/>
      <c r="K4849" s="690"/>
      <c r="L4849" s="704"/>
      <c r="M4849" s="170"/>
    </row>
    <row r="4850" spans="2:13" x14ac:dyDescent="0.2">
      <c r="B4850" s="173"/>
      <c r="C4850" s="703"/>
      <c r="D4850" s="690"/>
      <c r="E4850" s="690"/>
      <c r="F4850" s="690"/>
      <c r="G4850" s="690"/>
      <c r="H4850" s="690"/>
      <c r="I4850" s="690"/>
      <c r="J4850" s="690"/>
      <c r="K4850" s="690"/>
      <c r="L4850" s="704"/>
      <c r="M4850" s="170"/>
    </row>
    <row r="4851" spans="2:13" x14ac:dyDescent="0.2">
      <c r="B4851" s="173"/>
      <c r="C4851" s="703"/>
      <c r="D4851" s="690"/>
      <c r="E4851" s="690"/>
      <c r="F4851" s="690"/>
      <c r="G4851" s="690"/>
      <c r="H4851" s="690"/>
      <c r="I4851" s="690"/>
      <c r="J4851" s="690"/>
      <c r="K4851" s="690"/>
      <c r="L4851" s="704"/>
      <c r="M4851" s="170"/>
    </row>
    <row r="4852" spans="2:13" x14ac:dyDescent="0.2">
      <c r="B4852" s="173"/>
      <c r="C4852" s="703"/>
      <c r="D4852" s="690"/>
      <c r="E4852" s="690"/>
      <c r="F4852" s="690"/>
      <c r="G4852" s="690"/>
      <c r="H4852" s="690"/>
      <c r="I4852" s="690"/>
      <c r="J4852" s="690"/>
      <c r="K4852" s="690"/>
      <c r="L4852" s="704"/>
      <c r="M4852" s="170"/>
    </row>
    <row r="4853" spans="2:13" x14ac:dyDescent="0.2">
      <c r="B4853" s="173"/>
      <c r="C4853" s="703"/>
      <c r="D4853" s="690"/>
      <c r="E4853" s="690"/>
      <c r="F4853" s="690"/>
      <c r="G4853" s="690"/>
      <c r="H4853" s="690"/>
      <c r="I4853" s="690"/>
      <c r="J4853" s="690"/>
      <c r="K4853" s="690"/>
      <c r="L4853" s="704"/>
      <c r="M4853" s="170"/>
    </row>
    <row r="4854" spans="2:13" x14ac:dyDescent="0.2">
      <c r="B4854" s="173"/>
      <c r="C4854" s="703"/>
      <c r="D4854" s="690"/>
      <c r="E4854" s="690"/>
      <c r="F4854" s="690"/>
      <c r="G4854" s="690"/>
      <c r="H4854" s="690"/>
      <c r="I4854" s="690"/>
      <c r="J4854" s="690"/>
      <c r="K4854" s="690"/>
      <c r="L4854" s="704"/>
      <c r="M4854" s="170"/>
    </row>
    <row r="4855" spans="2:13" x14ac:dyDescent="0.2">
      <c r="B4855" s="173"/>
      <c r="C4855" s="703"/>
      <c r="D4855" s="690"/>
      <c r="E4855" s="690"/>
      <c r="F4855" s="690"/>
      <c r="G4855" s="690"/>
      <c r="H4855" s="690"/>
      <c r="I4855" s="690"/>
      <c r="J4855" s="690"/>
      <c r="K4855" s="690"/>
      <c r="L4855" s="704"/>
      <c r="M4855" s="170"/>
    </row>
    <row r="4856" spans="2:13" x14ac:dyDescent="0.2">
      <c r="B4856" s="173"/>
      <c r="C4856" s="703"/>
      <c r="D4856" s="690"/>
      <c r="E4856" s="690"/>
      <c r="F4856" s="690"/>
      <c r="G4856" s="690"/>
      <c r="H4856" s="690"/>
      <c r="I4856" s="690"/>
      <c r="J4856" s="690"/>
      <c r="K4856" s="690"/>
      <c r="L4856" s="704"/>
      <c r="M4856" s="170"/>
    </row>
    <row r="4857" spans="2:13" x14ac:dyDescent="0.2">
      <c r="B4857" s="173"/>
      <c r="C4857" s="703"/>
      <c r="D4857" s="690"/>
      <c r="E4857" s="690"/>
      <c r="F4857" s="690"/>
      <c r="G4857" s="690"/>
      <c r="H4857" s="690"/>
      <c r="I4857" s="690"/>
      <c r="J4857" s="690"/>
      <c r="K4857" s="690"/>
      <c r="L4857" s="704"/>
      <c r="M4857" s="170"/>
    </row>
    <row r="4858" spans="2:13" x14ac:dyDescent="0.2">
      <c r="B4858" s="173"/>
      <c r="C4858" s="703"/>
      <c r="D4858" s="690"/>
      <c r="E4858" s="690"/>
      <c r="F4858" s="690"/>
      <c r="G4858" s="690"/>
      <c r="H4858" s="690"/>
      <c r="I4858" s="690"/>
      <c r="J4858" s="690"/>
      <c r="K4858" s="690"/>
      <c r="L4858" s="704"/>
      <c r="M4858" s="170"/>
    </row>
    <row r="4859" spans="2:13" x14ac:dyDescent="0.2">
      <c r="B4859" s="173"/>
      <c r="C4859" s="703"/>
      <c r="D4859" s="690"/>
      <c r="E4859" s="690"/>
      <c r="F4859" s="690"/>
      <c r="G4859" s="690"/>
      <c r="H4859" s="690"/>
      <c r="I4859" s="690"/>
      <c r="J4859" s="690"/>
      <c r="K4859" s="690"/>
      <c r="L4859" s="704"/>
      <c r="M4859" s="170"/>
    </row>
    <row r="4860" spans="2:13" x14ac:dyDescent="0.2">
      <c r="B4860" s="173"/>
      <c r="C4860" s="703"/>
      <c r="D4860" s="690"/>
      <c r="E4860" s="690"/>
      <c r="F4860" s="690"/>
      <c r="G4860" s="690"/>
      <c r="H4860" s="690"/>
      <c r="I4860" s="690"/>
      <c r="J4860" s="690"/>
      <c r="K4860" s="690"/>
      <c r="L4860" s="704"/>
      <c r="M4860" s="170"/>
    </row>
    <row r="4861" spans="2:13" x14ac:dyDescent="0.2">
      <c r="B4861" s="173"/>
      <c r="C4861" s="703"/>
      <c r="D4861" s="690"/>
      <c r="E4861" s="690"/>
      <c r="F4861" s="690"/>
      <c r="G4861" s="690"/>
      <c r="H4861" s="690"/>
      <c r="I4861" s="690"/>
      <c r="J4861" s="690"/>
      <c r="K4861" s="690"/>
      <c r="L4861" s="704"/>
      <c r="M4861" s="170"/>
    </row>
    <row r="4862" spans="2:13" x14ac:dyDescent="0.2">
      <c r="B4862" s="173"/>
      <c r="C4862" s="703"/>
      <c r="D4862" s="690"/>
      <c r="E4862" s="690"/>
      <c r="F4862" s="690"/>
      <c r="G4862" s="690"/>
      <c r="H4862" s="690"/>
      <c r="I4862" s="690"/>
      <c r="J4862" s="690"/>
      <c r="K4862" s="690"/>
      <c r="L4862" s="704"/>
      <c r="M4862" s="170"/>
    </row>
    <row r="4863" spans="2:13" x14ac:dyDescent="0.2">
      <c r="B4863" s="173"/>
      <c r="C4863" s="703"/>
      <c r="D4863" s="690"/>
      <c r="E4863" s="690"/>
      <c r="F4863" s="690"/>
      <c r="G4863" s="690"/>
      <c r="H4863" s="690"/>
      <c r="I4863" s="690"/>
      <c r="J4863" s="690"/>
      <c r="K4863" s="690"/>
      <c r="L4863" s="704"/>
      <c r="M4863" s="170"/>
    </row>
    <row r="4864" spans="2:13" x14ac:dyDescent="0.2">
      <c r="B4864" s="173"/>
      <c r="C4864" s="703"/>
      <c r="D4864" s="690"/>
      <c r="E4864" s="690"/>
      <c r="F4864" s="690"/>
      <c r="G4864" s="690"/>
      <c r="H4864" s="690"/>
      <c r="I4864" s="690"/>
      <c r="J4864" s="690"/>
      <c r="K4864" s="690"/>
      <c r="L4864" s="704"/>
      <c r="M4864" s="170"/>
    </row>
    <row r="4865" spans="2:13" x14ac:dyDescent="0.2">
      <c r="B4865" s="173"/>
      <c r="C4865" s="703"/>
      <c r="D4865" s="690"/>
      <c r="E4865" s="690"/>
      <c r="F4865" s="690"/>
      <c r="G4865" s="690"/>
      <c r="H4865" s="690"/>
      <c r="I4865" s="690"/>
      <c r="J4865" s="690"/>
      <c r="K4865" s="690"/>
      <c r="L4865" s="704"/>
      <c r="M4865" s="170"/>
    </row>
    <row r="4866" spans="2:13" x14ac:dyDescent="0.2">
      <c r="B4866" s="173"/>
      <c r="C4866" s="703"/>
      <c r="D4866" s="690"/>
      <c r="E4866" s="690"/>
      <c r="F4866" s="690"/>
      <c r="G4866" s="690"/>
      <c r="H4866" s="690"/>
      <c r="I4866" s="690"/>
      <c r="J4866" s="690"/>
      <c r="K4866" s="690"/>
      <c r="L4866" s="704"/>
      <c r="M4866" s="170"/>
    </row>
    <row r="4867" spans="2:13" x14ac:dyDescent="0.2">
      <c r="B4867" s="173"/>
      <c r="C4867" s="703"/>
      <c r="D4867" s="690"/>
      <c r="E4867" s="690"/>
      <c r="F4867" s="690"/>
      <c r="G4867" s="690"/>
      <c r="H4867" s="690"/>
      <c r="I4867" s="690"/>
      <c r="J4867" s="690"/>
      <c r="K4867" s="690"/>
      <c r="L4867" s="704"/>
      <c r="M4867" s="170"/>
    </row>
    <row r="4868" spans="2:13" x14ac:dyDescent="0.2">
      <c r="B4868" s="173"/>
      <c r="C4868" s="703"/>
      <c r="D4868" s="690"/>
      <c r="E4868" s="690"/>
      <c r="F4868" s="690"/>
      <c r="G4868" s="690"/>
      <c r="H4868" s="690"/>
      <c r="I4868" s="690"/>
      <c r="J4868" s="690"/>
      <c r="K4868" s="690"/>
      <c r="L4868" s="704"/>
      <c r="M4868" s="170"/>
    </row>
    <row r="4869" spans="2:13" x14ac:dyDescent="0.2">
      <c r="B4869" s="173"/>
      <c r="C4869" s="703"/>
      <c r="D4869" s="690"/>
      <c r="E4869" s="690"/>
      <c r="F4869" s="690"/>
      <c r="G4869" s="690"/>
      <c r="H4869" s="690"/>
      <c r="I4869" s="690"/>
      <c r="J4869" s="690"/>
      <c r="K4869" s="690"/>
      <c r="L4869" s="704"/>
      <c r="M4869" s="170"/>
    </row>
    <row r="4870" spans="2:13" x14ac:dyDescent="0.2">
      <c r="B4870" s="173"/>
      <c r="C4870" s="703"/>
      <c r="D4870" s="690"/>
      <c r="E4870" s="690"/>
      <c r="F4870" s="690"/>
      <c r="G4870" s="690"/>
      <c r="H4870" s="690"/>
      <c r="I4870" s="690"/>
      <c r="J4870" s="690"/>
      <c r="K4870" s="690"/>
      <c r="L4870" s="704"/>
      <c r="M4870" s="170"/>
    </row>
    <row r="4871" spans="2:13" x14ac:dyDescent="0.2">
      <c r="B4871" s="173"/>
      <c r="C4871" s="703"/>
      <c r="D4871" s="690"/>
      <c r="E4871" s="690"/>
      <c r="F4871" s="690"/>
      <c r="G4871" s="690"/>
      <c r="H4871" s="690"/>
      <c r="I4871" s="690"/>
      <c r="J4871" s="690"/>
      <c r="K4871" s="690"/>
      <c r="L4871" s="704"/>
      <c r="M4871" s="170"/>
    </row>
    <row r="4872" spans="2:13" x14ac:dyDescent="0.2">
      <c r="B4872" s="173"/>
      <c r="C4872" s="703"/>
      <c r="D4872" s="690"/>
      <c r="E4872" s="690"/>
      <c r="F4872" s="690"/>
      <c r="G4872" s="690"/>
      <c r="H4872" s="690"/>
      <c r="I4872" s="690"/>
      <c r="J4872" s="690"/>
      <c r="K4872" s="690"/>
      <c r="L4872" s="704"/>
      <c r="M4872" s="170"/>
    </row>
    <row r="4873" spans="2:13" x14ac:dyDescent="0.2">
      <c r="B4873" s="173"/>
      <c r="C4873" s="703"/>
      <c r="D4873" s="690"/>
      <c r="E4873" s="690"/>
      <c r="F4873" s="690"/>
      <c r="G4873" s="690"/>
      <c r="H4873" s="690"/>
      <c r="I4873" s="690"/>
      <c r="J4873" s="690"/>
      <c r="K4873" s="690"/>
      <c r="L4873" s="704"/>
      <c r="M4873" s="170"/>
    </row>
    <row r="4874" spans="2:13" x14ac:dyDescent="0.2">
      <c r="B4874" s="173"/>
      <c r="C4874" s="703"/>
      <c r="D4874" s="690"/>
      <c r="E4874" s="690"/>
      <c r="F4874" s="690"/>
      <c r="G4874" s="690"/>
      <c r="H4874" s="690"/>
      <c r="I4874" s="690"/>
      <c r="J4874" s="690"/>
      <c r="K4874" s="690"/>
      <c r="L4874" s="704"/>
      <c r="M4874" s="170"/>
    </row>
    <row r="4875" spans="2:13" x14ac:dyDescent="0.2">
      <c r="B4875" s="173"/>
      <c r="C4875" s="703"/>
      <c r="D4875" s="690"/>
      <c r="E4875" s="690"/>
      <c r="F4875" s="690"/>
      <c r="G4875" s="690"/>
      <c r="H4875" s="690"/>
      <c r="I4875" s="690"/>
      <c r="J4875" s="690"/>
      <c r="K4875" s="690"/>
      <c r="L4875" s="704"/>
      <c r="M4875" s="170"/>
    </row>
    <row r="4876" spans="2:13" x14ac:dyDescent="0.2">
      <c r="B4876" s="173"/>
      <c r="C4876" s="703"/>
      <c r="D4876" s="690"/>
      <c r="E4876" s="690"/>
      <c r="F4876" s="690"/>
      <c r="G4876" s="690"/>
      <c r="H4876" s="690"/>
      <c r="I4876" s="690"/>
      <c r="J4876" s="690"/>
      <c r="K4876" s="690"/>
      <c r="L4876" s="704"/>
      <c r="M4876" s="170"/>
    </row>
    <row r="4877" spans="2:13" x14ac:dyDescent="0.2">
      <c r="B4877" s="173"/>
      <c r="C4877" s="703"/>
      <c r="D4877" s="690"/>
      <c r="E4877" s="690"/>
      <c r="F4877" s="690"/>
      <c r="G4877" s="690"/>
      <c r="H4877" s="690"/>
      <c r="I4877" s="690"/>
      <c r="J4877" s="690"/>
      <c r="K4877" s="690"/>
      <c r="L4877" s="704"/>
      <c r="M4877" s="170"/>
    </row>
    <row r="4878" spans="2:13" x14ac:dyDescent="0.2">
      <c r="B4878" s="173"/>
      <c r="C4878" s="703"/>
      <c r="D4878" s="690"/>
      <c r="E4878" s="690"/>
      <c r="F4878" s="690"/>
      <c r="G4878" s="690"/>
      <c r="H4878" s="690"/>
      <c r="I4878" s="690"/>
      <c r="J4878" s="690"/>
      <c r="K4878" s="690"/>
      <c r="L4878" s="704"/>
      <c r="M4878" s="170"/>
    </row>
    <row r="4879" spans="2:13" x14ac:dyDescent="0.2">
      <c r="B4879" s="173"/>
      <c r="C4879" s="703"/>
      <c r="D4879" s="690"/>
      <c r="E4879" s="690"/>
      <c r="F4879" s="690"/>
      <c r="G4879" s="690"/>
      <c r="H4879" s="690"/>
      <c r="I4879" s="690"/>
      <c r="J4879" s="690"/>
      <c r="K4879" s="690"/>
      <c r="L4879" s="704"/>
      <c r="M4879" s="170"/>
    </row>
    <row r="4880" spans="2:13" x14ac:dyDescent="0.2">
      <c r="B4880" s="173"/>
      <c r="C4880" s="703"/>
      <c r="D4880" s="690"/>
      <c r="E4880" s="690"/>
      <c r="F4880" s="690"/>
      <c r="G4880" s="690"/>
      <c r="H4880" s="690"/>
      <c r="I4880" s="690"/>
      <c r="J4880" s="690"/>
      <c r="K4880" s="690"/>
      <c r="L4880" s="704"/>
      <c r="M4880" s="170"/>
    </row>
    <row r="4881" spans="2:13" x14ac:dyDescent="0.2">
      <c r="B4881" s="173"/>
      <c r="C4881" s="703"/>
      <c r="D4881" s="690"/>
      <c r="E4881" s="690"/>
      <c r="F4881" s="690"/>
      <c r="G4881" s="690"/>
      <c r="H4881" s="690"/>
      <c r="I4881" s="690"/>
      <c r="J4881" s="690"/>
      <c r="K4881" s="690"/>
      <c r="L4881" s="704"/>
      <c r="M4881" s="170"/>
    </row>
    <row r="4882" spans="2:13" x14ac:dyDescent="0.2">
      <c r="B4882" s="173"/>
      <c r="C4882" s="703"/>
      <c r="D4882" s="690"/>
      <c r="E4882" s="690"/>
      <c r="F4882" s="690"/>
      <c r="G4882" s="690"/>
      <c r="H4882" s="690"/>
      <c r="I4882" s="690"/>
      <c r="J4882" s="690"/>
      <c r="K4882" s="690"/>
      <c r="L4882" s="704"/>
      <c r="M4882" s="170"/>
    </row>
    <row r="4883" spans="2:13" x14ac:dyDescent="0.2">
      <c r="B4883" s="173"/>
      <c r="C4883" s="703"/>
      <c r="D4883" s="690"/>
      <c r="E4883" s="690"/>
      <c r="F4883" s="690"/>
      <c r="G4883" s="690"/>
      <c r="H4883" s="690"/>
      <c r="I4883" s="690"/>
      <c r="J4883" s="690"/>
      <c r="K4883" s="690"/>
      <c r="L4883" s="704"/>
      <c r="M4883" s="170"/>
    </row>
    <row r="4884" spans="2:13" x14ac:dyDescent="0.2">
      <c r="B4884" s="173"/>
      <c r="C4884" s="703"/>
      <c r="D4884" s="690"/>
      <c r="E4884" s="690"/>
      <c r="F4884" s="690"/>
      <c r="G4884" s="690"/>
      <c r="H4884" s="690"/>
      <c r="I4884" s="690"/>
      <c r="J4884" s="690"/>
      <c r="K4884" s="690"/>
      <c r="L4884" s="704"/>
      <c r="M4884" s="170"/>
    </row>
    <row r="4885" spans="2:13" x14ac:dyDescent="0.2">
      <c r="B4885" s="173"/>
      <c r="C4885" s="703"/>
      <c r="D4885" s="690"/>
      <c r="E4885" s="690"/>
      <c r="F4885" s="690"/>
      <c r="G4885" s="690"/>
      <c r="H4885" s="690"/>
      <c r="I4885" s="690"/>
      <c r="J4885" s="690"/>
      <c r="K4885" s="690"/>
      <c r="L4885" s="704"/>
      <c r="M4885" s="170"/>
    </row>
    <row r="4886" spans="2:13" x14ac:dyDescent="0.2">
      <c r="B4886" s="173"/>
      <c r="C4886" s="703"/>
      <c r="D4886" s="690"/>
      <c r="E4886" s="690"/>
      <c r="F4886" s="690"/>
      <c r="G4886" s="690"/>
      <c r="H4886" s="690"/>
      <c r="I4886" s="690"/>
      <c r="J4886" s="690"/>
      <c r="K4886" s="690"/>
      <c r="L4886" s="704"/>
      <c r="M4886" s="170"/>
    </row>
    <row r="4887" spans="2:13" x14ac:dyDescent="0.2">
      <c r="B4887" s="173"/>
      <c r="C4887" s="703"/>
      <c r="D4887" s="690"/>
      <c r="E4887" s="690"/>
      <c r="F4887" s="690"/>
      <c r="G4887" s="690"/>
      <c r="H4887" s="690"/>
      <c r="I4887" s="690"/>
      <c r="J4887" s="690"/>
      <c r="K4887" s="690"/>
      <c r="L4887" s="704"/>
      <c r="M4887" s="170"/>
    </row>
    <row r="4888" spans="2:13" x14ac:dyDescent="0.2">
      <c r="B4888" s="173"/>
      <c r="C4888" s="703"/>
      <c r="D4888" s="690"/>
      <c r="E4888" s="690"/>
      <c r="F4888" s="690"/>
      <c r="G4888" s="690"/>
      <c r="H4888" s="690"/>
      <c r="I4888" s="690"/>
      <c r="J4888" s="690"/>
      <c r="K4888" s="690"/>
      <c r="L4888" s="704"/>
      <c r="M4888" s="170"/>
    </row>
    <row r="4889" spans="2:13" x14ac:dyDescent="0.2">
      <c r="B4889" s="173"/>
      <c r="C4889" s="703"/>
      <c r="D4889" s="690"/>
      <c r="E4889" s="690"/>
      <c r="F4889" s="690"/>
      <c r="G4889" s="690"/>
      <c r="H4889" s="690"/>
      <c r="I4889" s="690"/>
      <c r="J4889" s="690"/>
      <c r="K4889" s="690"/>
      <c r="L4889" s="704"/>
      <c r="M4889" s="170"/>
    </row>
    <row r="4890" spans="2:13" x14ac:dyDescent="0.2">
      <c r="B4890" s="173"/>
      <c r="C4890" s="703"/>
      <c r="D4890" s="690"/>
      <c r="E4890" s="690"/>
      <c r="F4890" s="690"/>
      <c r="G4890" s="690"/>
      <c r="H4890" s="690"/>
      <c r="I4890" s="690"/>
      <c r="J4890" s="690"/>
      <c r="K4890" s="690"/>
      <c r="L4890" s="704"/>
      <c r="M4890" s="170"/>
    </row>
    <row r="4891" spans="2:13" x14ac:dyDescent="0.2">
      <c r="B4891" s="173"/>
      <c r="C4891" s="703"/>
      <c r="D4891" s="690"/>
      <c r="E4891" s="690"/>
      <c r="F4891" s="690"/>
      <c r="G4891" s="690"/>
      <c r="H4891" s="690"/>
      <c r="I4891" s="690"/>
      <c r="J4891" s="690"/>
      <c r="K4891" s="690"/>
      <c r="L4891" s="704"/>
      <c r="M4891" s="170"/>
    </row>
    <row r="4892" spans="2:13" x14ac:dyDescent="0.2">
      <c r="B4892" s="173"/>
      <c r="C4892" s="703"/>
      <c r="D4892" s="690"/>
      <c r="E4892" s="690"/>
      <c r="F4892" s="690"/>
      <c r="G4892" s="690"/>
      <c r="H4892" s="690"/>
      <c r="I4892" s="690"/>
      <c r="J4892" s="690"/>
      <c r="K4892" s="690"/>
      <c r="L4892" s="704"/>
      <c r="M4892" s="170"/>
    </row>
    <row r="4893" spans="2:13" x14ac:dyDescent="0.2">
      <c r="B4893" s="173"/>
      <c r="C4893" s="703"/>
      <c r="D4893" s="690"/>
      <c r="E4893" s="690"/>
      <c r="F4893" s="690"/>
      <c r="G4893" s="690"/>
      <c r="H4893" s="690"/>
      <c r="I4893" s="690"/>
      <c r="J4893" s="690"/>
      <c r="K4893" s="690"/>
      <c r="L4893" s="704"/>
      <c r="M4893" s="170"/>
    </row>
    <row r="4894" spans="2:13" x14ac:dyDescent="0.2">
      <c r="B4894" s="173"/>
      <c r="C4894" s="703"/>
      <c r="D4894" s="690"/>
      <c r="E4894" s="690"/>
      <c r="F4894" s="690"/>
      <c r="G4894" s="690"/>
      <c r="H4894" s="690"/>
      <c r="I4894" s="690"/>
      <c r="J4894" s="690"/>
      <c r="K4894" s="690"/>
      <c r="L4894" s="704"/>
      <c r="M4894" s="170"/>
    </row>
    <row r="4895" spans="2:13" x14ac:dyDescent="0.2">
      <c r="B4895" s="173"/>
      <c r="C4895" s="703"/>
      <c r="D4895" s="690"/>
      <c r="E4895" s="690"/>
      <c r="F4895" s="690"/>
      <c r="G4895" s="690"/>
      <c r="H4895" s="690"/>
      <c r="I4895" s="690"/>
      <c r="J4895" s="690"/>
      <c r="K4895" s="690"/>
      <c r="L4895" s="704"/>
      <c r="M4895" s="170"/>
    </row>
    <row r="4896" spans="2:13" x14ac:dyDescent="0.2">
      <c r="B4896" s="173"/>
      <c r="C4896" s="703"/>
      <c r="D4896" s="690"/>
      <c r="E4896" s="690"/>
      <c r="F4896" s="690"/>
      <c r="G4896" s="690"/>
      <c r="H4896" s="690"/>
      <c r="I4896" s="690"/>
      <c r="J4896" s="690"/>
      <c r="K4896" s="690"/>
      <c r="L4896" s="704"/>
      <c r="M4896" s="170"/>
    </row>
    <row r="4897" spans="2:13" x14ac:dyDescent="0.2">
      <c r="B4897" s="173"/>
      <c r="C4897" s="703"/>
      <c r="D4897" s="690"/>
      <c r="E4897" s="690"/>
      <c r="F4897" s="690"/>
      <c r="G4897" s="690"/>
      <c r="H4897" s="690"/>
      <c r="I4897" s="690"/>
      <c r="J4897" s="690"/>
      <c r="K4897" s="690"/>
      <c r="L4897" s="704"/>
      <c r="M4897" s="170"/>
    </row>
    <row r="4898" spans="2:13" x14ac:dyDescent="0.2">
      <c r="B4898" s="173"/>
      <c r="C4898" s="703"/>
      <c r="D4898" s="690"/>
      <c r="E4898" s="690"/>
      <c r="F4898" s="690"/>
      <c r="G4898" s="690"/>
      <c r="H4898" s="690"/>
      <c r="I4898" s="690"/>
      <c r="J4898" s="690"/>
      <c r="K4898" s="690"/>
      <c r="L4898" s="704"/>
      <c r="M4898" s="170"/>
    </row>
    <row r="4899" spans="2:13" x14ac:dyDescent="0.2">
      <c r="B4899" s="173"/>
      <c r="C4899" s="703"/>
      <c r="D4899" s="690"/>
      <c r="E4899" s="690"/>
      <c r="F4899" s="690"/>
      <c r="G4899" s="690"/>
      <c r="H4899" s="690"/>
      <c r="I4899" s="690"/>
      <c r="J4899" s="690"/>
      <c r="K4899" s="690"/>
      <c r="L4899" s="704"/>
      <c r="M4899" s="170"/>
    </row>
    <row r="4900" spans="2:13" x14ac:dyDescent="0.2">
      <c r="B4900" s="173"/>
      <c r="C4900" s="703"/>
      <c r="D4900" s="690"/>
      <c r="E4900" s="690"/>
      <c r="F4900" s="690"/>
      <c r="G4900" s="690"/>
      <c r="H4900" s="690"/>
      <c r="I4900" s="690"/>
      <c r="J4900" s="690"/>
      <c r="K4900" s="690"/>
      <c r="L4900" s="704"/>
      <c r="M4900" s="170"/>
    </row>
    <row r="4901" spans="2:13" x14ac:dyDescent="0.2">
      <c r="B4901" s="173"/>
      <c r="C4901" s="703"/>
      <c r="D4901" s="690"/>
      <c r="E4901" s="690"/>
      <c r="F4901" s="690"/>
      <c r="G4901" s="690"/>
      <c r="H4901" s="690"/>
      <c r="I4901" s="690"/>
      <c r="J4901" s="690"/>
      <c r="K4901" s="690"/>
      <c r="L4901" s="704"/>
      <c r="M4901" s="170"/>
    </row>
    <row r="4902" spans="2:13" x14ac:dyDescent="0.2">
      <c r="B4902" s="173"/>
      <c r="C4902" s="703"/>
      <c r="D4902" s="690"/>
      <c r="E4902" s="690"/>
      <c r="F4902" s="690"/>
      <c r="G4902" s="690"/>
      <c r="H4902" s="690"/>
      <c r="I4902" s="690"/>
      <c r="J4902" s="690"/>
      <c r="K4902" s="690"/>
      <c r="L4902" s="704"/>
      <c r="M4902" s="170"/>
    </row>
    <row r="4903" spans="2:13" x14ac:dyDescent="0.2">
      <c r="B4903" s="173"/>
      <c r="C4903" s="703"/>
      <c r="D4903" s="690"/>
      <c r="E4903" s="690"/>
      <c r="F4903" s="690"/>
      <c r="G4903" s="690"/>
      <c r="H4903" s="690"/>
      <c r="I4903" s="690"/>
      <c r="J4903" s="690"/>
      <c r="K4903" s="690"/>
      <c r="L4903" s="704"/>
      <c r="M4903" s="170"/>
    </row>
    <row r="4904" spans="2:13" x14ac:dyDescent="0.2">
      <c r="B4904" s="173"/>
      <c r="C4904" s="703"/>
      <c r="D4904" s="690"/>
      <c r="E4904" s="690"/>
      <c r="F4904" s="690"/>
      <c r="G4904" s="690"/>
      <c r="H4904" s="690"/>
      <c r="I4904" s="690"/>
      <c r="J4904" s="690"/>
      <c r="K4904" s="690"/>
      <c r="L4904" s="704"/>
      <c r="M4904" s="170"/>
    </row>
    <row r="4905" spans="2:13" x14ac:dyDescent="0.2">
      <c r="B4905" s="173"/>
      <c r="C4905" s="703"/>
      <c r="D4905" s="690"/>
      <c r="E4905" s="690"/>
      <c r="F4905" s="690"/>
      <c r="G4905" s="690"/>
      <c r="H4905" s="690"/>
      <c r="I4905" s="690"/>
      <c r="J4905" s="690"/>
      <c r="K4905" s="690"/>
      <c r="L4905" s="704"/>
      <c r="M4905" s="170"/>
    </row>
    <row r="4906" spans="2:13" x14ac:dyDescent="0.2">
      <c r="B4906" s="173"/>
      <c r="C4906" s="703"/>
      <c r="D4906" s="690"/>
      <c r="E4906" s="690"/>
      <c r="F4906" s="690"/>
      <c r="G4906" s="690"/>
      <c r="H4906" s="690"/>
      <c r="I4906" s="690"/>
      <c r="J4906" s="690"/>
      <c r="K4906" s="690"/>
      <c r="L4906" s="704"/>
      <c r="M4906" s="170"/>
    </row>
    <row r="4907" spans="2:13" x14ac:dyDescent="0.2">
      <c r="B4907" s="173"/>
      <c r="C4907" s="703"/>
      <c r="D4907" s="690"/>
      <c r="E4907" s="690"/>
      <c r="F4907" s="690"/>
      <c r="G4907" s="690"/>
      <c r="H4907" s="690"/>
      <c r="I4907" s="690"/>
      <c r="J4907" s="690"/>
      <c r="K4907" s="690"/>
      <c r="L4907" s="704"/>
      <c r="M4907" s="170"/>
    </row>
    <row r="4908" spans="2:13" x14ac:dyDescent="0.2">
      <c r="B4908" s="173"/>
      <c r="C4908" s="703"/>
      <c r="D4908" s="690"/>
      <c r="E4908" s="690"/>
      <c r="F4908" s="690"/>
      <c r="G4908" s="690"/>
      <c r="H4908" s="690"/>
      <c r="I4908" s="690"/>
      <c r="J4908" s="690"/>
      <c r="K4908" s="690"/>
      <c r="L4908" s="704"/>
      <c r="M4908" s="170"/>
    </row>
    <row r="4909" spans="2:13" x14ac:dyDescent="0.2">
      <c r="B4909" s="173"/>
      <c r="C4909" s="703"/>
      <c r="D4909" s="690"/>
      <c r="E4909" s="690"/>
      <c r="F4909" s="690"/>
      <c r="G4909" s="690"/>
      <c r="H4909" s="690"/>
      <c r="I4909" s="690"/>
      <c r="J4909" s="690"/>
      <c r="K4909" s="690"/>
      <c r="L4909" s="704"/>
      <c r="M4909" s="170"/>
    </row>
    <row r="4910" spans="2:13" x14ac:dyDescent="0.2">
      <c r="B4910" s="173"/>
      <c r="C4910" s="703"/>
      <c r="D4910" s="690"/>
      <c r="E4910" s="690"/>
      <c r="F4910" s="690"/>
      <c r="G4910" s="690"/>
      <c r="H4910" s="690"/>
      <c r="I4910" s="690"/>
      <c r="J4910" s="690"/>
      <c r="K4910" s="690"/>
      <c r="L4910" s="704"/>
      <c r="M4910" s="170"/>
    </row>
    <row r="4911" spans="2:13" x14ac:dyDescent="0.2">
      <c r="B4911" s="173"/>
      <c r="C4911" s="703"/>
      <c r="D4911" s="690"/>
      <c r="E4911" s="690"/>
      <c r="F4911" s="690"/>
      <c r="G4911" s="690"/>
      <c r="H4911" s="690"/>
      <c r="I4911" s="690"/>
      <c r="J4911" s="690"/>
      <c r="K4911" s="690"/>
      <c r="L4911" s="704"/>
      <c r="M4911" s="170"/>
    </row>
    <row r="4912" spans="2:13" x14ac:dyDescent="0.2">
      <c r="B4912" s="173"/>
      <c r="C4912" s="703"/>
      <c r="D4912" s="690"/>
      <c r="E4912" s="690"/>
      <c r="F4912" s="690"/>
      <c r="G4912" s="690"/>
      <c r="H4912" s="690"/>
      <c r="I4912" s="690"/>
      <c r="J4912" s="690"/>
      <c r="K4912" s="690"/>
      <c r="L4912" s="704"/>
      <c r="M4912" s="170"/>
    </row>
    <row r="4913" spans="2:13" x14ac:dyDescent="0.2">
      <c r="B4913" s="173"/>
      <c r="C4913" s="703"/>
      <c r="D4913" s="690"/>
      <c r="E4913" s="690"/>
      <c r="F4913" s="690"/>
      <c r="G4913" s="690"/>
      <c r="H4913" s="690"/>
      <c r="I4913" s="690"/>
      <c r="J4913" s="690"/>
      <c r="K4913" s="690"/>
      <c r="L4913" s="704"/>
      <c r="M4913" s="170"/>
    </row>
    <row r="4914" spans="2:13" x14ac:dyDescent="0.2">
      <c r="B4914" s="173"/>
      <c r="C4914" s="703"/>
      <c r="D4914" s="690"/>
      <c r="E4914" s="690"/>
      <c r="F4914" s="690"/>
      <c r="G4914" s="690"/>
      <c r="H4914" s="690"/>
      <c r="I4914" s="690"/>
      <c r="J4914" s="690"/>
      <c r="K4914" s="690"/>
      <c r="L4914" s="704"/>
      <c r="M4914" s="170"/>
    </row>
    <row r="4915" spans="2:13" x14ac:dyDescent="0.2">
      <c r="B4915" s="173"/>
      <c r="C4915" s="703"/>
      <c r="D4915" s="690"/>
      <c r="E4915" s="690"/>
      <c r="F4915" s="690"/>
      <c r="G4915" s="690"/>
      <c r="H4915" s="690"/>
      <c r="I4915" s="690"/>
      <c r="J4915" s="690"/>
      <c r="K4915" s="690"/>
      <c r="L4915" s="704"/>
      <c r="M4915" s="170"/>
    </row>
    <row r="4916" spans="2:13" x14ac:dyDescent="0.2">
      <c r="B4916" s="173"/>
      <c r="C4916" s="703"/>
      <c r="D4916" s="690"/>
      <c r="E4916" s="690"/>
      <c r="F4916" s="690"/>
      <c r="G4916" s="690"/>
      <c r="H4916" s="690"/>
      <c r="I4916" s="690"/>
      <c r="J4916" s="690"/>
      <c r="K4916" s="690"/>
      <c r="L4916" s="704"/>
      <c r="M4916" s="170"/>
    </row>
    <row r="4917" spans="2:13" x14ac:dyDescent="0.2">
      <c r="B4917" s="173"/>
      <c r="C4917" s="703"/>
      <c r="D4917" s="690"/>
      <c r="E4917" s="690"/>
      <c r="F4917" s="690"/>
      <c r="G4917" s="690"/>
      <c r="H4917" s="690"/>
      <c r="I4917" s="690"/>
      <c r="J4917" s="690"/>
      <c r="K4917" s="690"/>
      <c r="L4917" s="704"/>
      <c r="M4917" s="170"/>
    </row>
    <row r="4918" spans="2:13" x14ac:dyDescent="0.2">
      <c r="B4918" s="173"/>
      <c r="C4918" s="703"/>
      <c r="D4918" s="690"/>
      <c r="E4918" s="690"/>
      <c r="F4918" s="690"/>
      <c r="G4918" s="690"/>
      <c r="H4918" s="690"/>
      <c r="I4918" s="690"/>
      <c r="J4918" s="690"/>
      <c r="K4918" s="690"/>
      <c r="L4918" s="704"/>
      <c r="M4918" s="170"/>
    </row>
    <row r="4919" spans="2:13" x14ac:dyDescent="0.2">
      <c r="B4919" s="173"/>
      <c r="C4919" s="703"/>
      <c r="D4919" s="690"/>
      <c r="E4919" s="690"/>
      <c r="F4919" s="690"/>
      <c r="G4919" s="690"/>
      <c r="H4919" s="690"/>
      <c r="I4919" s="690"/>
      <c r="J4919" s="690"/>
      <c r="K4919" s="690"/>
      <c r="L4919" s="704"/>
      <c r="M4919" s="170"/>
    </row>
    <row r="4920" spans="2:13" x14ac:dyDescent="0.2">
      <c r="B4920" s="173"/>
      <c r="C4920" s="703"/>
      <c r="D4920" s="690"/>
      <c r="E4920" s="690"/>
      <c r="F4920" s="690"/>
      <c r="G4920" s="690"/>
      <c r="H4920" s="690"/>
      <c r="I4920" s="690"/>
      <c r="J4920" s="690"/>
      <c r="K4920" s="690"/>
      <c r="L4920" s="704"/>
      <c r="M4920" s="170"/>
    </row>
    <row r="4921" spans="2:13" x14ac:dyDescent="0.2">
      <c r="B4921" s="173"/>
      <c r="C4921" s="703"/>
      <c r="D4921" s="690"/>
      <c r="E4921" s="690"/>
      <c r="F4921" s="690"/>
      <c r="G4921" s="690"/>
      <c r="H4921" s="690"/>
      <c r="I4921" s="690"/>
      <c r="J4921" s="690"/>
      <c r="K4921" s="690"/>
      <c r="L4921" s="704"/>
      <c r="M4921" s="170"/>
    </row>
    <row r="4922" spans="2:13" x14ac:dyDescent="0.2">
      <c r="B4922" s="173"/>
      <c r="C4922" s="703"/>
      <c r="D4922" s="690"/>
      <c r="E4922" s="690"/>
      <c r="F4922" s="690"/>
      <c r="G4922" s="690"/>
      <c r="H4922" s="690"/>
      <c r="I4922" s="690"/>
      <c r="J4922" s="690"/>
      <c r="K4922" s="690"/>
      <c r="L4922" s="704"/>
      <c r="M4922" s="170"/>
    </row>
    <row r="4923" spans="2:13" x14ac:dyDescent="0.2">
      <c r="B4923" s="173"/>
      <c r="C4923" s="703"/>
      <c r="D4923" s="690"/>
      <c r="E4923" s="690"/>
      <c r="F4923" s="690"/>
      <c r="G4923" s="690"/>
      <c r="H4923" s="690"/>
      <c r="I4923" s="690"/>
      <c r="J4923" s="690"/>
      <c r="K4923" s="690"/>
      <c r="L4923" s="704"/>
      <c r="M4923" s="170"/>
    </row>
    <row r="4924" spans="2:13" x14ac:dyDescent="0.2">
      <c r="B4924" s="173"/>
      <c r="C4924" s="703"/>
      <c r="D4924" s="690"/>
      <c r="E4924" s="690"/>
      <c r="F4924" s="690"/>
      <c r="G4924" s="690"/>
      <c r="H4924" s="690"/>
      <c r="I4924" s="690"/>
      <c r="J4924" s="690"/>
      <c r="K4924" s="690"/>
      <c r="L4924" s="704"/>
      <c r="M4924" s="170"/>
    </row>
    <row r="4925" spans="2:13" x14ac:dyDescent="0.2">
      <c r="B4925" s="173"/>
      <c r="C4925" s="703"/>
      <c r="D4925" s="690"/>
      <c r="E4925" s="690"/>
      <c r="F4925" s="690"/>
      <c r="G4925" s="690"/>
      <c r="H4925" s="690"/>
      <c r="I4925" s="690"/>
      <c r="J4925" s="690"/>
      <c r="K4925" s="690"/>
      <c r="L4925" s="704"/>
      <c r="M4925" s="170"/>
    </row>
    <row r="4926" spans="2:13" x14ac:dyDescent="0.2">
      <c r="B4926" s="173"/>
      <c r="C4926" s="703"/>
      <c r="D4926" s="690"/>
      <c r="E4926" s="690"/>
      <c r="F4926" s="690"/>
      <c r="G4926" s="690"/>
      <c r="H4926" s="690"/>
      <c r="I4926" s="690"/>
      <c r="J4926" s="690"/>
      <c r="K4926" s="690"/>
      <c r="L4926" s="704"/>
      <c r="M4926" s="170"/>
    </row>
    <row r="4927" spans="2:13" x14ac:dyDescent="0.2">
      <c r="B4927" s="173"/>
      <c r="C4927" s="703"/>
      <c r="D4927" s="690"/>
      <c r="E4927" s="690"/>
      <c r="F4927" s="690"/>
      <c r="G4927" s="690"/>
      <c r="H4927" s="690"/>
      <c r="I4927" s="690"/>
      <c r="J4927" s="690"/>
      <c r="K4927" s="690"/>
      <c r="L4927" s="704"/>
      <c r="M4927" s="170"/>
    </row>
    <row r="4928" spans="2:13" x14ac:dyDescent="0.2">
      <c r="B4928" s="173"/>
      <c r="C4928" s="703"/>
      <c r="D4928" s="690"/>
      <c r="E4928" s="690"/>
      <c r="F4928" s="690"/>
      <c r="G4928" s="690"/>
      <c r="H4928" s="690"/>
      <c r="I4928" s="690"/>
      <c r="J4928" s="690"/>
      <c r="K4928" s="690"/>
      <c r="L4928" s="704"/>
      <c r="M4928" s="170"/>
    </row>
    <row r="4929" spans="2:13" x14ac:dyDescent="0.2">
      <c r="B4929" s="173"/>
      <c r="C4929" s="703"/>
      <c r="D4929" s="690"/>
      <c r="E4929" s="690"/>
      <c r="F4929" s="690"/>
      <c r="G4929" s="690"/>
      <c r="H4929" s="690"/>
      <c r="I4929" s="690"/>
      <c r="J4929" s="690"/>
      <c r="K4929" s="690"/>
      <c r="L4929" s="704"/>
      <c r="M4929" s="170"/>
    </row>
    <row r="4930" spans="2:13" x14ac:dyDescent="0.2">
      <c r="B4930" s="173"/>
      <c r="C4930" s="703"/>
      <c r="D4930" s="690"/>
      <c r="E4930" s="690"/>
      <c r="F4930" s="690"/>
      <c r="G4930" s="690"/>
      <c r="H4930" s="690"/>
      <c r="I4930" s="690"/>
      <c r="J4930" s="690"/>
      <c r="K4930" s="690"/>
      <c r="L4930" s="704"/>
      <c r="M4930" s="170"/>
    </row>
    <row r="4931" spans="2:13" x14ac:dyDescent="0.2">
      <c r="B4931" s="173"/>
      <c r="C4931" s="703"/>
      <c r="D4931" s="690"/>
      <c r="E4931" s="690"/>
      <c r="F4931" s="690"/>
      <c r="G4931" s="690"/>
      <c r="H4931" s="690"/>
      <c r="I4931" s="690"/>
      <c r="J4931" s="690"/>
      <c r="K4931" s="690"/>
      <c r="L4931" s="704"/>
      <c r="M4931" s="170"/>
    </row>
    <row r="4932" spans="2:13" x14ac:dyDescent="0.2">
      <c r="B4932" s="173"/>
      <c r="C4932" s="703"/>
      <c r="D4932" s="690"/>
      <c r="E4932" s="690"/>
      <c r="F4932" s="690"/>
      <c r="G4932" s="690"/>
      <c r="H4932" s="690"/>
      <c r="I4932" s="690"/>
      <c r="J4932" s="690"/>
      <c r="K4932" s="690"/>
      <c r="L4932" s="704"/>
      <c r="M4932" s="170"/>
    </row>
    <row r="4933" spans="2:13" x14ac:dyDescent="0.2">
      <c r="B4933" s="173"/>
      <c r="C4933" s="703"/>
      <c r="D4933" s="690"/>
      <c r="E4933" s="690"/>
      <c r="F4933" s="690"/>
      <c r="G4933" s="690"/>
      <c r="H4933" s="690"/>
      <c r="I4933" s="690"/>
      <c r="J4933" s="690"/>
      <c r="K4933" s="690"/>
      <c r="L4933" s="704"/>
      <c r="M4933" s="170"/>
    </row>
    <row r="4934" spans="2:13" x14ac:dyDescent="0.2">
      <c r="B4934" s="173"/>
      <c r="C4934" s="703"/>
      <c r="D4934" s="690"/>
      <c r="E4934" s="690"/>
      <c r="F4934" s="690"/>
      <c r="G4934" s="690"/>
      <c r="H4934" s="690"/>
      <c r="I4934" s="690"/>
      <c r="J4934" s="690"/>
      <c r="K4934" s="690"/>
      <c r="L4934" s="704"/>
      <c r="M4934" s="170"/>
    </row>
    <row r="4935" spans="2:13" x14ac:dyDescent="0.2">
      <c r="B4935" s="173"/>
      <c r="C4935" s="703"/>
      <c r="D4935" s="690"/>
      <c r="E4935" s="690"/>
      <c r="F4935" s="690"/>
      <c r="G4935" s="690"/>
      <c r="H4935" s="690"/>
      <c r="I4935" s="690"/>
      <c r="J4935" s="690"/>
      <c r="K4935" s="690"/>
      <c r="L4935" s="704"/>
      <c r="M4935" s="170"/>
    </row>
    <row r="4936" spans="2:13" x14ac:dyDescent="0.2">
      <c r="B4936" s="173"/>
      <c r="C4936" s="703"/>
      <c r="D4936" s="690"/>
      <c r="E4936" s="690"/>
      <c r="F4936" s="690"/>
      <c r="G4936" s="690"/>
      <c r="H4936" s="690"/>
      <c r="I4936" s="690"/>
      <c r="J4936" s="690"/>
      <c r="K4936" s="690"/>
      <c r="L4936" s="704"/>
      <c r="M4936" s="170"/>
    </row>
    <row r="4937" spans="2:13" x14ac:dyDescent="0.2">
      <c r="B4937" s="173"/>
      <c r="C4937" s="703"/>
      <c r="D4937" s="690"/>
      <c r="E4937" s="690"/>
      <c r="F4937" s="690"/>
      <c r="G4937" s="690"/>
      <c r="H4937" s="690"/>
      <c r="I4937" s="690"/>
      <c r="J4937" s="690"/>
      <c r="K4937" s="690"/>
      <c r="L4937" s="704"/>
      <c r="M4937" s="170"/>
    </row>
    <row r="4938" spans="2:13" x14ac:dyDescent="0.2">
      <c r="B4938" s="173"/>
      <c r="C4938" s="703"/>
      <c r="D4938" s="690"/>
      <c r="E4938" s="690"/>
      <c r="F4938" s="690"/>
      <c r="G4938" s="690"/>
      <c r="H4938" s="690"/>
      <c r="I4938" s="690"/>
      <c r="J4938" s="690"/>
      <c r="K4938" s="690"/>
      <c r="L4938" s="704"/>
      <c r="M4938" s="170"/>
    </row>
    <row r="4939" spans="2:13" x14ac:dyDescent="0.2">
      <c r="B4939" s="173"/>
      <c r="C4939" s="703"/>
      <c r="D4939" s="690"/>
      <c r="E4939" s="690"/>
      <c r="F4939" s="690"/>
      <c r="G4939" s="690"/>
      <c r="H4939" s="690"/>
      <c r="I4939" s="690"/>
      <c r="J4939" s="690"/>
      <c r="K4939" s="690"/>
      <c r="L4939" s="704"/>
      <c r="M4939" s="170"/>
    </row>
    <row r="4940" spans="2:13" x14ac:dyDescent="0.2">
      <c r="B4940" s="173"/>
      <c r="C4940" s="703"/>
      <c r="D4940" s="690"/>
      <c r="E4940" s="690"/>
      <c r="F4940" s="690"/>
      <c r="G4940" s="690"/>
      <c r="H4940" s="690"/>
      <c r="I4940" s="690"/>
      <c r="J4940" s="690"/>
      <c r="K4940" s="690"/>
      <c r="L4940" s="704"/>
      <c r="M4940" s="170"/>
    </row>
    <row r="4941" spans="2:13" x14ac:dyDescent="0.2">
      <c r="B4941" s="173"/>
      <c r="C4941" s="703"/>
      <c r="D4941" s="690"/>
      <c r="E4941" s="690"/>
      <c r="F4941" s="690"/>
      <c r="G4941" s="690"/>
      <c r="H4941" s="690"/>
      <c r="I4941" s="690"/>
      <c r="J4941" s="690"/>
      <c r="K4941" s="690"/>
      <c r="L4941" s="704"/>
      <c r="M4941" s="170"/>
    </row>
    <row r="4942" spans="2:13" x14ac:dyDescent="0.2">
      <c r="B4942" s="173"/>
      <c r="C4942" s="703"/>
      <c r="D4942" s="690"/>
      <c r="E4942" s="690"/>
      <c r="F4942" s="690"/>
      <c r="G4942" s="690"/>
      <c r="H4942" s="690"/>
      <c r="I4942" s="690"/>
      <c r="J4942" s="690"/>
      <c r="K4942" s="690"/>
      <c r="L4942" s="704"/>
      <c r="M4942" s="170"/>
    </row>
    <row r="4943" spans="2:13" x14ac:dyDescent="0.2">
      <c r="B4943" s="173"/>
      <c r="C4943" s="703"/>
      <c r="D4943" s="690"/>
      <c r="E4943" s="690"/>
      <c r="F4943" s="690"/>
      <c r="G4943" s="690"/>
      <c r="H4943" s="690"/>
      <c r="I4943" s="690"/>
      <c r="J4943" s="690"/>
      <c r="K4943" s="690"/>
      <c r="L4943" s="704"/>
      <c r="M4943" s="170"/>
    </row>
    <row r="4944" spans="2:13" x14ac:dyDescent="0.2">
      <c r="B4944" s="173"/>
      <c r="C4944" s="703"/>
      <c r="D4944" s="690"/>
      <c r="E4944" s="690"/>
      <c r="F4944" s="690"/>
      <c r="G4944" s="690"/>
      <c r="H4944" s="690"/>
      <c r="I4944" s="690"/>
      <c r="J4944" s="690"/>
      <c r="K4944" s="690"/>
      <c r="L4944" s="704"/>
      <c r="M4944" s="170"/>
    </row>
    <row r="4945" spans="2:13" x14ac:dyDescent="0.2">
      <c r="B4945" s="173"/>
      <c r="C4945" s="703"/>
      <c r="D4945" s="690"/>
      <c r="E4945" s="690"/>
      <c r="F4945" s="690"/>
      <c r="G4945" s="690"/>
      <c r="H4945" s="690"/>
      <c r="I4945" s="690"/>
      <c r="J4945" s="690"/>
      <c r="K4945" s="690"/>
      <c r="L4945" s="704"/>
      <c r="M4945" s="170"/>
    </row>
    <row r="4946" spans="2:13" x14ac:dyDescent="0.2">
      <c r="B4946" s="173"/>
      <c r="C4946" s="703"/>
      <c r="D4946" s="690"/>
      <c r="E4946" s="690"/>
      <c r="F4946" s="690"/>
      <c r="G4946" s="690"/>
      <c r="H4946" s="690"/>
      <c r="I4946" s="690"/>
      <c r="J4946" s="690"/>
      <c r="K4946" s="690"/>
      <c r="L4946" s="704"/>
      <c r="M4946" s="170"/>
    </row>
    <row r="4947" spans="2:13" x14ac:dyDescent="0.2">
      <c r="B4947" s="173"/>
      <c r="C4947" s="703"/>
      <c r="D4947" s="690"/>
      <c r="E4947" s="690"/>
      <c r="F4947" s="690"/>
      <c r="G4947" s="690"/>
      <c r="H4947" s="690"/>
      <c r="I4947" s="690"/>
      <c r="J4947" s="690"/>
      <c r="K4947" s="690"/>
      <c r="L4947" s="704"/>
      <c r="M4947" s="170"/>
    </row>
    <row r="4948" spans="2:13" x14ac:dyDescent="0.2">
      <c r="B4948" s="173"/>
      <c r="C4948" s="703"/>
      <c r="D4948" s="690"/>
      <c r="E4948" s="690"/>
      <c r="F4948" s="690"/>
      <c r="G4948" s="690"/>
      <c r="H4948" s="690"/>
      <c r="I4948" s="690"/>
      <c r="J4948" s="690"/>
      <c r="K4948" s="690"/>
      <c r="L4948" s="704"/>
      <c r="M4948" s="170"/>
    </row>
    <row r="4949" spans="2:13" x14ac:dyDescent="0.2">
      <c r="B4949" s="173"/>
      <c r="C4949" s="703"/>
      <c r="D4949" s="690"/>
      <c r="E4949" s="690"/>
      <c r="F4949" s="690"/>
      <c r="G4949" s="690"/>
      <c r="H4949" s="690"/>
      <c r="I4949" s="690"/>
      <c r="J4949" s="690"/>
      <c r="K4949" s="690"/>
      <c r="L4949" s="704"/>
      <c r="M4949" s="170"/>
    </row>
    <row r="4950" spans="2:13" x14ac:dyDescent="0.2">
      <c r="B4950" s="173"/>
      <c r="C4950" s="703"/>
      <c r="D4950" s="690"/>
      <c r="E4950" s="690"/>
      <c r="F4950" s="690"/>
      <c r="G4950" s="690"/>
      <c r="H4950" s="690"/>
      <c r="I4950" s="690"/>
      <c r="J4950" s="690"/>
      <c r="K4950" s="690"/>
      <c r="L4950" s="704"/>
      <c r="M4950" s="170"/>
    </row>
    <row r="4951" spans="2:13" x14ac:dyDescent="0.2">
      <c r="B4951" s="173"/>
      <c r="C4951" s="703"/>
      <c r="D4951" s="690"/>
      <c r="E4951" s="690"/>
      <c r="F4951" s="690"/>
      <c r="G4951" s="690"/>
      <c r="H4951" s="690"/>
      <c r="I4951" s="690"/>
      <c r="J4951" s="690"/>
      <c r="K4951" s="690"/>
      <c r="L4951" s="704"/>
      <c r="M4951" s="170"/>
    </row>
    <row r="4952" spans="2:13" x14ac:dyDescent="0.2">
      <c r="B4952" s="173"/>
      <c r="C4952" s="703"/>
      <c r="D4952" s="690"/>
      <c r="E4952" s="690"/>
      <c r="F4952" s="690"/>
      <c r="G4952" s="690"/>
      <c r="H4952" s="690"/>
      <c r="I4952" s="690"/>
      <c r="J4952" s="690"/>
      <c r="K4952" s="690"/>
      <c r="L4952" s="704"/>
      <c r="M4952" s="170"/>
    </row>
    <row r="4953" spans="2:13" x14ac:dyDescent="0.2">
      <c r="B4953" s="173"/>
      <c r="C4953" s="703"/>
      <c r="D4953" s="690"/>
      <c r="E4953" s="690"/>
      <c r="F4953" s="690"/>
      <c r="G4953" s="690"/>
      <c r="H4953" s="690"/>
      <c r="I4953" s="690"/>
      <c r="J4953" s="690"/>
      <c r="K4953" s="690"/>
      <c r="L4953" s="704"/>
      <c r="M4953" s="170"/>
    </row>
    <row r="4954" spans="2:13" x14ac:dyDescent="0.2">
      <c r="B4954" s="173"/>
      <c r="C4954" s="703"/>
      <c r="D4954" s="690"/>
      <c r="E4954" s="690"/>
      <c r="F4954" s="690"/>
      <c r="G4954" s="690"/>
      <c r="H4954" s="690"/>
      <c r="I4954" s="690"/>
      <c r="J4954" s="690"/>
      <c r="K4954" s="690"/>
      <c r="L4954" s="704"/>
      <c r="M4954" s="170"/>
    </row>
    <row r="4955" spans="2:13" x14ac:dyDescent="0.2">
      <c r="B4955" s="173"/>
      <c r="C4955" s="703"/>
      <c r="D4955" s="690"/>
      <c r="E4955" s="690"/>
      <c r="F4955" s="690"/>
      <c r="G4955" s="690"/>
      <c r="H4955" s="690"/>
      <c r="I4955" s="690"/>
      <c r="J4955" s="690"/>
      <c r="K4955" s="690"/>
      <c r="L4955" s="704"/>
      <c r="M4955" s="170"/>
    </row>
    <row r="4956" spans="2:13" x14ac:dyDescent="0.2">
      <c r="B4956" s="173"/>
      <c r="C4956" s="703"/>
      <c r="D4956" s="690"/>
      <c r="E4956" s="690"/>
      <c r="F4956" s="690"/>
      <c r="G4956" s="690"/>
      <c r="H4956" s="690"/>
      <c r="I4956" s="690"/>
      <c r="J4956" s="690"/>
      <c r="K4956" s="690"/>
      <c r="L4956" s="704"/>
      <c r="M4956" s="170"/>
    </row>
    <row r="4957" spans="2:13" x14ac:dyDescent="0.2">
      <c r="B4957" s="173"/>
      <c r="C4957" s="703"/>
      <c r="D4957" s="690"/>
      <c r="E4957" s="690"/>
      <c r="F4957" s="690"/>
      <c r="G4957" s="690"/>
      <c r="H4957" s="690"/>
      <c r="I4957" s="690"/>
      <c r="J4957" s="690"/>
      <c r="K4957" s="690"/>
      <c r="L4957" s="704"/>
      <c r="M4957" s="170"/>
    </row>
    <row r="4958" spans="2:13" x14ac:dyDescent="0.2">
      <c r="B4958" s="173"/>
      <c r="C4958" s="703"/>
      <c r="D4958" s="690"/>
      <c r="E4958" s="690"/>
      <c r="F4958" s="690"/>
      <c r="G4958" s="690"/>
      <c r="H4958" s="690"/>
      <c r="I4958" s="690"/>
      <c r="J4958" s="690"/>
      <c r="K4958" s="690"/>
      <c r="L4958" s="704"/>
      <c r="M4958" s="170"/>
    </row>
    <row r="4959" spans="2:13" x14ac:dyDescent="0.2">
      <c r="B4959" s="173"/>
      <c r="C4959" s="703"/>
      <c r="D4959" s="690"/>
      <c r="E4959" s="690"/>
      <c r="F4959" s="690"/>
      <c r="G4959" s="690"/>
      <c r="H4959" s="690"/>
      <c r="I4959" s="690"/>
      <c r="J4959" s="690"/>
      <c r="K4959" s="690"/>
      <c r="L4959" s="704"/>
      <c r="M4959" s="170"/>
    </row>
    <row r="4960" spans="2:13" x14ac:dyDescent="0.2">
      <c r="B4960" s="173"/>
      <c r="C4960" s="703"/>
      <c r="D4960" s="690"/>
      <c r="E4960" s="690"/>
      <c r="F4960" s="690"/>
      <c r="G4960" s="690"/>
      <c r="H4960" s="690"/>
      <c r="I4960" s="690"/>
      <c r="J4960" s="690"/>
      <c r="K4960" s="690"/>
      <c r="L4960" s="704"/>
      <c r="M4960" s="170"/>
    </row>
    <row r="4961" spans="2:13" x14ac:dyDescent="0.2">
      <c r="B4961" s="173"/>
      <c r="C4961" s="703"/>
      <c r="D4961" s="690"/>
      <c r="E4961" s="690"/>
      <c r="F4961" s="690"/>
      <c r="G4961" s="690"/>
      <c r="H4961" s="690"/>
      <c r="I4961" s="690"/>
      <c r="J4961" s="690"/>
      <c r="K4961" s="690"/>
      <c r="L4961" s="704"/>
      <c r="M4961" s="170"/>
    </row>
    <row r="4962" spans="2:13" x14ac:dyDescent="0.2">
      <c r="B4962" s="173"/>
      <c r="C4962" s="703"/>
      <c r="D4962" s="690"/>
      <c r="E4962" s="690"/>
      <c r="F4962" s="690"/>
      <c r="G4962" s="690"/>
      <c r="H4962" s="690"/>
      <c r="I4962" s="690"/>
      <c r="J4962" s="690"/>
      <c r="K4962" s="690"/>
      <c r="L4962" s="704"/>
      <c r="M4962" s="170"/>
    </row>
    <row r="4963" spans="2:13" x14ac:dyDescent="0.2">
      <c r="B4963" s="173"/>
      <c r="C4963" s="703"/>
      <c r="D4963" s="690"/>
      <c r="E4963" s="690"/>
      <c r="F4963" s="690"/>
      <c r="G4963" s="690"/>
      <c r="H4963" s="690"/>
      <c r="I4963" s="690"/>
      <c r="J4963" s="690"/>
      <c r="K4963" s="690"/>
      <c r="L4963" s="704"/>
      <c r="M4963" s="170"/>
    </row>
    <row r="4964" spans="2:13" x14ac:dyDescent="0.2">
      <c r="B4964" s="173"/>
      <c r="C4964" s="703"/>
      <c r="D4964" s="690"/>
      <c r="E4964" s="690"/>
      <c r="F4964" s="690"/>
      <c r="G4964" s="690"/>
      <c r="H4964" s="690"/>
      <c r="I4964" s="690"/>
      <c r="J4964" s="690"/>
      <c r="K4964" s="690"/>
      <c r="L4964" s="704"/>
      <c r="M4964" s="170"/>
    </row>
    <row r="4965" spans="2:13" x14ac:dyDescent="0.2">
      <c r="B4965" s="173"/>
      <c r="C4965" s="703"/>
      <c r="D4965" s="690"/>
      <c r="E4965" s="690"/>
      <c r="F4965" s="690"/>
      <c r="G4965" s="690"/>
      <c r="H4965" s="690"/>
      <c r="I4965" s="690"/>
      <c r="J4965" s="690"/>
      <c r="K4965" s="690"/>
      <c r="L4965" s="704"/>
      <c r="M4965" s="170"/>
    </row>
    <row r="4966" spans="2:13" x14ac:dyDescent="0.2">
      <c r="B4966" s="173"/>
      <c r="C4966" s="703"/>
      <c r="D4966" s="690"/>
      <c r="E4966" s="690"/>
      <c r="F4966" s="690"/>
      <c r="G4966" s="690"/>
      <c r="H4966" s="690"/>
      <c r="I4966" s="690"/>
      <c r="J4966" s="690"/>
      <c r="K4966" s="690"/>
      <c r="L4966" s="704"/>
      <c r="M4966" s="170"/>
    </row>
    <row r="4967" spans="2:13" x14ac:dyDescent="0.2">
      <c r="B4967" s="173"/>
      <c r="C4967" s="703"/>
      <c r="D4967" s="690"/>
      <c r="E4967" s="690"/>
      <c r="F4967" s="690"/>
      <c r="G4967" s="690"/>
      <c r="H4967" s="690"/>
      <c r="I4967" s="690"/>
      <c r="J4967" s="690"/>
      <c r="K4967" s="690"/>
      <c r="L4967" s="704"/>
      <c r="M4967" s="170"/>
    </row>
    <row r="4968" spans="2:13" x14ac:dyDescent="0.2">
      <c r="B4968" s="173"/>
      <c r="C4968" s="703"/>
      <c r="D4968" s="690"/>
      <c r="E4968" s="690"/>
      <c r="F4968" s="690"/>
      <c r="G4968" s="690"/>
      <c r="H4968" s="690"/>
      <c r="I4968" s="690"/>
      <c r="J4968" s="690"/>
      <c r="K4968" s="690"/>
      <c r="L4968" s="704"/>
      <c r="M4968" s="170"/>
    </row>
    <row r="4969" spans="2:13" x14ac:dyDescent="0.2">
      <c r="B4969" s="173"/>
      <c r="C4969" s="703"/>
      <c r="D4969" s="690"/>
      <c r="E4969" s="690"/>
      <c r="F4969" s="690"/>
      <c r="G4969" s="690"/>
      <c r="H4969" s="690"/>
      <c r="I4969" s="690"/>
      <c r="J4969" s="690"/>
      <c r="K4969" s="690"/>
      <c r="L4969" s="704"/>
      <c r="M4969" s="170"/>
    </row>
    <row r="4970" spans="2:13" x14ac:dyDescent="0.2">
      <c r="B4970" s="173"/>
      <c r="C4970" s="703"/>
      <c r="D4970" s="690"/>
      <c r="E4970" s="690"/>
      <c r="F4970" s="690"/>
      <c r="G4970" s="690"/>
      <c r="H4970" s="690"/>
      <c r="I4970" s="690"/>
      <c r="J4970" s="690"/>
      <c r="K4970" s="690"/>
      <c r="L4970" s="704"/>
      <c r="M4970" s="170"/>
    </row>
    <row r="4971" spans="2:13" x14ac:dyDescent="0.2">
      <c r="B4971" s="173"/>
      <c r="C4971" s="703"/>
      <c r="D4971" s="690"/>
      <c r="E4971" s="690"/>
      <c r="F4971" s="690"/>
      <c r="G4971" s="690"/>
      <c r="H4971" s="690"/>
      <c r="I4971" s="690"/>
      <c r="J4971" s="690"/>
      <c r="K4971" s="690"/>
      <c r="L4971" s="704"/>
      <c r="M4971" s="170"/>
    </row>
    <row r="4972" spans="2:13" x14ac:dyDescent="0.2">
      <c r="B4972" s="173"/>
      <c r="C4972" s="703"/>
      <c r="D4972" s="690"/>
      <c r="E4972" s="690"/>
      <c r="F4972" s="690"/>
      <c r="G4972" s="690"/>
      <c r="H4972" s="690"/>
      <c r="I4972" s="690"/>
      <c r="J4972" s="690"/>
      <c r="K4972" s="690"/>
      <c r="L4972" s="704"/>
      <c r="M4972" s="170"/>
    </row>
    <row r="4973" spans="2:13" x14ac:dyDescent="0.2">
      <c r="B4973" s="173"/>
      <c r="C4973" s="703"/>
      <c r="D4973" s="690"/>
      <c r="E4973" s="690"/>
      <c r="F4973" s="690"/>
      <c r="G4973" s="690"/>
      <c r="H4973" s="690"/>
      <c r="I4973" s="690"/>
      <c r="J4973" s="690"/>
      <c r="K4973" s="690"/>
      <c r="L4973" s="704"/>
      <c r="M4973" s="170"/>
    </row>
    <row r="4974" spans="2:13" x14ac:dyDescent="0.2">
      <c r="B4974" s="173"/>
      <c r="C4974" s="703"/>
      <c r="D4974" s="690"/>
      <c r="E4974" s="690"/>
      <c r="F4974" s="690"/>
      <c r="G4974" s="690"/>
      <c r="H4974" s="690"/>
      <c r="I4974" s="690"/>
      <c r="J4974" s="690"/>
      <c r="K4974" s="690"/>
      <c r="L4974" s="704"/>
      <c r="M4974" s="170"/>
    </row>
    <row r="4975" spans="2:13" x14ac:dyDescent="0.2">
      <c r="B4975" s="173"/>
      <c r="C4975" s="703"/>
      <c r="D4975" s="690"/>
      <c r="E4975" s="690"/>
      <c r="F4975" s="690"/>
      <c r="G4975" s="690"/>
      <c r="H4975" s="690"/>
      <c r="I4975" s="690"/>
      <c r="J4975" s="690"/>
      <c r="K4975" s="690"/>
      <c r="L4975" s="704"/>
      <c r="M4975" s="170"/>
    </row>
    <row r="4976" spans="2:13" x14ac:dyDescent="0.2">
      <c r="B4976" s="173"/>
      <c r="C4976" s="703"/>
      <c r="D4976" s="690"/>
      <c r="E4976" s="690"/>
      <c r="F4976" s="690"/>
      <c r="G4976" s="690"/>
      <c r="H4976" s="690"/>
      <c r="I4976" s="690"/>
      <c r="J4976" s="690"/>
      <c r="K4976" s="690"/>
      <c r="L4976" s="704"/>
      <c r="M4976" s="170"/>
    </row>
    <row r="4977" spans="2:13" x14ac:dyDescent="0.2">
      <c r="B4977" s="173"/>
      <c r="C4977" s="703"/>
      <c r="D4977" s="690"/>
      <c r="E4977" s="690"/>
      <c r="F4977" s="690"/>
      <c r="G4977" s="690"/>
      <c r="H4977" s="690"/>
      <c r="I4977" s="690"/>
      <c r="J4977" s="690"/>
      <c r="K4977" s="690"/>
      <c r="L4977" s="704"/>
      <c r="M4977" s="170"/>
    </row>
    <row r="4978" spans="2:13" x14ac:dyDescent="0.2">
      <c r="B4978" s="173"/>
      <c r="C4978" s="703"/>
      <c r="D4978" s="690"/>
      <c r="E4978" s="690"/>
      <c r="F4978" s="690"/>
      <c r="G4978" s="690"/>
      <c r="H4978" s="690"/>
      <c r="I4978" s="690"/>
      <c r="J4978" s="690"/>
      <c r="K4978" s="690"/>
      <c r="L4978" s="704"/>
      <c r="M4978" s="170"/>
    </row>
    <row r="4979" spans="2:13" x14ac:dyDescent="0.2">
      <c r="B4979" s="173"/>
      <c r="C4979" s="703"/>
      <c r="D4979" s="690"/>
      <c r="E4979" s="690"/>
      <c r="F4979" s="690"/>
      <c r="G4979" s="690"/>
      <c r="H4979" s="690"/>
      <c r="I4979" s="690"/>
      <c r="J4979" s="690"/>
      <c r="K4979" s="690"/>
      <c r="L4979" s="704"/>
      <c r="M4979" s="170"/>
    </row>
    <row r="4980" spans="2:13" x14ac:dyDescent="0.2">
      <c r="B4980" s="173"/>
      <c r="C4980" s="703"/>
      <c r="D4980" s="690"/>
      <c r="E4980" s="690"/>
      <c r="F4980" s="690"/>
      <c r="G4980" s="690"/>
      <c r="H4980" s="690"/>
      <c r="I4980" s="690"/>
      <c r="J4980" s="690"/>
      <c r="K4980" s="690"/>
      <c r="L4980" s="704"/>
      <c r="M4980" s="170"/>
    </row>
    <row r="4981" spans="2:13" x14ac:dyDescent="0.2">
      <c r="B4981" s="173"/>
      <c r="C4981" s="703"/>
      <c r="D4981" s="690"/>
      <c r="E4981" s="690"/>
      <c r="F4981" s="690"/>
      <c r="G4981" s="690"/>
      <c r="H4981" s="690"/>
      <c r="I4981" s="690"/>
      <c r="J4981" s="690"/>
      <c r="K4981" s="690"/>
      <c r="L4981" s="704"/>
      <c r="M4981" s="170"/>
    </row>
    <row r="4982" spans="2:13" x14ac:dyDescent="0.2">
      <c r="B4982" s="173"/>
      <c r="C4982" s="703"/>
      <c r="D4982" s="690"/>
      <c r="E4982" s="690"/>
      <c r="F4982" s="690"/>
      <c r="G4982" s="690"/>
      <c r="H4982" s="690"/>
      <c r="I4982" s="690"/>
      <c r="J4982" s="690"/>
      <c r="K4982" s="690"/>
      <c r="L4982" s="704"/>
      <c r="M4982" s="170"/>
    </row>
    <row r="4983" spans="2:13" x14ac:dyDescent="0.2">
      <c r="B4983" s="173"/>
      <c r="C4983" s="703"/>
      <c r="D4983" s="690"/>
      <c r="E4983" s="690"/>
      <c r="F4983" s="690"/>
      <c r="G4983" s="690"/>
      <c r="H4983" s="690"/>
      <c r="I4983" s="690"/>
      <c r="J4983" s="690"/>
      <c r="K4983" s="690"/>
      <c r="L4983" s="704"/>
      <c r="M4983" s="170"/>
    </row>
    <row r="4984" spans="2:13" x14ac:dyDescent="0.2">
      <c r="B4984" s="173"/>
      <c r="C4984" s="703"/>
      <c r="D4984" s="690"/>
      <c r="E4984" s="690"/>
      <c r="F4984" s="690"/>
      <c r="G4984" s="690"/>
      <c r="H4984" s="690"/>
      <c r="I4984" s="690"/>
      <c r="J4984" s="690"/>
      <c r="K4984" s="690"/>
      <c r="L4984" s="704"/>
      <c r="M4984" s="170"/>
    </row>
    <row r="4985" spans="2:13" x14ac:dyDescent="0.2">
      <c r="B4985" s="173"/>
      <c r="C4985" s="703"/>
      <c r="D4985" s="690"/>
      <c r="E4985" s="690"/>
      <c r="F4985" s="690"/>
      <c r="G4985" s="690"/>
      <c r="H4985" s="690"/>
      <c r="I4985" s="690"/>
      <c r="J4985" s="690"/>
      <c r="K4985" s="690"/>
      <c r="L4985" s="704"/>
      <c r="M4985" s="170"/>
    </row>
    <row r="4986" spans="2:13" x14ac:dyDescent="0.2">
      <c r="B4986" s="173"/>
      <c r="C4986" s="703"/>
      <c r="D4986" s="690"/>
      <c r="E4986" s="690"/>
      <c r="F4986" s="690"/>
      <c r="G4986" s="690"/>
      <c r="H4986" s="690"/>
      <c r="I4986" s="690"/>
      <c r="J4986" s="690"/>
      <c r="K4986" s="690"/>
      <c r="L4986" s="704"/>
      <c r="M4986" s="170"/>
    </row>
    <row r="4987" spans="2:13" x14ac:dyDescent="0.2">
      <c r="B4987" s="173"/>
      <c r="C4987" s="703"/>
      <c r="D4987" s="690"/>
      <c r="E4987" s="690"/>
      <c r="F4987" s="690"/>
      <c r="G4987" s="690"/>
      <c r="H4987" s="690"/>
      <c r="I4987" s="690"/>
      <c r="J4987" s="690"/>
      <c r="K4987" s="690"/>
      <c r="L4987" s="704"/>
      <c r="M4987" s="170"/>
    </row>
    <row r="4988" spans="2:13" x14ac:dyDescent="0.2">
      <c r="B4988" s="173"/>
      <c r="C4988" s="703"/>
      <c r="D4988" s="690"/>
      <c r="E4988" s="690"/>
      <c r="F4988" s="690"/>
      <c r="G4988" s="690"/>
      <c r="H4988" s="690"/>
      <c r="I4988" s="690"/>
      <c r="J4988" s="690"/>
      <c r="K4988" s="690"/>
      <c r="L4988" s="704"/>
      <c r="M4988" s="170"/>
    </row>
    <row r="4989" spans="2:13" x14ac:dyDescent="0.2">
      <c r="B4989" s="173"/>
      <c r="C4989" s="703"/>
      <c r="D4989" s="690"/>
      <c r="E4989" s="690"/>
      <c r="F4989" s="690"/>
      <c r="G4989" s="690"/>
      <c r="H4989" s="690"/>
      <c r="I4989" s="690"/>
      <c r="J4989" s="690"/>
      <c r="K4989" s="690"/>
      <c r="L4989" s="704"/>
      <c r="M4989" s="170"/>
    </row>
    <row r="4990" spans="2:13" x14ac:dyDescent="0.2">
      <c r="B4990" s="173"/>
      <c r="C4990" s="703"/>
      <c r="D4990" s="690"/>
      <c r="E4990" s="690"/>
      <c r="F4990" s="690"/>
      <c r="G4990" s="690"/>
      <c r="H4990" s="690"/>
      <c r="I4990" s="690"/>
      <c r="J4990" s="690"/>
      <c r="K4990" s="690"/>
      <c r="L4990" s="704"/>
      <c r="M4990" s="170"/>
    </row>
    <row r="4991" spans="2:13" x14ac:dyDescent="0.2">
      <c r="B4991" s="173"/>
      <c r="C4991" s="703"/>
      <c r="D4991" s="690"/>
      <c r="E4991" s="690"/>
      <c r="F4991" s="690"/>
      <c r="G4991" s="690"/>
      <c r="H4991" s="690"/>
      <c r="I4991" s="690"/>
      <c r="J4991" s="690"/>
      <c r="K4991" s="690"/>
      <c r="L4991" s="704"/>
      <c r="M4991" s="170"/>
    </row>
    <row r="4992" spans="2:13" x14ac:dyDescent="0.2">
      <c r="B4992" s="173"/>
      <c r="C4992" s="703"/>
      <c r="D4992" s="690"/>
      <c r="E4992" s="690"/>
      <c r="F4992" s="690"/>
      <c r="G4992" s="690"/>
      <c r="H4992" s="690"/>
      <c r="I4992" s="690"/>
      <c r="J4992" s="690"/>
      <c r="K4992" s="690"/>
      <c r="L4992" s="704"/>
      <c r="M4992" s="170"/>
    </row>
    <row r="4993" spans="2:13" x14ac:dyDescent="0.2">
      <c r="B4993" s="173"/>
      <c r="C4993" s="703"/>
      <c r="D4993" s="690"/>
      <c r="E4993" s="690"/>
      <c r="F4993" s="690"/>
      <c r="G4993" s="690"/>
      <c r="H4993" s="690"/>
      <c r="I4993" s="690"/>
      <c r="J4993" s="690"/>
      <c r="K4993" s="690"/>
      <c r="L4993" s="704"/>
      <c r="M4993" s="170"/>
    </row>
    <row r="4994" spans="2:13" x14ac:dyDescent="0.2">
      <c r="B4994" s="173"/>
      <c r="C4994" s="703"/>
      <c r="D4994" s="690"/>
      <c r="E4994" s="690"/>
      <c r="F4994" s="690"/>
      <c r="G4994" s="690"/>
      <c r="H4994" s="690"/>
      <c r="I4994" s="690"/>
      <c r="J4994" s="690"/>
      <c r="K4994" s="690"/>
      <c r="L4994" s="704"/>
      <c r="M4994" s="170"/>
    </row>
    <row r="4995" spans="2:13" x14ac:dyDescent="0.2">
      <c r="B4995" s="173"/>
      <c r="C4995" s="703"/>
      <c r="D4995" s="690"/>
      <c r="E4995" s="690"/>
      <c r="F4995" s="690"/>
      <c r="G4995" s="690"/>
      <c r="H4995" s="690"/>
      <c r="I4995" s="690"/>
      <c r="J4995" s="690"/>
      <c r="K4995" s="690"/>
      <c r="L4995" s="704"/>
      <c r="M4995" s="170"/>
    </row>
    <row r="4996" spans="2:13" x14ac:dyDescent="0.2">
      <c r="B4996" s="173"/>
      <c r="C4996" s="703"/>
      <c r="D4996" s="690"/>
      <c r="E4996" s="690"/>
      <c r="F4996" s="690"/>
      <c r="G4996" s="690"/>
      <c r="H4996" s="690"/>
      <c r="I4996" s="690"/>
      <c r="J4996" s="690"/>
      <c r="K4996" s="690"/>
      <c r="L4996" s="704"/>
      <c r="M4996" s="170"/>
    </row>
    <row r="4997" spans="2:13" x14ac:dyDescent="0.2">
      <c r="B4997" s="173"/>
      <c r="C4997" s="703"/>
      <c r="D4997" s="690"/>
      <c r="E4997" s="690"/>
      <c r="F4997" s="690"/>
      <c r="G4997" s="690"/>
      <c r="H4997" s="690"/>
      <c r="I4997" s="690"/>
      <c r="J4997" s="690"/>
      <c r="K4997" s="690"/>
      <c r="L4997" s="704"/>
      <c r="M4997" s="170"/>
    </row>
    <row r="4998" spans="2:13" x14ac:dyDescent="0.2">
      <c r="B4998" s="173"/>
      <c r="C4998" s="703"/>
      <c r="D4998" s="690"/>
      <c r="E4998" s="690"/>
      <c r="F4998" s="690"/>
      <c r="G4998" s="690"/>
      <c r="H4998" s="690"/>
      <c r="I4998" s="690"/>
      <c r="J4998" s="690"/>
      <c r="K4998" s="690"/>
      <c r="L4998" s="704"/>
      <c r="M4998" s="170"/>
    </row>
    <row r="4999" spans="2:13" x14ac:dyDescent="0.2">
      <c r="B4999" s="173"/>
      <c r="C4999" s="703"/>
      <c r="D4999" s="690"/>
      <c r="E4999" s="690"/>
      <c r="F4999" s="690"/>
      <c r="G4999" s="690"/>
      <c r="H4999" s="690"/>
      <c r="I4999" s="690"/>
      <c r="J4999" s="690"/>
      <c r="K4999" s="690"/>
      <c r="L4999" s="704"/>
      <c r="M4999" s="170"/>
    </row>
    <row r="5000" spans="2:13" x14ac:dyDescent="0.2">
      <c r="B5000" s="173"/>
      <c r="C5000" s="703"/>
      <c r="D5000" s="690"/>
      <c r="E5000" s="690"/>
      <c r="F5000" s="690"/>
      <c r="G5000" s="690"/>
      <c r="H5000" s="690"/>
      <c r="I5000" s="690"/>
      <c r="J5000" s="690"/>
      <c r="K5000" s="690"/>
      <c r="L5000" s="704"/>
      <c r="M5000" s="170"/>
    </row>
    <row r="5001" spans="2:13" x14ac:dyDescent="0.2">
      <c r="B5001" s="173"/>
      <c r="C5001" s="703"/>
      <c r="D5001" s="690"/>
      <c r="E5001" s="690"/>
      <c r="F5001" s="690"/>
      <c r="G5001" s="690"/>
      <c r="H5001" s="690"/>
      <c r="I5001" s="690"/>
      <c r="J5001" s="690"/>
      <c r="K5001" s="690"/>
      <c r="L5001" s="704"/>
      <c r="M5001" s="170"/>
    </row>
    <row r="5002" spans="2:13" x14ac:dyDescent="0.2">
      <c r="B5002" s="173"/>
      <c r="C5002" s="703"/>
      <c r="D5002" s="690"/>
      <c r="E5002" s="690"/>
      <c r="F5002" s="690"/>
      <c r="G5002" s="690"/>
      <c r="H5002" s="690"/>
      <c r="I5002" s="690"/>
      <c r="J5002" s="690"/>
      <c r="K5002" s="690"/>
      <c r="L5002" s="704"/>
      <c r="M5002" s="170"/>
    </row>
    <row r="5003" spans="2:13" x14ac:dyDescent="0.2">
      <c r="B5003" s="173"/>
      <c r="C5003" s="703"/>
      <c r="D5003" s="690"/>
      <c r="E5003" s="690"/>
      <c r="F5003" s="690"/>
      <c r="G5003" s="690"/>
      <c r="H5003" s="690"/>
      <c r="I5003" s="690"/>
      <c r="J5003" s="690"/>
      <c r="K5003" s="690"/>
      <c r="L5003" s="704"/>
      <c r="M5003" s="170"/>
    </row>
    <row r="5004" spans="2:13" x14ac:dyDescent="0.2">
      <c r="B5004" s="173"/>
      <c r="C5004" s="703"/>
      <c r="D5004" s="690"/>
      <c r="E5004" s="690"/>
      <c r="F5004" s="690"/>
      <c r="G5004" s="690"/>
      <c r="H5004" s="690"/>
      <c r="I5004" s="690"/>
      <c r="J5004" s="690"/>
      <c r="K5004" s="690"/>
      <c r="L5004" s="704"/>
      <c r="M5004" s="170"/>
    </row>
    <row r="5005" spans="2:13" x14ac:dyDescent="0.2">
      <c r="B5005" s="173"/>
      <c r="C5005" s="703"/>
      <c r="D5005" s="690"/>
      <c r="E5005" s="690"/>
      <c r="F5005" s="690"/>
      <c r="G5005" s="690"/>
      <c r="H5005" s="690"/>
      <c r="I5005" s="690"/>
      <c r="J5005" s="690"/>
      <c r="K5005" s="690"/>
      <c r="L5005" s="704"/>
      <c r="M5005" s="170"/>
    </row>
    <row r="5006" spans="2:13" x14ac:dyDescent="0.2">
      <c r="B5006" s="173"/>
      <c r="C5006" s="703"/>
      <c r="D5006" s="690"/>
      <c r="E5006" s="690"/>
      <c r="F5006" s="690"/>
      <c r="G5006" s="690"/>
      <c r="H5006" s="690"/>
      <c r="I5006" s="690"/>
      <c r="J5006" s="690"/>
      <c r="K5006" s="690"/>
      <c r="L5006" s="704"/>
      <c r="M5006" s="170"/>
    </row>
    <row r="5007" spans="2:13" x14ac:dyDescent="0.2">
      <c r="B5007" s="173"/>
      <c r="C5007" s="703"/>
      <c r="D5007" s="690"/>
      <c r="E5007" s="690"/>
      <c r="F5007" s="690"/>
      <c r="G5007" s="690"/>
      <c r="H5007" s="690"/>
      <c r="I5007" s="690"/>
      <c r="J5007" s="690"/>
      <c r="K5007" s="690"/>
      <c r="L5007" s="704"/>
      <c r="M5007" s="170"/>
    </row>
    <row r="5008" spans="2:13" x14ac:dyDescent="0.2">
      <c r="B5008" s="173"/>
      <c r="C5008" s="703"/>
      <c r="D5008" s="690"/>
      <c r="E5008" s="690"/>
      <c r="F5008" s="690"/>
      <c r="G5008" s="690"/>
      <c r="H5008" s="690"/>
      <c r="I5008" s="690"/>
      <c r="J5008" s="690"/>
      <c r="K5008" s="690"/>
      <c r="L5008" s="704"/>
      <c r="M5008" s="170"/>
    </row>
    <row r="5009" spans="2:13" x14ac:dyDescent="0.2">
      <c r="B5009" s="173"/>
      <c r="C5009" s="703"/>
      <c r="D5009" s="690"/>
      <c r="E5009" s="690"/>
      <c r="F5009" s="690"/>
      <c r="G5009" s="690"/>
      <c r="H5009" s="690"/>
      <c r="I5009" s="690"/>
      <c r="J5009" s="690"/>
      <c r="K5009" s="690"/>
      <c r="L5009" s="704"/>
      <c r="M5009" s="170"/>
    </row>
    <row r="5010" spans="2:13" x14ac:dyDescent="0.2">
      <c r="B5010" s="173"/>
      <c r="C5010" s="703"/>
      <c r="D5010" s="690"/>
      <c r="E5010" s="690"/>
      <c r="F5010" s="690"/>
      <c r="G5010" s="690"/>
      <c r="H5010" s="690"/>
      <c r="I5010" s="690"/>
      <c r="J5010" s="690"/>
      <c r="K5010" s="690"/>
      <c r="L5010" s="704"/>
      <c r="M5010" s="170"/>
    </row>
    <row r="5011" spans="2:13" x14ac:dyDescent="0.2">
      <c r="B5011" s="173"/>
      <c r="C5011" s="703"/>
      <c r="D5011" s="690"/>
      <c r="E5011" s="690"/>
      <c r="F5011" s="690"/>
      <c r="G5011" s="690"/>
      <c r="H5011" s="690"/>
      <c r="I5011" s="690"/>
      <c r="J5011" s="690"/>
      <c r="K5011" s="690"/>
      <c r="L5011" s="704"/>
      <c r="M5011" s="170"/>
    </row>
    <row r="5012" spans="2:13" x14ac:dyDescent="0.2">
      <c r="B5012" s="173"/>
      <c r="C5012" s="703"/>
      <c r="D5012" s="690"/>
      <c r="E5012" s="690"/>
      <c r="F5012" s="690"/>
      <c r="G5012" s="690"/>
      <c r="H5012" s="690"/>
      <c r="I5012" s="690"/>
      <c r="J5012" s="690"/>
      <c r="K5012" s="690"/>
      <c r="L5012" s="704"/>
      <c r="M5012" s="170"/>
    </row>
    <row r="5013" spans="2:13" x14ac:dyDescent="0.2">
      <c r="B5013" s="173"/>
      <c r="C5013" s="703"/>
      <c r="D5013" s="690"/>
      <c r="E5013" s="690"/>
      <c r="F5013" s="690"/>
      <c r="G5013" s="690"/>
      <c r="H5013" s="690"/>
      <c r="I5013" s="690"/>
      <c r="J5013" s="690"/>
      <c r="K5013" s="690"/>
      <c r="L5013" s="704"/>
      <c r="M5013" s="170"/>
    </row>
    <row r="5014" spans="2:13" x14ac:dyDescent="0.2">
      <c r="B5014" s="173"/>
      <c r="C5014" s="703"/>
      <c r="D5014" s="690"/>
      <c r="E5014" s="690"/>
      <c r="F5014" s="690"/>
      <c r="G5014" s="690"/>
      <c r="H5014" s="690"/>
      <c r="I5014" s="690"/>
      <c r="J5014" s="690"/>
      <c r="K5014" s="690"/>
      <c r="L5014" s="704"/>
      <c r="M5014" s="170"/>
    </row>
    <row r="5015" spans="2:13" x14ac:dyDescent="0.2">
      <c r="B5015" s="173"/>
      <c r="C5015" s="703"/>
      <c r="D5015" s="690"/>
      <c r="E5015" s="690"/>
      <c r="F5015" s="690"/>
      <c r="G5015" s="690"/>
      <c r="H5015" s="690"/>
      <c r="I5015" s="690"/>
      <c r="J5015" s="690"/>
      <c r="K5015" s="690"/>
      <c r="L5015" s="704"/>
      <c r="M5015" s="170"/>
    </row>
    <row r="5016" spans="2:13" x14ac:dyDescent="0.2">
      <c r="B5016" s="173"/>
      <c r="C5016" s="703"/>
      <c r="D5016" s="690"/>
      <c r="E5016" s="690"/>
      <c r="F5016" s="690"/>
      <c r="G5016" s="690"/>
      <c r="H5016" s="690"/>
      <c r="I5016" s="690"/>
      <c r="J5016" s="690"/>
      <c r="K5016" s="690"/>
      <c r="L5016" s="704"/>
      <c r="M5016" s="170"/>
    </row>
    <row r="5017" spans="2:13" x14ac:dyDescent="0.2">
      <c r="B5017" s="173"/>
      <c r="C5017" s="703"/>
      <c r="D5017" s="690"/>
      <c r="E5017" s="690"/>
      <c r="F5017" s="690"/>
      <c r="G5017" s="690"/>
      <c r="H5017" s="690"/>
      <c r="I5017" s="690"/>
      <c r="J5017" s="690"/>
      <c r="K5017" s="690"/>
      <c r="L5017" s="704"/>
      <c r="M5017" s="170"/>
    </row>
    <row r="5018" spans="2:13" x14ac:dyDescent="0.2">
      <c r="B5018" s="173"/>
      <c r="C5018" s="703"/>
      <c r="D5018" s="690"/>
      <c r="E5018" s="690"/>
      <c r="F5018" s="690"/>
      <c r="G5018" s="690"/>
      <c r="H5018" s="690"/>
      <c r="I5018" s="690"/>
      <c r="J5018" s="690"/>
      <c r="K5018" s="690"/>
      <c r="L5018" s="704"/>
      <c r="M5018" s="170"/>
    </row>
    <row r="5019" spans="2:13" x14ac:dyDescent="0.2">
      <c r="B5019" s="173"/>
      <c r="C5019" s="703"/>
      <c r="D5019" s="690"/>
      <c r="E5019" s="690"/>
      <c r="F5019" s="690"/>
      <c r="G5019" s="690"/>
      <c r="H5019" s="690"/>
      <c r="I5019" s="690"/>
      <c r="J5019" s="690"/>
      <c r="K5019" s="690"/>
      <c r="L5019" s="704"/>
      <c r="M5019" s="170"/>
    </row>
    <row r="5020" spans="2:13" x14ac:dyDescent="0.2">
      <c r="B5020" s="173"/>
      <c r="C5020" s="703"/>
      <c r="D5020" s="690"/>
      <c r="E5020" s="690"/>
      <c r="F5020" s="690"/>
      <c r="G5020" s="690"/>
      <c r="H5020" s="690"/>
      <c r="I5020" s="690"/>
      <c r="J5020" s="690"/>
      <c r="K5020" s="690"/>
      <c r="L5020" s="704"/>
      <c r="M5020" s="170"/>
    </row>
    <row r="5021" spans="2:13" x14ac:dyDescent="0.2">
      <c r="B5021" s="173"/>
      <c r="C5021" s="703"/>
      <c r="D5021" s="690"/>
      <c r="E5021" s="690"/>
      <c r="F5021" s="690"/>
      <c r="G5021" s="690"/>
      <c r="H5021" s="690"/>
      <c r="I5021" s="690"/>
      <c r="J5021" s="690"/>
      <c r="K5021" s="690"/>
      <c r="L5021" s="704"/>
      <c r="M5021" s="170"/>
    </row>
    <row r="5022" spans="2:13" x14ac:dyDescent="0.2">
      <c r="B5022" s="173"/>
      <c r="C5022" s="703"/>
      <c r="D5022" s="690"/>
      <c r="E5022" s="690"/>
      <c r="F5022" s="690"/>
      <c r="G5022" s="690"/>
      <c r="H5022" s="690"/>
      <c r="I5022" s="690"/>
      <c r="J5022" s="690"/>
      <c r="K5022" s="690"/>
      <c r="L5022" s="704"/>
      <c r="M5022" s="170"/>
    </row>
    <row r="5023" spans="2:13" x14ac:dyDescent="0.2">
      <c r="B5023" s="173"/>
      <c r="C5023" s="703"/>
      <c r="D5023" s="690"/>
      <c r="E5023" s="690"/>
      <c r="F5023" s="690"/>
      <c r="G5023" s="690"/>
      <c r="H5023" s="690"/>
      <c r="I5023" s="690"/>
      <c r="J5023" s="690"/>
      <c r="K5023" s="690"/>
      <c r="L5023" s="704"/>
      <c r="M5023" s="170"/>
    </row>
    <row r="5024" spans="2:13" x14ac:dyDescent="0.2">
      <c r="B5024" s="173"/>
      <c r="C5024" s="703"/>
      <c r="D5024" s="690"/>
      <c r="E5024" s="690"/>
      <c r="F5024" s="690"/>
      <c r="G5024" s="690"/>
      <c r="H5024" s="690"/>
      <c r="I5024" s="690"/>
      <c r="J5024" s="690"/>
      <c r="K5024" s="690"/>
      <c r="L5024" s="704"/>
      <c r="M5024" s="170"/>
    </row>
    <row r="5025" spans="2:13" x14ac:dyDescent="0.2">
      <c r="B5025" s="173"/>
      <c r="C5025" s="703"/>
      <c r="D5025" s="690"/>
      <c r="E5025" s="690"/>
      <c r="F5025" s="690"/>
      <c r="G5025" s="690"/>
      <c r="H5025" s="690"/>
      <c r="I5025" s="690"/>
      <c r="J5025" s="690"/>
      <c r="K5025" s="690"/>
      <c r="L5025" s="704"/>
      <c r="M5025" s="170"/>
    </row>
    <row r="5026" spans="2:13" x14ac:dyDescent="0.2">
      <c r="B5026" s="173"/>
      <c r="C5026" s="703"/>
      <c r="D5026" s="690"/>
      <c r="E5026" s="690"/>
      <c r="F5026" s="690"/>
      <c r="G5026" s="690"/>
      <c r="H5026" s="690"/>
      <c r="I5026" s="690"/>
      <c r="J5026" s="690"/>
      <c r="K5026" s="690"/>
      <c r="L5026" s="704"/>
      <c r="M5026" s="170"/>
    </row>
    <row r="5027" spans="2:13" x14ac:dyDescent="0.2">
      <c r="B5027" s="173"/>
      <c r="C5027" s="703"/>
      <c r="D5027" s="690"/>
      <c r="E5027" s="690"/>
      <c r="F5027" s="690"/>
      <c r="G5027" s="690"/>
      <c r="H5027" s="690"/>
      <c r="I5027" s="690"/>
      <c r="J5027" s="690"/>
      <c r="K5027" s="690"/>
      <c r="L5027" s="704"/>
      <c r="M5027" s="170"/>
    </row>
    <row r="5028" spans="2:13" x14ac:dyDescent="0.2">
      <c r="B5028" s="173"/>
      <c r="C5028" s="703"/>
      <c r="D5028" s="690"/>
      <c r="E5028" s="690"/>
      <c r="F5028" s="690"/>
      <c r="G5028" s="690"/>
      <c r="H5028" s="690"/>
      <c r="I5028" s="690"/>
      <c r="J5028" s="690"/>
      <c r="K5028" s="690"/>
      <c r="L5028" s="704"/>
      <c r="M5028" s="170"/>
    </row>
    <row r="5029" spans="2:13" x14ac:dyDescent="0.2">
      <c r="B5029" s="173"/>
      <c r="C5029" s="703"/>
      <c r="D5029" s="690"/>
      <c r="E5029" s="690"/>
      <c r="F5029" s="690"/>
      <c r="G5029" s="690"/>
      <c r="H5029" s="690"/>
      <c r="I5029" s="690"/>
      <c r="J5029" s="690"/>
      <c r="K5029" s="690"/>
      <c r="L5029" s="704"/>
      <c r="M5029" s="170"/>
    </row>
    <row r="5030" spans="2:13" x14ac:dyDescent="0.2">
      <c r="B5030" s="173"/>
      <c r="C5030" s="703"/>
      <c r="D5030" s="690"/>
      <c r="E5030" s="690"/>
      <c r="F5030" s="690"/>
      <c r="G5030" s="690"/>
      <c r="H5030" s="690"/>
      <c r="I5030" s="690"/>
      <c r="J5030" s="690"/>
      <c r="K5030" s="690"/>
      <c r="L5030" s="704"/>
      <c r="M5030" s="170"/>
    </row>
    <row r="5031" spans="2:13" x14ac:dyDescent="0.2">
      <c r="B5031" s="173"/>
      <c r="C5031" s="703"/>
      <c r="D5031" s="690"/>
      <c r="E5031" s="690"/>
      <c r="F5031" s="690"/>
      <c r="G5031" s="690"/>
      <c r="H5031" s="690"/>
      <c r="I5031" s="690"/>
      <c r="J5031" s="690"/>
      <c r="K5031" s="690"/>
      <c r="L5031" s="704"/>
      <c r="M5031" s="170"/>
    </row>
    <row r="5032" spans="2:13" x14ac:dyDescent="0.2">
      <c r="B5032" s="173"/>
      <c r="C5032" s="703"/>
      <c r="D5032" s="690"/>
      <c r="E5032" s="690"/>
      <c r="F5032" s="690"/>
      <c r="G5032" s="690"/>
      <c r="H5032" s="690"/>
      <c r="I5032" s="690"/>
      <c r="J5032" s="690"/>
      <c r="K5032" s="690"/>
      <c r="L5032" s="704"/>
      <c r="M5032" s="170"/>
    </row>
    <row r="5033" spans="2:13" x14ac:dyDescent="0.2">
      <c r="B5033" s="173"/>
      <c r="C5033" s="703"/>
      <c r="D5033" s="690"/>
      <c r="E5033" s="690"/>
      <c r="F5033" s="690"/>
      <c r="G5033" s="690"/>
      <c r="H5033" s="690"/>
      <c r="I5033" s="690"/>
      <c r="J5033" s="690"/>
      <c r="K5033" s="690"/>
      <c r="L5033" s="704"/>
      <c r="M5033" s="170"/>
    </row>
    <row r="5034" spans="2:13" x14ac:dyDescent="0.2">
      <c r="B5034" s="173"/>
      <c r="C5034" s="703"/>
      <c r="D5034" s="690"/>
      <c r="E5034" s="690"/>
      <c r="F5034" s="690"/>
      <c r="G5034" s="690"/>
      <c r="H5034" s="690"/>
      <c r="I5034" s="690"/>
      <c r="J5034" s="690"/>
      <c r="K5034" s="690"/>
      <c r="L5034" s="704"/>
      <c r="M5034" s="170"/>
    </row>
    <row r="5035" spans="2:13" x14ac:dyDescent="0.2">
      <c r="B5035" s="173"/>
      <c r="C5035" s="703"/>
      <c r="D5035" s="690"/>
      <c r="E5035" s="690"/>
      <c r="F5035" s="690"/>
      <c r="G5035" s="690"/>
      <c r="H5035" s="690"/>
      <c r="I5035" s="690"/>
      <c r="J5035" s="690"/>
      <c r="K5035" s="690"/>
      <c r="L5035" s="704"/>
      <c r="M5035" s="170"/>
    </row>
    <row r="5036" spans="2:13" x14ac:dyDescent="0.2">
      <c r="B5036" s="173"/>
      <c r="C5036" s="703"/>
      <c r="D5036" s="690"/>
      <c r="E5036" s="690"/>
      <c r="F5036" s="690"/>
      <c r="G5036" s="690"/>
      <c r="H5036" s="690"/>
      <c r="I5036" s="690"/>
      <c r="J5036" s="690"/>
      <c r="K5036" s="690"/>
      <c r="L5036" s="704"/>
      <c r="M5036" s="170"/>
    </row>
    <row r="5037" spans="2:13" x14ac:dyDescent="0.2">
      <c r="B5037" s="173"/>
      <c r="C5037" s="703"/>
      <c r="D5037" s="690"/>
      <c r="E5037" s="690"/>
      <c r="F5037" s="690"/>
      <c r="G5037" s="690"/>
      <c r="H5037" s="690"/>
      <c r="I5037" s="690"/>
      <c r="J5037" s="690"/>
      <c r="K5037" s="690"/>
      <c r="L5037" s="704"/>
      <c r="M5037" s="170"/>
    </row>
    <row r="5038" spans="2:13" x14ac:dyDescent="0.2">
      <c r="B5038" s="173"/>
      <c r="C5038" s="703"/>
      <c r="D5038" s="690"/>
      <c r="E5038" s="690"/>
      <c r="F5038" s="690"/>
      <c r="G5038" s="690"/>
      <c r="H5038" s="690"/>
      <c r="I5038" s="690"/>
      <c r="J5038" s="690"/>
      <c r="K5038" s="690"/>
      <c r="L5038" s="704"/>
      <c r="M5038" s="170"/>
    </row>
    <row r="5039" spans="2:13" x14ac:dyDescent="0.2">
      <c r="B5039" s="173"/>
      <c r="C5039" s="703"/>
      <c r="D5039" s="690"/>
      <c r="E5039" s="690"/>
      <c r="F5039" s="690"/>
      <c r="G5039" s="690"/>
      <c r="H5039" s="690"/>
      <c r="I5039" s="690"/>
      <c r="J5039" s="690"/>
      <c r="K5039" s="690"/>
      <c r="L5039" s="704"/>
      <c r="M5039" s="170"/>
    </row>
    <row r="5040" spans="2:13" x14ac:dyDescent="0.2">
      <c r="B5040" s="173"/>
      <c r="C5040" s="703"/>
      <c r="D5040" s="690"/>
      <c r="E5040" s="690"/>
      <c r="F5040" s="690"/>
      <c r="G5040" s="690"/>
      <c r="H5040" s="690"/>
      <c r="I5040" s="690"/>
      <c r="J5040" s="690"/>
      <c r="K5040" s="690"/>
      <c r="L5040" s="704"/>
      <c r="M5040" s="170"/>
    </row>
    <row r="5041" spans="2:13" x14ac:dyDescent="0.2">
      <c r="B5041" s="173"/>
      <c r="C5041" s="703"/>
      <c r="D5041" s="690"/>
      <c r="E5041" s="690"/>
      <c r="F5041" s="690"/>
      <c r="G5041" s="690"/>
      <c r="H5041" s="690"/>
      <c r="I5041" s="690"/>
      <c r="J5041" s="690"/>
      <c r="K5041" s="690"/>
      <c r="L5041" s="704"/>
      <c r="M5041" s="170"/>
    </row>
    <row r="5042" spans="2:13" x14ac:dyDescent="0.2">
      <c r="B5042" s="173"/>
      <c r="C5042" s="703"/>
      <c r="D5042" s="690"/>
      <c r="E5042" s="690"/>
      <c r="F5042" s="690"/>
      <c r="G5042" s="690"/>
      <c r="H5042" s="690"/>
      <c r="I5042" s="690"/>
      <c r="J5042" s="690"/>
      <c r="K5042" s="690"/>
      <c r="L5042" s="704"/>
      <c r="M5042" s="170"/>
    </row>
    <row r="5043" spans="2:13" x14ac:dyDescent="0.2">
      <c r="B5043" s="173"/>
      <c r="C5043" s="703"/>
      <c r="D5043" s="690"/>
      <c r="E5043" s="690"/>
      <c r="F5043" s="690"/>
      <c r="G5043" s="690"/>
      <c r="H5043" s="690"/>
      <c r="I5043" s="690"/>
      <c r="J5043" s="690"/>
      <c r="K5043" s="690"/>
      <c r="L5043" s="704"/>
      <c r="M5043" s="170"/>
    </row>
    <row r="5044" spans="2:13" x14ac:dyDescent="0.2">
      <c r="B5044" s="173"/>
      <c r="C5044" s="703"/>
      <c r="D5044" s="690"/>
      <c r="E5044" s="690"/>
      <c r="F5044" s="690"/>
      <c r="G5044" s="690"/>
      <c r="H5044" s="690"/>
      <c r="I5044" s="690"/>
      <c r="J5044" s="690"/>
      <c r="K5044" s="690"/>
      <c r="L5044" s="704"/>
      <c r="M5044" s="170"/>
    </row>
    <row r="5045" spans="2:13" x14ac:dyDescent="0.2">
      <c r="B5045" s="173"/>
      <c r="C5045" s="703"/>
      <c r="D5045" s="690"/>
      <c r="E5045" s="690"/>
      <c r="F5045" s="690"/>
      <c r="G5045" s="690"/>
      <c r="H5045" s="690"/>
      <c r="I5045" s="690"/>
      <c r="J5045" s="690"/>
      <c r="K5045" s="690"/>
      <c r="L5045" s="704"/>
      <c r="M5045" s="170"/>
    </row>
    <row r="5046" spans="2:13" x14ac:dyDescent="0.2">
      <c r="B5046" s="173"/>
      <c r="C5046" s="703"/>
      <c r="D5046" s="690"/>
      <c r="E5046" s="690"/>
      <c r="F5046" s="690"/>
      <c r="G5046" s="690"/>
      <c r="H5046" s="690"/>
      <c r="I5046" s="690"/>
      <c r="J5046" s="690"/>
      <c r="K5046" s="690"/>
      <c r="L5046" s="704"/>
      <c r="M5046" s="170"/>
    </row>
    <row r="5047" spans="2:13" x14ac:dyDescent="0.2">
      <c r="B5047" s="173"/>
      <c r="C5047" s="703"/>
      <c r="D5047" s="690"/>
      <c r="E5047" s="690"/>
      <c r="F5047" s="690"/>
      <c r="G5047" s="690"/>
      <c r="H5047" s="690"/>
      <c r="I5047" s="690"/>
      <c r="J5047" s="690"/>
      <c r="K5047" s="690"/>
      <c r="L5047" s="704"/>
      <c r="M5047" s="170"/>
    </row>
    <row r="5048" spans="2:13" x14ac:dyDescent="0.2">
      <c r="B5048" s="173"/>
      <c r="C5048" s="703"/>
      <c r="D5048" s="690"/>
      <c r="E5048" s="690"/>
      <c r="F5048" s="690"/>
      <c r="G5048" s="690"/>
      <c r="H5048" s="690"/>
      <c r="I5048" s="690"/>
      <c r="J5048" s="690"/>
      <c r="K5048" s="690"/>
      <c r="L5048" s="704"/>
      <c r="M5048" s="170"/>
    </row>
    <row r="5049" spans="2:13" x14ac:dyDescent="0.2">
      <c r="B5049" s="173"/>
      <c r="C5049" s="703"/>
      <c r="D5049" s="690"/>
      <c r="E5049" s="690"/>
      <c r="F5049" s="690"/>
      <c r="G5049" s="690"/>
      <c r="H5049" s="690"/>
      <c r="I5049" s="690"/>
      <c r="J5049" s="690"/>
      <c r="K5049" s="690"/>
      <c r="L5049" s="704"/>
      <c r="M5049" s="170"/>
    </row>
    <row r="5050" spans="2:13" x14ac:dyDescent="0.2">
      <c r="B5050" s="173"/>
      <c r="C5050" s="703"/>
      <c r="D5050" s="690"/>
      <c r="E5050" s="690"/>
      <c r="F5050" s="690"/>
      <c r="G5050" s="690"/>
      <c r="H5050" s="690"/>
      <c r="I5050" s="690"/>
      <c r="J5050" s="690"/>
      <c r="K5050" s="690"/>
      <c r="L5050" s="704"/>
      <c r="M5050" s="170"/>
    </row>
    <row r="5051" spans="2:13" x14ac:dyDescent="0.2">
      <c r="B5051" s="173"/>
      <c r="C5051" s="703"/>
      <c r="D5051" s="690"/>
      <c r="E5051" s="690"/>
      <c r="F5051" s="690"/>
      <c r="G5051" s="690"/>
      <c r="H5051" s="690"/>
      <c r="I5051" s="690"/>
      <c r="J5051" s="690"/>
      <c r="K5051" s="690"/>
      <c r="L5051" s="704"/>
      <c r="M5051" s="170"/>
    </row>
    <row r="5052" spans="2:13" x14ac:dyDescent="0.2">
      <c r="B5052" s="173"/>
      <c r="C5052" s="703"/>
      <c r="D5052" s="690"/>
      <c r="E5052" s="690"/>
      <c r="F5052" s="690"/>
      <c r="G5052" s="690"/>
      <c r="H5052" s="690"/>
      <c r="I5052" s="690"/>
      <c r="J5052" s="690"/>
      <c r="K5052" s="690"/>
      <c r="L5052" s="704"/>
      <c r="M5052" s="170"/>
    </row>
    <row r="5053" spans="2:13" x14ac:dyDescent="0.2">
      <c r="B5053" s="173"/>
      <c r="C5053" s="703"/>
      <c r="D5053" s="690"/>
      <c r="E5053" s="690"/>
      <c r="F5053" s="690"/>
      <c r="G5053" s="690"/>
      <c r="H5053" s="690"/>
      <c r="I5053" s="690"/>
      <c r="J5053" s="690"/>
      <c r="K5053" s="690"/>
      <c r="L5053" s="704"/>
      <c r="M5053" s="170"/>
    </row>
    <row r="5054" spans="2:13" x14ac:dyDescent="0.2">
      <c r="B5054" s="173"/>
      <c r="C5054" s="703"/>
      <c r="D5054" s="690"/>
      <c r="E5054" s="690"/>
      <c r="F5054" s="690"/>
      <c r="G5054" s="690"/>
      <c r="H5054" s="690"/>
      <c r="I5054" s="690"/>
      <c r="J5054" s="690"/>
      <c r="K5054" s="690"/>
      <c r="L5054" s="704"/>
      <c r="M5054" s="170"/>
    </row>
    <row r="5055" spans="2:13" x14ac:dyDescent="0.2">
      <c r="B5055" s="173"/>
      <c r="C5055" s="703"/>
      <c r="D5055" s="690"/>
      <c r="E5055" s="690"/>
      <c r="F5055" s="690"/>
      <c r="G5055" s="690"/>
      <c r="H5055" s="690"/>
      <c r="I5055" s="690"/>
      <c r="J5055" s="690"/>
      <c r="K5055" s="690"/>
      <c r="L5055" s="704"/>
      <c r="M5055" s="170"/>
    </row>
    <row r="5056" spans="2:13" x14ac:dyDescent="0.2">
      <c r="B5056" s="173"/>
      <c r="C5056" s="703"/>
      <c r="D5056" s="690"/>
      <c r="E5056" s="690"/>
      <c r="F5056" s="690"/>
      <c r="G5056" s="690"/>
      <c r="H5056" s="690"/>
      <c r="I5056" s="690"/>
      <c r="J5056" s="690"/>
      <c r="K5056" s="690"/>
      <c r="L5056" s="704"/>
      <c r="M5056" s="170"/>
    </row>
    <row r="5057" spans="2:13" x14ac:dyDescent="0.2">
      <c r="B5057" s="173"/>
      <c r="C5057" s="703"/>
      <c r="D5057" s="690"/>
      <c r="E5057" s="690"/>
      <c r="F5057" s="690"/>
      <c r="G5057" s="690"/>
      <c r="H5057" s="690"/>
      <c r="I5057" s="690"/>
      <c r="J5057" s="690"/>
      <c r="K5057" s="690"/>
      <c r="L5057" s="704"/>
      <c r="M5057" s="170"/>
    </row>
    <row r="5058" spans="2:13" x14ac:dyDescent="0.2">
      <c r="B5058" s="173"/>
      <c r="C5058" s="703"/>
      <c r="D5058" s="690"/>
      <c r="E5058" s="690"/>
      <c r="F5058" s="690"/>
      <c r="G5058" s="690"/>
      <c r="H5058" s="690"/>
      <c r="I5058" s="690"/>
      <c r="J5058" s="690"/>
      <c r="K5058" s="690"/>
      <c r="L5058" s="704"/>
      <c r="M5058" s="170"/>
    </row>
    <row r="5059" spans="2:13" x14ac:dyDescent="0.2">
      <c r="B5059" s="173"/>
      <c r="C5059" s="703"/>
      <c r="D5059" s="690"/>
      <c r="E5059" s="690"/>
      <c r="F5059" s="690"/>
      <c r="G5059" s="690"/>
      <c r="H5059" s="690"/>
      <c r="I5059" s="690"/>
      <c r="J5059" s="690"/>
      <c r="K5059" s="690"/>
      <c r="L5059" s="704"/>
      <c r="M5059" s="170"/>
    </row>
    <row r="5060" spans="2:13" x14ac:dyDescent="0.2">
      <c r="B5060" s="173"/>
      <c r="C5060" s="703"/>
      <c r="D5060" s="690"/>
      <c r="E5060" s="690"/>
      <c r="F5060" s="690"/>
      <c r="G5060" s="690"/>
      <c r="H5060" s="690"/>
      <c r="I5060" s="690"/>
      <c r="J5060" s="690"/>
      <c r="K5060" s="690"/>
      <c r="L5060" s="704"/>
      <c r="M5060" s="170"/>
    </row>
    <row r="5061" spans="2:13" x14ac:dyDescent="0.2">
      <c r="B5061" s="173"/>
      <c r="C5061" s="703"/>
      <c r="D5061" s="690"/>
      <c r="E5061" s="690"/>
      <c r="F5061" s="690"/>
      <c r="G5061" s="690"/>
      <c r="H5061" s="690"/>
      <c r="I5061" s="690"/>
      <c r="J5061" s="690"/>
      <c r="K5061" s="690"/>
      <c r="L5061" s="704"/>
      <c r="M5061" s="170"/>
    </row>
    <row r="5062" spans="2:13" x14ac:dyDescent="0.2">
      <c r="B5062" s="173"/>
      <c r="C5062" s="703"/>
      <c r="D5062" s="690"/>
      <c r="E5062" s="690"/>
      <c r="F5062" s="690"/>
      <c r="G5062" s="690"/>
      <c r="H5062" s="690"/>
      <c r="I5062" s="690"/>
      <c r="J5062" s="690"/>
      <c r="K5062" s="690"/>
      <c r="L5062" s="704"/>
      <c r="M5062" s="170"/>
    </row>
    <row r="5063" spans="2:13" x14ac:dyDescent="0.2">
      <c r="B5063" s="173"/>
      <c r="C5063" s="703"/>
      <c r="D5063" s="690"/>
      <c r="E5063" s="690"/>
      <c r="F5063" s="690"/>
      <c r="G5063" s="690"/>
      <c r="H5063" s="690"/>
      <c r="I5063" s="690"/>
      <c r="J5063" s="690"/>
      <c r="K5063" s="690"/>
      <c r="L5063" s="704"/>
      <c r="M5063" s="170"/>
    </row>
    <row r="5064" spans="2:13" x14ac:dyDescent="0.2">
      <c r="B5064" s="173"/>
      <c r="C5064" s="703"/>
      <c r="D5064" s="690"/>
      <c r="E5064" s="690"/>
      <c r="F5064" s="690"/>
      <c r="G5064" s="690"/>
      <c r="H5064" s="690"/>
      <c r="I5064" s="690"/>
      <c r="J5064" s="690"/>
      <c r="K5064" s="690"/>
      <c r="L5064" s="704"/>
      <c r="M5064" s="170"/>
    </row>
    <row r="5065" spans="2:13" x14ac:dyDescent="0.2">
      <c r="B5065" s="173"/>
      <c r="C5065" s="703"/>
      <c r="D5065" s="690"/>
      <c r="E5065" s="690"/>
      <c r="F5065" s="690"/>
      <c r="G5065" s="690"/>
      <c r="H5065" s="690"/>
      <c r="I5065" s="690"/>
      <c r="J5065" s="690"/>
      <c r="K5065" s="690"/>
      <c r="L5065" s="704"/>
      <c r="M5065" s="170"/>
    </row>
    <row r="5066" spans="2:13" x14ac:dyDescent="0.2">
      <c r="B5066" s="173"/>
      <c r="C5066" s="703"/>
      <c r="D5066" s="690"/>
      <c r="E5066" s="690"/>
      <c r="F5066" s="690"/>
      <c r="G5066" s="690"/>
      <c r="H5066" s="690"/>
      <c r="I5066" s="690"/>
      <c r="J5066" s="690"/>
      <c r="K5066" s="690"/>
      <c r="L5066" s="704"/>
      <c r="M5066" s="170"/>
    </row>
    <row r="5067" spans="2:13" x14ac:dyDescent="0.2">
      <c r="B5067" s="173"/>
      <c r="C5067" s="703"/>
      <c r="D5067" s="690"/>
      <c r="E5067" s="690"/>
      <c r="F5067" s="690"/>
      <c r="G5067" s="690"/>
      <c r="H5067" s="690"/>
      <c r="I5067" s="690"/>
      <c r="J5067" s="690"/>
      <c r="K5067" s="690"/>
      <c r="L5067" s="704"/>
      <c r="M5067" s="170"/>
    </row>
    <row r="5068" spans="2:13" x14ac:dyDescent="0.2">
      <c r="B5068" s="173"/>
      <c r="C5068" s="703"/>
      <c r="D5068" s="690"/>
      <c r="E5068" s="690"/>
      <c r="F5068" s="690"/>
      <c r="G5068" s="690"/>
      <c r="H5068" s="690"/>
      <c r="I5068" s="690"/>
      <c r="J5068" s="690"/>
      <c r="K5068" s="690"/>
      <c r="L5068" s="704"/>
      <c r="M5068" s="170"/>
    </row>
    <row r="5069" spans="2:13" x14ac:dyDescent="0.2">
      <c r="B5069" s="173"/>
      <c r="C5069" s="703"/>
      <c r="D5069" s="690"/>
      <c r="E5069" s="690"/>
      <c r="F5069" s="690"/>
      <c r="G5069" s="690"/>
      <c r="H5069" s="690"/>
      <c r="I5069" s="690"/>
      <c r="J5069" s="690"/>
      <c r="K5069" s="690"/>
      <c r="L5069" s="704"/>
      <c r="M5069" s="170"/>
    </row>
    <row r="5070" spans="2:13" x14ac:dyDescent="0.2">
      <c r="B5070" s="173"/>
      <c r="C5070" s="703"/>
      <c r="D5070" s="690"/>
      <c r="E5070" s="690"/>
      <c r="F5070" s="690"/>
      <c r="G5070" s="690"/>
      <c r="H5070" s="690"/>
      <c r="I5070" s="690"/>
      <c r="J5070" s="690"/>
      <c r="K5070" s="690"/>
      <c r="L5070" s="704"/>
      <c r="M5070" s="170"/>
    </row>
    <row r="5071" spans="2:13" x14ac:dyDescent="0.2">
      <c r="B5071" s="173"/>
      <c r="C5071" s="703"/>
      <c r="D5071" s="690"/>
      <c r="E5071" s="690"/>
      <c r="F5071" s="690"/>
      <c r="G5071" s="690"/>
      <c r="H5071" s="690"/>
      <c r="I5071" s="690"/>
      <c r="J5071" s="690"/>
      <c r="K5071" s="690"/>
      <c r="L5071" s="704"/>
      <c r="M5071" s="170"/>
    </row>
    <row r="5072" spans="2:13" x14ac:dyDescent="0.2">
      <c r="B5072" s="173"/>
      <c r="C5072" s="703"/>
      <c r="D5072" s="690"/>
      <c r="E5072" s="690"/>
      <c r="F5072" s="690"/>
      <c r="G5072" s="690"/>
      <c r="H5072" s="690"/>
      <c r="I5072" s="690"/>
      <c r="J5072" s="690"/>
      <c r="K5072" s="690"/>
      <c r="L5072" s="704"/>
      <c r="M5072" s="170"/>
    </row>
    <row r="5073" spans="2:13" x14ac:dyDescent="0.2">
      <c r="B5073" s="173"/>
      <c r="C5073" s="703"/>
      <c r="D5073" s="690"/>
      <c r="E5073" s="690"/>
      <c r="F5073" s="690"/>
      <c r="G5073" s="690"/>
      <c r="H5073" s="690"/>
      <c r="I5073" s="690"/>
      <c r="J5073" s="690"/>
      <c r="K5073" s="690"/>
      <c r="L5073" s="704"/>
      <c r="M5073" s="170"/>
    </row>
    <row r="5074" spans="2:13" x14ac:dyDescent="0.2">
      <c r="B5074" s="173"/>
      <c r="C5074" s="703"/>
      <c r="D5074" s="690"/>
      <c r="E5074" s="690"/>
      <c r="F5074" s="690"/>
      <c r="G5074" s="690"/>
      <c r="H5074" s="690"/>
      <c r="I5074" s="690"/>
      <c r="J5074" s="690"/>
      <c r="K5074" s="690"/>
      <c r="L5074" s="704"/>
      <c r="M5074" s="170"/>
    </row>
    <row r="5075" spans="2:13" x14ac:dyDescent="0.2">
      <c r="B5075" s="173"/>
      <c r="C5075" s="703"/>
      <c r="D5075" s="690"/>
      <c r="E5075" s="690"/>
      <c r="F5075" s="690"/>
      <c r="G5075" s="690"/>
      <c r="H5075" s="690"/>
      <c r="I5075" s="690"/>
      <c r="J5075" s="690"/>
      <c r="K5075" s="690"/>
      <c r="L5075" s="704"/>
      <c r="M5075" s="170"/>
    </row>
    <row r="5076" spans="2:13" x14ac:dyDescent="0.2">
      <c r="B5076" s="173"/>
      <c r="C5076" s="703"/>
      <c r="D5076" s="690"/>
      <c r="E5076" s="690"/>
      <c r="F5076" s="690"/>
      <c r="G5076" s="690"/>
      <c r="H5076" s="690"/>
      <c r="I5076" s="690"/>
      <c r="J5076" s="690"/>
      <c r="K5076" s="690"/>
      <c r="L5076" s="704"/>
      <c r="M5076" s="170"/>
    </row>
    <row r="5077" spans="2:13" x14ac:dyDescent="0.2">
      <c r="B5077" s="173"/>
      <c r="C5077" s="703"/>
      <c r="D5077" s="690"/>
      <c r="E5077" s="690"/>
      <c r="F5077" s="690"/>
      <c r="G5077" s="690"/>
      <c r="H5077" s="690"/>
      <c r="I5077" s="690"/>
      <c r="J5077" s="690"/>
      <c r="K5077" s="690"/>
      <c r="L5077" s="704"/>
      <c r="M5077" s="170"/>
    </row>
    <row r="5078" spans="2:13" x14ac:dyDescent="0.2">
      <c r="B5078" s="173"/>
      <c r="C5078" s="703"/>
      <c r="D5078" s="690"/>
      <c r="E5078" s="690"/>
      <c r="F5078" s="690"/>
      <c r="G5078" s="690"/>
      <c r="H5078" s="690"/>
      <c r="I5078" s="690"/>
      <c r="J5078" s="690"/>
      <c r="K5078" s="690"/>
      <c r="L5078" s="704"/>
      <c r="M5078" s="170"/>
    </row>
    <row r="5079" spans="2:13" x14ac:dyDescent="0.2">
      <c r="B5079" s="173"/>
      <c r="C5079" s="703"/>
      <c r="D5079" s="690"/>
      <c r="E5079" s="690"/>
      <c r="F5079" s="690"/>
      <c r="G5079" s="690"/>
      <c r="H5079" s="690"/>
      <c r="I5079" s="690"/>
      <c r="J5079" s="690"/>
      <c r="K5079" s="690"/>
      <c r="L5079" s="704"/>
      <c r="M5079" s="170"/>
    </row>
    <row r="5080" spans="2:13" x14ac:dyDescent="0.2">
      <c r="B5080" s="173"/>
      <c r="C5080" s="703"/>
      <c r="D5080" s="690"/>
      <c r="E5080" s="690"/>
      <c r="F5080" s="690"/>
      <c r="G5080" s="690"/>
      <c r="H5080" s="690"/>
      <c r="I5080" s="690"/>
      <c r="J5080" s="690"/>
      <c r="K5080" s="690"/>
      <c r="L5080" s="704"/>
      <c r="M5080" s="170"/>
    </row>
    <row r="5081" spans="2:13" x14ac:dyDescent="0.2">
      <c r="B5081" s="173"/>
      <c r="C5081" s="703"/>
      <c r="D5081" s="690"/>
      <c r="E5081" s="690"/>
      <c r="F5081" s="690"/>
      <c r="G5081" s="690"/>
      <c r="H5081" s="690"/>
      <c r="I5081" s="690"/>
      <c r="J5081" s="690"/>
      <c r="K5081" s="690"/>
      <c r="L5081" s="704"/>
      <c r="M5081" s="170"/>
    </row>
    <row r="5082" spans="2:13" x14ac:dyDescent="0.2">
      <c r="B5082" s="173"/>
      <c r="C5082" s="703"/>
      <c r="D5082" s="690"/>
      <c r="E5082" s="690"/>
      <c r="F5082" s="690"/>
      <c r="G5082" s="690"/>
      <c r="H5082" s="690"/>
      <c r="I5082" s="690"/>
      <c r="J5082" s="690"/>
      <c r="K5082" s="690"/>
      <c r="L5082" s="704"/>
      <c r="M5082" s="170"/>
    </row>
    <row r="5083" spans="2:13" x14ac:dyDescent="0.2">
      <c r="B5083" s="173"/>
      <c r="C5083" s="703"/>
      <c r="D5083" s="690"/>
      <c r="E5083" s="690"/>
      <c r="F5083" s="690"/>
      <c r="G5083" s="690"/>
      <c r="H5083" s="690"/>
      <c r="I5083" s="690"/>
      <c r="J5083" s="690"/>
      <c r="K5083" s="690"/>
      <c r="L5083" s="704"/>
      <c r="M5083" s="170"/>
    </row>
    <row r="5084" spans="2:13" x14ac:dyDescent="0.2">
      <c r="B5084" s="173"/>
      <c r="C5084" s="703"/>
      <c r="D5084" s="690"/>
      <c r="E5084" s="690"/>
      <c r="F5084" s="690"/>
      <c r="G5084" s="690"/>
      <c r="H5084" s="690"/>
      <c r="I5084" s="690"/>
      <c r="J5084" s="690"/>
      <c r="K5084" s="690"/>
      <c r="L5084" s="704"/>
      <c r="M5084" s="170"/>
    </row>
    <row r="5085" spans="2:13" x14ac:dyDescent="0.2">
      <c r="B5085" s="173"/>
      <c r="C5085" s="703"/>
      <c r="D5085" s="690"/>
      <c r="E5085" s="690"/>
      <c r="F5085" s="690"/>
      <c r="G5085" s="690"/>
      <c r="H5085" s="690"/>
      <c r="I5085" s="690"/>
      <c r="J5085" s="690"/>
      <c r="K5085" s="690"/>
      <c r="L5085" s="704"/>
      <c r="M5085" s="170"/>
    </row>
    <row r="5086" spans="2:13" x14ac:dyDescent="0.2">
      <c r="B5086" s="173"/>
      <c r="C5086" s="703"/>
      <c r="D5086" s="690"/>
      <c r="E5086" s="690"/>
      <c r="F5086" s="690"/>
      <c r="G5086" s="690"/>
      <c r="H5086" s="690"/>
      <c r="I5086" s="690"/>
      <c r="J5086" s="690"/>
      <c r="K5086" s="690"/>
      <c r="L5086" s="704"/>
      <c r="M5086" s="170"/>
    </row>
    <row r="5087" spans="2:13" x14ac:dyDescent="0.2">
      <c r="B5087" s="173"/>
      <c r="C5087" s="703"/>
      <c r="D5087" s="690"/>
      <c r="E5087" s="690"/>
      <c r="F5087" s="690"/>
      <c r="G5087" s="690"/>
      <c r="H5087" s="690"/>
      <c r="I5087" s="690"/>
      <c r="J5087" s="690"/>
      <c r="K5087" s="690"/>
      <c r="L5087" s="704"/>
      <c r="M5087" s="170"/>
    </row>
    <row r="5088" spans="2:13" x14ac:dyDescent="0.2">
      <c r="B5088" s="173"/>
      <c r="C5088" s="703"/>
      <c r="D5088" s="690"/>
      <c r="E5088" s="690"/>
      <c r="F5088" s="690"/>
      <c r="G5088" s="690"/>
      <c r="H5088" s="690"/>
      <c r="I5088" s="690"/>
      <c r="J5088" s="690"/>
      <c r="K5088" s="690"/>
      <c r="L5088" s="704"/>
      <c r="M5088" s="170"/>
    </row>
    <row r="5089" spans="2:13" x14ac:dyDescent="0.2">
      <c r="B5089" s="173"/>
      <c r="C5089" s="703"/>
      <c r="D5089" s="690"/>
      <c r="E5089" s="690"/>
      <c r="F5089" s="690"/>
      <c r="G5089" s="690"/>
      <c r="H5089" s="690"/>
      <c r="I5089" s="690"/>
      <c r="J5089" s="690"/>
      <c r="K5089" s="690"/>
      <c r="L5089" s="704"/>
      <c r="M5089" s="170"/>
    </row>
    <row r="5090" spans="2:13" x14ac:dyDescent="0.2">
      <c r="B5090" s="173"/>
      <c r="C5090" s="703"/>
      <c r="D5090" s="690"/>
      <c r="E5090" s="690"/>
      <c r="F5090" s="690"/>
      <c r="G5090" s="690"/>
      <c r="H5090" s="690"/>
      <c r="I5090" s="690"/>
      <c r="J5090" s="690"/>
      <c r="K5090" s="690"/>
      <c r="L5090" s="704"/>
      <c r="M5090" s="170"/>
    </row>
    <row r="5091" spans="2:13" x14ac:dyDescent="0.2">
      <c r="B5091" s="173"/>
      <c r="C5091" s="703"/>
      <c r="D5091" s="690"/>
      <c r="E5091" s="690"/>
      <c r="F5091" s="690"/>
      <c r="G5091" s="690"/>
      <c r="H5091" s="690"/>
      <c r="I5091" s="690"/>
      <c r="J5091" s="690"/>
      <c r="K5091" s="690"/>
      <c r="L5091" s="704"/>
      <c r="M5091" s="170"/>
    </row>
    <row r="5092" spans="2:13" x14ac:dyDescent="0.2">
      <c r="B5092" s="173"/>
      <c r="C5092" s="703"/>
      <c r="D5092" s="690"/>
      <c r="E5092" s="690"/>
      <c r="F5092" s="690"/>
      <c r="G5092" s="690"/>
      <c r="H5092" s="690"/>
      <c r="I5092" s="690"/>
      <c r="J5092" s="690"/>
      <c r="K5092" s="690"/>
      <c r="L5092" s="704"/>
      <c r="M5092" s="170"/>
    </row>
    <row r="5093" spans="2:13" x14ac:dyDescent="0.2">
      <c r="B5093" s="173"/>
      <c r="C5093" s="703"/>
      <c r="D5093" s="690"/>
      <c r="E5093" s="690"/>
      <c r="F5093" s="690"/>
      <c r="G5093" s="690"/>
      <c r="H5093" s="690"/>
      <c r="I5093" s="690"/>
      <c r="J5093" s="690"/>
      <c r="K5093" s="690"/>
      <c r="L5093" s="704"/>
      <c r="M5093" s="170"/>
    </row>
    <row r="5094" spans="2:13" x14ac:dyDescent="0.2">
      <c r="B5094" s="173"/>
      <c r="C5094" s="703"/>
      <c r="D5094" s="690"/>
      <c r="E5094" s="690"/>
      <c r="F5094" s="690"/>
      <c r="G5094" s="690"/>
      <c r="H5094" s="690"/>
      <c r="I5094" s="690"/>
      <c r="J5094" s="690"/>
      <c r="K5094" s="690"/>
      <c r="L5094" s="704"/>
      <c r="M5094" s="170"/>
    </row>
    <row r="5095" spans="2:13" x14ac:dyDescent="0.2">
      <c r="B5095" s="173"/>
      <c r="C5095" s="703"/>
      <c r="D5095" s="690"/>
      <c r="E5095" s="690"/>
      <c r="F5095" s="690"/>
      <c r="G5095" s="690"/>
      <c r="H5095" s="690"/>
      <c r="I5095" s="690"/>
      <c r="J5095" s="690"/>
      <c r="K5095" s="690"/>
      <c r="L5095" s="704"/>
      <c r="M5095" s="170"/>
    </row>
    <row r="5096" spans="2:13" x14ac:dyDescent="0.2">
      <c r="B5096" s="173"/>
      <c r="C5096" s="703"/>
      <c r="D5096" s="690"/>
      <c r="E5096" s="690"/>
      <c r="F5096" s="690"/>
      <c r="G5096" s="690"/>
      <c r="H5096" s="690"/>
      <c r="I5096" s="690"/>
      <c r="J5096" s="690"/>
      <c r="K5096" s="690"/>
      <c r="L5096" s="704"/>
      <c r="M5096" s="170"/>
    </row>
    <row r="5097" spans="2:13" x14ac:dyDescent="0.2">
      <c r="B5097" s="173"/>
      <c r="C5097" s="703"/>
      <c r="D5097" s="690"/>
      <c r="E5097" s="690"/>
      <c r="F5097" s="690"/>
      <c r="G5097" s="690"/>
      <c r="H5097" s="690"/>
      <c r="I5097" s="690"/>
      <c r="J5097" s="690"/>
      <c r="K5097" s="690"/>
      <c r="L5097" s="704"/>
      <c r="M5097" s="170"/>
    </row>
    <row r="5098" spans="2:13" x14ac:dyDescent="0.2">
      <c r="B5098" s="173"/>
      <c r="C5098" s="703"/>
      <c r="D5098" s="690"/>
      <c r="E5098" s="690"/>
      <c r="F5098" s="690"/>
      <c r="G5098" s="690"/>
      <c r="H5098" s="690"/>
      <c r="I5098" s="690"/>
      <c r="J5098" s="690"/>
      <c r="K5098" s="690"/>
      <c r="L5098" s="704"/>
      <c r="M5098" s="170"/>
    </row>
    <row r="5099" spans="2:13" x14ac:dyDescent="0.2">
      <c r="B5099" s="173"/>
      <c r="C5099" s="703"/>
      <c r="D5099" s="690"/>
      <c r="E5099" s="690"/>
      <c r="F5099" s="690"/>
      <c r="G5099" s="690"/>
      <c r="H5099" s="690"/>
      <c r="I5099" s="690"/>
      <c r="J5099" s="690"/>
      <c r="K5099" s="690"/>
      <c r="L5099" s="704"/>
      <c r="M5099" s="170"/>
    </row>
    <row r="5100" spans="2:13" x14ac:dyDescent="0.2">
      <c r="B5100" s="173"/>
      <c r="C5100" s="703"/>
      <c r="D5100" s="690"/>
      <c r="E5100" s="690"/>
      <c r="F5100" s="690"/>
      <c r="G5100" s="690"/>
      <c r="H5100" s="690"/>
      <c r="I5100" s="690"/>
      <c r="J5100" s="690"/>
      <c r="K5100" s="690"/>
      <c r="L5100" s="704"/>
      <c r="M5100" s="170"/>
    </row>
    <row r="5101" spans="2:13" x14ac:dyDescent="0.2">
      <c r="B5101" s="173"/>
      <c r="C5101" s="703"/>
      <c r="D5101" s="690"/>
      <c r="E5101" s="690"/>
      <c r="F5101" s="690"/>
      <c r="G5101" s="690"/>
      <c r="H5101" s="690"/>
      <c r="I5101" s="690"/>
      <c r="J5101" s="690"/>
      <c r="K5101" s="690"/>
      <c r="L5101" s="704"/>
      <c r="M5101" s="170"/>
    </row>
    <row r="5102" spans="2:13" x14ac:dyDescent="0.2">
      <c r="B5102" s="173"/>
      <c r="C5102" s="703"/>
      <c r="D5102" s="690"/>
      <c r="E5102" s="690"/>
      <c r="F5102" s="690"/>
      <c r="G5102" s="690"/>
      <c r="H5102" s="690"/>
      <c r="I5102" s="690"/>
      <c r="J5102" s="690"/>
      <c r="K5102" s="690"/>
      <c r="L5102" s="704"/>
      <c r="M5102" s="170"/>
    </row>
    <row r="5103" spans="2:13" x14ac:dyDescent="0.2">
      <c r="B5103" s="173"/>
      <c r="C5103" s="703"/>
      <c r="D5103" s="690"/>
      <c r="E5103" s="690"/>
      <c r="F5103" s="690"/>
      <c r="G5103" s="690"/>
      <c r="H5103" s="690"/>
      <c r="I5103" s="690"/>
      <c r="J5103" s="690"/>
      <c r="K5103" s="690"/>
      <c r="L5103" s="704"/>
      <c r="M5103" s="170"/>
    </row>
    <row r="5104" spans="2:13" x14ac:dyDescent="0.2">
      <c r="B5104" s="173"/>
      <c r="C5104" s="703"/>
      <c r="D5104" s="690"/>
      <c r="E5104" s="690"/>
      <c r="F5104" s="690"/>
      <c r="G5104" s="690"/>
      <c r="H5104" s="690"/>
      <c r="I5104" s="690"/>
      <c r="J5104" s="690"/>
      <c r="K5104" s="690"/>
      <c r="L5104" s="704"/>
      <c r="M5104" s="170"/>
    </row>
    <row r="5105" spans="2:13" x14ac:dyDescent="0.2">
      <c r="B5105" s="173"/>
      <c r="C5105" s="703"/>
      <c r="D5105" s="690"/>
      <c r="E5105" s="690"/>
      <c r="F5105" s="690"/>
      <c r="G5105" s="690"/>
      <c r="H5105" s="690"/>
      <c r="I5105" s="690"/>
      <c r="J5105" s="690"/>
      <c r="K5105" s="690"/>
      <c r="L5105" s="704"/>
      <c r="M5105" s="170"/>
    </row>
    <row r="5106" spans="2:13" x14ac:dyDescent="0.2">
      <c r="B5106" s="173"/>
      <c r="C5106" s="703"/>
      <c r="D5106" s="690"/>
      <c r="E5106" s="690"/>
      <c r="F5106" s="690"/>
      <c r="G5106" s="690"/>
      <c r="H5106" s="690"/>
      <c r="I5106" s="690"/>
      <c r="J5106" s="690"/>
      <c r="K5106" s="690"/>
      <c r="L5106" s="704"/>
      <c r="M5106" s="170"/>
    </row>
    <row r="5107" spans="2:13" x14ac:dyDescent="0.2">
      <c r="B5107" s="173"/>
      <c r="C5107" s="703"/>
      <c r="D5107" s="690"/>
      <c r="E5107" s="690"/>
      <c r="F5107" s="690"/>
      <c r="G5107" s="690"/>
      <c r="H5107" s="690"/>
      <c r="I5107" s="690"/>
      <c r="J5107" s="690"/>
      <c r="K5107" s="690"/>
      <c r="L5107" s="704"/>
      <c r="M5107" s="170"/>
    </row>
    <row r="5108" spans="2:13" x14ac:dyDescent="0.2">
      <c r="B5108" s="173"/>
      <c r="C5108" s="703"/>
      <c r="D5108" s="690"/>
      <c r="E5108" s="690"/>
      <c r="F5108" s="690"/>
      <c r="G5108" s="690"/>
      <c r="H5108" s="690"/>
      <c r="I5108" s="690"/>
      <c r="J5108" s="690"/>
      <c r="K5108" s="690"/>
      <c r="L5108" s="704"/>
      <c r="M5108" s="170"/>
    </row>
    <row r="5109" spans="2:13" x14ac:dyDescent="0.2">
      <c r="B5109" s="173"/>
      <c r="C5109" s="703"/>
      <c r="D5109" s="690"/>
      <c r="E5109" s="690"/>
      <c r="F5109" s="690"/>
      <c r="G5109" s="690"/>
      <c r="H5109" s="690"/>
      <c r="I5109" s="690"/>
      <c r="J5109" s="690"/>
      <c r="K5109" s="690"/>
      <c r="L5109" s="704"/>
      <c r="M5109" s="170"/>
    </row>
    <row r="5110" spans="2:13" x14ac:dyDescent="0.2">
      <c r="B5110" s="173"/>
      <c r="C5110" s="703"/>
      <c r="D5110" s="690"/>
      <c r="E5110" s="690"/>
      <c r="F5110" s="690"/>
      <c r="G5110" s="690"/>
      <c r="H5110" s="690"/>
      <c r="I5110" s="690"/>
      <c r="J5110" s="690"/>
      <c r="K5110" s="690"/>
      <c r="L5110" s="704"/>
      <c r="M5110" s="170"/>
    </row>
    <row r="5111" spans="2:13" x14ac:dyDescent="0.2">
      <c r="B5111" s="173"/>
      <c r="C5111" s="703"/>
      <c r="D5111" s="690"/>
      <c r="E5111" s="690"/>
      <c r="F5111" s="690"/>
      <c r="G5111" s="690"/>
      <c r="H5111" s="690"/>
      <c r="I5111" s="690"/>
      <c r="J5111" s="690"/>
      <c r="K5111" s="690"/>
      <c r="L5111" s="704"/>
      <c r="M5111" s="170"/>
    </row>
    <row r="5112" spans="2:13" x14ac:dyDescent="0.2">
      <c r="B5112" s="173"/>
      <c r="C5112" s="703"/>
      <c r="D5112" s="690"/>
      <c r="E5112" s="690"/>
      <c r="F5112" s="690"/>
      <c r="G5112" s="690"/>
      <c r="H5112" s="690"/>
      <c r="I5112" s="690"/>
      <c r="J5112" s="690"/>
      <c r="K5112" s="690"/>
      <c r="L5112" s="704"/>
      <c r="M5112" s="170"/>
    </row>
    <row r="5113" spans="2:13" x14ac:dyDescent="0.2">
      <c r="B5113" s="173"/>
      <c r="C5113" s="703"/>
      <c r="D5113" s="690"/>
      <c r="E5113" s="690"/>
      <c r="F5113" s="690"/>
      <c r="G5113" s="690"/>
      <c r="H5113" s="690"/>
      <c r="I5113" s="690"/>
      <c r="J5113" s="690"/>
      <c r="K5113" s="690"/>
      <c r="L5113" s="704"/>
      <c r="M5113" s="170"/>
    </row>
    <row r="5114" spans="2:13" x14ac:dyDescent="0.2">
      <c r="B5114" s="173"/>
      <c r="C5114" s="703"/>
      <c r="D5114" s="690"/>
      <c r="E5114" s="690"/>
      <c r="F5114" s="690"/>
      <c r="G5114" s="690"/>
      <c r="H5114" s="690"/>
      <c r="I5114" s="690"/>
      <c r="J5114" s="690"/>
      <c r="K5114" s="690"/>
      <c r="L5114" s="704"/>
      <c r="M5114" s="170"/>
    </row>
    <row r="5115" spans="2:13" x14ac:dyDescent="0.2">
      <c r="B5115" s="173"/>
      <c r="C5115" s="703"/>
      <c r="D5115" s="690"/>
      <c r="E5115" s="690"/>
      <c r="F5115" s="690"/>
      <c r="G5115" s="690"/>
      <c r="H5115" s="690"/>
      <c r="I5115" s="690"/>
      <c r="J5115" s="690"/>
      <c r="K5115" s="690"/>
      <c r="L5115" s="704"/>
      <c r="M5115" s="170"/>
    </row>
    <row r="5116" spans="2:13" x14ac:dyDescent="0.2">
      <c r="B5116" s="173"/>
      <c r="C5116" s="703"/>
      <c r="D5116" s="690"/>
      <c r="E5116" s="690"/>
      <c r="F5116" s="690"/>
      <c r="G5116" s="690"/>
      <c r="H5116" s="690"/>
      <c r="I5116" s="690"/>
      <c r="J5116" s="690"/>
      <c r="K5116" s="690"/>
      <c r="L5116" s="704"/>
      <c r="M5116" s="170"/>
    </row>
    <row r="5117" spans="2:13" x14ac:dyDescent="0.2">
      <c r="B5117" s="173"/>
      <c r="C5117" s="703"/>
      <c r="D5117" s="690"/>
      <c r="E5117" s="690"/>
      <c r="F5117" s="690"/>
      <c r="G5117" s="690"/>
      <c r="H5117" s="690"/>
      <c r="I5117" s="690"/>
      <c r="J5117" s="690"/>
      <c r="K5117" s="690"/>
      <c r="L5117" s="704"/>
      <c r="M5117" s="170"/>
    </row>
    <row r="5118" spans="2:13" x14ac:dyDescent="0.2">
      <c r="B5118" s="173"/>
      <c r="C5118" s="703"/>
      <c r="D5118" s="690"/>
      <c r="E5118" s="690"/>
      <c r="F5118" s="690"/>
      <c r="G5118" s="690"/>
      <c r="H5118" s="690"/>
      <c r="I5118" s="690"/>
      <c r="J5118" s="690"/>
      <c r="K5118" s="690"/>
      <c r="L5118" s="704"/>
      <c r="M5118" s="170"/>
    </row>
    <row r="5119" spans="2:13" x14ac:dyDescent="0.2">
      <c r="B5119" s="173"/>
      <c r="C5119" s="703"/>
      <c r="D5119" s="690"/>
      <c r="E5119" s="690"/>
      <c r="F5119" s="690"/>
      <c r="G5119" s="690"/>
      <c r="H5119" s="690"/>
      <c r="I5119" s="690"/>
      <c r="J5119" s="690"/>
      <c r="K5119" s="690"/>
      <c r="L5119" s="704"/>
      <c r="M5119" s="170"/>
    </row>
    <row r="5120" spans="2:13" x14ac:dyDescent="0.2">
      <c r="B5120" s="173"/>
      <c r="C5120" s="703"/>
      <c r="D5120" s="690"/>
      <c r="E5120" s="690"/>
      <c r="F5120" s="690"/>
      <c r="G5120" s="690"/>
      <c r="H5120" s="690"/>
      <c r="I5120" s="690"/>
      <c r="J5120" s="690"/>
      <c r="K5120" s="690"/>
      <c r="L5120" s="704"/>
      <c r="M5120" s="170"/>
    </row>
    <row r="5121" spans="2:13" x14ac:dyDescent="0.2">
      <c r="B5121" s="173"/>
      <c r="C5121" s="703"/>
      <c r="D5121" s="690"/>
      <c r="E5121" s="690"/>
      <c r="F5121" s="690"/>
      <c r="G5121" s="690"/>
      <c r="H5121" s="690"/>
      <c r="I5121" s="690"/>
      <c r="J5121" s="690"/>
      <c r="K5121" s="690"/>
      <c r="L5121" s="704"/>
      <c r="M5121" s="170"/>
    </row>
    <row r="5122" spans="2:13" x14ac:dyDescent="0.2">
      <c r="B5122" s="173"/>
      <c r="C5122" s="703"/>
      <c r="D5122" s="690"/>
      <c r="E5122" s="690"/>
      <c r="F5122" s="690"/>
      <c r="G5122" s="690"/>
      <c r="H5122" s="690"/>
      <c r="I5122" s="690"/>
      <c r="J5122" s="690"/>
      <c r="K5122" s="690"/>
      <c r="L5122" s="704"/>
      <c r="M5122" s="170"/>
    </row>
    <row r="5123" spans="2:13" x14ac:dyDescent="0.2">
      <c r="B5123" s="173"/>
      <c r="C5123" s="703"/>
      <c r="D5123" s="690"/>
      <c r="E5123" s="690"/>
      <c r="F5123" s="690"/>
      <c r="G5123" s="690"/>
      <c r="H5123" s="690"/>
      <c r="I5123" s="690"/>
      <c r="J5123" s="690"/>
      <c r="K5123" s="690"/>
      <c r="L5123" s="704"/>
      <c r="M5123" s="170"/>
    </row>
    <row r="5124" spans="2:13" x14ac:dyDescent="0.2">
      <c r="B5124" s="173"/>
      <c r="C5124" s="703"/>
      <c r="D5124" s="690"/>
      <c r="E5124" s="690"/>
      <c r="F5124" s="690"/>
      <c r="G5124" s="690"/>
      <c r="H5124" s="690"/>
      <c r="I5124" s="690"/>
      <c r="J5124" s="690"/>
      <c r="K5124" s="690"/>
      <c r="L5124" s="704"/>
      <c r="M5124" s="170"/>
    </row>
    <row r="5125" spans="2:13" x14ac:dyDescent="0.2">
      <c r="B5125" s="173"/>
      <c r="C5125" s="703"/>
      <c r="D5125" s="690"/>
      <c r="E5125" s="690"/>
      <c r="F5125" s="690"/>
      <c r="G5125" s="690"/>
      <c r="H5125" s="690"/>
      <c r="I5125" s="690"/>
      <c r="J5125" s="690"/>
      <c r="K5125" s="690"/>
      <c r="L5125" s="704"/>
      <c r="M5125" s="170"/>
    </row>
    <row r="5126" spans="2:13" x14ac:dyDescent="0.2">
      <c r="B5126" s="173"/>
      <c r="C5126" s="703"/>
      <c r="D5126" s="690"/>
      <c r="E5126" s="690"/>
      <c r="F5126" s="690"/>
      <c r="G5126" s="690"/>
      <c r="H5126" s="690"/>
      <c r="I5126" s="690"/>
      <c r="J5126" s="690"/>
      <c r="K5126" s="690"/>
      <c r="L5126" s="704"/>
      <c r="M5126" s="170"/>
    </row>
    <row r="5127" spans="2:13" x14ac:dyDescent="0.2">
      <c r="B5127" s="173"/>
      <c r="C5127" s="703"/>
      <c r="D5127" s="690"/>
      <c r="E5127" s="690"/>
      <c r="F5127" s="690"/>
      <c r="G5127" s="690"/>
      <c r="H5127" s="690"/>
      <c r="I5127" s="690"/>
      <c r="J5127" s="690"/>
      <c r="K5127" s="690"/>
      <c r="L5127" s="704"/>
      <c r="M5127" s="170"/>
    </row>
    <row r="5128" spans="2:13" x14ac:dyDescent="0.2">
      <c r="B5128" s="173"/>
      <c r="C5128" s="703"/>
      <c r="D5128" s="690"/>
      <c r="E5128" s="690"/>
      <c r="F5128" s="690"/>
      <c r="G5128" s="690"/>
      <c r="H5128" s="690"/>
      <c r="I5128" s="690"/>
      <c r="J5128" s="690"/>
      <c r="K5128" s="690"/>
      <c r="L5128" s="704"/>
      <c r="M5128" s="170"/>
    </row>
    <row r="5129" spans="2:13" x14ac:dyDescent="0.2">
      <c r="B5129" s="173"/>
      <c r="C5129" s="703"/>
      <c r="D5129" s="690"/>
      <c r="E5129" s="690"/>
      <c r="F5129" s="690"/>
      <c r="G5129" s="690"/>
      <c r="H5129" s="690"/>
      <c r="I5129" s="690"/>
      <c r="J5129" s="690"/>
      <c r="K5129" s="690"/>
      <c r="L5129" s="704"/>
      <c r="M5129" s="170"/>
    </row>
    <row r="5130" spans="2:13" x14ac:dyDescent="0.2">
      <c r="B5130" s="173"/>
      <c r="C5130" s="703"/>
      <c r="D5130" s="690"/>
      <c r="E5130" s="690"/>
      <c r="F5130" s="690"/>
      <c r="G5130" s="690"/>
      <c r="H5130" s="690"/>
      <c r="I5130" s="690"/>
      <c r="J5130" s="690"/>
      <c r="K5130" s="690"/>
      <c r="L5130" s="704"/>
      <c r="M5130" s="170"/>
    </row>
    <row r="5131" spans="2:13" x14ac:dyDescent="0.2">
      <c r="B5131" s="173"/>
      <c r="C5131" s="703"/>
      <c r="D5131" s="690"/>
      <c r="E5131" s="690"/>
      <c r="F5131" s="690"/>
      <c r="G5131" s="690"/>
      <c r="H5131" s="690"/>
      <c r="I5131" s="690"/>
      <c r="J5131" s="690"/>
      <c r="K5131" s="690"/>
      <c r="L5131" s="704"/>
      <c r="M5131" s="170"/>
    </row>
    <row r="5132" spans="2:13" x14ac:dyDescent="0.2">
      <c r="B5132" s="173"/>
      <c r="C5132" s="703"/>
      <c r="D5132" s="690"/>
      <c r="E5132" s="690"/>
      <c r="F5132" s="690"/>
      <c r="G5132" s="690"/>
      <c r="H5132" s="690"/>
      <c r="I5132" s="690"/>
      <c r="J5132" s="690"/>
      <c r="K5132" s="690"/>
      <c r="L5132" s="704"/>
      <c r="M5132" s="170"/>
    </row>
    <row r="5133" spans="2:13" x14ac:dyDescent="0.2">
      <c r="B5133" s="173"/>
      <c r="C5133" s="703"/>
      <c r="D5133" s="690"/>
      <c r="E5133" s="690"/>
      <c r="F5133" s="690"/>
      <c r="G5133" s="690"/>
      <c r="H5133" s="690"/>
      <c r="I5133" s="690"/>
      <c r="J5133" s="690"/>
      <c r="K5133" s="690"/>
      <c r="L5133" s="704"/>
      <c r="M5133" s="170"/>
    </row>
    <row r="5134" spans="2:13" x14ac:dyDescent="0.2">
      <c r="B5134" s="173"/>
      <c r="C5134" s="703"/>
      <c r="D5134" s="690"/>
      <c r="E5134" s="690"/>
      <c r="F5134" s="690"/>
      <c r="G5134" s="690"/>
      <c r="H5134" s="690"/>
      <c r="I5134" s="690"/>
      <c r="J5134" s="690"/>
      <c r="K5134" s="690"/>
      <c r="L5134" s="704"/>
      <c r="M5134" s="170"/>
    </row>
    <row r="5135" spans="2:13" x14ac:dyDescent="0.2">
      <c r="B5135" s="173"/>
      <c r="C5135" s="703"/>
      <c r="D5135" s="690"/>
      <c r="E5135" s="690"/>
      <c r="F5135" s="690"/>
      <c r="G5135" s="690"/>
      <c r="H5135" s="690"/>
      <c r="I5135" s="690"/>
      <c r="J5135" s="690"/>
      <c r="K5135" s="690"/>
      <c r="L5135" s="704"/>
      <c r="M5135" s="170"/>
    </row>
    <row r="5136" spans="2:13" x14ac:dyDescent="0.2">
      <c r="B5136" s="173"/>
      <c r="C5136" s="703"/>
      <c r="D5136" s="690"/>
      <c r="E5136" s="690"/>
      <c r="F5136" s="690"/>
      <c r="G5136" s="690"/>
      <c r="H5136" s="690"/>
      <c r="I5136" s="690"/>
      <c r="J5136" s="690"/>
      <c r="K5136" s="690"/>
      <c r="L5136" s="704"/>
      <c r="M5136" s="170"/>
    </row>
    <row r="5137" spans="2:13" x14ac:dyDescent="0.2">
      <c r="B5137" s="173"/>
      <c r="C5137" s="703"/>
      <c r="D5137" s="690"/>
      <c r="E5137" s="690"/>
      <c r="F5137" s="690"/>
      <c r="G5137" s="690"/>
      <c r="H5137" s="690"/>
      <c r="I5137" s="690"/>
      <c r="J5137" s="690"/>
      <c r="K5137" s="690"/>
      <c r="L5137" s="704"/>
      <c r="M5137" s="170"/>
    </row>
    <row r="5138" spans="2:13" x14ac:dyDescent="0.2">
      <c r="B5138" s="173"/>
      <c r="C5138" s="703"/>
      <c r="D5138" s="690"/>
      <c r="E5138" s="690"/>
      <c r="F5138" s="690"/>
      <c r="G5138" s="690"/>
      <c r="H5138" s="690"/>
      <c r="I5138" s="690"/>
      <c r="J5138" s="690"/>
      <c r="K5138" s="690"/>
      <c r="L5138" s="704"/>
      <c r="M5138" s="170"/>
    </row>
    <row r="5139" spans="2:13" x14ac:dyDescent="0.2">
      <c r="B5139" s="173"/>
      <c r="C5139" s="703"/>
      <c r="D5139" s="690"/>
      <c r="E5139" s="690"/>
      <c r="F5139" s="690"/>
      <c r="G5139" s="690"/>
      <c r="H5139" s="690"/>
      <c r="I5139" s="690"/>
      <c r="J5139" s="690"/>
      <c r="K5139" s="690"/>
      <c r="L5139" s="704"/>
      <c r="M5139" s="170"/>
    </row>
    <row r="5140" spans="2:13" x14ac:dyDescent="0.2">
      <c r="B5140" s="173"/>
      <c r="C5140" s="703"/>
      <c r="D5140" s="690"/>
      <c r="E5140" s="690"/>
      <c r="F5140" s="690"/>
      <c r="G5140" s="690"/>
      <c r="H5140" s="690"/>
      <c r="I5140" s="690"/>
      <c r="J5140" s="690"/>
      <c r="K5140" s="690"/>
      <c r="L5140" s="704"/>
      <c r="M5140" s="170"/>
    </row>
    <row r="5141" spans="2:13" x14ac:dyDescent="0.2">
      <c r="B5141" s="173"/>
      <c r="C5141" s="703"/>
      <c r="D5141" s="690"/>
      <c r="E5141" s="690"/>
      <c r="F5141" s="690"/>
      <c r="G5141" s="690"/>
      <c r="H5141" s="690"/>
      <c r="I5141" s="690"/>
      <c r="J5141" s="690"/>
      <c r="K5141" s="690"/>
      <c r="L5141" s="704"/>
      <c r="M5141" s="170"/>
    </row>
    <row r="5142" spans="2:13" x14ac:dyDescent="0.2">
      <c r="B5142" s="173"/>
      <c r="C5142" s="703"/>
      <c r="D5142" s="690"/>
      <c r="E5142" s="690"/>
      <c r="F5142" s="690"/>
      <c r="G5142" s="690"/>
      <c r="H5142" s="690"/>
      <c r="I5142" s="690"/>
      <c r="J5142" s="690"/>
      <c r="K5142" s="690"/>
      <c r="L5142" s="704"/>
      <c r="M5142" s="170"/>
    </row>
    <row r="5143" spans="2:13" x14ac:dyDescent="0.2">
      <c r="B5143" s="173"/>
      <c r="C5143" s="703"/>
      <c r="D5143" s="690"/>
      <c r="E5143" s="690"/>
      <c r="F5143" s="690"/>
      <c r="G5143" s="690"/>
      <c r="H5143" s="690"/>
      <c r="I5143" s="690"/>
      <c r="J5143" s="690"/>
      <c r="K5143" s="690"/>
      <c r="L5143" s="704"/>
      <c r="M5143" s="170"/>
    </row>
    <row r="5144" spans="2:13" x14ac:dyDescent="0.2">
      <c r="B5144" s="173"/>
      <c r="C5144" s="703"/>
      <c r="D5144" s="690"/>
      <c r="E5144" s="690"/>
      <c r="F5144" s="690"/>
      <c r="G5144" s="690"/>
      <c r="H5144" s="690"/>
      <c r="I5144" s="690"/>
      <c r="J5144" s="690"/>
      <c r="K5144" s="690"/>
      <c r="L5144" s="704"/>
      <c r="M5144" s="170"/>
    </row>
    <row r="5145" spans="2:13" x14ac:dyDescent="0.2">
      <c r="B5145" s="173"/>
      <c r="C5145" s="703"/>
      <c r="D5145" s="690"/>
      <c r="E5145" s="690"/>
      <c r="F5145" s="690"/>
      <c r="G5145" s="690"/>
      <c r="H5145" s="690"/>
      <c r="I5145" s="690"/>
      <c r="J5145" s="690"/>
      <c r="K5145" s="690"/>
      <c r="L5145" s="704"/>
      <c r="M5145" s="170"/>
    </row>
    <row r="5146" spans="2:13" x14ac:dyDescent="0.2">
      <c r="B5146" s="173"/>
      <c r="C5146" s="703"/>
      <c r="D5146" s="690"/>
      <c r="E5146" s="690"/>
      <c r="F5146" s="690"/>
      <c r="G5146" s="690"/>
      <c r="H5146" s="690"/>
      <c r="I5146" s="690"/>
      <c r="J5146" s="690"/>
      <c r="K5146" s="690"/>
      <c r="L5146" s="704"/>
      <c r="M5146" s="170"/>
    </row>
    <row r="5147" spans="2:13" x14ac:dyDescent="0.2">
      <c r="B5147" s="173"/>
      <c r="C5147" s="703"/>
      <c r="D5147" s="690"/>
      <c r="E5147" s="690"/>
      <c r="F5147" s="690"/>
      <c r="G5147" s="690"/>
      <c r="H5147" s="690"/>
      <c r="I5147" s="690"/>
      <c r="J5147" s="690"/>
      <c r="K5147" s="690"/>
      <c r="L5147" s="704"/>
      <c r="M5147" s="170"/>
    </row>
    <row r="5148" spans="2:13" x14ac:dyDescent="0.2">
      <c r="B5148" s="173"/>
      <c r="C5148" s="703"/>
      <c r="D5148" s="690"/>
      <c r="E5148" s="690"/>
      <c r="F5148" s="690"/>
      <c r="G5148" s="690"/>
      <c r="H5148" s="690"/>
      <c r="I5148" s="690"/>
      <c r="J5148" s="690"/>
      <c r="K5148" s="690"/>
      <c r="L5148" s="704"/>
      <c r="M5148" s="170"/>
    </row>
    <row r="5149" spans="2:13" x14ac:dyDescent="0.2">
      <c r="B5149" s="173"/>
      <c r="C5149" s="703"/>
      <c r="D5149" s="690"/>
      <c r="E5149" s="690"/>
      <c r="F5149" s="690"/>
      <c r="G5149" s="690"/>
      <c r="H5149" s="690"/>
      <c r="I5149" s="690"/>
      <c r="J5149" s="690"/>
      <c r="K5149" s="690"/>
      <c r="L5149" s="704"/>
      <c r="M5149" s="170"/>
    </row>
    <row r="5150" spans="2:13" x14ac:dyDescent="0.2">
      <c r="B5150" s="173"/>
      <c r="C5150" s="703"/>
      <c r="D5150" s="690"/>
      <c r="E5150" s="690"/>
      <c r="F5150" s="690"/>
      <c r="G5150" s="690"/>
      <c r="H5150" s="690"/>
      <c r="I5150" s="690"/>
      <c r="J5150" s="690"/>
      <c r="K5150" s="690"/>
      <c r="L5150" s="704"/>
      <c r="M5150" s="170"/>
    </row>
    <row r="5151" spans="2:13" x14ac:dyDescent="0.2">
      <c r="B5151" s="173"/>
      <c r="C5151" s="703"/>
      <c r="D5151" s="690"/>
      <c r="E5151" s="690"/>
      <c r="F5151" s="690"/>
      <c r="G5151" s="690"/>
      <c r="H5151" s="690"/>
      <c r="I5151" s="690"/>
      <c r="J5151" s="690"/>
      <c r="K5151" s="690"/>
      <c r="L5151" s="704"/>
      <c r="M5151" s="170"/>
    </row>
    <row r="5152" spans="2:13" x14ac:dyDescent="0.2">
      <c r="B5152" s="173"/>
      <c r="C5152" s="703"/>
      <c r="D5152" s="690"/>
      <c r="E5152" s="690"/>
      <c r="F5152" s="690"/>
      <c r="G5152" s="690"/>
      <c r="H5152" s="690"/>
      <c r="I5152" s="690"/>
      <c r="J5152" s="690"/>
      <c r="K5152" s="690"/>
      <c r="L5152" s="704"/>
      <c r="M5152" s="170"/>
    </row>
    <row r="5153" spans="2:13" x14ac:dyDescent="0.2">
      <c r="B5153" s="173"/>
      <c r="C5153" s="703"/>
      <c r="D5153" s="690"/>
      <c r="E5153" s="690"/>
      <c r="F5153" s="690"/>
      <c r="G5153" s="690"/>
      <c r="H5153" s="690"/>
      <c r="I5153" s="690"/>
      <c r="J5153" s="690"/>
      <c r="K5153" s="690"/>
      <c r="L5153" s="704"/>
      <c r="M5153" s="170"/>
    </row>
    <row r="5154" spans="2:13" x14ac:dyDescent="0.2">
      <c r="B5154" s="173"/>
      <c r="C5154" s="703"/>
      <c r="D5154" s="690"/>
      <c r="E5154" s="690"/>
      <c r="F5154" s="690"/>
      <c r="G5154" s="690"/>
      <c r="H5154" s="690"/>
      <c r="I5154" s="690"/>
      <c r="J5154" s="690"/>
      <c r="K5154" s="690"/>
      <c r="L5154" s="704"/>
      <c r="M5154" s="170"/>
    </row>
    <row r="5155" spans="2:13" x14ac:dyDescent="0.2">
      <c r="B5155" s="173"/>
      <c r="C5155" s="703"/>
      <c r="D5155" s="690"/>
      <c r="E5155" s="690"/>
      <c r="F5155" s="690"/>
      <c r="G5155" s="690"/>
      <c r="H5155" s="690"/>
      <c r="I5155" s="690"/>
      <c r="J5155" s="690"/>
      <c r="K5155" s="690"/>
      <c r="L5155" s="704"/>
      <c r="M5155" s="170"/>
    </row>
    <row r="5156" spans="2:13" x14ac:dyDescent="0.2">
      <c r="B5156" s="173"/>
      <c r="C5156" s="703"/>
      <c r="D5156" s="690"/>
      <c r="E5156" s="690"/>
      <c r="F5156" s="690"/>
      <c r="G5156" s="690"/>
      <c r="H5156" s="690"/>
      <c r="I5156" s="690"/>
      <c r="J5156" s="690"/>
      <c r="K5156" s="690"/>
      <c r="L5156" s="704"/>
      <c r="M5156" s="170"/>
    </row>
    <row r="5157" spans="2:13" x14ac:dyDescent="0.2">
      <c r="B5157" s="173"/>
      <c r="C5157" s="703"/>
      <c r="D5157" s="690"/>
      <c r="E5157" s="690"/>
      <c r="F5157" s="690"/>
      <c r="G5157" s="690"/>
      <c r="H5157" s="690"/>
      <c r="I5157" s="690"/>
      <c r="J5157" s="690"/>
      <c r="K5157" s="690"/>
      <c r="L5157" s="704"/>
      <c r="M5157" s="170"/>
    </row>
    <row r="5158" spans="2:13" x14ac:dyDescent="0.2">
      <c r="B5158" s="173"/>
      <c r="C5158" s="703"/>
      <c r="D5158" s="690"/>
      <c r="E5158" s="690"/>
      <c r="F5158" s="690"/>
      <c r="G5158" s="690"/>
      <c r="H5158" s="690"/>
      <c r="I5158" s="690"/>
      <c r="J5158" s="690"/>
      <c r="K5158" s="690"/>
      <c r="L5158" s="704"/>
      <c r="M5158" s="170"/>
    </row>
    <row r="5159" spans="2:13" x14ac:dyDescent="0.2">
      <c r="B5159" s="173"/>
      <c r="C5159" s="703"/>
      <c r="D5159" s="690"/>
      <c r="E5159" s="690"/>
      <c r="F5159" s="690"/>
      <c r="G5159" s="690"/>
      <c r="H5159" s="690"/>
      <c r="I5159" s="690"/>
      <c r="J5159" s="690"/>
      <c r="K5159" s="690"/>
      <c r="L5159" s="704"/>
      <c r="M5159" s="170"/>
    </row>
    <row r="5160" spans="2:13" x14ac:dyDescent="0.2">
      <c r="B5160" s="173"/>
      <c r="C5160" s="703"/>
      <c r="D5160" s="690"/>
      <c r="E5160" s="690"/>
      <c r="F5160" s="690"/>
      <c r="G5160" s="690"/>
      <c r="H5160" s="690"/>
      <c r="I5160" s="690"/>
      <c r="J5160" s="690"/>
      <c r="K5160" s="690"/>
      <c r="L5160" s="704"/>
      <c r="M5160" s="170"/>
    </row>
    <row r="5161" spans="2:13" x14ac:dyDescent="0.2">
      <c r="B5161" s="173"/>
      <c r="C5161" s="703"/>
      <c r="D5161" s="690"/>
      <c r="E5161" s="690"/>
      <c r="F5161" s="690"/>
      <c r="G5161" s="690"/>
      <c r="H5161" s="690"/>
      <c r="I5161" s="690"/>
      <c r="J5161" s="690"/>
      <c r="K5161" s="690"/>
      <c r="L5161" s="704"/>
      <c r="M5161" s="170"/>
    </row>
    <row r="5162" spans="2:13" x14ac:dyDescent="0.2">
      <c r="B5162" s="173"/>
      <c r="C5162" s="703"/>
      <c r="D5162" s="690"/>
      <c r="E5162" s="690"/>
      <c r="F5162" s="690"/>
      <c r="G5162" s="690"/>
      <c r="H5162" s="690"/>
      <c r="I5162" s="690"/>
      <c r="J5162" s="690"/>
      <c r="K5162" s="690"/>
      <c r="L5162" s="704"/>
      <c r="M5162" s="170"/>
    </row>
    <row r="5163" spans="2:13" x14ac:dyDescent="0.2">
      <c r="B5163" s="173"/>
      <c r="C5163" s="703"/>
      <c r="D5163" s="690"/>
      <c r="E5163" s="690"/>
      <c r="F5163" s="690"/>
      <c r="G5163" s="690"/>
      <c r="H5163" s="690"/>
      <c r="I5163" s="690"/>
      <c r="J5163" s="690"/>
      <c r="K5163" s="690"/>
      <c r="L5163" s="704"/>
      <c r="M5163" s="170"/>
    </row>
    <row r="5164" spans="2:13" x14ac:dyDescent="0.2">
      <c r="B5164" s="173"/>
      <c r="C5164" s="703"/>
      <c r="D5164" s="690"/>
      <c r="E5164" s="690"/>
      <c r="F5164" s="690"/>
      <c r="G5164" s="690"/>
      <c r="H5164" s="690"/>
      <c r="I5164" s="690"/>
      <c r="J5164" s="690"/>
      <c r="K5164" s="690"/>
      <c r="L5164" s="704"/>
      <c r="M5164" s="170"/>
    </row>
    <row r="5165" spans="2:13" x14ac:dyDescent="0.2">
      <c r="B5165" s="173"/>
      <c r="C5165" s="703"/>
      <c r="D5165" s="690"/>
      <c r="E5165" s="690"/>
      <c r="F5165" s="690"/>
      <c r="G5165" s="690"/>
      <c r="H5165" s="690"/>
      <c r="I5165" s="690"/>
      <c r="J5165" s="690"/>
      <c r="K5165" s="690"/>
      <c r="L5165" s="704"/>
      <c r="M5165" s="170"/>
    </row>
    <row r="5166" spans="2:13" x14ac:dyDescent="0.2">
      <c r="B5166" s="173"/>
      <c r="C5166" s="703"/>
      <c r="D5166" s="690"/>
      <c r="E5166" s="690"/>
      <c r="F5166" s="690"/>
      <c r="G5166" s="690"/>
      <c r="H5166" s="690"/>
      <c r="I5166" s="690"/>
      <c r="J5166" s="690"/>
      <c r="K5166" s="690"/>
      <c r="L5166" s="704"/>
      <c r="M5166" s="170"/>
    </row>
    <row r="5167" spans="2:13" x14ac:dyDescent="0.2">
      <c r="B5167" s="173"/>
      <c r="C5167" s="703"/>
      <c r="D5167" s="690"/>
      <c r="E5167" s="690"/>
      <c r="F5167" s="690"/>
      <c r="G5167" s="690"/>
      <c r="H5167" s="690"/>
      <c r="I5167" s="690"/>
      <c r="J5167" s="690"/>
      <c r="K5167" s="690"/>
      <c r="L5167" s="704"/>
      <c r="M5167" s="170"/>
    </row>
    <row r="5168" spans="2:13" x14ac:dyDescent="0.2">
      <c r="B5168" s="173"/>
      <c r="C5168" s="703"/>
      <c r="D5168" s="690"/>
      <c r="E5168" s="690"/>
      <c r="F5168" s="690"/>
      <c r="G5168" s="690"/>
      <c r="H5168" s="690"/>
      <c r="I5168" s="690"/>
      <c r="J5168" s="690"/>
      <c r="K5168" s="690"/>
      <c r="L5168" s="704"/>
      <c r="M5168" s="170"/>
    </row>
    <row r="5169" spans="2:13" x14ac:dyDescent="0.2">
      <c r="B5169" s="173"/>
      <c r="C5169" s="703"/>
      <c r="D5169" s="690"/>
      <c r="E5169" s="690"/>
      <c r="F5169" s="690"/>
      <c r="G5169" s="690"/>
      <c r="H5169" s="690"/>
      <c r="I5169" s="690"/>
      <c r="J5169" s="690"/>
      <c r="K5169" s="690"/>
      <c r="L5169" s="704"/>
      <c r="M5169" s="170"/>
    </row>
    <row r="5170" spans="2:13" x14ac:dyDescent="0.2">
      <c r="B5170" s="173"/>
      <c r="C5170" s="703"/>
      <c r="D5170" s="690"/>
      <c r="E5170" s="690"/>
      <c r="F5170" s="690"/>
      <c r="G5170" s="690"/>
      <c r="H5170" s="690"/>
      <c r="I5170" s="690"/>
      <c r="J5170" s="690"/>
      <c r="K5170" s="690"/>
      <c r="L5170" s="704"/>
      <c r="M5170" s="170"/>
    </row>
    <row r="5171" spans="2:13" x14ac:dyDescent="0.2">
      <c r="B5171" s="173"/>
      <c r="C5171" s="703"/>
      <c r="D5171" s="690"/>
      <c r="E5171" s="690"/>
      <c r="F5171" s="690"/>
      <c r="G5171" s="690"/>
      <c r="H5171" s="690"/>
      <c r="I5171" s="690"/>
      <c r="J5171" s="690"/>
      <c r="K5171" s="690"/>
      <c r="L5171" s="704"/>
      <c r="M5171" s="170"/>
    </row>
    <row r="5172" spans="2:13" x14ac:dyDescent="0.2">
      <c r="B5172" s="173"/>
      <c r="C5172" s="703"/>
      <c r="D5172" s="690"/>
      <c r="E5172" s="690"/>
      <c r="F5172" s="690"/>
      <c r="G5172" s="690"/>
      <c r="H5172" s="690"/>
      <c r="I5172" s="690"/>
      <c r="J5172" s="690"/>
      <c r="K5172" s="690"/>
      <c r="L5172" s="704"/>
      <c r="M5172" s="170"/>
    </row>
    <row r="5173" spans="2:13" x14ac:dyDescent="0.2">
      <c r="B5173" s="173"/>
      <c r="C5173" s="703"/>
      <c r="D5173" s="690"/>
      <c r="E5173" s="690"/>
      <c r="F5173" s="690"/>
      <c r="G5173" s="690"/>
      <c r="H5173" s="690"/>
      <c r="I5173" s="690"/>
      <c r="J5173" s="690"/>
      <c r="K5173" s="690"/>
      <c r="L5173" s="704"/>
      <c r="M5173" s="170"/>
    </row>
    <row r="5174" spans="2:13" x14ac:dyDescent="0.2">
      <c r="B5174" s="173"/>
      <c r="C5174" s="703"/>
      <c r="D5174" s="690"/>
      <c r="E5174" s="690"/>
      <c r="F5174" s="690"/>
      <c r="G5174" s="690"/>
      <c r="H5174" s="690"/>
      <c r="I5174" s="690"/>
      <c r="J5174" s="690"/>
      <c r="K5174" s="690"/>
      <c r="L5174" s="704"/>
      <c r="M5174" s="170"/>
    </row>
    <row r="5175" spans="2:13" x14ac:dyDescent="0.2">
      <c r="B5175" s="173"/>
      <c r="C5175" s="703"/>
      <c r="D5175" s="690"/>
      <c r="E5175" s="690"/>
      <c r="F5175" s="690"/>
      <c r="G5175" s="690"/>
      <c r="H5175" s="690"/>
      <c r="I5175" s="690"/>
      <c r="J5175" s="690"/>
      <c r="K5175" s="690"/>
      <c r="L5175" s="704"/>
      <c r="M5175" s="170"/>
    </row>
    <row r="5176" spans="2:13" x14ac:dyDescent="0.2">
      <c r="B5176" s="173"/>
      <c r="C5176" s="703"/>
      <c r="D5176" s="690"/>
      <c r="E5176" s="690"/>
      <c r="F5176" s="690"/>
      <c r="G5176" s="690"/>
      <c r="H5176" s="690"/>
      <c r="I5176" s="690"/>
      <c r="J5176" s="690"/>
      <c r="K5176" s="690"/>
      <c r="L5176" s="704"/>
      <c r="M5176" s="170"/>
    </row>
    <row r="5177" spans="2:13" x14ac:dyDescent="0.2">
      <c r="B5177" s="173"/>
      <c r="C5177" s="703"/>
      <c r="D5177" s="690"/>
      <c r="E5177" s="690"/>
      <c r="F5177" s="690"/>
      <c r="G5177" s="690"/>
      <c r="H5177" s="690"/>
      <c r="I5177" s="690"/>
      <c r="J5177" s="690"/>
      <c r="K5177" s="690"/>
      <c r="L5177" s="704"/>
      <c r="M5177" s="170"/>
    </row>
    <row r="5178" spans="2:13" x14ac:dyDescent="0.2">
      <c r="B5178" s="173"/>
      <c r="C5178" s="703"/>
      <c r="D5178" s="690"/>
      <c r="E5178" s="690"/>
      <c r="F5178" s="690"/>
      <c r="G5178" s="690"/>
      <c r="H5178" s="690"/>
      <c r="I5178" s="690"/>
      <c r="J5178" s="690"/>
      <c r="K5178" s="690"/>
      <c r="L5178" s="704"/>
      <c r="M5178" s="170"/>
    </row>
    <row r="5179" spans="2:13" x14ac:dyDescent="0.2">
      <c r="B5179" s="173"/>
      <c r="C5179" s="703"/>
      <c r="D5179" s="690"/>
      <c r="E5179" s="690"/>
      <c r="F5179" s="690"/>
      <c r="G5179" s="690"/>
      <c r="H5179" s="690"/>
      <c r="I5179" s="690"/>
      <c r="J5179" s="690"/>
      <c r="K5179" s="690"/>
      <c r="L5179" s="704"/>
      <c r="M5179" s="170"/>
    </row>
    <row r="5180" spans="2:13" x14ac:dyDescent="0.2">
      <c r="B5180" s="173"/>
      <c r="C5180" s="703"/>
      <c r="D5180" s="690"/>
      <c r="E5180" s="690"/>
      <c r="F5180" s="690"/>
      <c r="G5180" s="690"/>
      <c r="H5180" s="690"/>
      <c r="I5180" s="690"/>
      <c r="J5180" s="690"/>
      <c r="K5180" s="690"/>
      <c r="L5180" s="704"/>
      <c r="M5180" s="170"/>
    </row>
    <row r="5181" spans="2:13" x14ac:dyDescent="0.2">
      <c r="B5181" s="173"/>
      <c r="C5181" s="703"/>
      <c r="D5181" s="690"/>
      <c r="E5181" s="690"/>
      <c r="F5181" s="690"/>
      <c r="G5181" s="690"/>
      <c r="H5181" s="690"/>
      <c r="I5181" s="690"/>
      <c r="J5181" s="690"/>
      <c r="K5181" s="690"/>
      <c r="L5181" s="704"/>
      <c r="M5181" s="170"/>
    </row>
    <row r="5182" spans="2:13" x14ac:dyDescent="0.2">
      <c r="B5182" s="173"/>
      <c r="C5182" s="703"/>
      <c r="D5182" s="690"/>
      <c r="E5182" s="690"/>
      <c r="F5182" s="690"/>
      <c r="G5182" s="690"/>
      <c r="H5182" s="690"/>
      <c r="I5182" s="690"/>
      <c r="J5182" s="690"/>
      <c r="K5182" s="690"/>
      <c r="L5182" s="704"/>
      <c r="M5182" s="170"/>
    </row>
    <row r="5183" spans="2:13" x14ac:dyDescent="0.2">
      <c r="B5183" s="173"/>
      <c r="C5183" s="703"/>
      <c r="D5183" s="690"/>
      <c r="E5183" s="690"/>
      <c r="F5183" s="690"/>
      <c r="G5183" s="690"/>
      <c r="H5183" s="690"/>
      <c r="I5183" s="690"/>
      <c r="J5183" s="690"/>
      <c r="K5183" s="690"/>
      <c r="L5183" s="704"/>
      <c r="M5183" s="170"/>
    </row>
    <row r="5184" spans="2:13" x14ac:dyDescent="0.2">
      <c r="B5184" s="173"/>
      <c r="C5184" s="703"/>
      <c r="D5184" s="690"/>
      <c r="E5184" s="690"/>
      <c r="F5184" s="690"/>
      <c r="G5184" s="690"/>
      <c r="H5184" s="690"/>
      <c r="I5184" s="690"/>
      <c r="J5184" s="690"/>
      <c r="K5184" s="690"/>
      <c r="L5184" s="704"/>
      <c r="M5184" s="170"/>
    </row>
    <row r="5185" spans="2:13" x14ac:dyDescent="0.2">
      <c r="B5185" s="173"/>
      <c r="C5185" s="703"/>
      <c r="D5185" s="690"/>
      <c r="E5185" s="690"/>
      <c r="F5185" s="690"/>
      <c r="G5185" s="690"/>
      <c r="H5185" s="690"/>
      <c r="I5185" s="690"/>
      <c r="J5185" s="690"/>
      <c r="K5185" s="690"/>
      <c r="L5185" s="704"/>
      <c r="M5185" s="170"/>
    </row>
    <row r="5186" spans="2:13" x14ac:dyDescent="0.2">
      <c r="B5186" s="173"/>
      <c r="C5186" s="703"/>
      <c r="D5186" s="690"/>
      <c r="E5186" s="690"/>
      <c r="F5186" s="690"/>
      <c r="G5186" s="690"/>
      <c r="H5186" s="690"/>
      <c r="I5186" s="690"/>
      <c r="J5186" s="690"/>
      <c r="K5186" s="690"/>
      <c r="L5186" s="704"/>
      <c r="M5186" s="170"/>
    </row>
    <row r="5187" spans="2:13" x14ac:dyDescent="0.2">
      <c r="B5187" s="173"/>
      <c r="C5187" s="703"/>
      <c r="D5187" s="690"/>
      <c r="E5187" s="690"/>
      <c r="F5187" s="690"/>
      <c r="G5187" s="690"/>
      <c r="H5187" s="690"/>
      <c r="I5187" s="690"/>
      <c r="J5187" s="690"/>
      <c r="K5187" s="690"/>
      <c r="L5187" s="704"/>
      <c r="M5187" s="170"/>
    </row>
    <row r="5188" spans="2:13" x14ac:dyDescent="0.2">
      <c r="B5188" s="173"/>
      <c r="C5188" s="703"/>
      <c r="D5188" s="690"/>
      <c r="E5188" s="690"/>
      <c r="F5188" s="690"/>
      <c r="G5188" s="690"/>
      <c r="H5188" s="690"/>
      <c r="I5188" s="690"/>
      <c r="J5188" s="690"/>
      <c r="K5188" s="690"/>
      <c r="L5188" s="704"/>
      <c r="M5188" s="170"/>
    </row>
    <row r="5189" spans="2:13" x14ac:dyDescent="0.2">
      <c r="B5189" s="173"/>
      <c r="C5189" s="703"/>
      <c r="D5189" s="690"/>
      <c r="E5189" s="690"/>
      <c r="F5189" s="690"/>
      <c r="G5189" s="690"/>
      <c r="H5189" s="690"/>
      <c r="I5189" s="690"/>
      <c r="J5189" s="690"/>
      <c r="K5189" s="690"/>
      <c r="L5189" s="704"/>
      <c r="M5189" s="170"/>
    </row>
    <row r="5190" spans="2:13" x14ac:dyDescent="0.2">
      <c r="B5190" s="173"/>
      <c r="C5190" s="703"/>
      <c r="D5190" s="690"/>
      <c r="E5190" s="690"/>
      <c r="F5190" s="690"/>
      <c r="G5190" s="690"/>
      <c r="H5190" s="690"/>
      <c r="I5190" s="690"/>
      <c r="J5190" s="690"/>
      <c r="K5190" s="690"/>
      <c r="L5190" s="704"/>
      <c r="M5190" s="170"/>
    </row>
    <row r="5191" spans="2:13" x14ac:dyDescent="0.2">
      <c r="B5191" s="173"/>
      <c r="C5191" s="703"/>
      <c r="D5191" s="690"/>
      <c r="E5191" s="690"/>
      <c r="F5191" s="690"/>
      <c r="G5191" s="690"/>
      <c r="H5191" s="690"/>
      <c r="I5191" s="690"/>
      <c r="J5191" s="690"/>
      <c r="K5191" s="690"/>
      <c r="L5191" s="704"/>
      <c r="M5191" s="170"/>
    </row>
    <row r="5192" spans="2:13" x14ac:dyDescent="0.2">
      <c r="B5192" s="173"/>
      <c r="C5192" s="703"/>
      <c r="D5192" s="690"/>
      <c r="E5192" s="690"/>
      <c r="F5192" s="690"/>
      <c r="G5192" s="690"/>
      <c r="H5192" s="690"/>
      <c r="I5192" s="690"/>
      <c r="J5192" s="690"/>
      <c r="K5192" s="690"/>
      <c r="L5192" s="704"/>
      <c r="M5192" s="170"/>
    </row>
    <row r="5193" spans="2:13" x14ac:dyDescent="0.2">
      <c r="B5193" s="173"/>
      <c r="C5193" s="703"/>
      <c r="D5193" s="690"/>
      <c r="E5193" s="690"/>
      <c r="F5193" s="690"/>
      <c r="G5193" s="690"/>
      <c r="H5193" s="690"/>
      <c r="I5193" s="690"/>
      <c r="J5193" s="690"/>
      <c r="K5193" s="690"/>
      <c r="L5193" s="704"/>
      <c r="M5193" s="170"/>
    </row>
    <row r="5194" spans="2:13" x14ac:dyDescent="0.2">
      <c r="B5194" s="173"/>
      <c r="C5194" s="703"/>
      <c r="D5194" s="690"/>
      <c r="E5194" s="690"/>
      <c r="F5194" s="690"/>
      <c r="G5194" s="690"/>
      <c r="H5194" s="690"/>
      <c r="I5194" s="690"/>
      <c r="J5194" s="690"/>
      <c r="K5194" s="690"/>
      <c r="L5194" s="704"/>
      <c r="M5194" s="170"/>
    </row>
    <row r="5195" spans="2:13" x14ac:dyDescent="0.2">
      <c r="B5195" s="173"/>
      <c r="C5195" s="703"/>
      <c r="D5195" s="690"/>
      <c r="E5195" s="690"/>
      <c r="F5195" s="690"/>
      <c r="G5195" s="690"/>
      <c r="H5195" s="690"/>
      <c r="I5195" s="690"/>
      <c r="J5195" s="690"/>
      <c r="K5195" s="690"/>
      <c r="L5195" s="704"/>
      <c r="M5195" s="170"/>
    </row>
    <row r="5196" spans="2:13" x14ac:dyDescent="0.2">
      <c r="B5196" s="173"/>
      <c r="C5196" s="703"/>
      <c r="D5196" s="690"/>
      <c r="E5196" s="690"/>
      <c r="F5196" s="690"/>
      <c r="G5196" s="690"/>
      <c r="H5196" s="690"/>
      <c r="I5196" s="690"/>
      <c r="J5196" s="690"/>
      <c r="K5196" s="690"/>
      <c r="L5196" s="704"/>
      <c r="M5196" s="170"/>
    </row>
    <row r="5197" spans="2:13" x14ac:dyDescent="0.2">
      <c r="B5197" s="173"/>
      <c r="C5197" s="703"/>
      <c r="D5197" s="690"/>
      <c r="E5197" s="690"/>
      <c r="F5197" s="690"/>
      <c r="G5197" s="690"/>
      <c r="H5197" s="690"/>
      <c r="I5197" s="690"/>
      <c r="J5197" s="690"/>
      <c r="K5197" s="690"/>
      <c r="L5197" s="704"/>
      <c r="M5197" s="170"/>
    </row>
    <row r="5198" spans="2:13" x14ac:dyDescent="0.2">
      <c r="B5198" s="173"/>
      <c r="C5198" s="703"/>
      <c r="D5198" s="690"/>
      <c r="E5198" s="690"/>
      <c r="F5198" s="690"/>
      <c r="G5198" s="690"/>
      <c r="H5198" s="690"/>
      <c r="I5198" s="690"/>
      <c r="J5198" s="690"/>
      <c r="K5198" s="690"/>
      <c r="L5198" s="704"/>
      <c r="M5198" s="170"/>
    </row>
    <row r="5199" spans="2:13" x14ac:dyDescent="0.2">
      <c r="B5199" s="173"/>
      <c r="C5199" s="703"/>
      <c r="D5199" s="690"/>
      <c r="E5199" s="690"/>
      <c r="F5199" s="690"/>
      <c r="G5199" s="690"/>
      <c r="H5199" s="690"/>
      <c r="I5199" s="690"/>
      <c r="J5199" s="690"/>
      <c r="K5199" s="690"/>
      <c r="L5199" s="704"/>
      <c r="M5199" s="170"/>
    </row>
    <row r="5200" spans="2:13" x14ac:dyDescent="0.2">
      <c r="B5200" s="173"/>
      <c r="C5200" s="703"/>
      <c r="D5200" s="690"/>
      <c r="E5200" s="690"/>
      <c r="F5200" s="690"/>
      <c r="G5200" s="690"/>
      <c r="H5200" s="690"/>
      <c r="I5200" s="690"/>
      <c r="J5200" s="690"/>
      <c r="K5200" s="690"/>
      <c r="L5200" s="704"/>
      <c r="M5200" s="170"/>
    </row>
    <row r="5201" spans="2:13" x14ac:dyDescent="0.2">
      <c r="B5201" s="173"/>
      <c r="C5201" s="703"/>
      <c r="D5201" s="690"/>
      <c r="E5201" s="690"/>
      <c r="F5201" s="690"/>
      <c r="G5201" s="690"/>
      <c r="H5201" s="690"/>
      <c r="I5201" s="690"/>
      <c r="J5201" s="690"/>
      <c r="K5201" s="690"/>
      <c r="L5201" s="704"/>
      <c r="M5201" s="170"/>
    </row>
    <row r="5202" spans="2:13" x14ac:dyDescent="0.2">
      <c r="B5202" s="173"/>
      <c r="C5202" s="703"/>
      <c r="D5202" s="690"/>
      <c r="E5202" s="690"/>
      <c r="F5202" s="690"/>
      <c r="G5202" s="690"/>
      <c r="H5202" s="690"/>
      <c r="I5202" s="690"/>
      <c r="J5202" s="690"/>
      <c r="K5202" s="690"/>
      <c r="L5202" s="704"/>
      <c r="M5202" s="170"/>
    </row>
    <row r="5203" spans="2:13" x14ac:dyDescent="0.2">
      <c r="B5203" s="173"/>
      <c r="C5203" s="703"/>
      <c r="D5203" s="690"/>
      <c r="E5203" s="690"/>
      <c r="F5203" s="690"/>
      <c r="G5203" s="690"/>
      <c r="H5203" s="690"/>
      <c r="I5203" s="690"/>
      <c r="J5203" s="690"/>
      <c r="K5203" s="690"/>
      <c r="L5203" s="704"/>
      <c r="M5203" s="170"/>
    </row>
    <row r="5204" spans="2:13" x14ac:dyDescent="0.2">
      <c r="B5204" s="173"/>
      <c r="C5204" s="703"/>
      <c r="D5204" s="690"/>
      <c r="E5204" s="690"/>
      <c r="F5204" s="690"/>
      <c r="G5204" s="690"/>
      <c r="H5204" s="690"/>
      <c r="I5204" s="690"/>
      <c r="J5204" s="690"/>
      <c r="K5204" s="690"/>
      <c r="L5204" s="704"/>
      <c r="M5204" s="170"/>
    </row>
    <row r="5205" spans="2:13" x14ac:dyDescent="0.2">
      <c r="B5205" s="173"/>
      <c r="C5205" s="703"/>
      <c r="D5205" s="690"/>
      <c r="E5205" s="690"/>
      <c r="F5205" s="690"/>
      <c r="G5205" s="690"/>
      <c r="H5205" s="690"/>
      <c r="I5205" s="690"/>
      <c r="J5205" s="690"/>
      <c r="K5205" s="690"/>
      <c r="L5205" s="704"/>
      <c r="M5205" s="170"/>
    </row>
    <row r="5206" spans="2:13" x14ac:dyDescent="0.2">
      <c r="B5206" s="173"/>
      <c r="C5206" s="703"/>
      <c r="D5206" s="690"/>
      <c r="E5206" s="690"/>
      <c r="F5206" s="690"/>
      <c r="G5206" s="690"/>
      <c r="H5206" s="690"/>
      <c r="I5206" s="690"/>
      <c r="J5206" s="690"/>
      <c r="K5206" s="690"/>
      <c r="L5206" s="704"/>
      <c r="M5206" s="170"/>
    </row>
    <row r="5207" spans="2:13" x14ac:dyDescent="0.2">
      <c r="B5207" s="173"/>
      <c r="C5207" s="703"/>
      <c r="D5207" s="690"/>
      <c r="E5207" s="690"/>
      <c r="F5207" s="690"/>
      <c r="G5207" s="690"/>
      <c r="H5207" s="690"/>
      <c r="I5207" s="690"/>
      <c r="J5207" s="690"/>
      <c r="K5207" s="690"/>
      <c r="L5207" s="704"/>
      <c r="M5207" s="170"/>
    </row>
    <row r="5208" spans="2:13" x14ac:dyDescent="0.2">
      <c r="B5208" s="173"/>
      <c r="C5208" s="703"/>
      <c r="D5208" s="690"/>
      <c r="E5208" s="690"/>
      <c r="F5208" s="690"/>
      <c r="G5208" s="690"/>
      <c r="H5208" s="690"/>
      <c r="I5208" s="690"/>
      <c r="J5208" s="690"/>
      <c r="K5208" s="690"/>
      <c r="L5208" s="704"/>
      <c r="M5208" s="170"/>
    </row>
    <row r="5209" spans="2:13" x14ac:dyDescent="0.2">
      <c r="B5209" s="173"/>
      <c r="C5209" s="703"/>
      <c r="D5209" s="690"/>
      <c r="E5209" s="690"/>
      <c r="F5209" s="690"/>
      <c r="G5209" s="690"/>
      <c r="H5209" s="690"/>
      <c r="I5209" s="690"/>
      <c r="J5209" s="690"/>
      <c r="K5209" s="690"/>
      <c r="L5209" s="704"/>
      <c r="M5209" s="170"/>
    </row>
    <row r="5210" spans="2:13" x14ac:dyDescent="0.2">
      <c r="B5210" s="173"/>
      <c r="C5210" s="703"/>
      <c r="D5210" s="690"/>
      <c r="E5210" s="690"/>
      <c r="F5210" s="690"/>
      <c r="G5210" s="690"/>
      <c r="H5210" s="690"/>
      <c r="I5210" s="690"/>
      <c r="J5210" s="690"/>
      <c r="K5210" s="690"/>
      <c r="L5210" s="704"/>
      <c r="M5210" s="170"/>
    </row>
    <row r="5211" spans="2:13" x14ac:dyDescent="0.2">
      <c r="B5211" s="173"/>
      <c r="C5211" s="703"/>
      <c r="D5211" s="690"/>
      <c r="E5211" s="690"/>
      <c r="F5211" s="690"/>
      <c r="G5211" s="690"/>
      <c r="H5211" s="690"/>
      <c r="I5211" s="690"/>
      <c r="J5211" s="690"/>
      <c r="K5211" s="690"/>
      <c r="L5211" s="704"/>
      <c r="M5211" s="170"/>
    </row>
    <row r="5212" spans="2:13" x14ac:dyDescent="0.2">
      <c r="B5212" s="173"/>
      <c r="C5212" s="703"/>
      <c r="D5212" s="690"/>
      <c r="E5212" s="690"/>
      <c r="F5212" s="690"/>
      <c r="G5212" s="690"/>
      <c r="H5212" s="690"/>
      <c r="I5212" s="690"/>
      <c r="J5212" s="690"/>
      <c r="K5212" s="690"/>
      <c r="L5212" s="704"/>
      <c r="M5212" s="170"/>
    </row>
    <row r="5213" spans="2:13" x14ac:dyDescent="0.2">
      <c r="B5213" s="173"/>
      <c r="C5213" s="703"/>
      <c r="D5213" s="690"/>
      <c r="E5213" s="690"/>
      <c r="F5213" s="690"/>
      <c r="G5213" s="690"/>
      <c r="H5213" s="690"/>
      <c r="I5213" s="690"/>
      <c r="J5213" s="690"/>
      <c r="K5213" s="690"/>
      <c r="L5213" s="704"/>
      <c r="M5213" s="170"/>
    </row>
    <row r="5214" spans="2:13" x14ac:dyDescent="0.2">
      <c r="B5214" s="173"/>
      <c r="C5214" s="703"/>
      <c r="D5214" s="690"/>
      <c r="E5214" s="690"/>
      <c r="F5214" s="690"/>
      <c r="G5214" s="690"/>
      <c r="H5214" s="690"/>
      <c r="I5214" s="690"/>
      <c r="J5214" s="690"/>
      <c r="K5214" s="690"/>
      <c r="L5214" s="704"/>
      <c r="M5214" s="170"/>
    </row>
    <row r="5215" spans="2:13" x14ac:dyDescent="0.2">
      <c r="B5215" s="173"/>
      <c r="C5215" s="703"/>
      <c r="D5215" s="690"/>
      <c r="E5215" s="690"/>
      <c r="F5215" s="690"/>
      <c r="G5215" s="690"/>
      <c r="H5215" s="690"/>
      <c r="I5215" s="690"/>
      <c r="J5215" s="690"/>
      <c r="K5215" s="690"/>
      <c r="L5215" s="704"/>
      <c r="M5215" s="170"/>
    </row>
    <row r="5216" spans="2:13" x14ac:dyDescent="0.2">
      <c r="B5216" s="173"/>
      <c r="C5216" s="703"/>
      <c r="D5216" s="690"/>
      <c r="E5216" s="690"/>
      <c r="F5216" s="690"/>
      <c r="G5216" s="690"/>
      <c r="H5216" s="690"/>
      <c r="I5216" s="690"/>
      <c r="J5216" s="690"/>
      <c r="K5216" s="690"/>
      <c r="L5216" s="704"/>
      <c r="M5216" s="170"/>
    </row>
    <row r="5217" spans="2:13" x14ac:dyDescent="0.2">
      <c r="B5217" s="173"/>
      <c r="C5217" s="703"/>
      <c r="D5217" s="690"/>
      <c r="E5217" s="690"/>
      <c r="F5217" s="690"/>
      <c r="G5217" s="690"/>
      <c r="H5217" s="690"/>
      <c r="I5217" s="690"/>
      <c r="J5217" s="690"/>
      <c r="K5217" s="690"/>
      <c r="L5217" s="704"/>
      <c r="M5217" s="170"/>
    </row>
    <row r="5218" spans="2:13" x14ac:dyDescent="0.2">
      <c r="B5218" s="173"/>
      <c r="C5218" s="703"/>
      <c r="D5218" s="690"/>
      <c r="E5218" s="690"/>
      <c r="F5218" s="690"/>
      <c r="G5218" s="690"/>
      <c r="H5218" s="690"/>
      <c r="I5218" s="690"/>
      <c r="J5218" s="690"/>
      <c r="K5218" s="690"/>
      <c r="L5218" s="704"/>
      <c r="M5218" s="170"/>
    </row>
    <row r="5219" spans="2:13" x14ac:dyDescent="0.2">
      <c r="B5219" s="173"/>
      <c r="C5219" s="703"/>
      <c r="D5219" s="690"/>
      <c r="E5219" s="690"/>
      <c r="F5219" s="690"/>
      <c r="G5219" s="690"/>
      <c r="H5219" s="690"/>
      <c r="I5219" s="690"/>
      <c r="J5219" s="690"/>
      <c r="K5219" s="690"/>
      <c r="L5219" s="704"/>
      <c r="M5219" s="170"/>
    </row>
    <row r="5220" spans="2:13" x14ac:dyDescent="0.2">
      <c r="B5220" s="173"/>
      <c r="C5220" s="703"/>
      <c r="D5220" s="690"/>
      <c r="E5220" s="690"/>
      <c r="F5220" s="690"/>
      <c r="G5220" s="690"/>
      <c r="H5220" s="690"/>
      <c r="I5220" s="690"/>
      <c r="J5220" s="690"/>
      <c r="K5220" s="690"/>
      <c r="L5220" s="704"/>
      <c r="M5220" s="170"/>
    </row>
    <row r="5221" spans="2:13" x14ac:dyDescent="0.2">
      <c r="B5221" s="173"/>
      <c r="C5221" s="703"/>
      <c r="D5221" s="690"/>
      <c r="E5221" s="690"/>
      <c r="F5221" s="690"/>
      <c r="G5221" s="690"/>
      <c r="H5221" s="690"/>
      <c r="I5221" s="690"/>
      <c r="J5221" s="690"/>
      <c r="K5221" s="690"/>
      <c r="L5221" s="704"/>
      <c r="M5221" s="170"/>
    </row>
    <row r="5222" spans="2:13" x14ac:dyDescent="0.2">
      <c r="B5222" s="173"/>
      <c r="C5222" s="703"/>
      <c r="D5222" s="690"/>
      <c r="E5222" s="690"/>
      <c r="F5222" s="690"/>
      <c r="G5222" s="690"/>
      <c r="H5222" s="690"/>
      <c r="I5222" s="690"/>
      <c r="J5222" s="690"/>
      <c r="K5222" s="690"/>
      <c r="L5222" s="704"/>
      <c r="M5222" s="170"/>
    </row>
    <row r="5223" spans="2:13" x14ac:dyDescent="0.2">
      <c r="B5223" s="173"/>
      <c r="C5223" s="703"/>
      <c r="D5223" s="690"/>
      <c r="E5223" s="690"/>
      <c r="F5223" s="690"/>
      <c r="G5223" s="690"/>
      <c r="H5223" s="690"/>
      <c r="I5223" s="690"/>
      <c r="J5223" s="690"/>
      <c r="K5223" s="690"/>
      <c r="L5223" s="704"/>
      <c r="M5223" s="170"/>
    </row>
    <row r="5224" spans="2:13" x14ac:dyDescent="0.2">
      <c r="B5224" s="173"/>
      <c r="C5224" s="703"/>
      <c r="D5224" s="690"/>
      <c r="E5224" s="690"/>
      <c r="F5224" s="690"/>
      <c r="G5224" s="690"/>
      <c r="H5224" s="690"/>
      <c r="I5224" s="690"/>
      <c r="J5224" s="690"/>
      <c r="K5224" s="690"/>
      <c r="L5224" s="704"/>
      <c r="M5224" s="170"/>
    </row>
    <row r="5225" spans="2:13" x14ac:dyDescent="0.2">
      <c r="B5225" s="173"/>
      <c r="C5225" s="703"/>
      <c r="D5225" s="690"/>
      <c r="E5225" s="690"/>
      <c r="F5225" s="690"/>
      <c r="G5225" s="690"/>
      <c r="H5225" s="690"/>
      <c r="I5225" s="690"/>
      <c r="J5225" s="690"/>
      <c r="K5225" s="690"/>
      <c r="L5225" s="704"/>
      <c r="M5225" s="170"/>
    </row>
    <row r="5226" spans="2:13" x14ac:dyDescent="0.2">
      <c r="B5226" s="173"/>
      <c r="C5226" s="703"/>
      <c r="D5226" s="690"/>
      <c r="E5226" s="690"/>
      <c r="F5226" s="690"/>
      <c r="G5226" s="690"/>
      <c r="H5226" s="690"/>
      <c r="I5226" s="690"/>
      <c r="J5226" s="690"/>
      <c r="K5226" s="690"/>
      <c r="L5226" s="704"/>
      <c r="M5226" s="170"/>
    </row>
    <row r="5227" spans="2:13" x14ac:dyDescent="0.2">
      <c r="B5227" s="173"/>
      <c r="C5227" s="703"/>
      <c r="D5227" s="690"/>
      <c r="E5227" s="690"/>
      <c r="F5227" s="690"/>
      <c r="G5227" s="690"/>
      <c r="H5227" s="690"/>
      <c r="I5227" s="690"/>
      <c r="J5227" s="690"/>
      <c r="K5227" s="690"/>
      <c r="L5227" s="704"/>
      <c r="M5227" s="170"/>
    </row>
    <row r="5228" spans="2:13" x14ac:dyDescent="0.2">
      <c r="B5228" s="173"/>
      <c r="C5228" s="703"/>
      <c r="D5228" s="690"/>
      <c r="E5228" s="690"/>
      <c r="F5228" s="690"/>
      <c r="G5228" s="690"/>
      <c r="H5228" s="690"/>
      <c r="I5228" s="690"/>
      <c r="J5228" s="690"/>
      <c r="K5228" s="690"/>
      <c r="L5228" s="704"/>
      <c r="M5228" s="170"/>
    </row>
    <row r="5229" spans="2:13" x14ac:dyDescent="0.2">
      <c r="B5229" s="173"/>
      <c r="C5229" s="703"/>
      <c r="D5229" s="690"/>
      <c r="E5229" s="690"/>
      <c r="F5229" s="690"/>
      <c r="G5229" s="690"/>
      <c r="H5229" s="690"/>
      <c r="I5229" s="690"/>
      <c r="J5229" s="690"/>
      <c r="K5229" s="690"/>
      <c r="L5229" s="704"/>
      <c r="M5229" s="170"/>
    </row>
    <row r="5230" spans="2:13" x14ac:dyDescent="0.2">
      <c r="B5230" s="173"/>
      <c r="C5230" s="703"/>
      <c r="D5230" s="690"/>
      <c r="E5230" s="690"/>
      <c r="F5230" s="690"/>
      <c r="G5230" s="690"/>
      <c r="H5230" s="690"/>
      <c r="I5230" s="690"/>
      <c r="J5230" s="690"/>
      <c r="K5230" s="690"/>
      <c r="L5230" s="704"/>
      <c r="M5230" s="170"/>
    </row>
    <row r="5231" spans="2:13" x14ac:dyDescent="0.2">
      <c r="B5231" s="173"/>
      <c r="C5231" s="703"/>
      <c r="D5231" s="690"/>
      <c r="E5231" s="690"/>
      <c r="F5231" s="690"/>
      <c r="G5231" s="690"/>
      <c r="H5231" s="690"/>
      <c r="I5231" s="690"/>
      <c r="J5231" s="690"/>
      <c r="K5231" s="690"/>
      <c r="L5231" s="704"/>
      <c r="M5231" s="170"/>
    </row>
    <row r="5232" spans="2:13" x14ac:dyDescent="0.2">
      <c r="B5232" s="173"/>
      <c r="C5232" s="703"/>
      <c r="D5232" s="690"/>
      <c r="E5232" s="690"/>
      <c r="F5232" s="690"/>
      <c r="G5232" s="690"/>
      <c r="H5232" s="690"/>
      <c r="I5232" s="690"/>
      <c r="J5232" s="690"/>
      <c r="K5232" s="690"/>
      <c r="L5232" s="704"/>
      <c r="M5232" s="170"/>
    </row>
    <row r="5233" spans="2:13" x14ac:dyDescent="0.2">
      <c r="B5233" s="173"/>
      <c r="C5233" s="703"/>
      <c r="D5233" s="690"/>
      <c r="E5233" s="690"/>
      <c r="F5233" s="690"/>
      <c r="G5233" s="690"/>
      <c r="H5233" s="690"/>
      <c r="I5233" s="690"/>
      <c r="J5233" s="690"/>
      <c r="K5233" s="690"/>
      <c r="L5233" s="704"/>
      <c r="M5233" s="170"/>
    </row>
    <row r="5234" spans="2:13" x14ac:dyDescent="0.2">
      <c r="B5234" s="173"/>
      <c r="C5234" s="703"/>
      <c r="D5234" s="690"/>
      <c r="E5234" s="690"/>
      <c r="F5234" s="690"/>
      <c r="G5234" s="690"/>
      <c r="H5234" s="690"/>
      <c r="I5234" s="690"/>
      <c r="J5234" s="690"/>
      <c r="K5234" s="690"/>
      <c r="L5234" s="704"/>
      <c r="M5234" s="170"/>
    </row>
    <row r="5235" spans="2:13" x14ac:dyDescent="0.2">
      <c r="B5235" s="173"/>
      <c r="C5235" s="703"/>
      <c r="D5235" s="690"/>
      <c r="E5235" s="690"/>
      <c r="F5235" s="690"/>
      <c r="G5235" s="690"/>
      <c r="H5235" s="690"/>
      <c r="I5235" s="690"/>
      <c r="J5235" s="690"/>
      <c r="K5235" s="690"/>
      <c r="L5235" s="704"/>
      <c r="M5235" s="170"/>
    </row>
    <row r="5236" spans="2:13" x14ac:dyDescent="0.2">
      <c r="B5236" s="173"/>
      <c r="C5236" s="703"/>
      <c r="D5236" s="690"/>
      <c r="E5236" s="690"/>
      <c r="F5236" s="690"/>
      <c r="G5236" s="690"/>
      <c r="H5236" s="690"/>
      <c r="I5236" s="690"/>
      <c r="J5236" s="690"/>
      <c r="K5236" s="690"/>
      <c r="L5236" s="704"/>
      <c r="M5236" s="170"/>
    </row>
    <row r="5237" spans="2:13" x14ac:dyDescent="0.2">
      <c r="B5237" s="173"/>
      <c r="C5237" s="703"/>
      <c r="D5237" s="690"/>
      <c r="E5237" s="690"/>
      <c r="F5237" s="690"/>
      <c r="G5237" s="690"/>
      <c r="H5237" s="690"/>
      <c r="I5237" s="690"/>
      <c r="J5237" s="690"/>
      <c r="K5237" s="690"/>
      <c r="L5237" s="704"/>
      <c r="M5237" s="170"/>
    </row>
    <row r="5238" spans="2:13" x14ac:dyDescent="0.2">
      <c r="B5238" s="173"/>
      <c r="C5238" s="703"/>
      <c r="D5238" s="690"/>
      <c r="E5238" s="690"/>
      <c r="F5238" s="690"/>
      <c r="G5238" s="690"/>
      <c r="H5238" s="690"/>
      <c r="I5238" s="690"/>
      <c r="J5238" s="690"/>
      <c r="K5238" s="690"/>
      <c r="L5238" s="704"/>
      <c r="M5238" s="170"/>
    </row>
    <row r="5239" spans="2:13" x14ac:dyDescent="0.2">
      <c r="B5239" s="173"/>
      <c r="C5239" s="703"/>
      <c r="D5239" s="690"/>
      <c r="E5239" s="690"/>
      <c r="F5239" s="690"/>
      <c r="G5239" s="690"/>
      <c r="H5239" s="690"/>
      <c r="I5239" s="690"/>
      <c r="J5239" s="690"/>
      <c r="K5239" s="690"/>
      <c r="L5239" s="704"/>
      <c r="M5239" s="170"/>
    </row>
    <row r="5240" spans="2:13" x14ac:dyDescent="0.2">
      <c r="B5240" s="173"/>
      <c r="C5240" s="703"/>
      <c r="D5240" s="690"/>
      <c r="E5240" s="690"/>
      <c r="F5240" s="690"/>
      <c r="G5240" s="690"/>
      <c r="H5240" s="690"/>
      <c r="I5240" s="690"/>
      <c r="J5240" s="690"/>
      <c r="K5240" s="690"/>
      <c r="L5240" s="704"/>
      <c r="M5240" s="170"/>
    </row>
    <row r="5241" spans="2:13" x14ac:dyDescent="0.2">
      <c r="B5241" s="173"/>
      <c r="C5241" s="703"/>
      <c r="D5241" s="690"/>
      <c r="E5241" s="690"/>
      <c r="F5241" s="690"/>
      <c r="G5241" s="690"/>
      <c r="H5241" s="690"/>
      <c r="I5241" s="690"/>
      <c r="J5241" s="690"/>
      <c r="K5241" s="690"/>
      <c r="L5241" s="704"/>
      <c r="M5241" s="170"/>
    </row>
    <row r="5242" spans="2:13" x14ac:dyDescent="0.2">
      <c r="B5242" s="173"/>
      <c r="C5242" s="703"/>
      <c r="D5242" s="690"/>
      <c r="E5242" s="690"/>
      <c r="F5242" s="690"/>
      <c r="G5242" s="690"/>
      <c r="H5242" s="690"/>
      <c r="I5242" s="690"/>
      <c r="J5242" s="690"/>
      <c r="K5242" s="690"/>
      <c r="L5242" s="704"/>
      <c r="M5242" s="170"/>
    </row>
    <row r="5243" spans="2:13" x14ac:dyDescent="0.2">
      <c r="B5243" s="173"/>
      <c r="C5243" s="703"/>
      <c r="D5243" s="690"/>
      <c r="E5243" s="690"/>
      <c r="F5243" s="690"/>
      <c r="G5243" s="690"/>
      <c r="H5243" s="690"/>
      <c r="I5243" s="690"/>
      <c r="J5243" s="690"/>
      <c r="K5243" s="690"/>
      <c r="L5243" s="704"/>
      <c r="M5243" s="170"/>
    </row>
    <row r="5244" spans="2:13" x14ac:dyDescent="0.2">
      <c r="B5244" s="173"/>
      <c r="C5244" s="703"/>
      <c r="D5244" s="690"/>
      <c r="E5244" s="690"/>
      <c r="F5244" s="690"/>
      <c r="G5244" s="690"/>
      <c r="H5244" s="690"/>
      <c r="I5244" s="690"/>
      <c r="J5244" s="690"/>
      <c r="K5244" s="690"/>
      <c r="L5244" s="704"/>
      <c r="M5244" s="170"/>
    </row>
    <row r="5245" spans="2:13" x14ac:dyDescent="0.2">
      <c r="B5245" s="173"/>
      <c r="C5245" s="703"/>
      <c r="D5245" s="690"/>
      <c r="E5245" s="690"/>
      <c r="F5245" s="690"/>
      <c r="G5245" s="690"/>
      <c r="H5245" s="690"/>
      <c r="I5245" s="690"/>
      <c r="J5245" s="690"/>
      <c r="K5245" s="690"/>
      <c r="L5245" s="704"/>
      <c r="M5245" s="170"/>
    </row>
    <row r="5246" spans="2:13" x14ac:dyDescent="0.2">
      <c r="B5246" s="173"/>
      <c r="C5246" s="703"/>
      <c r="D5246" s="690"/>
      <c r="E5246" s="690"/>
      <c r="F5246" s="690"/>
      <c r="G5246" s="690"/>
      <c r="H5246" s="690"/>
      <c r="I5246" s="690"/>
      <c r="J5246" s="690"/>
      <c r="K5246" s="690"/>
      <c r="L5246" s="704"/>
      <c r="M5246" s="170"/>
    </row>
    <row r="5247" spans="2:13" x14ac:dyDescent="0.2">
      <c r="B5247" s="173"/>
      <c r="C5247" s="703"/>
      <c r="D5247" s="690"/>
      <c r="E5247" s="690"/>
      <c r="F5247" s="690"/>
      <c r="G5247" s="690"/>
      <c r="H5247" s="690"/>
      <c r="I5247" s="690"/>
      <c r="J5247" s="690"/>
      <c r="K5247" s="690"/>
      <c r="L5247" s="704"/>
      <c r="M5247" s="170"/>
    </row>
    <row r="5248" spans="2:13" x14ac:dyDescent="0.2">
      <c r="B5248" s="173"/>
      <c r="C5248" s="703"/>
      <c r="D5248" s="690"/>
      <c r="E5248" s="690"/>
      <c r="F5248" s="690"/>
      <c r="G5248" s="690"/>
      <c r="H5248" s="690"/>
      <c r="I5248" s="690"/>
      <c r="J5248" s="690"/>
      <c r="K5248" s="690"/>
      <c r="L5248" s="704"/>
      <c r="M5248" s="170"/>
    </row>
    <row r="5249" spans="2:13" x14ac:dyDescent="0.2">
      <c r="B5249" s="173"/>
      <c r="C5249" s="703"/>
      <c r="D5249" s="690"/>
      <c r="E5249" s="690"/>
      <c r="F5249" s="690"/>
      <c r="G5249" s="690"/>
      <c r="H5249" s="690"/>
      <c r="I5249" s="690"/>
      <c r="J5249" s="690"/>
      <c r="K5249" s="690"/>
      <c r="L5249" s="704"/>
      <c r="M5249" s="170"/>
    </row>
    <row r="5250" spans="2:13" x14ac:dyDescent="0.2">
      <c r="B5250" s="173"/>
      <c r="C5250" s="703"/>
      <c r="D5250" s="690"/>
      <c r="E5250" s="690"/>
      <c r="F5250" s="690"/>
      <c r="G5250" s="690"/>
      <c r="H5250" s="690"/>
      <c r="I5250" s="690"/>
      <c r="J5250" s="690"/>
      <c r="K5250" s="690"/>
      <c r="L5250" s="704"/>
      <c r="M5250" s="170"/>
    </row>
    <row r="5251" spans="2:13" x14ac:dyDescent="0.2">
      <c r="B5251" s="173"/>
      <c r="C5251" s="703"/>
      <c r="D5251" s="690"/>
      <c r="E5251" s="690"/>
      <c r="F5251" s="690"/>
      <c r="G5251" s="690"/>
      <c r="H5251" s="690"/>
      <c r="I5251" s="690"/>
      <c r="J5251" s="690"/>
      <c r="K5251" s="690"/>
      <c r="L5251" s="704"/>
      <c r="M5251" s="170"/>
    </row>
    <row r="5252" spans="2:13" x14ac:dyDescent="0.2">
      <c r="B5252" s="173"/>
      <c r="C5252" s="703"/>
      <c r="D5252" s="690"/>
      <c r="E5252" s="690"/>
      <c r="F5252" s="690"/>
      <c r="G5252" s="690"/>
      <c r="H5252" s="690"/>
      <c r="I5252" s="690"/>
      <c r="J5252" s="690"/>
      <c r="K5252" s="690"/>
      <c r="L5252" s="704"/>
      <c r="M5252" s="170"/>
    </row>
    <row r="5253" spans="2:13" x14ac:dyDescent="0.2">
      <c r="B5253" s="173"/>
      <c r="C5253" s="703"/>
      <c r="D5253" s="690"/>
      <c r="E5253" s="690"/>
      <c r="F5253" s="690"/>
      <c r="G5253" s="690"/>
      <c r="H5253" s="690"/>
      <c r="I5253" s="690"/>
      <c r="J5253" s="690"/>
      <c r="K5253" s="690"/>
      <c r="L5253" s="704"/>
      <c r="M5253" s="170"/>
    </row>
    <row r="5254" spans="2:13" x14ac:dyDescent="0.2">
      <c r="B5254" s="173"/>
      <c r="C5254" s="703"/>
      <c r="D5254" s="690"/>
      <c r="E5254" s="690"/>
      <c r="F5254" s="690"/>
      <c r="G5254" s="690"/>
      <c r="H5254" s="690"/>
      <c r="I5254" s="690"/>
      <c r="J5254" s="690"/>
      <c r="K5254" s="690"/>
      <c r="L5254" s="704"/>
      <c r="M5254" s="170"/>
    </row>
    <row r="5255" spans="2:13" x14ac:dyDescent="0.2">
      <c r="B5255" s="173"/>
      <c r="C5255" s="703"/>
      <c r="D5255" s="690"/>
      <c r="E5255" s="690"/>
      <c r="F5255" s="690"/>
      <c r="G5255" s="690"/>
      <c r="H5255" s="690"/>
      <c r="I5255" s="690"/>
      <c r="J5255" s="690"/>
      <c r="K5255" s="690"/>
      <c r="L5255" s="704"/>
      <c r="M5255" s="170"/>
    </row>
    <row r="5256" spans="2:13" x14ac:dyDescent="0.2">
      <c r="B5256" s="173"/>
      <c r="C5256" s="703"/>
      <c r="D5256" s="690"/>
      <c r="E5256" s="690"/>
      <c r="F5256" s="690"/>
      <c r="G5256" s="690"/>
      <c r="H5256" s="690"/>
      <c r="I5256" s="690"/>
      <c r="J5256" s="690"/>
      <c r="K5256" s="690"/>
      <c r="L5256" s="704"/>
      <c r="M5256" s="170"/>
    </row>
    <row r="5257" spans="2:13" x14ac:dyDescent="0.2">
      <c r="B5257" s="173"/>
      <c r="C5257" s="703"/>
      <c r="D5257" s="690"/>
      <c r="E5257" s="690"/>
      <c r="F5257" s="690"/>
      <c r="G5257" s="690"/>
      <c r="H5257" s="690"/>
      <c r="I5257" s="690"/>
      <c r="J5257" s="690"/>
      <c r="K5257" s="690"/>
      <c r="L5257" s="704"/>
      <c r="M5257" s="170"/>
    </row>
    <row r="5258" spans="2:13" x14ac:dyDescent="0.2">
      <c r="B5258" s="173"/>
      <c r="C5258" s="703"/>
      <c r="D5258" s="690"/>
      <c r="E5258" s="690"/>
      <c r="F5258" s="690"/>
      <c r="G5258" s="690"/>
      <c r="H5258" s="690"/>
      <c r="I5258" s="690"/>
      <c r="J5258" s="690"/>
      <c r="K5258" s="690"/>
      <c r="L5258" s="704"/>
      <c r="M5258" s="170"/>
    </row>
    <row r="5259" spans="2:13" x14ac:dyDescent="0.2">
      <c r="B5259" s="173"/>
      <c r="C5259" s="703"/>
      <c r="D5259" s="690"/>
      <c r="E5259" s="690"/>
      <c r="F5259" s="690"/>
      <c r="G5259" s="690"/>
      <c r="H5259" s="690"/>
      <c r="I5259" s="690"/>
      <c r="J5259" s="690"/>
      <c r="K5259" s="690"/>
      <c r="L5259" s="704"/>
      <c r="M5259" s="170"/>
    </row>
    <row r="5260" spans="2:13" x14ac:dyDescent="0.2">
      <c r="B5260" s="173"/>
      <c r="C5260" s="703"/>
      <c r="D5260" s="690"/>
      <c r="E5260" s="690"/>
      <c r="F5260" s="690"/>
      <c r="G5260" s="690"/>
      <c r="H5260" s="690"/>
      <c r="I5260" s="690"/>
      <c r="J5260" s="690"/>
      <c r="K5260" s="690"/>
      <c r="L5260" s="704"/>
      <c r="M5260" s="170"/>
    </row>
    <row r="5261" spans="2:13" x14ac:dyDescent="0.2">
      <c r="B5261" s="173"/>
      <c r="C5261" s="703"/>
      <c r="D5261" s="690"/>
      <c r="E5261" s="690"/>
      <c r="F5261" s="690"/>
      <c r="G5261" s="690"/>
      <c r="H5261" s="690"/>
      <c r="I5261" s="690"/>
      <c r="J5261" s="690"/>
      <c r="K5261" s="690"/>
      <c r="L5261" s="704"/>
      <c r="M5261" s="170"/>
    </row>
    <row r="5262" spans="2:13" x14ac:dyDescent="0.2">
      <c r="B5262" s="173"/>
      <c r="C5262" s="703"/>
      <c r="D5262" s="690"/>
      <c r="E5262" s="690"/>
      <c r="F5262" s="690"/>
      <c r="G5262" s="690"/>
      <c r="H5262" s="690"/>
      <c r="I5262" s="690"/>
      <c r="J5262" s="690"/>
      <c r="K5262" s="690"/>
      <c r="L5262" s="704"/>
      <c r="M5262" s="170"/>
    </row>
    <row r="5263" spans="2:13" x14ac:dyDescent="0.2">
      <c r="B5263" s="173"/>
      <c r="C5263" s="703"/>
      <c r="D5263" s="690"/>
      <c r="E5263" s="690"/>
      <c r="F5263" s="690"/>
      <c r="G5263" s="690"/>
      <c r="H5263" s="690"/>
      <c r="I5263" s="690"/>
      <c r="J5263" s="690"/>
      <c r="K5263" s="690"/>
      <c r="L5263" s="704"/>
      <c r="M5263" s="170"/>
    </row>
    <row r="5264" spans="2:13" x14ac:dyDescent="0.2">
      <c r="B5264" s="173"/>
      <c r="C5264" s="703"/>
      <c r="D5264" s="690"/>
      <c r="E5264" s="690"/>
      <c r="F5264" s="690"/>
      <c r="G5264" s="690"/>
      <c r="H5264" s="690"/>
      <c r="I5264" s="690"/>
      <c r="J5264" s="690"/>
      <c r="K5264" s="690"/>
      <c r="L5264" s="704"/>
      <c r="M5264" s="170"/>
    </row>
    <row r="5265" spans="2:13" x14ac:dyDescent="0.2">
      <c r="B5265" s="173"/>
      <c r="C5265" s="703"/>
      <c r="D5265" s="690"/>
      <c r="E5265" s="690"/>
      <c r="F5265" s="690"/>
      <c r="G5265" s="690"/>
      <c r="H5265" s="690"/>
      <c r="I5265" s="690"/>
      <c r="J5265" s="690"/>
      <c r="K5265" s="690"/>
      <c r="L5265" s="704"/>
      <c r="M5265" s="170"/>
    </row>
    <row r="5266" spans="2:13" x14ac:dyDescent="0.2">
      <c r="B5266" s="173"/>
      <c r="C5266" s="703"/>
      <c r="D5266" s="690"/>
      <c r="E5266" s="690"/>
      <c r="F5266" s="690"/>
      <c r="G5266" s="690"/>
      <c r="H5266" s="690"/>
      <c r="I5266" s="690"/>
      <c r="J5266" s="690"/>
      <c r="K5266" s="690"/>
      <c r="L5266" s="704"/>
      <c r="M5266" s="170"/>
    </row>
    <row r="5267" spans="2:13" x14ac:dyDescent="0.2">
      <c r="B5267" s="173"/>
      <c r="C5267" s="703"/>
      <c r="D5267" s="690"/>
      <c r="E5267" s="690"/>
      <c r="F5267" s="690"/>
      <c r="G5267" s="690"/>
      <c r="H5267" s="690"/>
      <c r="I5267" s="690"/>
      <c r="J5267" s="690"/>
      <c r="K5267" s="690"/>
      <c r="L5267" s="704"/>
      <c r="M5267" s="170"/>
    </row>
    <row r="5268" spans="2:13" x14ac:dyDescent="0.2">
      <c r="B5268" s="173"/>
      <c r="C5268" s="703"/>
      <c r="D5268" s="690"/>
      <c r="E5268" s="690"/>
      <c r="F5268" s="690"/>
      <c r="G5268" s="690"/>
      <c r="H5268" s="690"/>
      <c r="I5268" s="690"/>
      <c r="J5268" s="690"/>
      <c r="K5268" s="690"/>
      <c r="L5268" s="704"/>
      <c r="M5268" s="170"/>
    </row>
    <row r="5269" spans="2:13" x14ac:dyDescent="0.2">
      <c r="B5269" s="173"/>
      <c r="C5269" s="703"/>
      <c r="D5269" s="690"/>
      <c r="E5269" s="690"/>
      <c r="F5269" s="690"/>
      <c r="G5269" s="690"/>
      <c r="H5269" s="690"/>
      <c r="I5269" s="690"/>
      <c r="J5269" s="690"/>
      <c r="K5269" s="690"/>
      <c r="L5269" s="704"/>
      <c r="M5269" s="170"/>
    </row>
    <row r="5270" spans="2:13" x14ac:dyDescent="0.2">
      <c r="B5270" s="173"/>
      <c r="C5270" s="703"/>
      <c r="D5270" s="690"/>
      <c r="E5270" s="690"/>
      <c r="F5270" s="690"/>
      <c r="G5270" s="690"/>
      <c r="H5270" s="690"/>
      <c r="I5270" s="690"/>
      <c r="J5270" s="690"/>
      <c r="K5270" s="690"/>
      <c r="L5270" s="704"/>
      <c r="M5270" s="170"/>
    </row>
    <row r="5271" spans="2:13" x14ac:dyDescent="0.2">
      <c r="B5271" s="173"/>
      <c r="C5271" s="703"/>
      <c r="D5271" s="690"/>
      <c r="E5271" s="690"/>
      <c r="F5271" s="690"/>
      <c r="G5271" s="690"/>
      <c r="H5271" s="690"/>
      <c r="I5271" s="690"/>
      <c r="J5271" s="690"/>
      <c r="K5271" s="690"/>
      <c r="L5271" s="704"/>
      <c r="M5271" s="170"/>
    </row>
    <row r="5272" spans="2:13" x14ac:dyDescent="0.2">
      <c r="B5272" s="173"/>
      <c r="C5272" s="703"/>
      <c r="D5272" s="690"/>
      <c r="E5272" s="690"/>
      <c r="F5272" s="690"/>
      <c r="G5272" s="690"/>
      <c r="H5272" s="690"/>
      <c r="I5272" s="690"/>
      <c r="J5272" s="690"/>
      <c r="K5272" s="690"/>
      <c r="L5272" s="704"/>
      <c r="M5272" s="170"/>
    </row>
    <row r="5273" spans="2:13" x14ac:dyDescent="0.2">
      <c r="B5273" s="173"/>
      <c r="C5273" s="703"/>
      <c r="D5273" s="690"/>
      <c r="E5273" s="690"/>
      <c r="F5273" s="690"/>
      <c r="G5273" s="690"/>
      <c r="H5273" s="690"/>
      <c r="I5273" s="690"/>
      <c r="J5273" s="690"/>
      <c r="K5273" s="690"/>
      <c r="L5273" s="704"/>
      <c r="M5273" s="170"/>
    </row>
    <row r="5274" spans="2:13" x14ac:dyDescent="0.2">
      <c r="B5274" s="173"/>
      <c r="C5274" s="703"/>
      <c r="D5274" s="690"/>
      <c r="E5274" s="690"/>
      <c r="F5274" s="690"/>
      <c r="G5274" s="690"/>
      <c r="H5274" s="690"/>
      <c r="I5274" s="690"/>
      <c r="J5274" s="690"/>
      <c r="K5274" s="690"/>
      <c r="L5274" s="704"/>
      <c r="M5274" s="170"/>
    </row>
    <row r="5275" spans="2:13" x14ac:dyDescent="0.2">
      <c r="B5275" s="173"/>
      <c r="C5275" s="703"/>
      <c r="D5275" s="690"/>
      <c r="E5275" s="690"/>
      <c r="F5275" s="690"/>
      <c r="G5275" s="690"/>
      <c r="H5275" s="690"/>
      <c r="I5275" s="690"/>
      <c r="J5275" s="690"/>
      <c r="K5275" s="690"/>
      <c r="L5275" s="704"/>
      <c r="M5275" s="170"/>
    </row>
    <row r="5276" spans="2:13" x14ac:dyDescent="0.2">
      <c r="B5276" s="173"/>
      <c r="C5276" s="703"/>
      <c r="D5276" s="690"/>
      <c r="E5276" s="690"/>
      <c r="F5276" s="690"/>
      <c r="G5276" s="690"/>
      <c r="H5276" s="690"/>
      <c r="I5276" s="690"/>
      <c r="J5276" s="690"/>
      <c r="K5276" s="690"/>
      <c r="L5276" s="704"/>
      <c r="M5276" s="170"/>
    </row>
    <row r="5277" spans="2:13" x14ac:dyDescent="0.2">
      <c r="B5277" s="173"/>
      <c r="C5277" s="703"/>
      <c r="D5277" s="690"/>
      <c r="E5277" s="690"/>
      <c r="F5277" s="690"/>
      <c r="G5277" s="690"/>
      <c r="H5277" s="690"/>
      <c r="I5277" s="690"/>
      <c r="J5277" s="690"/>
      <c r="K5277" s="690"/>
      <c r="L5277" s="704"/>
      <c r="M5277" s="170"/>
    </row>
    <row r="5278" spans="2:13" x14ac:dyDescent="0.2">
      <c r="B5278" s="173"/>
      <c r="C5278" s="703"/>
      <c r="D5278" s="690"/>
      <c r="E5278" s="690"/>
      <c r="F5278" s="690"/>
      <c r="G5278" s="690"/>
      <c r="H5278" s="690"/>
      <c r="I5278" s="690"/>
      <c r="J5278" s="690"/>
      <c r="K5278" s="690"/>
      <c r="L5278" s="704"/>
      <c r="M5278" s="170"/>
    </row>
    <row r="5279" spans="2:13" x14ac:dyDescent="0.2">
      <c r="B5279" s="173"/>
      <c r="C5279" s="703"/>
      <c r="D5279" s="690"/>
      <c r="E5279" s="690"/>
      <c r="F5279" s="690"/>
      <c r="G5279" s="690"/>
      <c r="H5279" s="690"/>
      <c r="I5279" s="690"/>
      <c r="J5279" s="690"/>
      <c r="K5279" s="690"/>
      <c r="L5279" s="704"/>
      <c r="M5279" s="170"/>
    </row>
    <row r="5280" spans="2:13" x14ac:dyDescent="0.2">
      <c r="B5280" s="173"/>
      <c r="C5280" s="703"/>
      <c r="D5280" s="690"/>
      <c r="E5280" s="690"/>
      <c r="F5280" s="690"/>
      <c r="G5280" s="690"/>
      <c r="H5280" s="690"/>
      <c r="I5280" s="690"/>
      <c r="J5280" s="690"/>
      <c r="K5280" s="690"/>
      <c r="L5280" s="704"/>
      <c r="M5280" s="170"/>
    </row>
    <row r="5281" spans="2:13" x14ac:dyDescent="0.2">
      <c r="B5281" s="173"/>
      <c r="C5281" s="703"/>
      <c r="D5281" s="690"/>
      <c r="E5281" s="690"/>
      <c r="F5281" s="690"/>
      <c r="G5281" s="690"/>
      <c r="H5281" s="690"/>
      <c r="I5281" s="690"/>
      <c r="J5281" s="690"/>
      <c r="K5281" s="690"/>
      <c r="L5281" s="704"/>
      <c r="M5281" s="170"/>
    </row>
    <row r="5282" spans="2:13" x14ac:dyDescent="0.2">
      <c r="B5282" s="173"/>
      <c r="C5282" s="703"/>
      <c r="D5282" s="690"/>
      <c r="E5282" s="690"/>
      <c r="F5282" s="690"/>
      <c r="G5282" s="690"/>
      <c r="H5282" s="690"/>
      <c r="I5282" s="690"/>
      <c r="J5282" s="690"/>
      <c r="K5282" s="690"/>
      <c r="L5282" s="704"/>
      <c r="M5282" s="170"/>
    </row>
    <row r="5283" spans="2:13" x14ac:dyDescent="0.2">
      <c r="B5283" s="173"/>
      <c r="C5283" s="703"/>
      <c r="D5283" s="690"/>
      <c r="E5283" s="690"/>
      <c r="F5283" s="690"/>
      <c r="G5283" s="690"/>
      <c r="H5283" s="690"/>
      <c r="I5283" s="690"/>
      <c r="J5283" s="690"/>
      <c r="K5283" s="690"/>
      <c r="L5283" s="704"/>
      <c r="M5283" s="170"/>
    </row>
    <row r="5284" spans="2:13" x14ac:dyDescent="0.2">
      <c r="B5284" s="173"/>
      <c r="C5284" s="703"/>
      <c r="D5284" s="690"/>
      <c r="E5284" s="690"/>
      <c r="F5284" s="690"/>
      <c r="G5284" s="690"/>
      <c r="H5284" s="690"/>
      <c r="I5284" s="690"/>
      <c r="J5284" s="690"/>
      <c r="K5284" s="690"/>
      <c r="L5284" s="704"/>
      <c r="M5284" s="170"/>
    </row>
    <row r="5285" spans="2:13" x14ac:dyDescent="0.2">
      <c r="B5285" s="173"/>
      <c r="C5285" s="703"/>
      <c r="D5285" s="690"/>
      <c r="E5285" s="690"/>
      <c r="F5285" s="690"/>
      <c r="G5285" s="690"/>
      <c r="H5285" s="690"/>
      <c r="I5285" s="690"/>
      <c r="J5285" s="690"/>
      <c r="K5285" s="690"/>
      <c r="L5285" s="704"/>
      <c r="M5285" s="170"/>
    </row>
    <row r="5286" spans="2:13" x14ac:dyDescent="0.2">
      <c r="B5286" s="173"/>
      <c r="C5286" s="703"/>
      <c r="D5286" s="690"/>
      <c r="E5286" s="690"/>
      <c r="F5286" s="690"/>
      <c r="G5286" s="690"/>
      <c r="H5286" s="690"/>
      <c r="I5286" s="690"/>
      <c r="J5286" s="690"/>
      <c r="K5286" s="690"/>
      <c r="L5286" s="704"/>
      <c r="M5286" s="170"/>
    </row>
    <row r="5287" spans="2:13" x14ac:dyDescent="0.2">
      <c r="B5287" s="173"/>
      <c r="C5287" s="703"/>
      <c r="D5287" s="690"/>
      <c r="E5287" s="690"/>
      <c r="F5287" s="690"/>
      <c r="G5287" s="690"/>
      <c r="H5287" s="690"/>
      <c r="I5287" s="690"/>
      <c r="J5287" s="690"/>
      <c r="K5287" s="690"/>
      <c r="L5287" s="704"/>
      <c r="M5287" s="170"/>
    </row>
    <row r="5288" spans="2:13" x14ac:dyDescent="0.2">
      <c r="B5288" s="173"/>
      <c r="C5288" s="703"/>
      <c r="D5288" s="690"/>
      <c r="E5288" s="690"/>
      <c r="F5288" s="690"/>
      <c r="G5288" s="690"/>
      <c r="H5288" s="690"/>
      <c r="I5288" s="690"/>
      <c r="J5288" s="690"/>
      <c r="K5288" s="690"/>
      <c r="L5288" s="704"/>
      <c r="M5288" s="170"/>
    </row>
    <row r="5289" spans="2:13" x14ac:dyDescent="0.2">
      <c r="B5289" s="173"/>
      <c r="C5289" s="703"/>
      <c r="D5289" s="690"/>
      <c r="E5289" s="690"/>
      <c r="F5289" s="690"/>
      <c r="G5289" s="690"/>
      <c r="H5289" s="690"/>
      <c r="I5289" s="690"/>
      <c r="J5289" s="690"/>
      <c r="K5289" s="690"/>
      <c r="L5289" s="704"/>
      <c r="M5289" s="170"/>
    </row>
    <row r="5290" spans="2:13" x14ac:dyDescent="0.2">
      <c r="B5290" s="173"/>
      <c r="C5290" s="703"/>
      <c r="D5290" s="690"/>
      <c r="E5290" s="690"/>
      <c r="F5290" s="690"/>
      <c r="G5290" s="690"/>
      <c r="H5290" s="690"/>
      <c r="I5290" s="690"/>
      <c r="J5290" s="690"/>
      <c r="K5290" s="690"/>
      <c r="L5290" s="704"/>
      <c r="M5290" s="170"/>
    </row>
    <row r="5291" spans="2:13" x14ac:dyDescent="0.2">
      <c r="B5291" s="173"/>
      <c r="C5291" s="703"/>
      <c r="D5291" s="690"/>
      <c r="E5291" s="690"/>
      <c r="F5291" s="690"/>
      <c r="G5291" s="690"/>
      <c r="H5291" s="690"/>
      <c r="I5291" s="690"/>
      <c r="J5291" s="690"/>
      <c r="K5291" s="690"/>
      <c r="L5291" s="704"/>
      <c r="M5291" s="170"/>
    </row>
    <row r="5292" spans="2:13" x14ac:dyDescent="0.2">
      <c r="B5292" s="173"/>
      <c r="C5292" s="703"/>
      <c r="D5292" s="690"/>
      <c r="E5292" s="690"/>
      <c r="F5292" s="690"/>
      <c r="G5292" s="690"/>
      <c r="H5292" s="690"/>
      <c r="I5292" s="690"/>
      <c r="J5292" s="690"/>
      <c r="K5292" s="690"/>
      <c r="L5292" s="704"/>
      <c r="M5292" s="170"/>
    </row>
    <row r="5293" spans="2:13" x14ac:dyDescent="0.2">
      <c r="B5293" s="173"/>
      <c r="C5293" s="703"/>
      <c r="D5293" s="690"/>
      <c r="E5293" s="690"/>
      <c r="F5293" s="690"/>
      <c r="G5293" s="690"/>
      <c r="H5293" s="690"/>
      <c r="I5293" s="690"/>
      <c r="J5293" s="690"/>
      <c r="K5293" s="690"/>
      <c r="L5293" s="704"/>
      <c r="M5293" s="170"/>
    </row>
    <row r="5294" spans="2:13" x14ac:dyDescent="0.2">
      <c r="B5294" s="173"/>
      <c r="C5294" s="703"/>
      <c r="D5294" s="690"/>
      <c r="E5294" s="690"/>
      <c r="F5294" s="690"/>
      <c r="G5294" s="690"/>
      <c r="H5294" s="690"/>
      <c r="I5294" s="690"/>
      <c r="J5294" s="690"/>
      <c r="K5294" s="690"/>
      <c r="L5294" s="704"/>
      <c r="M5294" s="170"/>
    </row>
    <row r="5295" spans="2:13" x14ac:dyDescent="0.2">
      <c r="B5295" s="173"/>
      <c r="C5295" s="703"/>
      <c r="D5295" s="690"/>
      <c r="E5295" s="690"/>
      <c r="F5295" s="690"/>
      <c r="G5295" s="690"/>
      <c r="H5295" s="690"/>
      <c r="I5295" s="690"/>
      <c r="J5295" s="690"/>
      <c r="K5295" s="690"/>
      <c r="L5295" s="704"/>
      <c r="M5295" s="170"/>
    </row>
    <row r="5296" spans="2:13" x14ac:dyDescent="0.2">
      <c r="B5296" s="173"/>
      <c r="C5296" s="703"/>
      <c r="D5296" s="690"/>
      <c r="E5296" s="690"/>
      <c r="F5296" s="690"/>
      <c r="G5296" s="690"/>
      <c r="H5296" s="690"/>
      <c r="I5296" s="690"/>
      <c r="J5296" s="690"/>
      <c r="K5296" s="690"/>
      <c r="L5296" s="704"/>
      <c r="M5296" s="170"/>
    </row>
    <row r="5297" spans="2:13" x14ac:dyDescent="0.2">
      <c r="B5297" s="173"/>
      <c r="C5297" s="703"/>
      <c r="D5297" s="690"/>
      <c r="E5297" s="690"/>
      <c r="F5297" s="690"/>
      <c r="G5297" s="690"/>
      <c r="H5297" s="690"/>
      <c r="I5297" s="690"/>
      <c r="J5297" s="690"/>
      <c r="K5297" s="690"/>
      <c r="L5297" s="704"/>
      <c r="M5297" s="170"/>
    </row>
    <row r="5298" spans="2:13" x14ac:dyDescent="0.2">
      <c r="B5298" s="173"/>
      <c r="C5298" s="703"/>
      <c r="D5298" s="690"/>
      <c r="E5298" s="690"/>
      <c r="F5298" s="690"/>
      <c r="G5298" s="690"/>
      <c r="H5298" s="690"/>
      <c r="I5298" s="690"/>
      <c r="J5298" s="690"/>
      <c r="K5298" s="690"/>
      <c r="L5298" s="704"/>
      <c r="M5298" s="170"/>
    </row>
    <row r="5299" spans="2:13" x14ac:dyDescent="0.2">
      <c r="B5299" s="173"/>
      <c r="C5299" s="703"/>
      <c r="D5299" s="690"/>
      <c r="E5299" s="690"/>
      <c r="F5299" s="690"/>
      <c r="G5299" s="690"/>
      <c r="H5299" s="690"/>
      <c r="I5299" s="690"/>
      <c r="J5299" s="690"/>
      <c r="K5299" s="690"/>
      <c r="L5299" s="704"/>
      <c r="M5299" s="170"/>
    </row>
    <row r="5300" spans="2:13" x14ac:dyDescent="0.2">
      <c r="B5300" s="173"/>
      <c r="C5300" s="703"/>
      <c r="D5300" s="690"/>
      <c r="E5300" s="690"/>
      <c r="F5300" s="690"/>
      <c r="G5300" s="690"/>
      <c r="H5300" s="690"/>
      <c r="I5300" s="690"/>
      <c r="J5300" s="690"/>
      <c r="K5300" s="690"/>
      <c r="L5300" s="704"/>
      <c r="M5300" s="170"/>
    </row>
    <row r="5301" spans="2:13" x14ac:dyDescent="0.2">
      <c r="B5301" s="173"/>
      <c r="C5301" s="703"/>
      <c r="D5301" s="690"/>
      <c r="E5301" s="690"/>
      <c r="F5301" s="690"/>
      <c r="G5301" s="690"/>
      <c r="H5301" s="690"/>
      <c r="I5301" s="690"/>
      <c r="J5301" s="690"/>
      <c r="K5301" s="690"/>
      <c r="L5301" s="704"/>
      <c r="M5301" s="170"/>
    </row>
    <row r="5302" spans="2:13" x14ac:dyDescent="0.2">
      <c r="B5302" s="173"/>
      <c r="C5302" s="703"/>
      <c r="D5302" s="690"/>
      <c r="E5302" s="690"/>
      <c r="F5302" s="690"/>
      <c r="G5302" s="690"/>
      <c r="H5302" s="690"/>
      <c r="I5302" s="690"/>
      <c r="J5302" s="690"/>
      <c r="K5302" s="690"/>
      <c r="L5302" s="704"/>
      <c r="M5302" s="170"/>
    </row>
    <row r="5303" spans="2:13" x14ac:dyDescent="0.2">
      <c r="B5303" s="173"/>
      <c r="C5303" s="703"/>
      <c r="D5303" s="690"/>
      <c r="E5303" s="690"/>
      <c r="F5303" s="690"/>
      <c r="G5303" s="690"/>
      <c r="H5303" s="690"/>
      <c r="I5303" s="690"/>
      <c r="J5303" s="690"/>
      <c r="K5303" s="690"/>
      <c r="L5303" s="704"/>
      <c r="M5303" s="170"/>
    </row>
    <row r="5304" spans="2:13" x14ac:dyDescent="0.2">
      <c r="B5304" s="173"/>
      <c r="C5304" s="703"/>
      <c r="D5304" s="690"/>
      <c r="E5304" s="690"/>
      <c r="F5304" s="690"/>
      <c r="G5304" s="690"/>
      <c r="H5304" s="690"/>
      <c r="I5304" s="690"/>
      <c r="J5304" s="690"/>
      <c r="K5304" s="690"/>
      <c r="L5304" s="704"/>
      <c r="M5304" s="170"/>
    </row>
    <row r="5305" spans="2:13" x14ac:dyDescent="0.2">
      <c r="B5305" s="173"/>
      <c r="C5305" s="703"/>
      <c r="D5305" s="690"/>
      <c r="E5305" s="690"/>
      <c r="F5305" s="690"/>
      <c r="G5305" s="690"/>
      <c r="H5305" s="690"/>
      <c r="I5305" s="690"/>
      <c r="J5305" s="690"/>
      <c r="K5305" s="690"/>
      <c r="L5305" s="704"/>
      <c r="M5305" s="170"/>
    </row>
    <row r="5306" spans="2:13" x14ac:dyDescent="0.2">
      <c r="B5306" s="173"/>
      <c r="C5306" s="703"/>
      <c r="D5306" s="690"/>
      <c r="E5306" s="690"/>
      <c r="F5306" s="690"/>
      <c r="G5306" s="690"/>
      <c r="H5306" s="690"/>
      <c r="I5306" s="690"/>
      <c r="J5306" s="690"/>
      <c r="K5306" s="690"/>
      <c r="L5306" s="704"/>
      <c r="M5306" s="170"/>
    </row>
    <row r="5307" spans="2:13" x14ac:dyDescent="0.2">
      <c r="B5307" s="173"/>
      <c r="C5307" s="703"/>
      <c r="D5307" s="690"/>
      <c r="E5307" s="690"/>
      <c r="F5307" s="690"/>
      <c r="G5307" s="690"/>
      <c r="H5307" s="690"/>
      <c r="I5307" s="690"/>
      <c r="J5307" s="690"/>
      <c r="K5307" s="690"/>
      <c r="L5307" s="704"/>
      <c r="M5307" s="170"/>
    </row>
    <row r="5308" spans="2:13" x14ac:dyDescent="0.2">
      <c r="B5308" s="173"/>
      <c r="C5308" s="703"/>
      <c r="D5308" s="690"/>
      <c r="E5308" s="690"/>
      <c r="F5308" s="690"/>
      <c r="G5308" s="690"/>
      <c r="H5308" s="690"/>
      <c r="I5308" s="690"/>
      <c r="J5308" s="690"/>
      <c r="K5308" s="690"/>
      <c r="L5308" s="704"/>
      <c r="M5308" s="170"/>
    </row>
    <row r="5309" spans="2:13" x14ac:dyDescent="0.2">
      <c r="B5309" s="173"/>
      <c r="C5309" s="703"/>
      <c r="D5309" s="690"/>
      <c r="E5309" s="690"/>
      <c r="F5309" s="690"/>
      <c r="G5309" s="690"/>
      <c r="H5309" s="690"/>
      <c r="I5309" s="690"/>
      <c r="J5309" s="690"/>
      <c r="K5309" s="690"/>
      <c r="L5309" s="704"/>
      <c r="M5309" s="170"/>
    </row>
    <row r="5310" spans="2:13" x14ac:dyDescent="0.2">
      <c r="B5310" s="173"/>
      <c r="C5310" s="703"/>
      <c r="D5310" s="690"/>
      <c r="E5310" s="690"/>
      <c r="F5310" s="690"/>
      <c r="G5310" s="690"/>
      <c r="H5310" s="690"/>
      <c r="I5310" s="690"/>
      <c r="J5310" s="690"/>
      <c r="K5310" s="690"/>
      <c r="L5310" s="704"/>
      <c r="M5310" s="170"/>
    </row>
    <row r="5311" spans="2:13" x14ac:dyDescent="0.2">
      <c r="B5311" s="173"/>
      <c r="C5311" s="703"/>
      <c r="D5311" s="690"/>
      <c r="E5311" s="690"/>
      <c r="F5311" s="690"/>
      <c r="G5311" s="690"/>
      <c r="H5311" s="690"/>
      <c r="I5311" s="690"/>
      <c r="J5311" s="690"/>
      <c r="K5311" s="690"/>
      <c r="L5311" s="704"/>
      <c r="M5311" s="170"/>
    </row>
    <row r="5312" spans="2:13" x14ac:dyDescent="0.2">
      <c r="B5312" s="173"/>
      <c r="C5312" s="703"/>
      <c r="D5312" s="690"/>
      <c r="E5312" s="690"/>
      <c r="F5312" s="690"/>
      <c r="G5312" s="690"/>
      <c r="H5312" s="690"/>
      <c r="I5312" s="690"/>
      <c r="J5312" s="690"/>
      <c r="K5312" s="690"/>
      <c r="L5312" s="704"/>
      <c r="M5312" s="170"/>
    </row>
    <row r="5313" spans="2:13" x14ac:dyDescent="0.2">
      <c r="B5313" s="173"/>
      <c r="C5313" s="703"/>
      <c r="D5313" s="690"/>
      <c r="E5313" s="690"/>
      <c r="F5313" s="690"/>
      <c r="G5313" s="690"/>
      <c r="H5313" s="690"/>
      <c r="I5313" s="690"/>
      <c r="J5313" s="690"/>
      <c r="K5313" s="690"/>
      <c r="L5313" s="704"/>
      <c r="M5313" s="170"/>
    </row>
    <row r="5314" spans="2:13" x14ac:dyDescent="0.2">
      <c r="B5314" s="173"/>
      <c r="C5314" s="703"/>
      <c r="D5314" s="690"/>
      <c r="E5314" s="690"/>
      <c r="F5314" s="690"/>
      <c r="G5314" s="690"/>
      <c r="H5314" s="690"/>
      <c r="I5314" s="690"/>
      <c r="J5314" s="690"/>
      <c r="K5314" s="690"/>
      <c r="L5314" s="704"/>
      <c r="M5314" s="170"/>
    </row>
    <row r="5315" spans="2:13" x14ac:dyDescent="0.2">
      <c r="B5315" s="173"/>
      <c r="C5315" s="703"/>
      <c r="D5315" s="690"/>
      <c r="E5315" s="690"/>
      <c r="F5315" s="690"/>
      <c r="G5315" s="690"/>
      <c r="H5315" s="690"/>
      <c r="I5315" s="690"/>
      <c r="J5315" s="690"/>
      <c r="K5315" s="690"/>
      <c r="L5315" s="704"/>
      <c r="M5315" s="170"/>
    </row>
    <row r="5316" spans="2:13" x14ac:dyDescent="0.2">
      <c r="B5316" s="173"/>
      <c r="C5316" s="703"/>
      <c r="D5316" s="690"/>
      <c r="E5316" s="690"/>
      <c r="F5316" s="690"/>
      <c r="G5316" s="690"/>
      <c r="H5316" s="690"/>
      <c r="I5316" s="690"/>
      <c r="J5316" s="690"/>
      <c r="K5316" s="690"/>
      <c r="L5316" s="704"/>
      <c r="M5316" s="170"/>
    </row>
    <row r="5317" spans="2:13" x14ac:dyDescent="0.2">
      <c r="B5317" s="173"/>
      <c r="C5317" s="703"/>
      <c r="D5317" s="690"/>
      <c r="E5317" s="690"/>
      <c r="F5317" s="690"/>
      <c r="G5317" s="690"/>
      <c r="H5317" s="690"/>
      <c r="I5317" s="690"/>
      <c r="J5317" s="690"/>
      <c r="K5317" s="690"/>
      <c r="L5317" s="704"/>
      <c r="M5317" s="170"/>
    </row>
    <row r="5318" spans="2:13" x14ac:dyDescent="0.2">
      <c r="B5318" s="173"/>
      <c r="C5318" s="703"/>
      <c r="D5318" s="690"/>
      <c r="E5318" s="690"/>
      <c r="F5318" s="690"/>
      <c r="G5318" s="690"/>
      <c r="H5318" s="690"/>
      <c r="I5318" s="690"/>
      <c r="J5318" s="690"/>
      <c r="K5318" s="690"/>
      <c r="L5318" s="704"/>
      <c r="M5318" s="170"/>
    </row>
    <row r="5319" spans="2:13" x14ac:dyDescent="0.2">
      <c r="B5319" s="173"/>
      <c r="C5319" s="703"/>
      <c r="D5319" s="690"/>
      <c r="E5319" s="690"/>
      <c r="F5319" s="690"/>
      <c r="G5319" s="690"/>
      <c r="H5319" s="690"/>
      <c r="I5319" s="690"/>
      <c r="J5319" s="690"/>
      <c r="K5319" s="690"/>
      <c r="L5319" s="704"/>
      <c r="M5319" s="170"/>
    </row>
    <row r="5320" spans="2:13" x14ac:dyDescent="0.2">
      <c r="B5320" s="173"/>
      <c r="C5320" s="703"/>
      <c r="D5320" s="690"/>
      <c r="E5320" s="690"/>
      <c r="F5320" s="690"/>
      <c r="G5320" s="690"/>
      <c r="H5320" s="690"/>
      <c r="I5320" s="690"/>
      <c r="J5320" s="690"/>
      <c r="K5320" s="690"/>
      <c r="L5320" s="704"/>
      <c r="M5320" s="170"/>
    </row>
    <row r="5321" spans="2:13" x14ac:dyDescent="0.2">
      <c r="B5321" s="173"/>
      <c r="C5321" s="703"/>
      <c r="D5321" s="690"/>
      <c r="E5321" s="690"/>
      <c r="F5321" s="690"/>
      <c r="G5321" s="690"/>
      <c r="H5321" s="690"/>
      <c r="I5321" s="690"/>
      <c r="J5321" s="690"/>
      <c r="K5321" s="690"/>
      <c r="L5321" s="704"/>
      <c r="M5321" s="170"/>
    </row>
    <row r="5322" spans="2:13" x14ac:dyDescent="0.2">
      <c r="B5322" s="173"/>
      <c r="C5322" s="703"/>
      <c r="D5322" s="690"/>
      <c r="E5322" s="690"/>
      <c r="F5322" s="690"/>
      <c r="G5322" s="690"/>
      <c r="H5322" s="690"/>
      <c r="I5322" s="690"/>
      <c r="J5322" s="690"/>
      <c r="K5322" s="690"/>
      <c r="L5322" s="704"/>
      <c r="M5322" s="170"/>
    </row>
    <row r="5323" spans="2:13" x14ac:dyDescent="0.2">
      <c r="B5323" s="173"/>
      <c r="C5323" s="703"/>
      <c r="D5323" s="690"/>
      <c r="E5323" s="690"/>
      <c r="F5323" s="690"/>
      <c r="G5323" s="690"/>
      <c r="H5323" s="690"/>
      <c r="I5323" s="690"/>
      <c r="J5323" s="690"/>
      <c r="K5323" s="690"/>
      <c r="L5323" s="704"/>
      <c r="M5323" s="170"/>
    </row>
    <row r="5324" spans="2:13" x14ac:dyDescent="0.2">
      <c r="B5324" s="173"/>
      <c r="C5324" s="703"/>
      <c r="D5324" s="690"/>
      <c r="E5324" s="690"/>
      <c r="F5324" s="690"/>
      <c r="G5324" s="690"/>
      <c r="H5324" s="690"/>
      <c r="I5324" s="690"/>
      <c r="J5324" s="690"/>
      <c r="K5324" s="690"/>
      <c r="L5324" s="704"/>
      <c r="M5324" s="170"/>
    </row>
    <row r="5325" spans="2:13" x14ac:dyDescent="0.2">
      <c r="B5325" s="173"/>
      <c r="C5325" s="703"/>
      <c r="D5325" s="690"/>
      <c r="E5325" s="690"/>
      <c r="F5325" s="690"/>
      <c r="G5325" s="690"/>
      <c r="H5325" s="690"/>
      <c r="I5325" s="690"/>
      <c r="J5325" s="690"/>
      <c r="K5325" s="690"/>
      <c r="L5325" s="704"/>
      <c r="M5325" s="170"/>
    </row>
    <row r="5326" spans="2:13" x14ac:dyDescent="0.2">
      <c r="B5326" s="173"/>
      <c r="C5326" s="703"/>
      <c r="D5326" s="690"/>
      <c r="E5326" s="690"/>
      <c r="F5326" s="690"/>
      <c r="G5326" s="690"/>
      <c r="H5326" s="690"/>
      <c r="I5326" s="690"/>
      <c r="J5326" s="690"/>
      <c r="K5326" s="690"/>
      <c r="L5326" s="704"/>
      <c r="M5326" s="170"/>
    </row>
    <row r="5327" spans="2:13" x14ac:dyDescent="0.2">
      <c r="B5327" s="173"/>
      <c r="C5327" s="703"/>
      <c r="D5327" s="690"/>
      <c r="E5327" s="690"/>
      <c r="F5327" s="690"/>
      <c r="G5327" s="690"/>
      <c r="H5327" s="690"/>
      <c r="I5327" s="690"/>
      <c r="J5327" s="690"/>
      <c r="K5327" s="690"/>
      <c r="L5327" s="704"/>
      <c r="M5327" s="170"/>
    </row>
    <row r="5328" spans="2:13" x14ac:dyDescent="0.2">
      <c r="B5328" s="173"/>
      <c r="C5328" s="703"/>
      <c r="D5328" s="690"/>
      <c r="E5328" s="690"/>
      <c r="F5328" s="690"/>
      <c r="G5328" s="690"/>
      <c r="H5328" s="690"/>
      <c r="I5328" s="690"/>
      <c r="J5328" s="690"/>
      <c r="K5328" s="690"/>
      <c r="L5328" s="704"/>
      <c r="M5328" s="170"/>
    </row>
    <row r="5329" spans="2:13" x14ac:dyDescent="0.2">
      <c r="B5329" s="173"/>
      <c r="C5329" s="703"/>
      <c r="D5329" s="690"/>
      <c r="E5329" s="690"/>
      <c r="F5329" s="690"/>
      <c r="G5329" s="690"/>
      <c r="H5329" s="690"/>
      <c r="I5329" s="690"/>
      <c r="J5329" s="690"/>
      <c r="K5329" s="690"/>
      <c r="L5329" s="704"/>
      <c r="M5329" s="170"/>
    </row>
    <row r="5330" spans="2:13" x14ac:dyDescent="0.2">
      <c r="B5330" s="173"/>
      <c r="C5330" s="703"/>
      <c r="D5330" s="690"/>
      <c r="E5330" s="690"/>
      <c r="F5330" s="690"/>
      <c r="G5330" s="690"/>
      <c r="H5330" s="690"/>
      <c r="I5330" s="690"/>
      <c r="J5330" s="690"/>
      <c r="K5330" s="690"/>
      <c r="L5330" s="704"/>
      <c r="M5330" s="170"/>
    </row>
    <row r="5331" spans="2:13" x14ac:dyDescent="0.2">
      <c r="B5331" s="173"/>
      <c r="C5331" s="703"/>
      <c r="D5331" s="690"/>
      <c r="E5331" s="690"/>
      <c r="F5331" s="690"/>
      <c r="G5331" s="690"/>
      <c r="H5331" s="690"/>
      <c r="I5331" s="690"/>
      <c r="J5331" s="690"/>
      <c r="K5331" s="690"/>
      <c r="L5331" s="704"/>
      <c r="M5331" s="170"/>
    </row>
    <row r="5332" spans="2:13" x14ac:dyDescent="0.2">
      <c r="B5332" s="173"/>
      <c r="C5332" s="703"/>
      <c r="D5332" s="690"/>
      <c r="E5332" s="690"/>
      <c r="F5332" s="690"/>
      <c r="G5332" s="690"/>
      <c r="H5332" s="690"/>
      <c r="I5332" s="690"/>
      <c r="J5332" s="690"/>
      <c r="K5332" s="690"/>
      <c r="L5332" s="704"/>
      <c r="M5332" s="170"/>
    </row>
    <row r="5333" spans="2:13" x14ac:dyDescent="0.2">
      <c r="B5333" s="173"/>
      <c r="C5333" s="703"/>
      <c r="D5333" s="690"/>
      <c r="E5333" s="690"/>
      <c r="F5333" s="690"/>
      <c r="G5333" s="690"/>
      <c r="H5333" s="690"/>
      <c r="I5333" s="690"/>
      <c r="J5333" s="690"/>
      <c r="K5333" s="690"/>
      <c r="L5333" s="704"/>
      <c r="M5333" s="170"/>
    </row>
    <row r="5334" spans="2:13" x14ac:dyDescent="0.2">
      <c r="B5334" s="173"/>
      <c r="C5334" s="703"/>
      <c r="D5334" s="690"/>
      <c r="E5334" s="690"/>
      <c r="F5334" s="690"/>
      <c r="G5334" s="690"/>
      <c r="H5334" s="690"/>
      <c r="I5334" s="690"/>
      <c r="J5334" s="690"/>
      <c r="K5334" s="690"/>
      <c r="L5334" s="704"/>
      <c r="M5334" s="170"/>
    </row>
    <row r="5335" spans="2:13" x14ac:dyDescent="0.2">
      <c r="B5335" s="173"/>
      <c r="C5335" s="703"/>
      <c r="D5335" s="690"/>
      <c r="E5335" s="690"/>
      <c r="F5335" s="690"/>
      <c r="G5335" s="690"/>
      <c r="H5335" s="690"/>
      <c r="I5335" s="690"/>
      <c r="J5335" s="690"/>
      <c r="K5335" s="690"/>
      <c r="L5335" s="704"/>
      <c r="M5335" s="170"/>
    </row>
    <row r="5336" spans="2:13" x14ac:dyDescent="0.2">
      <c r="B5336" s="173"/>
      <c r="C5336" s="703"/>
      <c r="D5336" s="690"/>
      <c r="E5336" s="690"/>
      <c r="F5336" s="690"/>
      <c r="G5336" s="690"/>
      <c r="H5336" s="690"/>
      <c r="I5336" s="690"/>
      <c r="J5336" s="690"/>
      <c r="K5336" s="690"/>
      <c r="L5336" s="704"/>
      <c r="M5336" s="170"/>
    </row>
    <row r="5337" spans="2:13" x14ac:dyDescent="0.2">
      <c r="B5337" s="173"/>
      <c r="C5337" s="703"/>
      <c r="D5337" s="690"/>
      <c r="E5337" s="690"/>
      <c r="F5337" s="690"/>
      <c r="G5337" s="690"/>
      <c r="H5337" s="690"/>
      <c r="I5337" s="690"/>
      <c r="J5337" s="690"/>
      <c r="K5337" s="690"/>
      <c r="L5337" s="704"/>
      <c r="M5337" s="170"/>
    </row>
    <row r="5338" spans="2:13" x14ac:dyDescent="0.2">
      <c r="B5338" s="173"/>
      <c r="C5338" s="703"/>
      <c r="D5338" s="690"/>
      <c r="E5338" s="690"/>
      <c r="F5338" s="690"/>
      <c r="G5338" s="690"/>
      <c r="H5338" s="690"/>
      <c r="I5338" s="690"/>
      <c r="J5338" s="690"/>
      <c r="K5338" s="690"/>
      <c r="L5338" s="704"/>
      <c r="M5338" s="170"/>
    </row>
    <row r="5339" spans="2:13" x14ac:dyDescent="0.2">
      <c r="B5339" s="173"/>
      <c r="C5339" s="703"/>
      <c r="D5339" s="690"/>
      <c r="E5339" s="690"/>
      <c r="F5339" s="690"/>
      <c r="G5339" s="690"/>
      <c r="H5339" s="690"/>
      <c r="I5339" s="690"/>
      <c r="J5339" s="690"/>
      <c r="K5339" s="690"/>
      <c r="L5339" s="704"/>
      <c r="M5339" s="170"/>
    </row>
    <row r="5340" spans="2:13" x14ac:dyDescent="0.2">
      <c r="B5340" s="173"/>
      <c r="C5340" s="703"/>
      <c r="D5340" s="690"/>
      <c r="E5340" s="690"/>
      <c r="F5340" s="690"/>
      <c r="G5340" s="690"/>
      <c r="H5340" s="690"/>
      <c r="I5340" s="690"/>
      <c r="J5340" s="690"/>
      <c r="K5340" s="690"/>
      <c r="L5340" s="704"/>
      <c r="M5340" s="170"/>
    </row>
    <row r="5341" spans="2:13" x14ac:dyDescent="0.2">
      <c r="B5341" s="173"/>
      <c r="C5341" s="703"/>
      <c r="D5341" s="690"/>
      <c r="E5341" s="690"/>
      <c r="F5341" s="690"/>
      <c r="G5341" s="690"/>
      <c r="H5341" s="690"/>
      <c r="I5341" s="690"/>
      <c r="J5341" s="690"/>
      <c r="K5341" s="690"/>
      <c r="L5341" s="704"/>
      <c r="M5341" s="170"/>
    </row>
    <row r="5342" spans="2:13" x14ac:dyDescent="0.2">
      <c r="B5342" s="173"/>
      <c r="C5342" s="703"/>
      <c r="D5342" s="690"/>
      <c r="E5342" s="690"/>
      <c r="F5342" s="690"/>
      <c r="G5342" s="690"/>
      <c r="H5342" s="690"/>
      <c r="I5342" s="690"/>
      <c r="J5342" s="690"/>
      <c r="K5342" s="690"/>
      <c r="L5342" s="704"/>
      <c r="M5342" s="170"/>
    </row>
    <row r="5343" spans="2:13" x14ac:dyDescent="0.2">
      <c r="B5343" s="173"/>
      <c r="C5343" s="703"/>
      <c r="D5343" s="690"/>
      <c r="E5343" s="690"/>
      <c r="F5343" s="690"/>
      <c r="G5343" s="690"/>
      <c r="H5343" s="690"/>
      <c r="I5343" s="690"/>
      <c r="J5343" s="690"/>
      <c r="K5343" s="690"/>
      <c r="L5343" s="704"/>
      <c r="M5343" s="170"/>
    </row>
    <row r="5344" spans="2:13" x14ac:dyDescent="0.2">
      <c r="B5344" s="173"/>
      <c r="C5344" s="703"/>
      <c r="D5344" s="690"/>
      <c r="E5344" s="690"/>
      <c r="F5344" s="690"/>
      <c r="G5344" s="690"/>
      <c r="H5344" s="690"/>
      <c r="I5344" s="690"/>
      <c r="J5344" s="690"/>
      <c r="K5344" s="690"/>
      <c r="L5344" s="704"/>
      <c r="M5344" s="170"/>
    </row>
    <row r="5345" spans="2:13" x14ac:dyDescent="0.2">
      <c r="B5345" s="173"/>
      <c r="C5345" s="703"/>
      <c r="D5345" s="690"/>
      <c r="E5345" s="690"/>
      <c r="F5345" s="690"/>
      <c r="G5345" s="690"/>
      <c r="H5345" s="690"/>
      <c r="I5345" s="690"/>
      <c r="J5345" s="690"/>
      <c r="K5345" s="690"/>
      <c r="L5345" s="704"/>
      <c r="M5345" s="170"/>
    </row>
    <row r="5346" spans="2:13" x14ac:dyDescent="0.2">
      <c r="B5346" s="173"/>
      <c r="C5346" s="703"/>
      <c r="D5346" s="690"/>
      <c r="E5346" s="690"/>
      <c r="F5346" s="690"/>
      <c r="G5346" s="690"/>
      <c r="H5346" s="690"/>
      <c r="I5346" s="690"/>
      <c r="J5346" s="690"/>
      <c r="K5346" s="690"/>
      <c r="L5346" s="704"/>
      <c r="M5346" s="170"/>
    </row>
    <row r="5347" spans="2:13" x14ac:dyDescent="0.2">
      <c r="B5347" s="173"/>
      <c r="C5347" s="703"/>
      <c r="D5347" s="690"/>
      <c r="E5347" s="690"/>
      <c r="F5347" s="690"/>
      <c r="G5347" s="690"/>
      <c r="H5347" s="690"/>
      <c r="I5347" s="690"/>
      <c r="J5347" s="690"/>
      <c r="K5347" s="690"/>
      <c r="L5347" s="704"/>
      <c r="M5347" s="170"/>
    </row>
    <row r="5348" spans="2:13" x14ac:dyDescent="0.2">
      <c r="B5348" s="173"/>
      <c r="C5348" s="703"/>
      <c r="D5348" s="690"/>
      <c r="E5348" s="690"/>
      <c r="F5348" s="690"/>
      <c r="G5348" s="690"/>
      <c r="H5348" s="690"/>
      <c r="I5348" s="690"/>
      <c r="J5348" s="690"/>
      <c r="K5348" s="690"/>
      <c r="L5348" s="704"/>
      <c r="M5348" s="170"/>
    </row>
    <row r="5349" spans="2:13" x14ac:dyDescent="0.2">
      <c r="B5349" s="173"/>
      <c r="C5349" s="703"/>
      <c r="D5349" s="690"/>
      <c r="E5349" s="690"/>
      <c r="F5349" s="690"/>
      <c r="G5349" s="690"/>
      <c r="H5349" s="690"/>
      <c r="I5349" s="690"/>
      <c r="J5349" s="690"/>
      <c r="K5349" s="690"/>
      <c r="L5349" s="704"/>
      <c r="M5349" s="170"/>
    </row>
    <row r="5350" spans="2:13" x14ac:dyDescent="0.2">
      <c r="B5350" s="173"/>
      <c r="C5350" s="703"/>
      <c r="D5350" s="690"/>
      <c r="E5350" s="690"/>
      <c r="F5350" s="690"/>
      <c r="G5350" s="690"/>
      <c r="H5350" s="690"/>
      <c r="I5350" s="690"/>
      <c r="J5350" s="690"/>
      <c r="K5350" s="690"/>
      <c r="L5350" s="704"/>
      <c r="M5350" s="170"/>
    </row>
    <row r="5351" spans="2:13" x14ac:dyDescent="0.2">
      <c r="B5351" s="173"/>
      <c r="C5351" s="703"/>
      <c r="D5351" s="690"/>
      <c r="E5351" s="690"/>
      <c r="F5351" s="690"/>
      <c r="G5351" s="690"/>
      <c r="H5351" s="690"/>
      <c r="I5351" s="690"/>
      <c r="J5351" s="690"/>
      <c r="K5351" s="690"/>
      <c r="L5351" s="704"/>
      <c r="M5351" s="170"/>
    </row>
    <row r="5352" spans="2:13" x14ac:dyDescent="0.2">
      <c r="B5352" s="173"/>
      <c r="C5352" s="703"/>
      <c r="D5352" s="690"/>
      <c r="E5352" s="690"/>
      <c r="F5352" s="690"/>
      <c r="G5352" s="690"/>
      <c r="H5352" s="690"/>
      <c r="I5352" s="690"/>
      <c r="J5352" s="690"/>
      <c r="K5352" s="690"/>
      <c r="L5352" s="704"/>
      <c r="M5352" s="170"/>
    </row>
    <row r="5353" spans="2:13" x14ac:dyDescent="0.2">
      <c r="B5353" s="173"/>
      <c r="C5353" s="703"/>
      <c r="D5353" s="690"/>
      <c r="E5353" s="690"/>
      <c r="F5353" s="690"/>
      <c r="G5353" s="690"/>
      <c r="H5353" s="690"/>
      <c r="I5353" s="690"/>
      <c r="J5353" s="690"/>
      <c r="K5353" s="690"/>
      <c r="L5353" s="704"/>
      <c r="M5353" s="170"/>
    </row>
    <row r="5354" spans="2:13" x14ac:dyDescent="0.2">
      <c r="B5354" s="173"/>
      <c r="C5354" s="703"/>
      <c r="D5354" s="690"/>
      <c r="E5354" s="690"/>
      <c r="F5354" s="690"/>
      <c r="G5354" s="690"/>
      <c r="H5354" s="690"/>
      <c r="I5354" s="690"/>
      <c r="J5354" s="690"/>
      <c r="K5354" s="690"/>
      <c r="L5354" s="704"/>
      <c r="M5354" s="170"/>
    </row>
    <row r="5355" spans="2:13" x14ac:dyDescent="0.2">
      <c r="B5355" s="173"/>
      <c r="C5355" s="703"/>
      <c r="D5355" s="690"/>
      <c r="E5355" s="690"/>
      <c r="F5355" s="690"/>
      <c r="G5355" s="690"/>
      <c r="H5355" s="690"/>
      <c r="I5355" s="690"/>
      <c r="J5355" s="690"/>
      <c r="K5355" s="690"/>
      <c r="L5355" s="704"/>
      <c r="M5355" s="170"/>
    </row>
    <row r="5356" spans="2:13" x14ac:dyDescent="0.2">
      <c r="B5356" s="173"/>
      <c r="C5356" s="703"/>
      <c r="D5356" s="690"/>
      <c r="E5356" s="690"/>
      <c r="F5356" s="690"/>
      <c r="G5356" s="690"/>
      <c r="H5356" s="690"/>
      <c r="I5356" s="690"/>
      <c r="J5356" s="690"/>
      <c r="K5356" s="690"/>
      <c r="L5356" s="704"/>
      <c r="M5356" s="170"/>
    </row>
    <row r="5357" spans="2:13" x14ac:dyDescent="0.2">
      <c r="B5357" s="173"/>
      <c r="C5357" s="703"/>
      <c r="D5357" s="690"/>
      <c r="E5357" s="690"/>
      <c r="F5357" s="690"/>
      <c r="G5357" s="690"/>
      <c r="H5357" s="690"/>
      <c r="I5357" s="690"/>
      <c r="J5357" s="690"/>
      <c r="K5357" s="690"/>
      <c r="L5357" s="704"/>
      <c r="M5357" s="170"/>
    </row>
    <row r="5358" spans="2:13" x14ac:dyDescent="0.2">
      <c r="B5358" s="173"/>
      <c r="C5358" s="703"/>
      <c r="D5358" s="690"/>
      <c r="E5358" s="690"/>
      <c r="F5358" s="690"/>
      <c r="G5358" s="690"/>
      <c r="H5358" s="690"/>
      <c r="I5358" s="690"/>
      <c r="J5358" s="690"/>
      <c r="K5358" s="690"/>
      <c r="L5358" s="704"/>
      <c r="M5358" s="170"/>
    </row>
    <row r="5359" spans="2:13" x14ac:dyDescent="0.2">
      <c r="B5359" s="173"/>
      <c r="C5359" s="703"/>
      <c r="D5359" s="690"/>
      <c r="E5359" s="690"/>
      <c r="F5359" s="690"/>
      <c r="G5359" s="690"/>
      <c r="H5359" s="690"/>
      <c r="I5359" s="690"/>
      <c r="J5359" s="690"/>
      <c r="K5359" s="690"/>
      <c r="L5359" s="704"/>
      <c r="M5359" s="170"/>
    </row>
    <row r="5360" spans="2:13" x14ac:dyDescent="0.2">
      <c r="B5360" s="173"/>
      <c r="C5360" s="703"/>
      <c r="D5360" s="690"/>
      <c r="E5360" s="690"/>
      <c r="F5360" s="690"/>
      <c r="G5360" s="690"/>
      <c r="H5360" s="690"/>
      <c r="I5360" s="690"/>
      <c r="J5360" s="690"/>
      <c r="K5360" s="690"/>
      <c r="L5360" s="704"/>
      <c r="M5360" s="170"/>
    </row>
    <row r="5361" spans="2:13" x14ac:dyDescent="0.2">
      <c r="B5361" s="173"/>
      <c r="C5361" s="703"/>
      <c r="D5361" s="690"/>
      <c r="E5361" s="690"/>
      <c r="F5361" s="690"/>
      <c r="G5361" s="690"/>
      <c r="H5361" s="690"/>
      <c r="I5361" s="690"/>
      <c r="J5361" s="690"/>
      <c r="K5361" s="690"/>
      <c r="L5361" s="704"/>
      <c r="M5361" s="170"/>
    </row>
    <row r="5362" spans="2:13" x14ac:dyDescent="0.2">
      <c r="B5362" s="173"/>
      <c r="C5362" s="703"/>
      <c r="D5362" s="690"/>
      <c r="E5362" s="690"/>
      <c r="F5362" s="690"/>
      <c r="G5362" s="690"/>
      <c r="H5362" s="690"/>
      <c r="I5362" s="690"/>
      <c r="J5362" s="690"/>
      <c r="K5362" s="690"/>
      <c r="L5362" s="704"/>
      <c r="M5362" s="170"/>
    </row>
    <row r="5363" spans="2:13" x14ac:dyDescent="0.2">
      <c r="B5363" s="173"/>
      <c r="C5363" s="703"/>
      <c r="D5363" s="690"/>
      <c r="E5363" s="690"/>
      <c r="F5363" s="690"/>
      <c r="G5363" s="690"/>
      <c r="H5363" s="690"/>
      <c r="I5363" s="690"/>
      <c r="J5363" s="690"/>
      <c r="K5363" s="690"/>
      <c r="L5363" s="704"/>
      <c r="M5363" s="170"/>
    </row>
    <row r="5364" spans="2:13" x14ac:dyDescent="0.2">
      <c r="B5364" s="173"/>
      <c r="C5364" s="703"/>
      <c r="D5364" s="690"/>
      <c r="E5364" s="690"/>
      <c r="F5364" s="690"/>
      <c r="G5364" s="690"/>
      <c r="H5364" s="690"/>
      <c r="I5364" s="690"/>
      <c r="J5364" s="690"/>
      <c r="K5364" s="690"/>
      <c r="L5364" s="704"/>
      <c r="M5364" s="170"/>
    </row>
    <row r="5365" spans="2:13" x14ac:dyDescent="0.2">
      <c r="B5365" s="173"/>
      <c r="C5365" s="703"/>
      <c r="D5365" s="690"/>
      <c r="E5365" s="690"/>
      <c r="F5365" s="690"/>
      <c r="G5365" s="690"/>
      <c r="H5365" s="690"/>
      <c r="I5365" s="690"/>
      <c r="J5365" s="690"/>
      <c r="K5365" s="690"/>
      <c r="L5365" s="704"/>
      <c r="M5365" s="170"/>
    </row>
    <row r="5366" spans="2:13" x14ac:dyDescent="0.2">
      <c r="B5366" s="173"/>
      <c r="C5366" s="703"/>
      <c r="D5366" s="690"/>
      <c r="E5366" s="690"/>
      <c r="F5366" s="690"/>
      <c r="G5366" s="690"/>
      <c r="H5366" s="690"/>
      <c r="I5366" s="690"/>
      <c r="J5366" s="690"/>
      <c r="K5366" s="690"/>
      <c r="L5366" s="704"/>
      <c r="M5366" s="170"/>
    </row>
    <row r="5367" spans="2:13" x14ac:dyDescent="0.2">
      <c r="B5367" s="173"/>
      <c r="C5367" s="703"/>
      <c r="D5367" s="690"/>
      <c r="E5367" s="690"/>
      <c r="F5367" s="690"/>
      <c r="G5367" s="690"/>
      <c r="H5367" s="690"/>
      <c r="I5367" s="690"/>
      <c r="J5367" s="690"/>
      <c r="K5367" s="690"/>
      <c r="L5367" s="704"/>
      <c r="M5367" s="170"/>
    </row>
    <row r="5368" spans="2:13" x14ac:dyDescent="0.2">
      <c r="B5368" s="173"/>
      <c r="C5368" s="703"/>
      <c r="D5368" s="690"/>
      <c r="E5368" s="690"/>
      <c r="F5368" s="690"/>
      <c r="G5368" s="690"/>
      <c r="H5368" s="690"/>
      <c r="I5368" s="690"/>
      <c r="J5368" s="690"/>
      <c r="K5368" s="690"/>
      <c r="L5368" s="704"/>
      <c r="M5368" s="170"/>
    </row>
    <row r="5369" spans="2:13" x14ac:dyDescent="0.2">
      <c r="B5369" s="173"/>
      <c r="C5369" s="703"/>
      <c r="D5369" s="690"/>
      <c r="E5369" s="690"/>
      <c r="F5369" s="690"/>
      <c r="G5369" s="690"/>
      <c r="H5369" s="690"/>
      <c r="I5369" s="690"/>
      <c r="J5369" s="690"/>
      <c r="K5369" s="690"/>
      <c r="L5369" s="704"/>
      <c r="M5369" s="170"/>
    </row>
    <row r="5370" spans="2:13" x14ac:dyDescent="0.2">
      <c r="B5370" s="173"/>
      <c r="C5370" s="703"/>
      <c r="D5370" s="690"/>
      <c r="E5370" s="690"/>
      <c r="F5370" s="690"/>
      <c r="G5370" s="690"/>
      <c r="H5370" s="690"/>
      <c r="I5370" s="690"/>
      <c r="J5370" s="690"/>
      <c r="K5370" s="690"/>
      <c r="L5370" s="704"/>
      <c r="M5370" s="170"/>
    </row>
    <row r="5371" spans="2:13" x14ac:dyDescent="0.2">
      <c r="B5371" s="173"/>
      <c r="C5371" s="703"/>
      <c r="D5371" s="690"/>
      <c r="E5371" s="690"/>
      <c r="F5371" s="690"/>
      <c r="G5371" s="690"/>
      <c r="H5371" s="690"/>
      <c r="I5371" s="690"/>
      <c r="J5371" s="690"/>
      <c r="K5371" s="690"/>
      <c r="L5371" s="704"/>
      <c r="M5371" s="170"/>
    </row>
    <row r="5372" spans="2:13" x14ac:dyDescent="0.2">
      <c r="B5372" s="173"/>
      <c r="C5372" s="703"/>
      <c r="D5372" s="690"/>
      <c r="E5372" s="690"/>
      <c r="F5372" s="690"/>
      <c r="G5372" s="690"/>
      <c r="H5372" s="690"/>
      <c r="I5372" s="690"/>
      <c r="J5372" s="690"/>
      <c r="K5372" s="690"/>
      <c r="L5372" s="704"/>
      <c r="M5372" s="170"/>
    </row>
    <row r="5373" spans="2:13" x14ac:dyDescent="0.2">
      <c r="B5373" s="173"/>
      <c r="C5373" s="703"/>
      <c r="D5373" s="690"/>
      <c r="E5373" s="690"/>
      <c r="F5373" s="690"/>
      <c r="G5373" s="690"/>
      <c r="H5373" s="690"/>
      <c r="I5373" s="690"/>
      <c r="J5373" s="690"/>
      <c r="K5373" s="690"/>
      <c r="L5373" s="704"/>
      <c r="M5373" s="170"/>
    </row>
    <row r="5374" spans="2:13" x14ac:dyDescent="0.2">
      <c r="B5374" s="173"/>
      <c r="C5374" s="703"/>
      <c r="D5374" s="690"/>
      <c r="E5374" s="690"/>
      <c r="F5374" s="690"/>
      <c r="G5374" s="690"/>
      <c r="H5374" s="690"/>
      <c r="I5374" s="690"/>
      <c r="J5374" s="690"/>
      <c r="K5374" s="690"/>
      <c r="L5374" s="704"/>
      <c r="M5374" s="170"/>
    </row>
    <row r="5375" spans="2:13" x14ac:dyDescent="0.2">
      <c r="B5375" s="173"/>
      <c r="C5375" s="703"/>
      <c r="D5375" s="690"/>
      <c r="E5375" s="690"/>
      <c r="F5375" s="690"/>
      <c r="G5375" s="690"/>
      <c r="H5375" s="690"/>
      <c r="I5375" s="690"/>
      <c r="J5375" s="690"/>
      <c r="K5375" s="690"/>
      <c r="L5375" s="704"/>
      <c r="M5375" s="170"/>
    </row>
    <row r="5376" spans="2:13" x14ac:dyDescent="0.2">
      <c r="B5376" s="173"/>
      <c r="C5376" s="703"/>
      <c r="D5376" s="690"/>
      <c r="E5376" s="690"/>
      <c r="F5376" s="690"/>
      <c r="G5376" s="690"/>
      <c r="H5376" s="690"/>
      <c r="I5376" s="690"/>
      <c r="J5376" s="690"/>
      <c r="K5376" s="690"/>
      <c r="L5376" s="704"/>
      <c r="M5376" s="170"/>
    </row>
    <row r="5377" spans="2:13" x14ac:dyDescent="0.2">
      <c r="B5377" s="173"/>
      <c r="C5377" s="703"/>
      <c r="D5377" s="690"/>
      <c r="E5377" s="690"/>
      <c r="F5377" s="690"/>
      <c r="G5377" s="690"/>
      <c r="H5377" s="690"/>
      <c r="I5377" s="690"/>
      <c r="J5377" s="690"/>
      <c r="K5377" s="690"/>
      <c r="L5377" s="704"/>
      <c r="M5377" s="170"/>
    </row>
    <row r="5378" spans="2:13" x14ac:dyDescent="0.2">
      <c r="B5378" s="173"/>
      <c r="C5378" s="703"/>
      <c r="D5378" s="690"/>
      <c r="E5378" s="690"/>
      <c r="F5378" s="690"/>
      <c r="G5378" s="690"/>
      <c r="H5378" s="690"/>
      <c r="I5378" s="690"/>
      <c r="J5378" s="690"/>
      <c r="K5378" s="690"/>
      <c r="L5378" s="704"/>
      <c r="M5378" s="170"/>
    </row>
    <row r="5379" spans="2:13" x14ac:dyDescent="0.2">
      <c r="B5379" s="173"/>
      <c r="C5379" s="703"/>
      <c r="D5379" s="690"/>
      <c r="E5379" s="690"/>
      <c r="F5379" s="690"/>
      <c r="G5379" s="690"/>
      <c r="H5379" s="690"/>
      <c r="I5379" s="690"/>
      <c r="J5379" s="690"/>
      <c r="K5379" s="690"/>
      <c r="L5379" s="704"/>
      <c r="M5379" s="170"/>
    </row>
    <row r="5380" spans="2:13" x14ac:dyDescent="0.2">
      <c r="B5380" s="173"/>
      <c r="C5380" s="703"/>
      <c r="D5380" s="690"/>
      <c r="E5380" s="690"/>
      <c r="F5380" s="690"/>
      <c r="G5380" s="690"/>
      <c r="H5380" s="690"/>
      <c r="I5380" s="690"/>
      <c r="J5380" s="690"/>
      <c r="K5380" s="690"/>
      <c r="L5380" s="704"/>
      <c r="M5380" s="170"/>
    </row>
    <row r="5381" spans="2:13" x14ac:dyDescent="0.2">
      <c r="B5381" s="173"/>
      <c r="C5381" s="703"/>
      <c r="D5381" s="690"/>
      <c r="E5381" s="690"/>
      <c r="F5381" s="690"/>
      <c r="G5381" s="690"/>
      <c r="H5381" s="690"/>
      <c r="I5381" s="690"/>
      <c r="J5381" s="690"/>
      <c r="K5381" s="690"/>
      <c r="L5381" s="704"/>
      <c r="M5381" s="170"/>
    </row>
    <row r="5382" spans="2:13" x14ac:dyDescent="0.2">
      <c r="B5382" s="173"/>
      <c r="C5382" s="703"/>
      <c r="D5382" s="690"/>
      <c r="E5382" s="690"/>
      <c r="F5382" s="690"/>
      <c r="G5382" s="690"/>
      <c r="H5382" s="690"/>
      <c r="I5382" s="690"/>
      <c r="J5382" s="690"/>
      <c r="K5382" s="690"/>
      <c r="L5382" s="704"/>
      <c r="M5382" s="170"/>
    </row>
    <row r="5383" spans="2:13" x14ac:dyDescent="0.2">
      <c r="B5383" s="173"/>
      <c r="C5383" s="703"/>
      <c r="D5383" s="690"/>
      <c r="E5383" s="690"/>
      <c r="F5383" s="690"/>
      <c r="G5383" s="690"/>
      <c r="H5383" s="690"/>
      <c r="I5383" s="690"/>
      <c r="J5383" s="690"/>
      <c r="K5383" s="690"/>
      <c r="L5383" s="704"/>
      <c r="M5383" s="170"/>
    </row>
    <row r="5384" spans="2:13" x14ac:dyDescent="0.2">
      <c r="B5384" s="173"/>
      <c r="C5384" s="703"/>
      <c r="D5384" s="690"/>
      <c r="E5384" s="690"/>
      <c r="F5384" s="690"/>
      <c r="G5384" s="690"/>
      <c r="H5384" s="690"/>
      <c r="I5384" s="690"/>
      <c r="J5384" s="690"/>
      <c r="K5384" s="690"/>
      <c r="L5384" s="704"/>
      <c r="M5384" s="170"/>
    </row>
    <row r="5385" spans="2:13" x14ac:dyDescent="0.2">
      <c r="B5385" s="173"/>
      <c r="C5385" s="703"/>
      <c r="D5385" s="690"/>
      <c r="E5385" s="690"/>
      <c r="F5385" s="690"/>
      <c r="G5385" s="690"/>
      <c r="H5385" s="690"/>
      <c r="I5385" s="690"/>
      <c r="J5385" s="690"/>
      <c r="K5385" s="690"/>
      <c r="L5385" s="704"/>
      <c r="M5385" s="170"/>
    </row>
    <row r="5386" spans="2:13" x14ac:dyDescent="0.2">
      <c r="B5386" s="173"/>
      <c r="C5386" s="703"/>
      <c r="D5386" s="690"/>
      <c r="E5386" s="690"/>
      <c r="F5386" s="690"/>
      <c r="G5386" s="690"/>
      <c r="H5386" s="690"/>
      <c r="I5386" s="690"/>
      <c r="J5386" s="690"/>
      <c r="K5386" s="690"/>
      <c r="L5386" s="704"/>
      <c r="M5386" s="170"/>
    </row>
    <row r="5387" spans="2:13" x14ac:dyDescent="0.2">
      <c r="B5387" s="173"/>
      <c r="C5387" s="703"/>
      <c r="D5387" s="690"/>
      <c r="E5387" s="690"/>
      <c r="F5387" s="690"/>
      <c r="G5387" s="690"/>
      <c r="H5387" s="690"/>
      <c r="I5387" s="690"/>
      <c r="J5387" s="690"/>
      <c r="K5387" s="690"/>
      <c r="L5387" s="704"/>
      <c r="M5387" s="170"/>
    </row>
    <row r="5388" spans="2:13" x14ac:dyDescent="0.2">
      <c r="B5388" s="173"/>
      <c r="C5388" s="703"/>
      <c r="D5388" s="690"/>
      <c r="E5388" s="690"/>
      <c r="F5388" s="690"/>
      <c r="G5388" s="690"/>
      <c r="H5388" s="690"/>
      <c r="I5388" s="690"/>
      <c r="J5388" s="690"/>
      <c r="K5388" s="690"/>
      <c r="L5388" s="704"/>
      <c r="M5388" s="170"/>
    </row>
    <row r="5389" spans="2:13" x14ac:dyDescent="0.2">
      <c r="B5389" s="173"/>
      <c r="C5389" s="703"/>
      <c r="D5389" s="690"/>
      <c r="E5389" s="690"/>
      <c r="F5389" s="690"/>
      <c r="G5389" s="690"/>
      <c r="H5389" s="690"/>
      <c r="I5389" s="690"/>
      <c r="J5389" s="690"/>
      <c r="K5389" s="690"/>
      <c r="L5389" s="704"/>
      <c r="M5389" s="170"/>
    </row>
    <row r="5390" spans="2:13" x14ac:dyDescent="0.2">
      <c r="B5390" s="173"/>
      <c r="C5390" s="703"/>
      <c r="D5390" s="690"/>
      <c r="E5390" s="690"/>
      <c r="F5390" s="690"/>
      <c r="G5390" s="690"/>
      <c r="H5390" s="690"/>
      <c r="I5390" s="690"/>
      <c r="J5390" s="690"/>
      <c r="K5390" s="690"/>
      <c r="L5390" s="704"/>
      <c r="M5390" s="170"/>
    </row>
    <row r="5391" spans="2:13" x14ac:dyDescent="0.2">
      <c r="B5391" s="173"/>
      <c r="C5391" s="703"/>
      <c r="D5391" s="690"/>
      <c r="E5391" s="690"/>
      <c r="F5391" s="690"/>
      <c r="G5391" s="690"/>
      <c r="H5391" s="690"/>
      <c r="I5391" s="690"/>
      <c r="J5391" s="690"/>
      <c r="K5391" s="690"/>
      <c r="L5391" s="704"/>
      <c r="M5391" s="170"/>
    </row>
    <row r="5392" spans="2:13" x14ac:dyDescent="0.2">
      <c r="B5392" s="173"/>
      <c r="C5392" s="703"/>
      <c r="D5392" s="690"/>
      <c r="E5392" s="690"/>
      <c r="F5392" s="690"/>
      <c r="G5392" s="690"/>
      <c r="H5392" s="690"/>
      <c r="I5392" s="690"/>
      <c r="J5392" s="690"/>
      <c r="K5392" s="690"/>
      <c r="L5392" s="704"/>
      <c r="M5392" s="170"/>
    </row>
    <row r="5393" spans="2:13" x14ac:dyDescent="0.2">
      <c r="B5393" s="173"/>
      <c r="C5393" s="703"/>
      <c r="D5393" s="690"/>
      <c r="E5393" s="690"/>
      <c r="F5393" s="690"/>
      <c r="G5393" s="690"/>
      <c r="H5393" s="690"/>
      <c r="I5393" s="690"/>
      <c r="J5393" s="690"/>
      <c r="K5393" s="690"/>
      <c r="L5393" s="704"/>
      <c r="M5393" s="170"/>
    </row>
    <row r="5394" spans="2:13" x14ac:dyDescent="0.2">
      <c r="B5394" s="173"/>
      <c r="C5394" s="703"/>
      <c r="D5394" s="690"/>
      <c r="E5394" s="690"/>
      <c r="F5394" s="690"/>
      <c r="G5394" s="690"/>
      <c r="H5394" s="690"/>
      <c r="I5394" s="690"/>
      <c r="J5394" s="690"/>
      <c r="K5394" s="690"/>
      <c r="L5394" s="704"/>
      <c r="M5394" s="170"/>
    </row>
    <row r="5395" spans="2:13" x14ac:dyDescent="0.2">
      <c r="B5395" s="173"/>
      <c r="C5395" s="703"/>
      <c r="D5395" s="690"/>
      <c r="E5395" s="690"/>
      <c r="F5395" s="690"/>
      <c r="G5395" s="690"/>
      <c r="H5395" s="690"/>
      <c r="I5395" s="690"/>
      <c r="J5395" s="690"/>
      <c r="K5395" s="690"/>
      <c r="L5395" s="704"/>
      <c r="M5395" s="170"/>
    </row>
    <row r="5396" spans="2:13" x14ac:dyDescent="0.2">
      <c r="B5396" s="173"/>
      <c r="C5396" s="703"/>
      <c r="D5396" s="690"/>
      <c r="E5396" s="690"/>
      <c r="F5396" s="690"/>
      <c r="G5396" s="690"/>
      <c r="H5396" s="690"/>
      <c r="I5396" s="690"/>
      <c r="J5396" s="690"/>
      <c r="K5396" s="690"/>
      <c r="L5396" s="704"/>
      <c r="M5396" s="170"/>
    </row>
    <row r="5397" spans="2:13" x14ac:dyDescent="0.2">
      <c r="B5397" s="173"/>
      <c r="C5397" s="703"/>
      <c r="D5397" s="690"/>
      <c r="E5397" s="690"/>
      <c r="F5397" s="690"/>
      <c r="G5397" s="690"/>
      <c r="H5397" s="690"/>
      <c r="I5397" s="690"/>
      <c r="J5397" s="690"/>
      <c r="K5397" s="690"/>
      <c r="L5397" s="704"/>
      <c r="M5397" s="170"/>
    </row>
    <row r="5398" spans="2:13" x14ac:dyDescent="0.2">
      <c r="B5398" s="173"/>
      <c r="C5398" s="703"/>
      <c r="D5398" s="690"/>
      <c r="E5398" s="690"/>
      <c r="F5398" s="690"/>
      <c r="G5398" s="690"/>
      <c r="H5398" s="690"/>
      <c r="I5398" s="690"/>
      <c r="J5398" s="690"/>
      <c r="K5398" s="690"/>
      <c r="L5398" s="704"/>
      <c r="M5398" s="170"/>
    </row>
    <row r="5399" spans="2:13" x14ac:dyDescent="0.2">
      <c r="B5399" s="173"/>
      <c r="C5399" s="703"/>
      <c r="D5399" s="690"/>
      <c r="E5399" s="690"/>
      <c r="F5399" s="690"/>
      <c r="G5399" s="690"/>
      <c r="H5399" s="690"/>
      <c r="I5399" s="690"/>
      <c r="J5399" s="690"/>
      <c r="K5399" s="690"/>
      <c r="L5399" s="704"/>
      <c r="M5399" s="170"/>
    </row>
    <row r="5400" spans="2:13" x14ac:dyDescent="0.2">
      <c r="B5400" s="173"/>
      <c r="C5400" s="703"/>
      <c r="D5400" s="690"/>
      <c r="E5400" s="690"/>
      <c r="F5400" s="690"/>
      <c r="G5400" s="690"/>
      <c r="H5400" s="690"/>
      <c r="I5400" s="690"/>
      <c r="J5400" s="690"/>
      <c r="K5400" s="690"/>
      <c r="L5400" s="704"/>
      <c r="M5400" s="170"/>
    </row>
    <row r="5401" spans="2:13" x14ac:dyDescent="0.2">
      <c r="B5401" s="173"/>
      <c r="C5401" s="703"/>
      <c r="D5401" s="690"/>
      <c r="E5401" s="690"/>
      <c r="F5401" s="690"/>
      <c r="G5401" s="690"/>
      <c r="H5401" s="690"/>
      <c r="I5401" s="690"/>
      <c r="J5401" s="690"/>
      <c r="K5401" s="690"/>
      <c r="L5401" s="704"/>
      <c r="M5401" s="170"/>
    </row>
    <row r="5402" spans="2:13" x14ac:dyDescent="0.2">
      <c r="B5402" s="173"/>
      <c r="C5402" s="703"/>
      <c r="D5402" s="690"/>
      <c r="E5402" s="690"/>
      <c r="F5402" s="690"/>
      <c r="G5402" s="690"/>
      <c r="H5402" s="690"/>
      <c r="I5402" s="690"/>
      <c r="J5402" s="690"/>
      <c r="K5402" s="690"/>
      <c r="L5402" s="704"/>
      <c r="M5402" s="170"/>
    </row>
    <row r="5403" spans="2:13" x14ac:dyDescent="0.2">
      <c r="B5403" s="173"/>
      <c r="C5403" s="703"/>
      <c r="D5403" s="690"/>
      <c r="E5403" s="690"/>
      <c r="F5403" s="690"/>
      <c r="G5403" s="690"/>
      <c r="H5403" s="690"/>
      <c r="I5403" s="690"/>
      <c r="J5403" s="690"/>
      <c r="K5403" s="690"/>
      <c r="L5403" s="704"/>
      <c r="M5403" s="170"/>
    </row>
    <row r="5404" spans="2:13" x14ac:dyDescent="0.2">
      <c r="B5404" s="173"/>
      <c r="C5404" s="703"/>
      <c r="D5404" s="690"/>
      <c r="E5404" s="690"/>
      <c r="F5404" s="690"/>
      <c r="G5404" s="690"/>
      <c r="H5404" s="690"/>
      <c r="I5404" s="690"/>
      <c r="J5404" s="690"/>
      <c r="K5404" s="690"/>
      <c r="L5404" s="704"/>
      <c r="M5404" s="170"/>
    </row>
    <row r="5405" spans="2:13" x14ac:dyDescent="0.2">
      <c r="B5405" s="173"/>
      <c r="C5405" s="703"/>
      <c r="D5405" s="690"/>
      <c r="E5405" s="690"/>
      <c r="F5405" s="690"/>
      <c r="G5405" s="690"/>
      <c r="H5405" s="690"/>
      <c r="I5405" s="690"/>
      <c r="J5405" s="690"/>
      <c r="K5405" s="690"/>
      <c r="L5405" s="704"/>
      <c r="M5405" s="170"/>
    </row>
    <row r="5406" spans="2:13" x14ac:dyDescent="0.2">
      <c r="B5406" s="173"/>
      <c r="C5406" s="703"/>
      <c r="D5406" s="690"/>
      <c r="E5406" s="690"/>
      <c r="F5406" s="690"/>
      <c r="G5406" s="690"/>
      <c r="H5406" s="690"/>
      <c r="I5406" s="690"/>
      <c r="J5406" s="690"/>
      <c r="K5406" s="690"/>
      <c r="L5406" s="704"/>
      <c r="M5406" s="170"/>
    </row>
    <row r="5407" spans="2:13" x14ac:dyDescent="0.2">
      <c r="B5407" s="173"/>
      <c r="C5407" s="703"/>
      <c r="D5407" s="690"/>
      <c r="E5407" s="690"/>
      <c r="F5407" s="690"/>
      <c r="G5407" s="690"/>
      <c r="H5407" s="690"/>
      <c r="I5407" s="690"/>
      <c r="J5407" s="690"/>
      <c r="K5407" s="690"/>
      <c r="L5407" s="704"/>
      <c r="M5407" s="170"/>
    </row>
    <row r="5408" spans="2:13" x14ac:dyDescent="0.2">
      <c r="B5408" s="173"/>
      <c r="C5408" s="703"/>
      <c r="D5408" s="690"/>
      <c r="E5408" s="690"/>
      <c r="F5408" s="690"/>
      <c r="G5408" s="690"/>
      <c r="H5408" s="690"/>
      <c r="I5408" s="690"/>
      <c r="J5408" s="690"/>
      <c r="K5408" s="690"/>
      <c r="L5408" s="704"/>
      <c r="M5408" s="170"/>
    </row>
    <row r="5409" spans="2:13" x14ac:dyDescent="0.2">
      <c r="B5409" s="173"/>
      <c r="C5409" s="703"/>
      <c r="D5409" s="690"/>
      <c r="E5409" s="690"/>
      <c r="F5409" s="690"/>
      <c r="G5409" s="690"/>
      <c r="H5409" s="690"/>
      <c r="I5409" s="690"/>
      <c r="J5409" s="690"/>
      <c r="K5409" s="690"/>
      <c r="L5409" s="704"/>
      <c r="M5409" s="170"/>
    </row>
    <row r="5410" spans="2:13" x14ac:dyDescent="0.2">
      <c r="B5410" s="173"/>
      <c r="C5410" s="703"/>
      <c r="D5410" s="690"/>
      <c r="E5410" s="690"/>
      <c r="F5410" s="690"/>
      <c r="G5410" s="690"/>
      <c r="H5410" s="690"/>
      <c r="I5410" s="690"/>
      <c r="J5410" s="690"/>
      <c r="K5410" s="690"/>
      <c r="L5410" s="704"/>
      <c r="M5410" s="170"/>
    </row>
    <row r="5411" spans="2:13" x14ac:dyDescent="0.2">
      <c r="B5411" s="173"/>
      <c r="C5411" s="703"/>
      <c r="D5411" s="690"/>
      <c r="E5411" s="690"/>
      <c r="F5411" s="690"/>
      <c r="G5411" s="690"/>
      <c r="H5411" s="690"/>
      <c r="I5411" s="690"/>
      <c r="J5411" s="690"/>
      <c r="K5411" s="690"/>
      <c r="L5411" s="704"/>
      <c r="M5411" s="170"/>
    </row>
    <row r="5412" spans="2:13" x14ac:dyDescent="0.2">
      <c r="B5412" s="173"/>
      <c r="C5412" s="703"/>
      <c r="D5412" s="690"/>
      <c r="E5412" s="690"/>
      <c r="F5412" s="690"/>
      <c r="G5412" s="690"/>
      <c r="H5412" s="690"/>
      <c r="I5412" s="690"/>
      <c r="J5412" s="690"/>
      <c r="K5412" s="690"/>
      <c r="L5412" s="704"/>
      <c r="M5412" s="170"/>
    </row>
    <row r="5413" spans="2:13" x14ac:dyDescent="0.2">
      <c r="B5413" s="173"/>
      <c r="C5413" s="703"/>
      <c r="D5413" s="690"/>
      <c r="E5413" s="690"/>
      <c r="F5413" s="690"/>
      <c r="G5413" s="690"/>
      <c r="H5413" s="690"/>
      <c r="I5413" s="690"/>
      <c r="J5413" s="690"/>
      <c r="K5413" s="690"/>
      <c r="L5413" s="704"/>
      <c r="M5413" s="170"/>
    </row>
    <row r="5414" spans="2:13" x14ac:dyDescent="0.2">
      <c r="B5414" s="173"/>
      <c r="C5414" s="703"/>
      <c r="D5414" s="690"/>
      <c r="E5414" s="690"/>
      <c r="F5414" s="690"/>
      <c r="G5414" s="690"/>
      <c r="H5414" s="690"/>
      <c r="I5414" s="690"/>
      <c r="J5414" s="690"/>
      <c r="K5414" s="690"/>
      <c r="L5414" s="704"/>
      <c r="M5414" s="170"/>
    </row>
    <row r="5415" spans="2:13" x14ac:dyDescent="0.2">
      <c r="B5415" s="173"/>
      <c r="C5415" s="703"/>
      <c r="D5415" s="690"/>
      <c r="E5415" s="690"/>
      <c r="F5415" s="690"/>
      <c r="G5415" s="690"/>
      <c r="H5415" s="690"/>
      <c r="I5415" s="690"/>
      <c r="J5415" s="690"/>
      <c r="K5415" s="690"/>
      <c r="L5415" s="704"/>
      <c r="M5415" s="170"/>
    </row>
    <row r="5416" spans="2:13" x14ac:dyDescent="0.2">
      <c r="B5416" s="173"/>
      <c r="C5416" s="703"/>
      <c r="D5416" s="690"/>
      <c r="E5416" s="690"/>
      <c r="F5416" s="690"/>
      <c r="G5416" s="690"/>
      <c r="H5416" s="690"/>
      <c r="I5416" s="690"/>
      <c r="J5416" s="690"/>
      <c r="K5416" s="690"/>
      <c r="L5416" s="704"/>
      <c r="M5416" s="170"/>
    </row>
    <row r="5417" spans="2:13" x14ac:dyDescent="0.2">
      <c r="B5417" s="173"/>
      <c r="C5417" s="703"/>
      <c r="D5417" s="690"/>
      <c r="E5417" s="690"/>
      <c r="F5417" s="690"/>
      <c r="G5417" s="690"/>
      <c r="H5417" s="690"/>
      <c r="I5417" s="690"/>
      <c r="J5417" s="690"/>
      <c r="K5417" s="690"/>
      <c r="L5417" s="704"/>
      <c r="M5417" s="170"/>
    </row>
    <row r="5418" spans="2:13" x14ac:dyDescent="0.2">
      <c r="B5418" s="173"/>
      <c r="C5418" s="703"/>
      <c r="D5418" s="690"/>
      <c r="E5418" s="690"/>
      <c r="F5418" s="690"/>
      <c r="G5418" s="690"/>
      <c r="H5418" s="690"/>
      <c r="I5418" s="690"/>
      <c r="J5418" s="690"/>
      <c r="K5418" s="690"/>
      <c r="L5418" s="704"/>
      <c r="M5418" s="170"/>
    </row>
    <row r="5419" spans="2:13" x14ac:dyDescent="0.2">
      <c r="B5419" s="173"/>
      <c r="C5419" s="703"/>
      <c r="D5419" s="690"/>
      <c r="E5419" s="690"/>
      <c r="F5419" s="690"/>
      <c r="G5419" s="690"/>
      <c r="H5419" s="690"/>
      <c r="I5419" s="690"/>
      <c r="J5419" s="690"/>
      <c r="K5419" s="690"/>
      <c r="L5419" s="704"/>
      <c r="M5419" s="170"/>
    </row>
    <row r="5420" spans="2:13" x14ac:dyDescent="0.2">
      <c r="B5420" s="173"/>
      <c r="C5420" s="703"/>
      <c r="D5420" s="690"/>
      <c r="E5420" s="690"/>
      <c r="F5420" s="690"/>
      <c r="G5420" s="690"/>
      <c r="H5420" s="690"/>
      <c r="I5420" s="690"/>
      <c r="J5420" s="690"/>
      <c r="K5420" s="690"/>
      <c r="L5420" s="704"/>
      <c r="M5420" s="170"/>
    </row>
    <row r="5421" spans="2:13" x14ac:dyDescent="0.2">
      <c r="B5421" s="173"/>
      <c r="C5421" s="703"/>
      <c r="D5421" s="690"/>
      <c r="E5421" s="690"/>
      <c r="F5421" s="690"/>
      <c r="G5421" s="690"/>
      <c r="H5421" s="690"/>
      <c r="I5421" s="690"/>
      <c r="J5421" s="690"/>
      <c r="K5421" s="690"/>
      <c r="L5421" s="704"/>
      <c r="M5421" s="170"/>
    </row>
    <row r="5422" spans="2:13" x14ac:dyDescent="0.2">
      <c r="B5422" s="173"/>
      <c r="C5422" s="703"/>
      <c r="D5422" s="690"/>
      <c r="E5422" s="690"/>
      <c r="F5422" s="690"/>
      <c r="G5422" s="690"/>
      <c r="H5422" s="690"/>
      <c r="I5422" s="690"/>
      <c r="J5422" s="690"/>
      <c r="K5422" s="690"/>
      <c r="L5422" s="704"/>
      <c r="M5422" s="170"/>
    </row>
    <row r="5423" spans="2:13" x14ac:dyDescent="0.2">
      <c r="B5423" s="173"/>
      <c r="C5423" s="703"/>
      <c r="D5423" s="690"/>
      <c r="E5423" s="690"/>
      <c r="F5423" s="690"/>
      <c r="G5423" s="690"/>
      <c r="H5423" s="690"/>
      <c r="I5423" s="690"/>
      <c r="J5423" s="690"/>
      <c r="K5423" s="690"/>
      <c r="L5423" s="704"/>
      <c r="M5423" s="170"/>
    </row>
    <row r="5424" spans="2:13" x14ac:dyDescent="0.2">
      <c r="B5424" s="173"/>
      <c r="C5424" s="703"/>
      <c r="D5424" s="690"/>
      <c r="E5424" s="690"/>
      <c r="F5424" s="690"/>
      <c r="G5424" s="690"/>
      <c r="H5424" s="690"/>
      <c r="I5424" s="690"/>
      <c r="J5424" s="690"/>
      <c r="K5424" s="690"/>
      <c r="L5424" s="704"/>
      <c r="M5424" s="170"/>
    </row>
    <row r="5425" spans="2:13" x14ac:dyDescent="0.2">
      <c r="B5425" s="173"/>
      <c r="C5425" s="703"/>
      <c r="D5425" s="690"/>
      <c r="E5425" s="690"/>
      <c r="F5425" s="690"/>
      <c r="G5425" s="690"/>
      <c r="H5425" s="690"/>
      <c r="I5425" s="690"/>
      <c r="J5425" s="690"/>
      <c r="K5425" s="690"/>
      <c r="L5425" s="704"/>
      <c r="M5425" s="170"/>
    </row>
    <row r="5426" spans="2:13" x14ac:dyDescent="0.2">
      <c r="B5426" s="173"/>
      <c r="C5426" s="703"/>
      <c r="D5426" s="690"/>
      <c r="E5426" s="690"/>
      <c r="F5426" s="690"/>
      <c r="G5426" s="690"/>
      <c r="H5426" s="690"/>
      <c r="I5426" s="690"/>
      <c r="J5426" s="690"/>
      <c r="K5426" s="690"/>
      <c r="L5426" s="704"/>
      <c r="M5426" s="170"/>
    </row>
    <row r="5427" spans="2:13" x14ac:dyDescent="0.2">
      <c r="B5427" s="173"/>
      <c r="C5427" s="703"/>
      <c r="D5427" s="690"/>
      <c r="E5427" s="690"/>
      <c r="F5427" s="690"/>
      <c r="G5427" s="690"/>
      <c r="H5427" s="690"/>
      <c r="I5427" s="690"/>
      <c r="J5427" s="690"/>
      <c r="K5427" s="690"/>
      <c r="L5427" s="704"/>
      <c r="M5427" s="170"/>
    </row>
    <row r="5428" spans="2:13" x14ac:dyDescent="0.2">
      <c r="B5428" s="173"/>
      <c r="C5428" s="703"/>
      <c r="D5428" s="690"/>
      <c r="E5428" s="690"/>
      <c r="F5428" s="690"/>
      <c r="G5428" s="690"/>
      <c r="H5428" s="690"/>
      <c r="I5428" s="690"/>
      <c r="J5428" s="690"/>
      <c r="K5428" s="690"/>
      <c r="L5428" s="704"/>
      <c r="M5428" s="170"/>
    </row>
    <row r="5429" spans="2:13" x14ac:dyDescent="0.2">
      <c r="B5429" s="173"/>
      <c r="C5429" s="703"/>
      <c r="D5429" s="690"/>
      <c r="E5429" s="690"/>
      <c r="F5429" s="690"/>
      <c r="G5429" s="690"/>
      <c r="H5429" s="690"/>
      <c r="I5429" s="690"/>
      <c r="J5429" s="690"/>
      <c r="K5429" s="690"/>
      <c r="L5429" s="704"/>
      <c r="M5429" s="170"/>
    </row>
    <row r="5430" spans="2:13" x14ac:dyDescent="0.2">
      <c r="B5430" s="173"/>
      <c r="C5430" s="703"/>
      <c r="D5430" s="690"/>
      <c r="E5430" s="690"/>
      <c r="F5430" s="690"/>
      <c r="G5430" s="690"/>
      <c r="H5430" s="690"/>
      <c r="I5430" s="690"/>
      <c r="J5430" s="690"/>
      <c r="K5430" s="690"/>
      <c r="L5430" s="704"/>
      <c r="M5430" s="170"/>
    </row>
    <row r="5431" spans="2:13" x14ac:dyDescent="0.2">
      <c r="B5431" s="173"/>
      <c r="C5431" s="703"/>
      <c r="D5431" s="690"/>
      <c r="E5431" s="690"/>
      <c r="F5431" s="690"/>
      <c r="G5431" s="690"/>
      <c r="H5431" s="690"/>
      <c r="I5431" s="690"/>
      <c r="J5431" s="690"/>
      <c r="K5431" s="690"/>
      <c r="L5431" s="704"/>
      <c r="M5431" s="170"/>
    </row>
    <row r="5432" spans="2:13" x14ac:dyDescent="0.2">
      <c r="B5432" s="173"/>
      <c r="C5432" s="703"/>
      <c r="D5432" s="690"/>
      <c r="E5432" s="690"/>
      <c r="F5432" s="690"/>
      <c r="G5432" s="690"/>
      <c r="H5432" s="690"/>
      <c r="I5432" s="690"/>
      <c r="J5432" s="690"/>
      <c r="K5432" s="690"/>
      <c r="L5432" s="704"/>
      <c r="M5432" s="170"/>
    </row>
    <row r="5433" spans="2:13" x14ac:dyDescent="0.2">
      <c r="B5433" s="173"/>
      <c r="C5433" s="703"/>
      <c r="D5433" s="690"/>
      <c r="E5433" s="690"/>
      <c r="F5433" s="690"/>
      <c r="G5433" s="690"/>
      <c r="H5433" s="690"/>
      <c r="I5433" s="690"/>
      <c r="J5433" s="690"/>
      <c r="K5433" s="690"/>
      <c r="L5433" s="704"/>
      <c r="M5433" s="170"/>
    </row>
    <row r="5434" spans="2:13" x14ac:dyDescent="0.2">
      <c r="B5434" s="173"/>
      <c r="C5434" s="703"/>
      <c r="D5434" s="690"/>
      <c r="E5434" s="690"/>
      <c r="F5434" s="690"/>
      <c r="G5434" s="690"/>
      <c r="H5434" s="690"/>
      <c r="I5434" s="690"/>
      <c r="J5434" s="690"/>
      <c r="K5434" s="690"/>
      <c r="L5434" s="704"/>
      <c r="M5434" s="170"/>
    </row>
    <row r="5435" spans="2:13" x14ac:dyDescent="0.2">
      <c r="B5435" s="173"/>
      <c r="C5435" s="703"/>
      <c r="D5435" s="690"/>
      <c r="E5435" s="690"/>
      <c r="F5435" s="690"/>
      <c r="G5435" s="690"/>
      <c r="H5435" s="690"/>
      <c r="I5435" s="690"/>
      <c r="J5435" s="690"/>
      <c r="K5435" s="690"/>
      <c r="L5435" s="704"/>
      <c r="M5435" s="170"/>
    </row>
    <row r="5436" spans="2:13" x14ac:dyDescent="0.2">
      <c r="B5436" s="173"/>
      <c r="C5436" s="703"/>
      <c r="D5436" s="690"/>
      <c r="E5436" s="690"/>
      <c r="F5436" s="690"/>
      <c r="G5436" s="690"/>
      <c r="H5436" s="690"/>
      <c r="I5436" s="690"/>
      <c r="J5436" s="690"/>
      <c r="K5436" s="690"/>
      <c r="L5436" s="704"/>
      <c r="M5436" s="170"/>
    </row>
    <row r="5437" spans="2:13" x14ac:dyDescent="0.2">
      <c r="B5437" s="173"/>
      <c r="C5437" s="703"/>
      <c r="D5437" s="690"/>
      <c r="E5437" s="690"/>
      <c r="F5437" s="690"/>
      <c r="G5437" s="690"/>
      <c r="H5437" s="690"/>
      <c r="I5437" s="690"/>
      <c r="J5437" s="690"/>
      <c r="K5437" s="690"/>
      <c r="L5437" s="704"/>
      <c r="M5437" s="170"/>
    </row>
    <row r="5438" spans="2:13" x14ac:dyDescent="0.2">
      <c r="B5438" s="173"/>
      <c r="C5438" s="703"/>
      <c r="D5438" s="690"/>
      <c r="E5438" s="690"/>
      <c r="F5438" s="690"/>
      <c r="G5438" s="690"/>
      <c r="H5438" s="690"/>
      <c r="I5438" s="690"/>
      <c r="J5438" s="690"/>
      <c r="K5438" s="690"/>
      <c r="L5438" s="704"/>
      <c r="M5438" s="170"/>
    </row>
    <row r="5439" spans="2:13" x14ac:dyDescent="0.2">
      <c r="B5439" s="173"/>
      <c r="C5439" s="703"/>
      <c r="D5439" s="690"/>
      <c r="E5439" s="690"/>
      <c r="F5439" s="690"/>
      <c r="G5439" s="690"/>
      <c r="H5439" s="690"/>
      <c r="I5439" s="690"/>
      <c r="J5439" s="690"/>
      <c r="K5439" s="690"/>
      <c r="L5439" s="704"/>
      <c r="M5439" s="170"/>
    </row>
    <row r="5440" spans="2:13" x14ac:dyDescent="0.2">
      <c r="B5440" s="173"/>
      <c r="C5440" s="703"/>
      <c r="D5440" s="690"/>
      <c r="E5440" s="690"/>
      <c r="F5440" s="690"/>
      <c r="G5440" s="690"/>
      <c r="H5440" s="690"/>
      <c r="I5440" s="690"/>
      <c r="J5440" s="690"/>
      <c r="K5440" s="690"/>
      <c r="L5440" s="704"/>
      <c r="M5440" s="170"/>
    </row>
    <row r="5441" spans="2:13" x14ac:dyDescent="0.2">
      <c r="B5441" s="173"/>
      <c r="C5441" s="703"/>
      <c r="D5441" s="690"/>
      <c r="E5441" s="690"/>
      <c r="F5441" s="690"/>
      <c r="G5441" s="690"/>
      <c r="H5441" s="690"/>
      <c r="I5441" s="690"/>
      <c r="J5441" s="690"/>
      <c r="K5441" s="690"/>
      <c r="L5441" s="704"/>
      <c r="M5441" s="170"/>
    </row>
    <row r="5442" spans="2:13" x14ac:dyDescent="0.2">
      <c r="B5442" s="173"/>
      <c r="C5442" s="703"/>
      <c r="D5442" s="690"/>
      <c r="E5442" s="690"/>
      <c r="F5442" s="690"/>
      <c r="G5442" s="690"/>
      <c r="H5442" s="690"/>
      <c r="I5442" s="690"/>
      <c r="J5442" s="690"/>
      <c r="K5442" s="690"/>
      <c r="L5442" s="704"/>
      <c r="M5442" s="170"/>
    </row>
    <row r="5443" spans="2:13" x14ac:dyDescent="0.2">
      <c r="B5443" s="173"/>
      <c r="C5443" s="703"/>
      <c r="D5443" s="690"/>
      <c r="E5443" s="690"/>
      <c r="F5443" s="690"/>
      <c r="G5443" s="690"/>
      <c r="H5443" s="690"/>
      <c r="I5443" s="690"/>
      <c r="J5443" s="690"/>
      <c r="K5443" s="690"/>
      <c r="L5443" s="704"/>
      <c r="M5443" s="170"/>
    </row>
    <row r="5444" spans="2:13" x14ac:dyDescent="0.2">
      <c r="B5444" s="173"/>
      <c r="C5444" s="703"/>
      <c r="D5444" s="690"/>
      <c r="E5444" s="690"/>
      <c r="F5444" s="690"/>
      <c r="G5444" s="690"/>
      <c r="H5444" s="690"/>
      <c r="I5444" s="690"/>
      <c r="J5444" s="690"/>
      <c r="K5444" s="690"/>
      <c r="L5444" s="704"/>
      <c r="M5444" s="170"/>
    </row>
    <row r="5445" spans="2:13" x14ac:dyDescent="0.2">
      <c r="B5445" s="173"/>
      <c r="C5445" s="703"/>
      <c r="D5445" s="690"/>
      <c r="E5445" s="690"/>
      <c r="F5445" s="690"/>
      <c r="G5445" s="690"/>
      <c r="H5445" s="690"/>
      <c r="I5445" s="690"/>
      <c r="J5445" s="690"/>
      <c r="K5445" s="690"/>
      <c r="L5445" s="704"/>
      <c r="M5445" s="170"/>
    </row>
    <row r="5446" spans="2:13" x14ac:dyDescent="0.2">
      <c r="B5446" s="173"/>
      <c r="C5446" s="703"/>
      <c r="D5446" s="690"/>
      <c r="E5446" s="690"/>
      <c r="F5446" s="690"/>
      <c r="G5446" s="690"/>
      <c r="H5446" s="690"/>
      <c r="I5446" s="690"/>
      <c r="J5446" s="690"/>
      <c r="K5446" s="690"/>
      <c r="L5446" s="704"/>
      <c r="M5446" s="170"/>
    </row>
    <row r="5447" spans="2:13" x14ac:dyDescent="0.2">
      <c r="B5447" s="173"/>
      <c r="C5447" s="703"/>
      <c r="D5447" s="690"/>
      <c r="E5447" s="690"/>
      <c r="F5447" s="690"/>
      <c r="G5447" s="690"/>
      <c r="H5447" s="690"/>
      <c r="I5447" s="690"/>
      <c r="J5447" s="690"/>
      <c r="K5447" s="690"/>
      <c r="L5447" s="704"/>
      <c r="M5447" s="170"/>
    </row>
    <row r="5448" spans="2:13" x14ac:dyDescent="0.2">
      <c r="B5448" s="173"/>
      <c r="C5448" s="703"/>
      <c r="D5448" s="690"/>
      <c r="E5448" s="690"/>
      <c r="F5448" s="690"/>
      <c r="G5448" s="690"/>
      <c r="H5448" s="690"/>
      <c r="I5448" s="690"/>
      <c r="J5448" s="690"/>
      <c r="K5448" s="690"/>
      <c r="L5448" s="704"/>
      <c r="M5448" s="170"/>
    </row>
    <row r="5449" spans="2:13" x14ac:dyDescent="0.2">
      <c r="B5449" s="173"/>
      <c r="C5449" s="703"/>
      <c r="D5449" s="690"/>
      <c r="E5449" s="690"/>
      <c r="F5449" s="690"/>
      <c r="G5449" s="690"/>
      <c r="H5449" s="690"/>
      <c r="I5449" s="690"/>
      <c r="J5449" s="690"/>
      <c r="K5449" s="690"/>
      <c r="L5449" s="704"/>
      <c r="M5449" s="170"/>
    </row>
    <row r="5450" spans="2:13" x14ac:dyDescent="0.2">
      <c r="B5450" s="173"/>
      <c r="C5450" s="703"/>
      <c r="D5450" s="690"/>
      <c r="E5450" s="690"/>
      <c r="F5450" s="690"/>
      <c r="G5450" s="690"/>
      <c r="H5450" s="690"/>
      <c r="I5450" s="690"/>
      <c r="J5450" s="690"/>
      <c r="K5450" s="690"/>
      <c r="L5450" s="704"/>
      <c r="M5450" s="170"/>
    </row>
    <row r="5451" spans="2:13" x14ac:dyDescent="0.2">
      <c r="B5451" s="173"/>
      <c r="C5451" s="703"/>
      <c r="D5451" s="690"/>
      <c r="E5451" s="690"/>
      <c r="F5451" s="690"/>
      <c r="G5451" s="690"/>
      <c r="H5451" s="690"/>
      <c r="I5451" s="690"/>
      <c r="J5451" s="690"/>
      <c r="K5451" s="690"/>
      <c r="L5451" s="704"/>
      <c r="M5451" s="170"/>
    </row>
    <row r="5452" spans="2:13" x14ac:dyDescent="0.2">
      <c r="B5452" s="173"/>
      <c r="C5452" s="703"/>
      <c r="D5452" s="690"/>
      <c r="E5452" s="690"/>
      <c r="F5452" s="690"/>
      <c r="G5452" s="690"/>
      <c r="H5452" s="690"/>
      <c r="I5452" s="690"/>
      <c r="J5452" s="690"/>
      <c r="K5452" s="690"/>
      <c r="L5452" s="704"/>
      <c r="M5452" s="170"/>
    </row>
    <row r="5453" spans="2:13" x14ac:dyDescent="0.2">
      <c r="B5453" s="173"/>
      <c r="C5453" s="703"/>
      <c r="D5453" s="690"/>
      <c r="E5453" s="690"/>
      <c r="F5453" s="690"/>
      <c r="G5453" s="690"/>
      <c r="H5453" s="690"/>
      <c r="I5453" s="690"/>
      <c r="J5453" s="690"/>
      <c r="K5453" s="690"/>
      <c r="L5453" s="704"/>
      <c r="M5453" s="170"/>
    </row>
    <row r="5454" spans="2:13" x14ac:dyDescent="0.2">
      <c r="B5454" s="173"/>
      <c r="C5454" s="703"/>
      <c r="D5454" s="690"/>
      <c r="E5454" s="690"/>
      <c r="F5454" s="690"/>
      <c r="G5454" s="690"/>
      <c r="H5454" s="690"/>
      <c r="I5454" s="690"/>
      <c r="J5454" s="690"/>
      <c r="K5454" s="690"/>
      <c r="L5454" s="704"/>
      <c r="M5454" s="170"/>
    </row>
    <row r="5455" spans="2:13" x14ac:dyDescent="0.2">
      <c r="B5455" s="173"/>
      <c r="C5455" s="703"/>
      <c r="D5455" s="690"/>
      <c r="E5455" s="690"/>
      <c r="F5455" s="690"/>
      <c r="G5455" s="690"/>
      <c r="H5455" s="690"/>
      <c r="I5455" s="690"/>
      <c r="J5455" s="690"/>
      <c r="K5455" s="690"/>
      <c r="L5455" s="704"/>
      <c r="M5455" s="170"/>
    </row>
    <row r="5456" spans="2:13" x14ac:dyDescent="0.2">
      <c r="B5456" s="173"/>
      <c r="C5456" s="703"/>
      <c r="D5456" s="690"/>
      <c r="E5456" s="690"/>
      <c r="F5456" s="690"/>
      <c r="G5456" s="690"/>
      <c r="H5456" s="690"/>
      <c r="I5456" s="690"/>
      <c r="J5456" s="690"/>
      <c r="K5456" s="690"/>
      <c r="L5456" s="704"/>
      <c r="M5456" s="170"/>
    </row>
    <row r="5457" spans="2:13" x14ac:dyDescent="0.2">
      <c r="B5457" s="173"/>
      <c r="C5457" s="703"/>
      <c r="D5457" s="690"/>
      <c r="E5457" s="690"/>
      <c r="F5457" s="690"/>
      <c r="G5457" s="690"/>
      <c r="H5457" s="690"/>
      <c r="I5457" s="690"/>
      <c r="J5457" s="690"/>
      <c r="K5457" s="690"/>
      <c r="L5457" s="704"/>
      <c r="M5457" s="170"/>
    </row>
    <row r="5458" spans="2:13" x14ac:dyDescent="0.2">
      <c r="B5458" s="173"/>
      <c r="C5458" s="703"/>
      <c r="D5458" s="690"/>
      <c r="E5458" s="690"/>
      <c r="F5458" s="690"/>
      <c r="G5458" s="690"/>
      <c r="H5458" s="690"/>
      <c r="I5458" s="690"/>
      <c r="J5458" s="690"/>
      <c r="K5458" s="690"/>
      <c r="L5458" s="704"/>
      <c r="M5458" s="170"/>
    </row>
    <row r="5459" spans="2:13" x14ac:dyDescent="0.2">
      <c r="B5459" s="173"/>
      <c r="C5459" s="703"/>
      <c r="D5459" s="690"/>
      <c r="E5459" s="690"/>
      <c r="F5459" s="690"/>
      <c r="G5459" s="690"/>
      <c r="H5459" s="690"/>
      <c r="I5459" s="690"/>
      <c r="J5459" s="690"/>
      <c r="K5459" s="690"/>
      <c r="L5459" s="704"/>
      <c r="M5459" s="170"/>
    </row>
    <row r="5460" spans="2:13" x14ac:dyDescent="0.2">
      <c r="B5460" s="173"/>
      <c r="C5460" s="703"/>
      <c r="D5460" s="690"/>
      <c r="E5460" s="690"/>
      <c r="F5460" s="690"/>
      <c r="G5460" s="690"/>
      <c r="H5460" s="690"/>
      <c r="I5460" s="690"/>
      <c r="J5460" s="690"/>
      <c r="K5460" s="690"/>
      <c r="L5460" s="704"/>
      <c r="M5460" s="170"/>
    </row>
    <row r="5461" spans="2:13" x14ac:dyDescent="0.2">
      <c r="B5461" s="173"/>
      <c r="C5461" s="703"/>
      <c r="D5461" s="690"/>
      <c r="E5461" s="690"/>
      <c r="F5461" s="690"/>
      <c r="G5461" s="690"/>
      <c r="H5461" s="690"/>
      <c r="I5461" s="690"/>
      <c r="J5461" s="690"/>
      <c r="K5461" s="690"/>
      <c r="L5461" s="704"/>
      <c r="M5461" s="170"/>
    </row>
    <row r="5462" spans="2:13" x14ac:dyDescent="0.2">
      <c r="B5462" s="173"/>
      <c r="C5462" s="703"/>
      <c r="D5462" s="690"/>
      <c r="E5462" s="690"/>
      <c r="F5462" s="690"/>
      <c r="G5462" s="690"/>
      <c r="H5462" s="690"/>
      <c r="I5462" s="690"/>
      <c r="J5462" s="690"/>
      <c r="K5462" s="690"/>
      <c r="L5462" s="704"/>
      <c r="M5462" s="170"/>
    </row>
    <row r="5463" spans="2:13" x14ac:dyDescent="0.2">
      <c r="B5463" s="173"/>
      <c r="C5463" s="703"/>
      <c r="D5463" s="690"/>
      <c r="E5463" s="690"/>
      <c r="F5463" s="690"/>
      <c r="G5463" s="690"/>
      <c r="H5463" s="690"/>
      <c r="I5463" s="690"/>
      <c r="J5463" s="690"/>
      <c r="K5463" s="690"/>
      <c r="L5463" s="704"/>
      <c r="M5463" s="170"/>
    </row>
    <row r="5464" spans="2:13" x14ac:dyDescent="0.2">
      <c r="B5464" s="173"/>
      <c r="C5464" s="703"/>
      <c r="D5464" s="690"/>
      <c r="E5464" s="690"/>
      <c r="F5464" s="690"/>
      <c r="G5464" s="690"/>
      <c r="H5464" s="690"/>
      <c r="I5464" s="690"/>
      <c r="J5464" s="690"/>
      <c r="K5464" s="690"/>
      <c r="L5464" s="704"/>
      <c r="M5464" s="170"/>
    </row>
    <row r="5465" spans="2:13" x14ac:dyDescent="0.2">
      <c r="B5465" s="173"/>
      <c r="C5465" s="703"/>
      <c r="D5465" s="690"/>
      <c r="E5465" s="690"/>
      <c r="F5465" s="690"/>
      <c r="G5465" s="690"/>
      <c r="H5465" s="690"/>
      <c r="I5465" s="690"/>
      <c r="J5465" s="690"/>
      <c r="K5465" s="690"/>
      <c r="L5465" s="704"/>
      <c r="M5465" s="170"/>
    </row>
    <row r="5466" spans="2:13" x14ac:dyDescent="0.2">
      <c r="B5466" s="173"/>
      <c r="C5466" s="703"/>
      <c r="D5466" s="690"/>
      <c r="E5466" s="690"/>
      <c r="F5466" s="690"/>
      <c r="G5466" s="690"/>
      <c r="H5466" s="690"/>
      <c r="I5466" s="690"/>
      <c r="J5466" s="690"/>
      <c r="K5466" s="690"/>
      <c r="L5466" s="704"/>
      <c r="M5466" s="170"/>
    </row>
    <row r="5467" spans="2:13" x14ac:dyDescent="0.2">
      <c r="B5467" s="173"/>
      <c r="C5467" s="703"/>
      <c r="D5467" s="690"/>
      <c r="E5467" s="690"/>
      <c r="F5467" s="690"/>
      <c r="G5467" s="690"/>
      <c r="H5467" s="690"/>
      <c r="I5467" s="690"/>
      <c r="J5467" s="690"/>
      <c r="K5467" s="690"/>
      <c r="L5467" s="704"/>
      <c r="M5467" s="170"/>
    </row>
    <row r="5468" spans="2:13" x14ac:dyDescent="0.2">
      <c r="B5468" s="173"/>
      <c r="C5468" s="703"/>
      <c r="D5468" s="690"/>
      <c r="E5468" s="690"/>
      <c r="F5468" s="690"/>
      <c r="G5468" s="690"/>
      <c r="H5468" s="690"/>
      <c r="I5468" s="690"/>
      <c r="J5468" s="690"/>
      <c r="K5468" s="690"/>
      <c r="L5468" s="704"/>
      <c r="M5468" s="170"/>
    </row>
    <row r="5469" spans="2:13" x14ac:dyDescent="0.2">
      <c r="B5469" s="173"/>
      <c r="C5469" s="703"/>
      <c r="D5469" s="690"/>
      <c r="E5469" s="690"/>
      <c r="F5469" s="690"/>
      <c r="G5469" s="690"/>
      <c r="H5469" s="690"/>
      <c r="I5469" s="690"/>
      <c r="J5469" s="690"/>
      <c r="K5469" s="690"/>
      <c r="L5469" s="704"/>
      <c r="M5469" s="170"/>
    </row>
    <row r="5470" spans="2:13" x14ac:dyDescent="0.2">
      <c r="B5470" s="173"/>
      <c r="C5470" s="703"/>
      <c r="D5470" s="690"/>
      <c r="E5470" s="690"/>
      <c r="F5470" s="690"/>
      <c r="G5470" s="690"/>
      <c r="H5470" s="690"/>
      <c r="I5470" s="690"/>
      <c r="J5470" s="690"/>
      <c r="K5470" s="690"/>
      <c r="L5470" s="704"/>
      <c r="M5470" s="170"/>
    </row>
    <row r="5471" spans="2:13" x14ac:dyDescent="0.2">
      <c r="B5471" s="173"/>
      <c r="C5471" s="703"/>
      <c r="D5471" s="690"/>
      <c r="E5471" s="690"/>
      <c r="F5471" s="690"/>
      <c r="G5471" s="690"/>
      <c r="H5471" s="690"/>
      <c r="I5471" s="690"/>
      <c r="J5471" s="690"/>
      <c r="K5471" s="690"/>
      <c r="L5471" s="704"/>
      <c r="M5471" s="170"/>
    </row>
    <row r="5472" spans="2:13" x14ac:dyDescent="0.2">
      <c r="B5472" s="173"/>
      <c r="C5472" s="703"/>
      <c r="D5472" s="690"/>
      <c r="E5472" s="690"/>
      <c r="F5472" s="690"/>
      <c r="G5472" s="690"/>
      <c r="H5472" s="690"/>
      <c r="I5472" s="690"/>
      <c r="J5472" s="690"/>
      <c r="K5472" s="690"/>
      <c r="L5472" s="704"/>
      <c r="M5472" s="170"/>
    </row>
    <row r="5473" spans="2:13" x14ac:dyDescent="0.2">
      <c r="B5473" s="173"/>
      <c r="C5473" s="703"/>
      <c r="D5473" s="690"/>
      <c r="E5473" s="690"/>
      <c r="F5473" s="690"/>
      <c r="G5473" s="690"/>
      <c r="H5473" s="690"/>
      <c r="I5473" s="690"/>
      <c r="J5473" s="690"/>
      <c r="K5473" s="690"/>
      <c r="L5473" s="704"/>
      <c r="M5473" s="170"/>
    </row>
    <row r="5474" spans="2:13" x14ac:dyDescent="0.2">
      <c r="B5474" s="173"/>
      <c r="C5474" s="703"/>
      <c r="D5474" s="690"/>
      <c r="E5474" s="690"/>
      <c r="F5474" s="690"/>
      <c r="G5474" s="690"/>
      <c r="H5474" s="690"/>
      <c r="I5474" s="690"/>
      <c r="J5474" s="690"/>
      <c r="K5474" s="690"/>
      <c r="L5474" s="704"/>
      <c r="M5474" s="170"/>
    </row>
    <row r="5475" spans="2:13" x14ac:dyDescent="0.2">
      <c r="B5475" s="173"/>
      <c r="C5475" s="703"/>
      <c r="D5475" s="690"/>
      <c r="E5475" s="690"/>
      <c r="F5475" s="690"/>
      <c r="G5475" s="690"/>
      <c r="H5475" s="690"/>
      <c r="I5475" s="690"/>
      <c r="J5475" s="690"/>
      <c r="K5475" s="690"/>
      <c r="L5475" s="704"/>
      <c r="M5475" s="170"/>
    </row>
    <row r="5476" spans="2:13" x14ac:dyDescent="0.2">
      <c r="B5476" s="173"/>
      <c r="C5476" s="703"/>
      <c r="D5476" s="690"/>
      <c r="E5476" s="690"/>
      <c r="F5476" s="690"/>
      <c r="G5476" s="690"/>
      <c r="H5476" s="690"/>
      <c r="I5476" s="690"/>
      <c r="J5476" s="690"/>
      <c r="K5476" s="690"/>
      <c r="L5476" s="704"/>
      <c r="M5476" s="170"/>
    </row>
    <row r="5477" spans="2:13" x14ac:dyDescent="0.2">
      <c r="B5477" s="173"/>
      <c r="C5477" s="703"/>
      <c r="D5477" s="690"/>
      <c r="E5477" s="690"/>
      <c r="F5477" s="690"/>
      <c r="G5477" s="690"/>
      <c r="H5477" s="690"/>
      <c r="I5477" s="690"/>
      <c r="J5477" s="690"/>
      <c r="K5477" s="690"/>
      <c r="L5477" s="704"/>
      <c r="M5477" s="170"/>
    </row>
    <row r="5478" spans="2:13" x14ac:dyDescent="0.2">
      <c r="B5478" s="173"/>
      <c r="C5478" s="703"/>
      <c r="D5478" s="690"/>
      <c r="E5478" s="690"/>
      <c r="F5478" s="690"/>
      <c r="G5478" s="690"/>
      <c r="H5478" s="690"/>
      <c r="I5478" s="690"/>
      <c r="J5478" s="690"/>
      <c r="K5478" s="690"/>
      <c r="L5478" s="704"/>
      <c r="M5478" s="170"/>
    </row>
    <row r="5479" spans="2:13" x14ac:dyDescent="0.2">
      <c r="B5479" s="173"/>
      <c r="C5479" s="703"/>
      <c r="D5479" s="690"/>
      <c r="E5479" s="690"/>
      <c r="F5479" s="690"/>
      <c r="G5479" s="690"/>
      <c r="H5479" s="690"/>
      <c r="I5479" s="690"/>
      <c r="J5479" s="690"/>
      <c r="K5479" s="690"/>
      <c r="L5479" s="704"/>
      <c r="M5479" s="170"/>
    </row>
    <row r="5480" spans="2:13" x14ac:dyDescent="0.2">
      <c r="B5480" s="173"/>
      <c r="C5480" s="703"/>
      <c r="D5480" s="690"/>
      <c r="E5480" s="690"/>
      <c r="F5480" s="690"/>
      <c r="G5480" s="690"/>
      <c r="H5480" s="690"/>
      <c r="I5480" s="690"/>
      <c r="J5480" s="690"/>
      <c r="K5480" s="690"/>
      <c r="L5480" s="704"/>
      <c r="M5480" s="170"/>
    </row>
    <row r="5481" spans="2:13" x14ac:dyDescent="0.2">
      <c r="B5481" s="173"/>
      <c r="C5481" s="703"/>
      <c r="D5481" s="690"/>
      <c r="E5481" s="690"/>
      <c r="F5481" s="690"/>
      <c r="G5481" s="690"/>
      <c r="H5481" s="690"/>
      <c r="I5481" s="690"/>
      <c r="J5481" s="690"/>
      <c r="K5481" s="690"/>
      <c r="L5481" s="704"/>
      <c r="M5481" s="170"/>
    </row>
    <row r="5482" spans="2:13" x14ac:dyDescent="0.2">
      <c r="B5482" s="173"/>
      <c r="C5482" s="703"/>
      <c r="D5482" s="690"/>
      <c r="E5482" s="690"/>
      <c r="F5482" s="690"/>
      <c r="G5482" s="690"/>
      <c r="H5482" s="690"/>
      <c r="I5482" s="690"/>
      <c r="J5482" s="690"/>
      <c r="K5482" s="690"/>
      <c r="L5482" s="704"/>
      <c r="M5482" s="170"/>
    </row>
    <row r="5483" spans="2:13" x14ac:dyDescent="0.2">
      <c r="B5483" s="173"/>
      <c r="C5483" s="703"/>
      <c r="D5483" s="690"/>
      <c r="E5483" s="690"/>
      <c r="F5483" s="690"/>
      <c r="G5483" s="690"/>
      <c r="H5483" s="690"/>
      <c r="I5483" s="690"/>
      <c r="J5483" s="690"/>
      <c r="K5483" s="690"/>
      <c r="L5483" s="704"/>
      <c r="M5483" s="170"/>
    </row>
    <row r="5484" spans="2:13" x14ac:dyDescent="0.2">
      <c r="B5484" s="173"/>
      <c r="C5484" s="703"/>
      <c r="D5484" s="690"/>
      <c r="E5484" s="690"/>
      <c r="F5484" s="690"/>
      <c r="G5484" s="690"/>
      <c r="H5484" s="690"/>
      <c r="I5484" s="690"/>
      <c r="J5484" s="690"/>
      <c r="K5484" s="690"/>
      <c r="L5484" s="704"/>
      <c r="M5484" s="170"/>
    </row>
    <row r="5485" spans="2:13" x14ac:dyDescent="0.2">
      <c r="B5485" s="173"/>
      <c r="C5485" s="703"/>
      <c r="D5485" s="690"/>
      <c r="E5485" s="690"/>
      <c r="F5485" s="690"/>
      <c r="G5485" s="690"/>
      <c r="H5485" s="690"/>
      <c r="I5485" s="690"/>
      <c r="J5485" s="690"/>
      <c r="K5485" s="690"/>
      <c r="L5485" s="704"/>
      <c r="M5485" s="170"/>
    </row>
    <row r="5486" spans="2:13" x14ac:dyDescent="0.2">
      <c r="B5486" s="173"/>
      <c r="C5486" s="703"/>
      <c r="D5486" s="690"/>
      <c r="E5486" s="690"/>
      <c r="F5486" s="690"/>
      <c r="G5486" s="690"/>
      <c r="H5486" s="690"/>
      <c r="I5486" s="690"/>
      <c r="J5486" s="690"/>
      <c r="K5486" s="690"/>
      <c r="L5486" s="704"/>
      <c r="M5486" s="170"/>
    </row>
    <row r="5487" spans="2:13" x14ac:dyDescent="0.2">
      <c r="B5487" s="173"/>
      <c r="C5487" s="703"/>
      <c r="D5487" s="690"/>
      <c r="E5487" s="690"/>
      <c r="F5487" s="690"/>
      <c r="G5487" s="690"/>
      <c r="H5487" s="690"/>
      <c r="I5487" s="690"/>
      <c r="J5487" s="690"/>
      <c r="K5487" s="690"/>
      <c r="L5487" s="704"/>
      <c r="M5487" s="170"/>
    </row>
    <row r="5488" spans="2:13" x14ac:dyDescent="0.2">
      <c r="B5488" s="173"/>
      <c r="C5488" s="703"/>
      <c r="D5488" s="690"/>
      <c r="E5488" s="690"/>
      <c r="F5488" s="690"/>
      <c r="G5488" s="690"/>
      <c r="H5488" s="690"/>
      <c r="I5488" s="690"/>
      <c r="J5488" s="690"/>
      <c r="K5488" s="690"/>
      <c r="L5488" s="704"/>
      <c r="M5488" s="170"/>
    </row>
    <row r="5489" spans="2:13" x14ac:dyDescent="0.2">
      <c r="B5489" s="173"/>
      <c r="C5489" s="703"/>
      <c r="D5489" s="690"/>
      <c r="E5489" s="690"/>
      <c r="F5489" s="690"/>
      <c r="G5489" s="690"/>
      <c r="H5489" s="690"/>
      <c r="I5489" s="690"/>
      <c r="J5489" s="690"/>
      <c r="K5489" s="690"/>
      <c r="L5489" s="704"/>
      <c r="M5489" s="170"/>
    </row>
    <row r="5490" spans="2:13" x14ac:dyDescent="0.2">
      <c r="B5490" s="173"/>
      <c r="C5490" s="703"/>
      <c r="D5490" s="690"/>
      <c r="E5490" s="690"/>
      <c r="F5490" s="690"/>
      <c r="G5490" s="690"/>
      <c r="H5490" s="690"/>
      <c r="I5490" s="690"/>
      <c r="J5490" s="690"/>
      <c r="K5490" s="690"/>
      <c r="L5490" s="704"/>
      <c r="M5490" s="170"/>
    </row>
    <row r="5491" spans="2:13" x14ac:dyDescent="0.2">
      <c r="B5491" s="173"/>
      <c r="C5491" s="703"/>
      <c r="D5491" s="690"/>
      <c r="E5491" s="690"/>
      <c r="F5491" s="690"/>
      <c r="G5491" s="690"/>
      <c r="H5491" s="690"/>
      <c r="I5491" s="690"/>
      <c r="J5491" s="690"/>
      <c r="K5491" s="690"/>
      <c r="L5491" s="704"/>
      <c r="M5491" s="170"/>
    </row>
    <row r="5492" spans="2:13" x14ac:dyDescent="0.2">
      <c r="B5492" s="173"/>
      <c r="C5492" s="703"/>
      <c r="D5492" s="690"/>
      <c r="E5492" s="690"/>
      <c r="F5492" s="690"/>
      <c r="G5492" s="690"/>
      <c r="H5492" s="690"/>
      <c r="I5492" s="690"/>
      <c r="J5492" s="690"/>
      <c r="K5492" s="690"/>
      <c r="L5492" s="704"/>
      <c r="M5492" s="170"/>
    </row>
    <row r="5493" spans="2:13" x14ac:dyDescent="0.2">
      <c r="B5493" s="173"/>
      <c r="C5493" s="703"/>
      <c r="D5493" s="690"/>
      <c r="E5493" s="690"/>
      <c r="F5493" s="690"/>
      <c r="G5493" s="690"/>
      <c r="H5493" s="690"/>
      <c r="I5493" s="690"/>
      <c r="J5493" s="690"/>
      <c r="K5493" s="690"/>
      <c r="L5493" s="704"/>
      <c r="M5493" s="170"/>
    </row>
    <row r="5494" spans="2:13" x14ac:dyDescent="0.2">
      <c r="B5494" s="173"/>
      <c r="C5494" s="703"/>
      <c r="D5494" s="690"/>
      <c r="E5494" s="690"/>
      <c r="F5494" s="690"/>
      <c r="G5494" s="690"/>
      <c r="H5494" s="690"/>
      <c r="I5494" s="690"/>
      <c r="J5494" s="690"/>
      <c r="K5494" s="690"/>
      <c r="L5494" s="704"/>
      <c r="M5494" s="170"/>
    </row>
    <row r="5495" spans="2:13" x14ac:dyDescent="0.2">
      <c r="B5495" s="173"/>
      <c r="C5495" s="703"/>
      <c r="D5495" s="690"/>
      <c r="E5495" s="690"/>
      <c r="F5495" s="690"/>
      <c r="G5495" s="690"/>
      <c r="H5495" s="690"/>
      <c r="I5495" s="690"/>
      <c r="J5495" s="690"/>
      <c r="K5495" s="690"/>
      <c r="L5495" s="704"/>
      <c r="M5495" s="170"/>
    </row>
    <row r="5496" spans="2:13" x14ac:dyDescent="0.2">
      <c r="B5496" s="173"/>
      <c r="C5496" s="703"/>
      <c r="D5496" s="690"/>
      <c r="E5496" s="690"/>
      <c r="F5496" s="690"/>
      <c r="G5496" s="690"/>
      <c r="H5496" s="690"/>
      <c r="I5496" s="690"/>
      <c r="J5496" s="690"/>
      <c r="K5496" s="690"/>
      <c r="L5496" s="704"/>
      <c r="M5496" s="170"/>
    </row>
    <row r="5497" spans="2:13" x14ac:dyDescent="0.2">
      <c r="B5497" s="173"/>
      <c r="C5497" s="703"/>
      <c r="D5497" s="690"/>
      <c r="E5497" s="690"/>
      <c r="F5497" s="690"/>
      <c r="G5497" s="690"/>
      <c r="H5497" s="690"/>
      <c r="I5497" s="690"/>
      <c r="J5497" s="690"/>
      <c r="K5497" s="690"/>
      <c r="L5497" s="704"/>
      <c r="M5497" s="170"/>
    </row>
    <row r="5498" spans="2:13" x14ac:dyDescent="0.2">
      <c r="B5498" s="173"/>
      <c r="C5498" s="703"/>
      <c r="D5498" s="690"/>
      <c r="E5498" s="690"/>
      <c r="F5498" s="690"/>
      <c r="G5498" s="690"/>
      <c r="H5498" s="690"/>
      <c r="I5498" s="690"/>
      <c r="J5498" s="690"/>
      <c r="K5498" s="690"/>
      <c r="L5498" s="704"/>
      <c r="M5498" s="170"/>
    </row>
    <row r="5499" spans="2:13" x14ac:dyDescent="0.2">
      <c r="B5499" s="173"/>
      <c r="C5499" s="703"/>
      <c r="D5499" s="690"/>
      <c r="E5499" s="690"/>
      <c r="F5499" s="690"/>
      <c r="G5499" s="690"/>
      <c r="H5499" s="690"/>
      <c r="I5499" s="690"/>
      <c r="J5499" s="690"/>
      <c r="K5499" s="690"/>
      <c r="L5499" s="704"/>
      <c r="M5499" s="170"/>
    </row>
    <row r="5500" spans="2:13" x14ac:dyDescent="0.2">
      <c r="B5500" s="173"/>
      <c r="C5500" s="703"/>
      <c r="D5500" s="690"/>
      <c r="E5500" s="690"/>
      <c r="F5500" s="690"/>
      <c r="G5500" s="690"/>
      <c r="H5500" s="690"/>
      <c r="I5500" s="690"/>
      <c r="J5500" s="690"/>
      <c r="K5500" s="690"/>
      <c r="L5500" s="704"/>
      <c r="M5500" s="170"/>
    </row>
    <row r="5501" spans="2:13" x14ac:dyDescent="0.2">
      <c r="B5501" s="173"/>
      <c r="C5501" s="703"/>
      <c r="D5501" s="690"/>
      <c r="E5501" s="690"/>
      <c r="F5501" s="690"/>
      <c r="G5501" s="690"/>
      <c r="H5501" s="690"/>
      <c r="I5501" s="690"/>
      <c r="J5501" s="690"/>
      <c r="K5501" s="690"/>
      <c r="L5501" s="704"/>
      <c r="M5501" s="170"/>
    </row>
    <row r="5502" spans="2:13" x14ac:dyDescent="0.2">
      <c r="B5502" s="173"/>
      <c r="C5502" s="703"/>
      <c r="D5502" s="690"/>
      <c r="E5502" s="690"/>
      <c r="F5502" s="690"/>
      <c r="G5502" s="690"/>
      <c r="H5502" s="690"/>
      <c r="I5502" s="690"/>
      <c r="J5502" s="690"/>
      <c r="K5502" s="690"/>
      <c r="L5502" s="704"/>
      <c r="M5502" s="170"/>
    </row>
    <row r="5503" spans="2:13" x14ac:dyDescent="0.2">
      <c r="B5503" s="173"/>
      <c r="C5503" s="703"/>
      <c r="D5503" s="690"/>
      <c r="E5503" s="690"/>
      <c r="F5503" s="690"/>
      <c r="G5503" s="690"/>
      <c r="H5503" s="690"/>
      <c r="I5503" s="690"/>
      <c r="J5503" s="690"/>
      <c r="K5503" s="690"/>
      <c r="L5503" s="704"/>
      <c r="M5503" s="170"/>
    </row>
    <row r="5504" spans="2:13" x14ac:dyDescent="0.2">
      <c r="B5504" s="173"/>
      <c r="C5504" s="703"/>
      <c r="D5504" s="690"/>
      <c r="E5504" s="690"/>
      <c r="F5504" s="690"/>
      <c r="G5504" s="690"/>
      <c r="H5504" s="690"/>
      <c r="I5504" s="690"/>
      <c r="J5504" s="690"/>
      <c r="K5504" s="690"/>
      <c r="L5504" s="704"/>
      <c r="M5504" s="170"/>
    </row>
    <row r="5505" spans="2:13" x14ac:dyDescent="0.2">
      <c r="B5505" s="173"/>
      <c r="C5505" s="703"/>
      <c r="D5505" s="690"/>
      <c r="E5505" s="690"/>
      <c r="F5505" s="690"/>
      <c r="G5505" s="690"/>
      <c r="H5505" s="690"/>
      <c r="I5505" s="690"/>
      <c r="J5505" s="690"/>
      <c r="K5505" s="690"/>
      <c r="L5505" s="704"/>
      <c r="M5505" s="170"/>
    </row>
    <row r="5506" spans="2:13" x14ac:dyDescent="0.2">
      <c r="B5506" s="173"/>
      <c r="C5506" s="703"/>
      <c r="D5506" s="690"/>
      <c r="E5506" s="690"/>
      <c r="F5506" s="690"/>
      <c r="G5506" s="690"/>
      <c r="H5506" s="690"/>
      <c r="I5506" s="690"/>
      <c r="J5506" s="690"/>
      <c r="K5506" s="690"/>
      <c r="L5506" s="704"/>
      <c r="M5506" s="170"/>
    </row>
    <row r="5507" spans="2:13" x14ac:dyDescent="0.2">
      <c r="B5507" s="173"/>
      <c r="C5507" s="703"/>
      <c r="D5507" s="690"/>
      <c r="E5507" s="690"/>
      <c r="F5507" s="690"/>
      <c r="G5507" s="690"/>
      <c r="H5507" s="690"/>
      <c r="I5507" s="690"/>
      <c r="J5507" s="690"/>
      <c r="K5507" s="690"/>
      <c r="L5507" s="704"/>
      <c r="M5507" s="170"/>
    </row>
    <row r="5508" spans="2:13" x14ac:dyDescent="0.2">
      <c r="B5508" s="173"/>
      <c r="C5508" s="703"/>
      <c r="D5508" s="690"/>
      <c r="E5508" s="690"/>
      <c r="F5508" s="690"/>
      <c r="G5508" s="690"/>
      <c r="H5508" s="690"/>
      <c r="I5508" s="690"/>
      <c r="J5508" s="690"/>
      <c r="K5508" s="690"/>
      <c r="L5508" s="704"/>
      <c r="M5508" s="170"/>
    </row>
    <row r="5509" spans="2:13" x14ac:dyDescent="0.2">
      <c r="B5509" s="173"/>
      <c r="C5509" s="703"/>
      <c r="D5509" s="690"/>
      <c r="E5509" s="690"/>
      <c r="F5509" s="690"/>
      <c r="G5509" s="690"/>
      <c r="H5509" s="690"/>
      <c r="I5509" s="690"/>
      <c r="J5509" s="690"/>
      <c r="K5509" s="690"/>
      <c r="L5509" s="704"/>
      <c r="M5509" s="170"/>
    </row>
    <row r="5510" spans="2:13" x14ac:dyDescent="0.2">
      <c r="B5510" s="173"/>
      <c r="C5510" s="703"/>
      <c r="D5510" s="690"/>
      <c r="E5510" s="690"/>
      <c r="F5510" s="690"/>
      <c r="G5510" s="690"/>
      <c r="H5510" s="690"/>
      <c r="I5510" s="690"/>
      <c r="J5510" s="690"/>
      <c r="K5510" s="690"/>
      <c r="L5510" s="704"/>
      <c r="M5510" s="170"/>
    </row>
    <row r="5511" spans="2:13" x14ac:dyDescent="0.2">
      <c r="B5511" s="173"/>
      <c r="C5511" s="703"/>
      <c r="D5511" s="690"/>
      <c r="E5511" s="690"/>
      <c r="F5511" s="690"/>
      <c r="G5511" s="690"/>
      <c r="H5511" s="690"/>
      <c r="I5511" s="690"/>
      <c r="J5511" s="690"/>
      <c r="K5511" s="690"/>
      <c r="L5511" s="704"/>
      <c r="M5511" s="170"/>
    </row>
    <row r="5512" spans="2:13" x14ac:dyDescent="0.2">
      <c r="B5512" s="173"/>
      <c r="C5512" s="703"/>
      <c r="D5512" s="690"/>
      <c r="E5512" s="690"/>
      <c r="F5512" s="690"/>
      <c r="G5512" s="690"/>
      <c r="H5512" s="690"/>
      <c r="I5512" s="690"/>
      <c r="J5512" s="690"/>
      <c r="K5512" s="690"/>
      <c r="L5512" s="704"/>
      <c r="M5512" s="170"/>
    </row>
    <row r="5513" spans="2:13" x14ac:dyDescent="0.2">
      <c r="B5513" s="173"/>
      <c r="C5513" s="703"/>
      <c r="D5513" s="690"/>
      <c r="E5513" s="690"/>
      <c r="F5513" s="690"/>
      <c r="G5513" s="690"/>
      <c r="H5513" s="690"/>
      <c r="I5513" s="690"/>
      <c r="J5513" s="690"/>
      <c r="K5513" s="690"/>
      <c r="L5513" s="704"/>
      <c r="M5513" s="170"/>
    </row>
    <row r="5514" spans="2:13" x14ac:dyDescent="0.2">
      <c r="B5514" s="173"/>
      <c r="C5514" s="703"/>
      <c r="D5514" s="690"/>
      <c r="E5514" s="690"/>
      <c r="F5514" s="690"/>
      <c r="G5514" s="690"/>
      <c r="H5514" s="690"/>
      <c r="I5514" s="690"/>
      <c r="J5514" s="690"/>
      <c r="K5514" s="690"/>
      <c r="L5514" s="704"/>
      <c r="M5514" s="170"/>
    </row>
    <row r="5515" spans="2:13" x14ac:dyDescent="0.2">
      <c r="B5515" s="173"/>
      <c r="C5515" s="703"/>
      <c r="D5515" s="690"/>
      <c r="E5515" s="690"/>
      <c r="F5515" s="690"/>
      <c r="G5515" s="690"/>
      <c r="H5515" s="690"/>
      <c r="I5515" s="690"/>
      <c r="J5515" s="690"/>
      <c r="K5515" s="690"/>
      <c r="L5515" s="704"/>
      <c r="M5515" s="170"/>
    </row>
    <row r="5516" spans="2:13" x14ac:dyDescent="0.2">
      <c r="B5516" s="173"/>
      <c r="C5516" s="703"/>
      <c r="D5516" s="690"/>
      <c r="E5516" s="690"/>
      <c r="F5516" s="690"/>
      <c r="G5516" s="690"/>
      <c r="H5516" s="690"/>
      <c r="I5516" s="690"/>
      <c r="J5516" s="690"/>
      <c r="K5516" s="690"/>
      <c r="L5516" s="704"/>
      <c r="M5516" s="170"/>
    </row>
    <row r="5517" spans="2:13" x14ac:dyDescent="0.2">
      <c r="B5517" s="173"/>
      <c r="C5517" s="703"/>
      <c r="D5517" s="690"/>
      <c r="E5517" s="690"/>
      <c r="F5517" s="690"/>
      <c r="G5517" s="690"/>
      <c r="H5517" s="690"/>
      <c r="I5517" s="690"/>
      <c r="J5517" s="690"/>
      <c r="K5517" s="690"/>
      <c r="L5517" s="704"/>
      <c r="M5517" s="170"/>
    </row>
    <row r="5518" spans="2:13" x14ac:dyDescent="0.2">
      <c r="B5518" s="173"/>
      <c r="C5518" s="703"/>
      <c r="D5518" s="690"/>
      <c r="E5518" s="690"/>
      <c r="F5518" s="690"/>
      <c r="G5518" s="690"/>
      <c r="H5518" s="690"/>
      <c r="I5518" s="690"/>
      <c r="J5518" s="690"/>
      <c r="K5518" s="690"/>
      <c r="L5518" s="704"/>
      <c r="M5518" s="170"/>
    </row>
    <row r="5519" spans="2:13" x14ac:dyDescent="0.2">
      <c r="B5519" s="173"/>
      <c r="C5519" s="703"/>
      <c r="D5519" s="690"/>
      <c r="E5519" s="690"/>
      <c r="F5519" s="690"/>
      <c r="G5519" s="690"/>
      <c r="H5519" s="690"/>
      <c r="I5519" s="690"/>
      <c r="J5519" s="690"/>
      <c r="K5519" s="690"/>
      <c r="L5519" s="704"/>
      <c r="M5519" s="170"/>
    </row>
    <row r="5520" spans="2:13" x14ac:dyDescent="0.2">
      <c r="B5520" s="173"/>
      <c r="C5520" s="703"/>
      <c r="D5520" s="690"/>
      <c r="E5520" s="690"/>
      <c r="F5520" s="690"/>
      <c r="G5520" s="690"/>
      <c r="H5520" s="690"/>
      <c r="I5520" s="690"/>
      <c r="J5520" s="690"/>
      <c r="K5520" s="690"/>
      <c r="L5520" s="704"/>
      <c r="M5520" s="170"/>
    </row>
    <row r="5521" spans="2:13" x14ac:dyDescent="0.2">
      <c r="B5521" s="173"/>
      <c r="C5521" s="703"/>
      <c r="D5521" s="690"/>
      <c r="E5521" s="690"/>
      <c r="F5521" s="690"/>
      <c r="G5521" s="690"/>
      <c r="H5521" s="690"/>
      <c r="I5521" s="690"/>
      <c r="J5521" s="690"/>
      <c r="K5521" s="690"/>
      <c r="L5521" s="704"/>
      <c r="M5521" s="170"/>
    </row>
    <row r="5522" spans="2:13" x14ac:dyDescent="0.2">
      <c r="B5522" s="173"/>
      <c r="C5522" s="703"/>
      <c r="D5522" s="690"/>
      <c r="E5522" s="690"/>
      <c r="F5522" s="690"/>
      <c r="G5522" s="690"/>
      <c r="H5522" s="690"/>
      <c r="I5522" s="690"/>
      <c r="J5522" s="690"/>
      <c r="K5522" s="690"/>
      <c r="L5522" s="704"/>
      <c r="M5522" s="170"/>
    </row>
    <row r="5523" spans="2:13" x14ac:dyDescent="0.2">
      <c r="B5523" s="173"/>
      <c r="C5523" s="703"/>
      <c r="D5523" s="690"/>
      <c r="E5523" s="690"/>
      <c r="F5523" s="690"/>
      <c r="G5523" s="690"/>
      <c r="H5523" s="690"/>
      <c r="I5523" s="690"/>
      <c r="J5523" s="690"/>
      <c r="K5523" s="690"/>
      <c r="L5523" s="704"/>
      <c r="M5523" s="170"/>
    </row>
    <row r="5524" spans="2:13" x14ac:dyDescent="0.2">
      <c r="B5524" s="173"/>
      <c r="C5524" s="703"/>
      <c r="D5524" s="690"/>
      <c r="E5524" s="690"/>
      <c r="F5524" s="690"/>
      <c r="G5524" s="690"/>
      <c r="H5524" s="690"/>
      <c r="I5524" s="690"/>
      <c r="J5524" s="690"/>
      <c r="K5524" s="690"/>
      <c r="L5524" s="704"/>
      <c r="M5524" s="170"/>
    </row>
    <row r="5525" spans="2:13" x14ac:dyDescent="0.2">
      <c r="B5525" s="173"/>
      <c r="C5525" s="703"/>
      <c r="D5525" s="690"/>
      <c r="E5525" s="690"/>
      <c r="F5525" s="690"/>
      <c r="G5525" s="690"/>
      <c r="H5525" s="690"/>
      <c r="I5525" s="690"/>
      <c r="J5525" s="690"/>
      <c r="K5525" s="690"/>
      <c r="L5525" s="704"/>
      <c r="M5525" s="170"/>
    </row>
    <row r="5526" spans="2:13" x14ac:dyDescent="0.2">
      <c r="B5526" s="173"/>
      <c r="C5526" s="703"/>
      <c r="D5526" s="690"/>
      <c r="E5526" s="690"/>
      <c r="F5526" s="690"/>
      <c r="G5526" s="690"/>
      <c r="H5526" s="690"/>
      <c r="I5526" s="690"/>
      <c r="J5526" s="690"/>
      <c r="K5526" s="690"/>
      <c r="L5526" s="704"/>
      <c r="M5526" s="170"/>
    </row>
    <row r="5527" spans="2:13" x14ac:dyDescent="0.2">
      <c r="B5527" s="173"/>
      <c r="C5527" s="703"/>
      <c r="D5527" s="690"/>
      <c r="E5527" s="690"/>
      <c r="F5527" s="690"/>
      <c r="G5527" s="690"/>
      <c r="H5527" s="690"/>
      <c r="I5527" s="690"/>
      <c r="J5527" s="690"/>
      <c r="K5527" s="690"/>
      <c r="L5527" s="704"/>
      <c r="M5527" s="170"/>
    </row>
    <row r="5528" spans="2:13" x14ac:dyDescent="0.2">
      <c r="B5528" s="173"/>
      <c r="C5528" s="703"/>
      <c r="D5528" s="690"/>
      <c r="E5528" s="690"/>
      <c r="F5528" s="690"/>
      <c r="G5528" s="690"/>
      <c r="H5528" s="690"/>
      <c r="I5528" s="690"/>
      <c r="J5528" s="690"/>
      <c r="K5528" s="690"/>
      <c r="L5528" s="704"/>
      <c r="M5528" s="170"/>
    </row>
    <row r="5529" spans="2:13" x14ac:dyDescent="0.2">
      <c r="B5529" s="173"/>
      <c r="C5529" s="703"/>
      <c r="D5529" s="690"/>
      <c r="E5529" s="690"/>
      <c r="F5529" s="690"/>
      <c r="G5529" s="690"/>
      <c r="H5529" s="690"/>
      <c r="I5529" s="690"/>
      <c r="J5529" s="690"/>
      <c r="K5529" s="690"/>
      <c r="L5529" s="704"/>
      <c r="M5529" s="170"/>
    </row>
    <row r="5530" spans="2:13" x14ac:dyDescent="0.2">
      <c r="B5530" s="173"/>
      <c r="C5530" s="703"/>
      <c r="D5530" s="690"/>
      <c r="E5530" s="690"/>
      <c r="F5530" s="690"/>
      <c r="G5530" s="690"/>
      <c r="H5530" s="690"/>
      <c r="I5530" s="690"/>
      <c r="J5530" s="690"/>
      <c r="K5530" s="690"/>
      <c r="L5530" s="704"/>
      <c r="M5530" s="170"/>
    </row>
    <row r="5531" spans="2:13" x14ac:dyDescent="0.2">
      <c r="B5531" s="173"/>
      <c r="C5531" s="703"/>
      <c r="D5531" s="690"/>
      <c r="E5531" s="690"/>
      <c r="F5531" s="690"/>
      <c r="G5531" s="690"/>
      <c r="H5531" s="690"/>
      <c r="I5531" s="690"/>
      <c r="J5531" s="690"/>
      <c r="K5531" s="690"/>
      <c r="L5531" s="704"/>
      <c r="M5531" s="170"/>
    </row>
    <row r="5532" spans="2:13" x14ac:dyDescent="0.2">
      <c r="B5532" s="173"/>
      <c r="C5532" s="703"/>
      <c r="D5532" s="690"/>
      <c r="E5532" s="690"/>
      <c r="F5532" s="690"/>
      <c r="G5532" s="690"/>
      <c r="H5532" s="690"/>
      <c r="I5532" s="690"/>
      <c r="J5532" s="690"/>
      <c r="K5532" s="690"/>
      <c r="L5532" s="704"/>
      <c r="M5532" s="170"/>
    </row>
    <row r="5533" spans="2:13" x14ac:dyDescent="0.2">
      <c r="B5533" s="173"/>
      <c r="C5533" s="703"/>
      <c r="D5533" s="690"/>
      <c r="E5533" s="690"/>
      <c r="F5533" s="690"/>
      <c r="G5533" s="690"/>
      <c r="H5533" s="690"/>
      <c r="I5533" s="690"/>
      <c r="J5533" s="690"/>
      <c r="K5533" s="690"/>
      <c r="L5533" s="704"/>
      <c r="M5533" s="170"/>
    </row>
    <row r="5534" spans="2:13" x14ac:dyDescent="0.2">
      <c r="B5534" s="173"/>
      <c r="C5534" s="703"/>
      <c r="D5534" s="690"/>
      <c r="E5534" s="690"/>
      <c r="F5534" s="690"/>
      <c r="G5534" s="690"/>
      <c r="H5534" s="690"/>
      <c r="I5534" s="690"/>
      <c r="J5534" s="690"/>
      <c r="K5534" s="690"/>
      <c r="L5534" s="704"/>
      <c r="M5534" s="170"/>
    </row>
    <row r="5535" spans="2:13" x14ac:dyDescent="0.2">
      <c r="B5535" s="173"/>
      <c r="C5535" s="703"/>
      <c r="D5535" s="690"/>
      <c r="E5535" s="690"/>
      <c r="F5535" s="690"/>
      <c r="G5535" s="690"/>
      <c r="H5535" s="690"/>
      <c r="I5535" s="690"/>
      <c r="J5535" s="690"/>
      <c r="K5535" s="690"/>
      <c r="L5535" s="704"/>
      <c r="M5535" s="170"/>
    </row>
    <row r="5536" spans="2:13" x14ac:dyDescent="0.2">
      <c r="B5536" s="173"/>
      <c r="C5536" s="703"/>
      <c r="D5536" s="690"/>
      <c r="E5536" s="690"/>
      <c r="F5536" s="690"/>
      <c r="G5536" s="690"/>
      <c r="H5536" s="690"/>
      <c r="I5536" s="690"/>
      <c r="J5536" s="690"/>
      <c r="K5536" s="690"/>
      <c r="L5536" s="704"/>
      <c r="M5536" s="170"/>
    </row>
    <row r="5537" spans="2:13" x14ac:dyDescent="0.2">
      <c r="B5537" s="173"/>
      <c r="C5537" s="703"/>
      <c r="D5537" s="690"/>
      <c r="E5537" s="690"/>
      <c r="F5537" s="690"/>
      <c r="G5537" s="690"/>
      <c r="H5537" s="690"/>
      <c r="I5537" s="690"/>
      <c r="J5537" s="690"/>
      <c r="K5537" s="690"/>
      <c r="L5537" s="704"/>
      <c r="M5537" s="170"/>
    </row>
    <row r="5538" spans="2:13" x14ac:dyDescent="0.2">
      <c r="B5538" s="173"/>
      <c r="C5538" s="703"/>
      <c r="D5538" s="690"/>
      <c r="E5538" s="690"/>
      <c r="F5538" s="690"/>
      <c r="G5538" s="690"/>
      <c r="H5538" s="690"/>
      <c r="I5538" s="690"/>
      <c r="J5538" s="690"/>
      <c r="K5538" s="690"/>
      <c r="L5538" s="704"/>
      <c r="M5538" s="170"/>
    </row>
    <row r="5539" spans="2:13" x14ac:dyDescent="0.2">
      <c r="B5539" s="173"/>
      <c r="C5539" s="703"/>
      <c r="D5539" s="690"/>
      <c r="E5539" s="690"/>
      <c r="F5539" s="690"/>
      <c r="G5539" s="690"/>
      <c r="H5539" s="690"/>
      <c r="I5539" s="690"/>
      <c r="J5539" s="690"/>
      <c r="K5539" s="690"/>
      <c r="L5539" s="704"/>
      <c r="M5539" s="170"/>
    </row>
    <row r="5540" spans="2:13" x14ac:dyDescent="0.2">
      <c r="B5540" s="173"/>
      <c r="C5540" s="703"/>
      <c r="D5540" s="690"/>
      <c r="E5540" s="690"/>
      <c r="F5540" s="690"/>
      <c r="G5540" s="690"/>
      <c r="H5540" s="690"/>
      <c r="I5540" s="690"/>
      <c r="J5540" s="690"/>
      <c r="K5540" s="690"/>
      <c r="L5540" s="704"/>
      <c r="M5540" s="170"/>
    </row>
    <row r="5541" spans="2:13" x14ac:dyDescent="0.2">
      <c r="B5541" s="173"/>
      <c r="C5541" s="703"/>
      <c r="D5541" s="690"/>
      <c r="E5541" s="690"/>
      <c r="F5541" s="690"/>
      <c r="G5541" s="690"/>
      <c r="H5541" s="690"/>
      <c r="I5541" s="690"/>
      <c r="J5541" s="690"/>
      <c r="K5541" s="690"/>
      <c r="L5541" s="704"/>
      <c r="M5541" s="170"/>
    </row>
    <row r="5542" spans="2:13" x14ac:dyDescent="0.2">
      <c r="B5542" s="173"/>
      <c r="C5542" s="703"/>
      <c r="D5542" s="690"/>
      <c r="E5542" s="690"/>
      <c r="F5542" s="690"/>
      <c r="G5542" s="690"/>
      <c r="H5542" s="690"/>
      <c r="I5542" s="690"/>
      <c r="J5542" s="690"/>
      <c r="K5542" s="690"/>
      <c r="L5542" s="704"/>
      <c r="M5542" s="170"/>
    </row>
    <row r="5543" spans="2:13" x14ac:dyDescent="0.2">
      <c r="B5543" s="173"/>
      <c r="C5543" s="703"/>
      <c r="D5543" s="690"/>
      <c r="E5543" s="690"/>
      <c r="F5543" s="690"/>
      <c r="G5543" s="690"/>
      <c r="H5543" s="690"/>
      <c r="I5543" s="690"/>
      <c r="J5543" s="690"/>
      <c r="K5543" s="690"/>
      <c r="L5543" s="704"/>
      <c r="M5543" s="170"/>
    </row>
    <row r="5544" spans="2:13" x14ac:dyDescent="0.2">
      <c r="B5544" s="173"/>
      <c r="C5544" s="703"/>
      <c r="D5544" s="690"/>
      <c r="E5544" s="690"/>
      <c r="F5544" s="690"/>
      <c r="G5544" s="690"/>
      <c r="H5544" s="690"/>
      <c r="I5544" s="690"/>
      <c r="J5544" s="690"/>
      <c r="K5544" s="690"/>
      <c r="L5544" s="704"/>
      <c r="M5544" s="170"/>
    </row>
    <row r="5545" spans="2:13" x14ac:dyDescent="0.2">
      <c r="B5545" s="173"/>
      <c r="C5545" s="703"/>
      <c r="D5545" s="690"/>
      <c r="E5545" s="690"/>
      <c r="F5545" s="690"/>
      <c r="G5545" s="690"/>
      <c r="H5545" s="690"/>
      <c r="I5545" s="690"/>
      <c r="J5545" s="690"/>
      <c r="K5545" s="690"/>
      <c r="L5545" s="704"/>
      <c r="M5545" s="170"/>
    </row>
    <row r="5546" spans="2:13" x14ac:dyDescent="0.2">
      <c r="B5546" s="173"/>
      <c r="C5546" s="703"/>
      <c r="D5546" s="690"/>
      <c r="E5546" s="690"/>
      <c r="F5546" s="690"/>
      <c r="G5546" s="690"/>
      <c r="H5546" s="690"/>
      <c r="I5546" s="690"/>
      <c r="J5546" s="690"/>
      <c r="K5546" s="690"/>
      <c r="L5546" s="704"/>
      <c r="M5546" s="170"/>
    </row>
    <row r="5547" spans="2:13" x14ac:dyDescent="0.2">
      <c r="B5547" s="173"/>
      <c r="C5547" s="703"/>
      <c r="D5547" s="690"/>
      <c r="E5547" s="690"/>
      <c r="F5547" s="690"/>
      <c r="G5547" s="690"/>
      <c r="H5547" s="690"/>
      <c r="I5547" s="690"/>
      <c r="J5547" s="690"/>
      <c r="K5547" s="690"/>
      <c r="L5547" s="704"/>
      <c r="M5547" s="170"/>
    </row>
    <row r="5548" spans="2:13" x14ac:dyDescent="0.2">
      <c r="B5548" s="173"/>
      <c r="C5548" s="703"/>
      <c r="D5548" s="690"/>
      <c r="E5548" s="690"/>
      <c r="F5548" s="690"/>
      <c r="G5548" s="690"/>
      <c r="H5548" s="690"/>
      <c r="I5548" s="690"/>
      <c r="J5548" s="690"/>
      <c r="K5548" s="690"/>
      <c r="L5548" s="704"/>
      <c r="M5548" s="170"/>
    </row>
    <row r="5549" spans="2:13" x14ac:dyDescent="0.2">
      <c r="B5549" s="173"/>
      <c r="C5549" s="703"/>
      <c r="D5549" s="690"/>
      <c r="E5549" s="690"/>
      <c r="F5549" s="690"/>
      <c r="G5549" s="690"/>
      <c r="H5549" s="690"/>
      <c r="I5549" s="690"/>
      <c r="J5549" s="690"/>
      <c r="K5549" s="690"/>
      <c r="L5549" s="704"/>
      <c r="M5549" s="170"/>
    </row>
    <row r="5550" spans="2:13" x14ac:dyDescent="0.2">
      <c r="B5550" s="173"/>
      <c r="C5550" s="703"/>
      <c r="D5550" s="690"/>
      <c r="E5550" s="690"/>
      <c r="F5550" s="690"/>
      <c r="G5550" s="690"/>
      <c r="H5550" s="690"/>
      <c r="I5550" s="690"/>
      <c r="J5550" s="690"/>
      <c r="K5550" s="690"/>
      <c r="L5550" s="704"/>
      <c r="M5550" s="170"/>
    </row>
    <row r="5551" spans="2:13" x14ac:dyDescent="0.2">
      <c r="B5551" s="173"/>
      <c r="C5551" s="703"/>
      <c r="D5551" s="690"/>
      <c r="E5551" s="690"/>
      <c r="F5551" s="690"/>
      <c r="G5551" s="690"/>
      <c r="H5551" s="690"/>
      <c r="I5551" s="690"/>
      <c r="J5551" s="690"/>
      <c r="K5551" s="690"/>
      <c r="L5551" s="704"/>
      <c r="M5551" s="170"/>
    </row>
    <row r="5552" spans="2:13" x14ac:dyDescent="0.2">
      <c r="B5552" s="173"/>
      <c r="C5552" s="703"/>
      <c r="D5552" s="690"/>
      <c r="E5552" s="690"/>
      <c r="F5552" s="690"/>
      <c r="G5552" s="690"/>
      <c r="H5552" s="690"/>
      <c r="I5552" s="690"/>
      <c r="J5552" s="690"/>
      <c r="K5552" s="690"/>
      <c r="L5552" s="704"/>
      <c r="M5552" s="170"/>
    </row>
    <row r="5553" spans="2:13" x14ac:dyDescent="0.2">
      <c r="B5553" s="173"/>
      <c r="C5553" s="703"/>
      <c r="D5553" s="690"/>
      <c r="E5553" s="690"/>
      <c r="F5553" s="690"/>
      <c r="G5553" s="690"/>
      <c r="H5553" s="690"/>
      <c r="I5553" s="690"/>
      <c r="J5553" s="690"/>
      <c r="K5553" s="690"/>
      <c r="L5553" s="704"/>
      <c r="M5553" s="170"/>
    </row>
    <row r="5554" spans="2:13" x14ac:dyDescent="0.2">
      <c r="B5554" s="173"/>
      <c r="C5554" s="703"/>
      <c r="D5554" s="690"/>
      <c r="E5554" s="690"/>
      <c r="F5554" s="690"/>
      <c r="G5554" s="690"/>
      <c r="H5554" s="690"/>
      <c r="I5554" s="690"/>
      <c r="J5554" s="690"/>
      <c r="K5554" s="690"/>
      <c r="L5554" s="704"/>
      <c r="M5554" s="170"/>
    </row>
    <row r="5555" spans="2:13" x14ac:dyDescent="0.2">
      <c r="B5555" s="173"/>
      <c r="C5555" s="703"/>
      <c r="D5555" s="690"/>
      <c r="E5555" s="690"/>
      <c r="F5555" s="690"/>
      <c r="G5555" s="690"/>
      <c r="H5555" s="690"/>
      <c r="I5555" s="690"/>
      <c r="J5555" s="690"/>
      <c r="K5555" s="690"/>
      <c r="L5555" s="704"/>
      <c r="M5555" s="170"/>
    </row>
    <row r="5556" spans="2:13" x14ac:dyDescent="0.2">
      <c r="B5556" s="173"/>
      <c r="C5556" s="703"/>
      <c r="D5556" s="690"/>
      <c r="E5556" s="690"/>
      <c r="F5556" s="690"/>
      <c r="G5556" s="690"/>
      <c r="H5556" s="690"/>
      <c r="I5556" s="690"/>
      <c r="J5556" s="690"/>
      <c r="K5556" s="690"/>
      <c r="L5556" s="704"/>
      <c r="M5556" s="170"/>
    </row>
    <row r="5557" spans="2:13" x14ac:dyDescent="0.2">
      <c r="B5557" s="173"/>
      <c r="C5557" s="703"/>
      <c r="D5557" s="690"/>
      <c r="E5557" s="690"/>
      <c r="F5557" s="690"/>
      <c r="G5557" s="690"/>
      <c r="H5557" s="690"/>
      <c r="I5557" s="690"/>
      <c r="J5557" s="690"/>
      <c r="K5557" s="690"/>
      <c r="L5557" s="704"/>
      <c r="M5557" s="170"/>
    </row>
    <row r="5558" spans="2:13" x14ac:dyDescent="0.2">
      <c r="B5558" s="173"/>
      <c r="C5558" s="703"/>
      <c r="D5558" s="690"/>
      <c r="E5558" s="690"/>
      <c r="F5558" s="690"/>
      <c r="G5558" s="690"/>
      <c r="H5558" s="690"/>
      <c r="I5558" s="690"/>
      <c r="J5558" s="690"/>
      <c r="K5558" s="690"/>
      <c r="L5558" s="704"/>
      <c r="M5558" s="170"/>
    </row>
    <row r="5559" spans="2:13" x14ac:dyDescent="0.2">
      <c r="B5559" s="173"/>
      <c r="C5559" s="703"/>
      <c r="D5559" s="690"/>
      <c r="E5559" s="690"/>
      <c r="F5559" s="690"/>
      <c r="G5559" s="690"/>
      <c r="H5559" s="690"/>
      <c r="I5559" s="690"/>
      <c r="J5559" s="690"/>
      <c r="K5559" s="690"/>
      <c r="L5559" s="704"/>
      <c r="M5559" s="170"/>
    </row>
    <row r="5560" spans="2:13" x14ac:dyDescent="0.2">
      <c r="B5560" s="173"/>
      <c r="C5560" s="703"/>
      <c r="D5560" s="690"/>
      <c r="E5560" s="690"/>
      <c r="F5560" s="690"/>
      <c r="G5560" s="690"/>
      <c r="H5560" s="690"/>
      <c r="I5560" s="690"/>
      <c r="J5560" s="690"/>
      <c r="K5560" s="690"/>
      <c r="L5560" s="704"/>
      <c r="M5560" s="170"/>
    </row>
    <row r="5561" spans="2:13" x14ac:dyDescent="0.2">
      <c r="B5561" s="173"/>
      <c r="C5561" s="703"/>
      <c r="D5561" s="690"/>
      <c r="E5561" s="690"/>
      <c r="F5561" s="690"/>
      <c r="G5561" s="690"/>
      <c r="H5561" s="690"/>
      <c r="I5561" s="690"/>
      <c r="J5561" s="690"/>
      <c r="K5561" s="690"/>
      <c r="L5561" s="704"/>
      <c r="M5561" s="170"/>
    </row>
    <row r="5562" spans="2:13" x14ac:dyDescent="0.2">
      <c r="B5562" s="173"/>
      <c r="C5562" s="703"/>
      <c r="D5562" s="690"/>
      <c r="E5562" s="690"/>
      <c r="F5562" s="690"/>
      <c r="G5562" s="690"/>
      <c r="H5562" s="690"/>
      <c r="I5562" s="690"/>
      <c r="J5562" s="690"/>
      <c r="K5562" s="690"/>
      <c r="L5562" s="704"/>
      <c r="M5562" s="170"/>
    </row>
    <row r="5563" spans="2:13" x14ac:dyDescent="0.2">
      <c r="B5563" s="173"/>
      <c r="C5563" s="703"/>
      <c r="D5563" s="690"/>
      <c r="E5563" s="690"/>
      <c r="F5563" s="690"/>
      <c r="G5563" s="690"/>
      <c r="H5563" s="690"/>
      <c r="I5563" s="690"/>
      <c r="J5563" s="690"/>
      <c r="K5563" s="690"/>
      <c r="L5563" s="704"/>
      <c r="M5563" s="170"/>
    </row>
    <row r="5564" spans="2:13" x14ac:dyDescent="0.2">
      <c r="B5564" s="173"/>
      <c r="C5564" s="703"/>
      <c r="D5564" s="690"/>
      <c r="E5564" s="690"/>
      <c r="F5564" s="690"/>
      <c r="G5564" s="690"/>
      <c r="H5564" s="690"/>
      <c r="I5564" s="690"/>
      <c r="J5564" s="690"/>
      <c r="K5564" s="690"/>
      <c r="L5564" s="704"/>
      <c r="M5564" s="170"/>
    </row>
    <row r="5565" spans="2:13" x14ac:dyDescent="0.2">
      <c r="B5565" s="173"/>
      <c r="C5565" s="703"/>
      <c r="D5565" s="690"/>
      <c r="E5565" s="690"/>
      <c r="F5565" s="690"/>
      <c r="G5565" s="690"/>
      <c r="H5565" s="690"/>
      <c r="I5565" s="690"/>
      <c r="J5565" s="690"/>
      <c r="K5565" s="690"/>
      <c r="L5565" s="704"/>
      <c r="M5565" s="170"/>
    </row>
    <row r="5566" spans="2:13" x14ac:dyDescent="0.2">
      <c r="B5566" s="173"/>
      <c r="C5566" s="703"/>
      <c r="D5566" s="690"/>
      <c r="E5566" s="690"/>
      <c r="F5566" s="690"/>
      <c r="G5566" s="690"/>
      <c r="H5566" s="690"/>
      <c r="I5566" s="690"/>
      <c r="J5566" s="690"/>
      <c r="K5566" s="690"/>
      <c r="L5566" s="704"/>
      <c r="M5566" s="170"/>
    </row>
    <row r="5567" spans="2:13" x14ac:dyDescent="0.2">
      <c r="B5567" s="173"/>
      <c r="C5567" s="703"/>
      <c r="D5567" s="690"/>
      <c r="E5567" s="690"/>
      <c r="F5567" s="690"/>
      <c r="G5567" s="690"/>
      <c r="H5567" s="690"/>
      <c r="I5567" s="690"/>
      <c r="J5567" s="690"/>
      <c r="K5567" s="690"/>
      <c r="L5567" s="704"/>
      <c r="M5567" s="170"/>
    </row>
    <row r="5568" spans="2:13" x14ac:dyDescent="0.2">
      <c r="B5568" s="173"/>
      <c r="C5568" s="703"/>
      <c r="D5568" s="690"/>
      <c r="E5568" s="690"/>
      <c r="F5568" s="690"/>
      <c r="G5568" s="690"/>
      <c r="H5568" s="690"/>
      <c r="I5568" s="690"/>
      <c r="J5568" s="690"/>
      <c r="K5568" s="690"/>
      <c r="L5568" s="704"/>
      <c r="M5568" s="170"/>
    </row>
    <row r="5569" spans="2:13" x14ac:dyDescent="0.2">
      <c r="B5569" s="173"/>
      <c r="C5569" s="703"/>
      <c r="D5569" s="690"/>
      <c r="E5569" s="690"/>
      <c r="F5569" s="690"/>
      <c r="G5569" s="690"/>
      <c r="H5569" s="690"/>
      <c r="I5569" s="690"/>
      <c r="J5569" s="690"/>
      <c r="K5569" s="690"/>
      <c r="L5569" s="704"/>
      <c r="M5569" s="170"/>
    </row>
    <row r="5570" spans="2:13" x14ac:dyDescent="0.2">
      <c r="B5570" s="173"/>
      <c r="C5570" s="703"/>
      <c r="D5570" s="690"/>
      <c r="E5570" s="690"/>
      <c r="F5570" s="690"/>
      <c r="G5570" s="690"/>
      <c r="H5570" s="690"/>
      <c r="I5570" s="690"/>
      <c r="J5570" s="690"/>
      <c r="K5570" s="690"/>
      <c r="L5570" s="704"/>
      <c r="M5570" s="170"/>
    </row>
    <row r="5571" spans="2:13" x14ac:dyDescent="0.2">
      <c r="B5571" s="173"/>
      <c r="C5571" s="703"/>
      <c r="D5571" s="690"/>
      <c r="E5571" s="690"/>
      <c r="F5571" s="690"/>
      <c r="G5571" s="690"/>
      <c r="H5571" s="690"/>
      <c r="I5571" s="690"/>
      <c r="J5571" s="690"/>
      <c r="K5571" s="690"/>
      <c r="L5571" s="704"/>
      <c r="M5571" s="170"/>
    </row>
    <row r="5572" spans="2:13" x14ac:dyDescent="0.2">
      <c r="B5572" s="173"/>
      <c r="C5572" s="703"/>
      <c r="D5572" s="690"/>
      <c r="E5572" s="690"/>
      <c r="F5572" s="690"/>
      <c r="G5572" s="690"/>
      <c r="H5572" s="690"/>
      <c r="I5572" s="690"/>
      <c r="J5572" s="690"/>
      <c r="K5572" s="690"/>
      <c r="L5572" s="704"/>
      <c r="M5572" s="170"/>
    </row>
    <row r="5573" spans="2:13" x14ac:dyDescent="0.2">
      <c r="B5573" s="173"/>
      <c r="C5573" s="703"/>
      <c r="D5573" s="690"/>
      <c r="E5573" s="690"/>
      <c r="F5573" s="690"/>
      <c r="G5573" s="690"/>
      <c r="H5573" s="690"/>
      <c r="I5573" s="690"/>
      <c r="J5573" s="690"/>
      <c r="K5573" s="690"/>
      <c r="L5573" s="704"/>
      <c r="M5573" s="170"/>
    </row>
    <row r="5574" spans="2:13" x14ac:dyDescent="0.2">
      <c r="B5574" s="173"/>
      <c r="C5574" s="703"/>
      <c r="D5574" s="690"/>
      <c r="E5574" s="690"/>
      <c r="F5574" s="690"/>
      <c r="G5574" s="690"/>
      <c r="H5574" s="690"/>
      <c r="I5574" s="690"/>
      <c r="J5574" s="690"/>
      <c r="K5574" s="690"/>
      <c r="L5574" s="704"/>
      <c r="M5574" s="170"/>
    </row>
    <row r="5575" spans="2:13" x14ac:dyDescent="0.2">
      <c r="B5575" s="173"/>
      <c r="C5575" s="703"/>
      <c r="D5575" s="690"/>
      <c r="E5575" s="690"/>
      <c r="F5575" s="690"/>
      <c r="G5575" s="690"/>
      <c r="H5575" s="690"/>
      <c r="I5575" s="690"/>
      <c r="J5575" s="690"/>
      <c r="K5575" s="690"/>
      <c r="L5575" s="704"/>
      <c r="M5575" s="170"/>
    </row>
    <row r="5576" spans="2:13" x14ac:dyDescent="0.2">
      <c r="B5576" s="173"/>
      <c r="C5576" s="703"/>
      <c r="D5576" s="690"/>
      <c r="E5576" s="690"/>
      <c r="F5576" s="690"/>
      <c r="G5576" s="690"/>
      <c r="H5576" s="690"/>
      <c r="I5576" s="690"/>
      <c r="J5576" s="690"/>
      <c r="K5576" s="690"/>
      <c r="L5576" s="704"/>
      <c r="M5576" s="170"/>
    </row>
    <row r="5577" spans="2:13" x14ac:dyDescent="0.2">
      <c r="B5577" s="173"/>
      <c r="C5577" s="703"/>
      <c r="D5577" s="690"/>
      <c r="E5577" s="690"/>
      <c r="F5577" s="690"/>
      <c r="G5577" s="690"/>
      <c r="H5577" s="690"/>
      <c r="I5577" s="690"/>
      <c r="J5577" s="690"/>
      <c r="K5577" s="690"/>
      <c r="L5577" s="704"/>
      <c r="M5577" s="170"/>
    </row>
    <row r="5578" spans="2:13" x14ac:dyDescent="0.2">
      <c r="B5578" s="173"/>
      <c r="C5578" s="703"/>
      <c r="D5578" s="690"/>
      <c r="E5578" s="690"/>
      <c r="F5578" s="690"/>
      <c r="G5578" s="690"/>
      <c r="H5578" s="690"/>
      <c r="I5578" s="690"/>
      <c r="J5578" s="690"/>
      <c r="K5578" s="690"/>
      <c r="L5578" s="704"/>
      <c r="M5578" s="170"/>
    </row>
    <row r="5579" spans="2:13" x14ac:dyDescent="0.2">
      <c r="B5579" s="173"/>
      <c r="C5579" s="703"/>
      <c r="D5579" s="690"/>
      <c r="E5579" s="690"/>
      <c r="F5579" s="690"/>
      <c r="G5579" s="690"/>
      <c r="H5579" s="690"/>
      <c r="I5579" s="690"/>
      <c r="J5579" s="690"/>
      <c r="K5579" s="690"/>
      <c r="L5579" s="704"/>
      <c r="M5579" s="170"/>
    </row>
    <row r="5580" spans="2:13" x14ac:dyDescent="0.2">
      <c r="B5580" s="173"/>
      <c r="C5580" s="703"/>
      <c r="D5580" s="690"/>
      <c r="E5580" s="690"/>
      <c r="F5580" s="690"/>
      <c r="G5580" s="690"/>
      <c r="H5580" s="690"/>
      <c r="I5580" s="690"/>
      <c r="J5580" s="690"/>
      <c r="K5580" s="690"/>
      <c r="L5580" s="704"/>
      <c r="M5580" s="170"/>
    </row>
    <row r="5581" spans="2:13" x14ac:dyDescent="0.2">
      <c r="B5581" s="173"/>
      <c r="C5581" s="703"/>
      <c r="D5581" s="690"/>
      <c r="E5581" s="690"/>
      <c r="F5581" s="690"/>
      <c r="G5581" s="690"/>
      <c r="H5581" s="690"/>
      <c r="I5581" s="690"/>
      <c r="J5581" s="690"/>
      <c r="K5581" s="690"/>
      <c r="L5581" s="704"/>
      <c r="M5581" s="170"/>
    </row>
    <row r="5582" spans="2:13" x14ac:dyDescent="0.2">
      <c r="B5582" s="173"/>
      <c r="C5582" s="703"/>
      <c r="D5582" s="690"/>
      <c r="E5582" s="690"/>
      <c r="F5582" s="690"/>
      <c r="G5582" s="690"/>
      <c r="H5582" s="690"/>
      <c r="I5582" s="690"/>
      <c r="J5582" s="690"/>
      <c r="K5582" s="690"/>
      <c r="L5582" s="704"/>
      <c r="M5582" s="170"/>
    </row>
    <row r="5583" spans="2:13" x14ac:dyDescent="0.2">
      <c r="B5583" s="173"/>
      <c r="C5583" s="703"/>
      <c r="D5583" s="690"/>
      <c r="E5583" s="690"/>
      <c r="F5583" s="690"/>
      <c r="G5583" s="690"/>
      <c r="H5583" s="690"/>
      <c r="I5583" s="690"/>
      <c r="J5583" s="690"/>
      <c r="K5583" s="690"/>
      <c r="L5583" s="704"/>
      <c r="M5583" s="170"/>
    </row>
    <row r="5584" spans="2:13" x14ac:dyDescent="0.2">
      <c r="B5584" s="173"/>
      <c r="C5584" s="703"/>
      <c r="D5584" s="690"/>
      <c r="E5584" s="690"/>
      <c r="F5584" s="690"/>
      <c r="G5584" s="690"/>
      <c r="H5584" s="690"/>
      <c r="I5584" s="690"/>
      <c r="J5584" s="690"/>
      <c r="K5584" s="690"/>
      <c r="L5584" s="704"/>
      <c r="M5584" s="170"/>
    </row>
    <row r="5585" spans="2:13" x14ac:dyDescent="0.2">
      <c r="B5585" s="173"/>
      <c r="C5585" s="703"/>
      <c r="D5585" s="690"/>
      <c r="E5585" s="690"/>
      <c r="F5585" s="690"/>
      <c r="G5585" s="690"/>
      <c r="H5585" s="690"/>
      <c r="I5585" s="690"/>
      <c r="J5585" s="690"/>
      <c r="K5585" s="690"/>
      <c r="L5585" s="704"/>
      <c r="M5585" s="170"/>
    </row>
    <row r="5586" spans="2:13" x14ac:dyDescent="0.2">
      <c r="B5586" s="173"/>
      <c r="C5586" s="703"/>
      <c r="D5586" s="690"/>
      <c r="E5586" s="690"/>
      <c r="F5586" s="690"/>
      <c r="G5586" s="690"/>
      <c r="H5586" s="690"/>
      <c r="I5586" s="690"/>
      <c r="J5586" s="690"/>
      <c r="K5586" s="690"/>
      <c r="L5586" s="704"/>
      <c r="M5586" s="170"/>
    </row>
    <row r="5587" spans="2:13" x14ac:dyDescent="0.2">
      <c r="B5587" s="173"/>
      <c r="C5587" s="703"/>
      <c r="D5587" s="690"/>
      <c r="E5587" s="690"/>
      <c r="F5587" s="690"/>
      <c r="G5587" s="690"/>
      <c r="H5587" s="690"/>
      <c r="I5587" s="690"/>
      <c r="J5587" s="690"/>
      <c r="K5587" s="690"/>
      <c r="L5587" s="704"/>
      <c r="M5587" s="170"/>
    </row>
    <row r="5588" spans="2:13" x14ac:dyDescent="0.2">
      <c r="B5588" s="173"/>
      <c r="C5588" s="703"/>
      <c r="D5588" s="690"/>
      <c r="E5588" s="690"/>
      <c r="F5588" s="690"/>
      <c r="G5588" s="690"/>
      <c r="H5588" s="690"/>
      <c r="I5588" s="690"/>
      <c r="J5588" s="690"/>
      <c r="K5588" s="690"/>
      <c r="L5588" s="704"/>
      <c r="M5588" s="170"/>
    </row>
    <row r="5589" spans="2:13" x14ac:dyDescent="0.2">
      <c r="B5589" s="173"/>
      <c r="C5589" s="703"/>
      <c r="D5589" s="690"/>
      <c r="E5589" s="690"/>
      <c r="F5589" s="690"/>
      <c r="G5589" s="690"/>
      <c r="H5589" s="690"/>
      <c r="I5589" s="690"/>
      <c r="J5589" s="690"/>
      <c r="K5589" s="690"/>
      <c r="L5589" s="704"/>
      <c r="M5589" s="170"/>
    </row>
    <row r="5590" spans="2:13" x14ac:dyDescent="0.2">
      <c r="B5590" s="173"/>
      <c r="C5590" s="703"/>
      <c r="D5590" s="690"/>
      <c r="E5590" s="690"/>
      <c r="F5590" s="690"/>
      <c r="G5590" s="690"/>
      <c r="H5590" s="690"/>
      <c r="I5590" s="690"/>
      <c r="J5590" s="690"/>
      <c r="K5590" s="690"/>
      <c r="L5590" s="704"/>
      <c r="M5590" s="170"/>
    </row>
    <row r="5591" spans="2:13" x14ac:dyDescent="0.2">
      <c r="B5591" s="173"/>
      <c r="C5591" s="703"/>
      <c r="D5591" s="690"/>
      <c r="E5591" s="690"/>
      <c r="F5591" s="690"/>
      <c r="G5591" s="690"/>
      <c r="H5591" s="690"/>
      <c r="I5591" s="690"/>
      <c r="J5591" s="690"/>
      <c r="K5591" s="690"/>
      <c r="L5591" s="704"/>
      <c r="M5591" s="170"/>
    </row>
    <row r="5592" spans="2:13" x14ac:dyDescent="0.2">
      <c r="B5592" s="173"/>
      <c r="C5592" s="703"/>
      <c r="D5592" s="690"/>
      <c r="E5592" s="690"/>
      <c r="F5592" s="690"/>
      <c r="G5592" s="690"/>
      <c r="H5592" s="690"/>
      <c r="I5592" s="690"/>
      <c r="J5592" s="690"/>
      <c r="K5592" s="690"/>
      <c r="L5592" s="704"/>
      <c r="M5592" s="170"/>
    </row>
    <row r="5593" spans="2:13" x14ac:dyDescent="0.2">
      <c r="B5593" s="173"/>
      <c r="C5593" s="703"/>
      <c r="D5593" s="690"/>
      <c r="E5593" s="690"/>
      <c r="F5593" s="690"/>
      <c r="G5593" s="690"/>
      <c r="H5593" s="690"/>
      <c r="I5593" s="690"/>
      <c r="J5593" s="690"/>
      <c r="K5593" s="690"/>
      <c r="L5593" s="704"/>
      <c r="M5593" s="170"/>
    </row>
    <row r="5594" spans="2:13" x14ac:dyDescent="0.2">
      <c r="B5594" s="173"/>
      <c r="C5594" s="703"/>
      <c r="D5594" s="690"/>
      <c r="E5594" s="690"/>
      <c r="F5594" s="690"/>
      <c r="G5594" s="690"/>
      <c r="H5594" s="690"/>
      <c r="I5594" s="690"/>
      <c r="J5594" s="690"/>
      <c r="K5594" s="690"/>
      <c r="L5594" s="704"/>
      <c r="M5594" s="170"/>
    </row>
    <row r="5595" spans="2:13" x14ac:dyDescent="0.2">
      <c r="B5595" s="173"/>
      <c r="C5595" s="703"/>
      <c r="D5595" s="690"/>
      <c r="E5595" s="690"/>
      <c r="F5595" s="690"/>
      <c r="G5595" s="690"/>
      <c r="H5595" s="690"/>
      <c r="I5595" s="690"/>
      <c r="J5595" s="690"/>
      <c r="K5595" s="690"/>
      <c r="L5595" s="704"/>
      <c r="M5595" s="170"/>
    </row>
    <row r="5596" spans="2:13" x14ac:dyDescent="0.2">
      <c r="B5596" s="173"/>
      <c r="C5596" s="703"/>
      <c r="D5596" s="690"/>
      <c r="E5596" s="690"/>
      <c r="F5596" s="690"/>
      <c r="G5596" s="690"/>
      <c r="H5596" s="690"/>
      <c r="I5596" s="690"/>
      <c r="J5596" s="690"/>
      <c r="K5596" s="690"/>
      <c r="L5596" s="704"/>
      <c r="M5596" s="170"/>
    </row>
    <row r="5597" spans="2:13" x14ac:dyDescent="0.2">
      <c r="B5597" s="173"/>
      <c r="C5597" s="703"/>
      <c r="D5597" s="690"/>
      <c r="E5597" s="690"/>
      <c r="F5597" s="690"/>
      <c r="G5597" s="690"/>
      <c r="H5597" s="690"/>
      <c r="I5597" s="690"/>
      <c r="J5597" s="690"/>
      <c r="K5597" s="690"/>
      <c r="L5597" s="704"/>
      <c r="M5597" s="170"/>
    </row>
    <row r="5598" spans="2:13" x14ac:dyDescent="0.2">
      <c r="B5598" s="173"/>
      <c r="C5598" s="703"/>
      <c r="D5598" s="690"/>
      <c r="E5598" s="690"/>
      <c r="F5598" s="690"/>
      <c r="G5598" s="690"/>
      <c r="H5598" s="690"/>
      <c r="I5598" s="690"/>
      <c r="J5598" s="690"/>
      <c r="K5598" s="690"/>
      <c r="L5598" s="704"/>
      <c r="M5598" s="170"/>
    </row>
    <row r="5599" spans="2:13" x14ac:dyDescent="0.2">
      <c r="B5599" s="173"/>
      <c r="C5599" s="703"/>
      <c r="D5599" s="690"/>
      <c r="E5599" s="690"/>
      <c r="F5599" s="690"/>
      <c r="G5599" s="690"/>
      <c r="H5599" s="690"/>
      <c r="I5599" s="690"/>
      <c r="J5599" s="690"/>
      <c r="K5599" s="690"/>
      <c r="L5599" s="704"/>
      <c r="M5599" s="170"/>
    </row>
    <row r="5600" spans="2:13" x14ac:dyDescent="0.2">
      <c r="B5600" s="173"/>
      <c r="C5600" s="703"/>
      <c r="D5600" s="690"/>
      <c r="E5600" s="690"/>
      <c r="F5600" s="690"/>
      <c r="G5600" s="690"/>
      <c r="H5600" s="690"/>
      <c r="I5600" s="690"/>
      <c r="J5600" s="690"/>
      <c r="K5600" s="690"/>
      <c r="L5600" s="704"/>
      <c r="M5600" s="170"/>
    </row>
    <row r="5601" spans="2:13" x14ac:dyDescent="0.2">
      <c r="B5601" s="173"/>
      <c r="C5601" s="703"/>
      <c r="D5601" s="690"/>
      <c r="E5601" s="690"/>
      <c r="F5601" s="690"/>
      <c r="G5601" s="690"/>
      <c r="H5601" s="690"/>
      <c r="I5601" s="690"/>
      <c r="J5601" s="690"/>
      <c r="K5601" s="690"/>
      <c r="L5601" s="704"/>
      <c r="M5601" s="170"/>
    </row>
    <row r="5602" spans="2:13" x14ac:dyDescent="0.2">
      <c r="B5602" s="173"/>
      <c r="C5602" s="703"/>
      <c r="D5602" s="690"/>
      <c r="E5602" s="690"/>
      <c r="F5602" s="690"/>
      <c r="G5602" s="690"/>
      <c r="H5602" s="690"/>
      <c r="I5602" s="690"/>
      <c r="J5602" s="690"/>
      <c r="K5602" s="690"/>
      <c r="L5602" s="704"/>
      <c r="M5602" s="170"/>
    </row>
    <row r="5603" spans="2:13" x14ac:dyDescent="0.2">
      <c r="B5603" s="173"/>
      <c r="C5603" s="703"/>
      <c r="D5603" s="690"/>
      <c r="E5603" s="690"/>
      <c r="F5603" s="690"/>
      <c r="G5603" s="690"/>
      <c r="H5603" s="690"/>
      <c r="I5603" s="690"/>
      <c r="J5603" s="690"/>
      <c r="K5603" s="690"/>
      <c r="L5603" s="704"/>
      <c r="M5603" s="170"/>
    </row>
    <row r="5604" spans="2:13" x14ac:dyDescent="0.2">
      <c r="B5604" s="173"/>
      <c r="C5604" s="703"/>
      <c r="D5604" s="690"/>
      <c r="E5604" s="690"/>
      <c r="F5604" s="690"/>
      <c r="G5604" s="690"/>
      <c r="H5604" s="690"/>
      <c r="I5604" s="690"/>
      <c r="J5604" s="690"/>
      <c r="K5604" s="690"/>
      <c r="L5604" s="704"/>
      <c r="M5604" s="170"/>
    </row>
    <row r="5605" spans="2:13" x14ac:dyDescent="0.2">
      <c r="B5605" s="173"/>
      <c r="C5605" s="703"/>
      <c r="D5605" s="690"/>
      <c r="E5605" s="690"/>
      <c r="F5605" s="690"/>
      <c r="G5605" s="690"/>
      <c r="H5605" s="690"/>
      <c r="I5605" s="690"/>
      <c r="J5605" s="690"/>
      <c r="K5605" s="690"/>
      <c r="L5605" s="704"/>
      <c r="M5605" s="170"/>
    </row>
    <row r="5606" spans="2:13" x14ac:dyDescent="0.2">
      <c r="B5606" s="173"/>
      <c r="C5606" s="703"/>
      <c r="D5606" s="690"/>
      <c r="E5606" s="690"/>
      <c r="F5606" s="690"/>
      <c r="G5606" s="690"/>
      <c r="H5606" s="690"/>
      <c r="I5606" s="690"/>
      <c r="J5606" s="690"/>
      <c r="K5606" s="690"/>
      <c r="L5606" s="704"/>
      <c r="M5606" s="170"/>
    </row>
    <row r="5607" spans="2:13" x14ac:dyDescent="0.2">
      <c r="B5607" s="173"/>
      <c r="C5607" s="703"/>
      <c r="D5607" s="690"/>
      <c r="E5607" s="690"/>
      <c r="F5607" s="690"/>
      <c r="G5607" s="690"/>
      <c r="H5607" s="690"/>
      <c r="I5607" s="690"/>
      <c r="J5607" s="690"/>
      <c r="K5607" s="690"/>
      <c r="L5607" s="704"/>
      <c r="M5607" s="170"/>
    </row>
    <row r="5608" spans="2:13" x14ac:dyDescent="0.2">
      <c r="B5608" s="173"/>
      <c r="C5608" s="703"/>
      <c r="D5608" s="690"/>
      <c r="E5608" s="690"/>
      <c r="F5608" s="690"/>
      <c r="G5608" s="690"/>
      <c r="H5608" s="690"/>
      <c r="I5608" s="690"/>
      <c r="J5608" s="690"/>
      <c r="K5608" s="690"/>
      <c r="L5608" s="704"/>
      <c r="M5608" s="170"/>
    </row>
    <row r="5609" spans="2:13" x14ac:dyDescent="0.2">
      <c r="B5609" s="173"/>
      <c r="C5609" s="703"/>
      <c r="D5609" s="690"/>
      <c r="E5609" s="690"/>
      <c r="F5609" s="690"/>
      <c r="G5609" s="690"/>
      <c r="H5609" s="690"/>
      <c r="I5609" s="690"/>
      <c r="J5609" s="690"/>
      <c r="K5609" s="690"/>
      <c r="L5609" s="704"/>
      <c r="M5609" s="170"/>
    </row>
    <row r="5610" spans="2:13" x14ac:dyDescent="0.2">
      <c r="B5610" s="173"/>
      <c r="C5610" s="703"/>
      <c r="D5610" s="690"/>
      <c r="E5610" s="690"/>
      <c r="F5610" s="690"/>
      <c r="G5610" s="690"/>
      <c r="H5610" s="690"/>
      <c r="I5610" s="690"/>
      <c r="J5610" s="690"/>
      <c r="K5610" s="690"/>
      <c r="L5610" s="704"/>
      <c r="M5610" s="170"/>
    </row>
    <row r="5611" spans="2:13" x14ac:dyDescent="0.2">
      <c r="B5611" s="173"/>
      <c r="C5611" s="703"/>
      <c r="D5611" s="690"/>
      <c r="E5611" s="690"/>
      <c r="F5611" s="690"/>
      <c r="G5611" s="690"/>
      <c r="H5611" s="690"/>
      <c r="I5611" s="690"/>
      <c r="J5611" s="690"/>
      <c r="K5611" s="690"/>
      <c r="L5611" s="704"/>
      <c r="M5611" s="170"/>
    </row>
    <row r="5612" spans="2:13" x14ac:dyDescent="0.2">
      <c r="B5612" s="173"/>
      <c r="C5612" s="703"/>
      <c r="D5612" s="690"/>
      <c r="E5612" s="690"/>
      <c r="F5612" s="690"/>
      <c r="G5612" s="690"/>
      <c r="H5612" s="690"/>
      <c r="I5612" s="690"/>
      <c r="J5612" s="690"/>
      <c r="K5612" s="690"/>
      <c r="L5612" s="704"/>
      <c r="M5612" s="170"/>
    </row>
    <row r="5613" spans="2:13" x14ac:dyDescent="0.2">
      <c r="B5613" s="173"/>
      <c r="C5613" s="703"/>
      <c r="D5613" s="690"/>
      <c r="E5613" s="690"/>
      <c r="F5613" s="690"/>
      <c r="G5613" s="690"/>
      <c r="H5613" s="690"/>
      <c r="I5613" s="690"/>
      <c r="J5613" s="690"/>
      <c r="K5613" s="690"/>
      <c r="L5613" s="704"/>
      <c r="M5613" s="170"/>
    </row>
    <row r="5614" spans="2:13" x14ac:dyDescent="0.2">
      <c r="B5614" s="173"/>
      <c r="C5614" s="703"/>
      <c r="D5614" s="690"/>
      <c r="E5614" s="690"/>
      <c r="F5614" s="690"/>
      <c r="G5614" s="690"/>
      <c r="H5614" s="690"/>
      <c r="I5614" s="690"/>
      <c r="J5614" s="690"/>
      <c r="K5614" s="690"/>
      <c r="L5614" s="704"/>
      <c r="M5614" s="170"/>
    </row>
    <row r="5615" spans="2:13" x14ac:dyDescent="0.2">
      <c r="B5615" s="173"/>
      <c r="C5615" s="703"/>
      <c r="D5615" s="690"/>
      <c r="E5615" s="690"/>
      <c r="F5615" s="690"/>
      <c r="G5615" s="690"/>
      <c r="H5615" s="690"/>
      <c r="I5615" s="690"/>
      <c r="J5615" s="690"/>
      <c r="K5615" s="690"/>
      <c r="L5615" s="704"/>
      <c r="M5615" s="170"/>
    </row>
    <row r="5616" spans="2:13" x14ac:dyDescent="0.2">
      <c r="B5616" s="173"/>
      <c r="C5616" s="703"/>
      <c r="D5616" s="690"/>
      <c r="E5616" s="690"/>
      <c r="F5616" s="690"/>
      <c r="G5616" s="690"/>
      <c r="H5616" s="690"/>
      <c r="I5616" s="690"/>
      <c r="J5616" s="690"/>
      <c r="K5616" s="690"/>
      <c r="L5616" s="704"/>
      <c r="M5616" s="170"/>
    </row>
    <row r="5617" spans="2:13" x14ac:dyDescent="0.2">
      <c r="B5617" s="173"/>
      <c r="C5617" s="703"/>
      <c r="D5617" s="690"/>
      <c r="E5617" s="690"/>
      <c r="F5617" s="690"/>
      <c r="G5617" s="690"/>
      <c r="H5617" s="690"/>
      <c r="I5617" s="690"/>
      <c r="J5617" s="690"/>
      <c r="K5617" s="690"/>
      <c r="L5617" s="704"/>
      <c r="M5617" s="170"/>
    </row>
    <row r="5618" spans="2:13" x14ac:dyDescent="0.2">
      <c r="B5618" s="173"/>
      <c r="C5618" s="703"/>
      <c r="D5618" s="690"/>
      <c r="E5618" s="690"/>
      <c r="F5618" s="690"/>
      <c r="G5618" s="690"/>
      <c r="H5618" s="690"/>
      <c r="I5618" s="690"/>
      <c r="J5618" s="690"/>
      <c r="K5618" s="690"/>
      <c r="L5618" s="704"/>
      <c r="M5618" s="170"/>
    </row>
    <row r="5619" spans="2:13" x14ac:dyDescent="0.2">
      <c r="B5619" s="173"/>
      <c r="C5619" s="703"/>
      <c r="D5619" s="690"/>
      <c r="E5619" s="690"/>
      <c r="F5619" s="690"/>
      <c r="G5619" s="690"/>
      <c r="H5619" s="690"/>
      <c r="I5619" s="690"/>
      <c r="J5619" s="690"/>
      <c r="K5619" s="690"/>
      <c r="L5619" s="704"/>
      <c r="M5619" s="170"/>
    </row>
    <row r="5620" spans="2:13" x14ac:dyDescent="0.2">
      <c r="B5620" s="173"/>
      <c r="C5620" s="703"/>
      <c r="D5620" s="690"/>
      <c r="E5620" s="690"/>
      <c r="F5620" s="690"/>
      <c r="G5620" s="690"/>
      <c r="H5620" s="690"/>
      <c r="I5620" s="690"/>
      <c r="J5620" s="690"/>
      <c r="K5620" s="690"/>
      <c r="L5620" s="704"/>
      <c r="M5620" s="170"/>
    </row>
    <row r="5621" spans="2:13" x14ac:dyDescent="0.2">
      <c r="B5621" s="173"/>
      <c r="C5621" s="703"/>
      <c r="D5621" s="690"/>
      <c r="E5621" s="690"/>
      <c r="F5621" s="690"/>
      <c r="G5621" s="690"/>
      <c r="H5621" s="690"/>
      <c r="I5621" s="690"/>
      <c r="J5621" s="690"/>
      <c r="K5621" s="690"/>
      <c r="L5621" s="704"/>
      <c r="M5621" s="170"/>
    </row>
    <row r="5622" spans="2:13" x14ac:dyDescent="0.2">
      <c r="B5622" s="173"/>
      <c r="C5622" s="703"/>
      <c r="D5622" s="690"/>
      <c r="E5622" s="690"/>
      <c r="F5622" s="690"/>
      <c r="G5622" s="690"/>
      <c r="H5622" s="690"/>
      <c r="I5622" s="690"/>
      <c r="J5622" s="690"/>
      <c r="K5622" s="690"/>
      <c r="L5622" s="704"/>
      <c r="M5622" s="170"/>
    </row>
    <row r="5623" spans="2:13" x14ac:dyDescent="0.2">
      <c r="B5623" s="173"/>
      <c r="C5623" s="703"/>
      <c r="D5623" s="690"/>
      <c r="E5623" s="690"/>
      <c r="F5623" s="690"/>
      <c r="G5623" s="690"/>
      <c r="H5623" s="690"/>
      <c r="I5623" s="690"/>
      <c r="J5623" s="690"/>
      <c r="K5623" s="690"/>
      <c r="L5623" s="704"/>
      <c r="M5623" s="170"/>
    </row>
    <row r="5624" spans="2:13" x14ac:dyDescent="0.2">
      <c r="B5624" s="173"/>
      <c r="C5624" s="703"/>
      <c r="D5624" s="690"/>
      <c r="E5624" s="690"/>
      <c r="F5624" s="690"/>
      <c r="G5624" s="690"/>
      <c r="H5624" s="690"/>
      <c r="I5624" s="690"/>
      <c r="J5624" s="690"/>
      <c r="K5624" s="690"/>
      <c r="L5624" s="704"/>
      <c r="M5624" s="170"/>
    </row>
    <row r="5625" spans="2:13" x14ac:dyDescent="0.2">
      <c r="B5625" s="173"/>
      <c r="C5625" s="703"/>
      <c r="D5625" s="690"/>
      <c r="E5625" s="690"/>
      <c r="F5625" s="690"/>
      <c r="G5625" s="690"/>
      <c r="H5625" s="690"/>
      <c r="I5625" s="690"/>
      <c r="J5625" s="690"/>
      <c r="K5625" s="690"/>
      <c r="L5625" s="704"/>
      <c r="M5625" s="170"/>
    </row>
    <row r="5626" spans="2:13" x14ac:dyDescent="0.2">
      <c r="B5626" s="173"/>
      <c r="C5626" s="703"/>
      <c r="D5626" s="690"/>
      <c r="E5626" s="690"/>
      <c r="F5626" s="690"/>
      <c r="G5626" s="690"/>
      <c r="H5626" s="690"/>
      <c r="I5626" s="690"/>
      <c r="J5626" s="690"/>
      <c r="K5626" s="690"/>
      <c r="L5626" s="704"/>
      <c r="M5626" s="170"/>
    </row>
    <row r="5627" spans="2:13" x14ac:dyDescent="0.2">
      <c r="B5627" s="173"/>
      <c r="C5627" s="703"/>
      <c r="D5627" s="690"/>
      <c r="E5627" s="690"/>
      <c r="F5627" s="690"/>
      <c r="G5627" s="690"/>
      <c r="H5627" s="690"/>
      <c r="I5627" s="690"/>
      <c r="J5627" s="690"/>
      <c r="K5627" s="690"/>
      <c r="L5627" s="704"/>
      <c r="M5627" s="170"/>
    </row>
    <row r="5628" spans="2:13" x14ac:dyDescent="0.2">
      <c r="B5628" s="173"/>
      <c r="C5628" s="703"/>
      <c r="D5628" s="690"/>
      <c r="E5628" s="690"/>
      <c r="F5628" s="690"/>
      <c r="G5628" s="690"/>
      <c r="H5628" s="690"/>
      <c r="I5628" s="690"/>
      <c r="J5628" s="690"/>
      <c r="K5628" s="690"/>
      <c r="L5628" s="704"/>
      <c r="M5628" s="170"/>
    </row>
    <row r="5629" spans="2:13" x14ac:dyDescent="0.2">
      <c r="B5629" s="173"/>
      <c r="C5629" s="703"/>
      <c r="D5629" s="690"/>
      <c r="E5629" s="690"/>
      <c r="F5629" s="690"/>
      <c r="G5629" s="690"/>
      <c r="H5629" s="690"/>
      <c r="I5629" s="690"/>
      <c r="J5629" s="690"/>
      <c r="K5629" s="690"/>
      <c r="L5629" s="704"/>
      <c r="M5629" s="170"/>
    </row>
    <row r="5630" spans="2:13" x14ac:dyDescent="0.2">
      <c r="B5630" s="173"/>
      <c r="C5630" s="703"/>
      <c r="D5630" s="690"/>
      <c r="E5630" s="690"/>
      <c r="F5630" s="690"/>
      <c r="G5630" s="690"/>
      <c r="H5630" s="690"/>
      <c r="I5630" s="690"/>
      <c r="J5630" s="690"/>
      <c r="K5630" s="690"/>
      <c r="L5630" s="704"/>
      <c r="M5630" s="170"/>
    </row>
    <row r="5631" spans="2:13" x14ac:dyDescent="0.2">
      <c r="B5631" s="173"/>
      <c r="C5631" s="703"/>
      <c r="D5631" s="690"/>
      <c r="E5631" s="690"/>
      <c r="F5631" s="690"/>
      <c r="G5631" s="690"/>
      <c r="H5631" s="690"/>
      <c r="I5631" s="690"/>
      <c r="J5631" s="690"/>
      <c r="K5631" s="690"/>
      <c r="L5631" s="704"/>
      <c r="M5631" s="170"/>
    </row>
    <row r="5632" spans="2:13" x14ac:dyDescent="0.2">
      <c r="B5632" s="173"/>
      <c r="C5632" s="703"/>
      <c r="D5632" s="690"/>
      <c r="E5632" s="690"/>
      <c r="F5632" s="690"/>
      <c r="G5632" s="690"/>
      <c r="H5632" s="690"/>
      <c r="I5632" s="690"/>
      <c r="J5632" s="690"/>
      <c r="K5632" s="690"/>
      <c r="L5632" s="704"/>
      <c r="M5632" s="170"/>
    </row>
    <row r="5633" spans="2:13" x14ac:dyDescent="0.2">
      <c r="B5633" s="173"/>
      <c r="C5633" s="703"/>
      <c r="D5633" s="690"/>
      <c r="E5633" s="690"/>
      <c r="F5633" s="690"/>
      <c r="G5633" s="690"/>
      <c r="H5633" s="690"/>
      <c r="I5633" s="690"/>
      <c r="J5633" s="690"/>
      <c r="K5633" s="690"/>
      <c r="L5633" s="704"/>
      <c r="M5633" s="170"/>
    </row>
    <row r="5634" spans="2:13" x14ac:dyDescent="0.2">
      <c r="B5634" s="173"/>
      <c r="C5634" s="703"/>
      <c r="D5634" s="690"/>
      <c r="E5634" s="690"/>
      <c r="F5634" s="690"/>
      <c r="G5634" s="690"/>
      <c r="H5634" s="690"/>
      <c r="I5634" s="690"/>
      <c r="J5634" s="690"/>
      <c r="K5634" s="690"/>
      <c r="L5634" s="704"/>
      <c r="M5634" s="170"/>
    </row>
    <row r="5635" spans="2:13" x14ac:dyDescent="0.2">
      <c r="B5635" s="173"/>
      <c r="C5635" s="703"/>
      <c r="D5635" s="690"/>
      <c r="E5635" s="690"/>
      <c r="F5635" s="690"/>
      <c r="G5635" s="690"/>
      <c r="H5635" s="690"/>
      <c r="I5635" s="690"/>
      <c r="J5635" s="690"/>
      <c r="K5635" s="690"/>
      <c r="L5635" s="704"/>
      <c r="M5635" s="170"/>
    </row>
    <row r="5636" spans="2:13" x14ac:dyDescent="0.2">
      <c r="B5636" s="173"/>
      <c r="C5636" s="703"/>
      <c r="D5636" s="690"/>
      <c r="E5636" s="690"/>
      <c r="F5636" s="690"/>
      <c r="G5636" s="690"/>
      <c r="H5636" s="690"/>
      <c r="I5636" s="690"/>
      <c r="J5636" s="690"/>
      <c r="K5636" s="690"/>
      <c r="L5636" s="704"/>
      <c r="M5636" s="170"/>
    </row>
    <row r="5637" spans="2:13" x14ac:dyDescent="0.2">
      <c r="B5637" s="173"/>
      <c r="C5637" s="703"/>
      <c r="D5637" s="690"/>
      <c r="E5637" s="690"/>
      <c r="F5637" s="690"/>
      <c r="G5637" s="690"/>
      <c r="H5637" s="690"/>
      <c r="I5637" s="690"/>
      <c r="J5637" s="690"/>
      <c r="K5637" s="690"/>
      <c r="L5637" s="704"/>
      <c r="M5637" s="170"/>
    </row>
    <row r="5638" spans="2:13" x14ac:dyDescent="0.2">
      <c r="B5638" s="173"/>
      <c r="C5638" s="703"/>
      <c r="D5638" s="690"/>
      <c r="E5638" s="690"/>
      <c r="F5638" s="690"/>
      <c r="G5638" s="690"/>
      <c r="H5638" s="690"/>
      <c r="I5638" s="690"/>
      <c r="J5638" s="690"/>
      <c r="K5638" s="690"/>
      <c r="L5638" s="704"/>
      <c r="M5638" s="170"/>
    </row>
    <row r="5639" spans="2:13" x14ac:dyDescent="0.2">
      <c r="B5639" s="173"/>
      <c r="C5639" s="703"/>
      <c r="D5639" s="690"/>
      <c r="E5639" s="690"/>
      <c r="F5639" s="690"/>
      <c r="G5639" s="690"/>
      <c r="H5639" s="690"/>
      <c r="I5639" s="690"/>
      <c r="J5639" s="690"/>
      <c r="K5639" s="690"/>
      <c r="L5639" s="704"/>
      <c r="M5639" s="170"/>
    </row>
    <row r="5640" spans="2:13" x14ac:dyDescent="0.2">
      <c r="B5640" s="173"/>
      <c r="C5640" s="703"/>
      <c r="D5640" s="690"/>
      <c r="E5640" s="690"/>
      <c r="F5640" s="690"/>
      <c r="G5640" s="690"/>
      <c r="H5640" s="690"/>
      <c r="I5640" s="690"/>
      <c r="J5640" s="690"/>
      <c r="K5640" s="690"/>
      <c r="L5640" s="704"/>
      <c r="M5640" s="170"/>
    </row>
    <row r="5641" spans="2:13" x14ac:dyDescent="0.2">
      <c r="B5641" s="173"/>
      <c r="C5641" s="703"/>
      <c r="D5641" s="690"/>
      <c r="E5641" s="690"/>
      <c r="F5641" s="690"/>
      <c r="G5641" s="690"/>
      <c r="H5641" s="690"/>
      <c r="I5641" s="690"/>
      <c r="J5641" s="690"/>
      <c r="K5641" s="690"/>
      <c r="L5641" s="704"/>
      <c r="M5641" s="170"/>
    </row>
    <row r="5642" spans="2:13" x14ac:dyDescent="0.2">
      <c r="B5642" s="173"/>
      <c r="C5642" s="703"/>
      <c r="D5642" s="690"/>
      <c r="E5642" s="690"/>
      <c r="F5642" s="690"/>
      <c r="G5642" s="690"/>
      <c r="H5642" s="690"/>
      <c r="I5642" s="690"/>
      <c r="J5642" s="690"/>
      <c r="K5642" s="690"/>
      <c r="L5642" s="704"/>
      <c r="M5642" s="170"/>
    </row>
    <row r="5643" spans="2:13" x14ac:dyDescent="0.2">
      <c r="B5643" s="173"/>
      <c r="C5643" s="703"/>
      <c r="D5643" s="690"/>
      <c r="E5643" s="690"/>
      <c r="F5643" s="690"/>
      <c r="G5643" s="690"/>
      <c r="H5643" s="690"/>
      <c r="I5643" s="690"/>
      <c r="J5643" s="690"/>
      <c r="K5643" s="690"/>
      <c r="L5643" s="704"/>
      <c r="M5643" s="170"/>
    </row>
    <row r="5644" spans="2:13" x14ac:dyDescent="0.2">
      <c r="B5644" s="173"/>
      <c r="C5644" s="703"/>
      <c r="D5644" s="690"/>
      <c r="E5644" s="690"/>
      <c r="F5644" s="690"/>
      <c r="G5644" s="690"/>
      <c r="H5644" s="690"/>
      <c r="I5644" s="690"/>
      <c r="J5644" s="690"/>
      <c r="K5644" s="690"/>
      <c r="L5644" s="704"/>
      <c r="M5644" s="170"/>
    </row>
    <row r="5645" spans="2:13" x14ac:dyDescent="0.2">
      <c r="B5645" s="173"/>
      <c r="C5645" s="703"/>
      <c r="D5645" s="690"/>
      <c r="E5645" s="690"/>
      <c r="F5645" s="690"/>
      <c r="G5645" s="690"/>
      <c r="H5645" s="690"/>
      <c r="I5645" s="690"/>
      <c r="J5645" s="690"/>
      <c r="K5645" s="690"/>
      <c r="L5645" s="704"/>
      <c r="M5645" s="170"/>
    </row>
    <row r="5646" spans="2:13" x14ac:dyDescent="0.2">
      <c r="B5646" s="173"/>
      <c r="C5646" s="703"/>
      <c r="D5646" s="690"/>
      <c r="E5646" s="690"/>
      <c r="F5646" s="690"/>
      <c r="G5646" s="690"/>
      <c r="H5646" s="690"/>
      <c r="I5646" s="690"/>
      <c r="J5646" s="690"/>
      <c r="K5646" s="690"/>
      <c r="L5646" s="704"/>
      <c r="M5646" s="170"/>
    </row>
    <row r="5647" spans="2:13" x14ac:dyDescent="0.2">
      <c r="B5647" s="173"/>
      <c r="C5647" s="703"/>
      <c r="D5647" s="690"/>
      <c r="E5647" s="690"/>
      <c r="F5647" s="690"/>
      <c r="G5647" s="690"/>
      <c r="H5647" s="690"/>
      <c r="I5647" s="690"/>
      <c r="J5647" s="690"/>
      <c r="K5647" s="690"/>
      <c r="L5647" s="704"/>
      <c r="M5647" s="170"/>
    </row>
    <row r="5648" spans="2:13" x14ac:dyDescent="0.2">
      <c r="B5648" s="173"/>
      <c r="C5648" s="703"/>
      <c r="D5648" s="690"/>
      <c r="E5648" s="690"/>
      <c r="F5648" s="690"/>
      <c r="G5648" s="690"/>
      <c r="H5648" s="690"/>
      <c r="I5648" s="690"/>
      <c r="J5648" s="690"/>
      <c r="K5648" s="690"/>
      <c r="L5648" s="704"/>
      <c r="M5648" s="170"/>
    </row>
    <row r="5649" spans="2:13" x14ac:dyDescent="0.2">
      <c r="B5649" s="173"/>
      <c r="C5649" s="703"/>
      <c r="D5649" s="690"/>
      <c r="E5649" s="690"/>
      <c r="F5649" s="690"/>
      <c r="G5649" s="690"/>
      <c r="H5649" s="690"/>
      <c r="I5649" s="690"/>
      <c r="J5649" s="690"/>
      <c r="K5649" s="690"/>
      <c r="L5649" s="704"/>
      <c r="M5649" s="170"/>
    </row>
    <row r="5650" spans="2:13" x14ac:dyDescent="0.2">
      <c r="B5650" s="173"/>
      <c r="C5650" s="703"/>
      <c r="D5650" s="690"/>
      <c r="E5650" s="690"/>
      <c r="F5650" s="690"/>
      <c r="G5650" s="690"/>
      <c r="H5650" s="690"/>
      <c r="I5650" s="690"/>
      <c r="J5650" s="690"/>
      <c r="K5650" s="690"/>
      <c r="L5650" s="704"/>
      <c r="M5650" s="170"/>
    </row>
    <row r="5651" spans="2:13" x14ac:dyDescent="0.2">
      <c r="B5651" s="173"/>
      <c r="C5651" s="703"/>
      <c r="D5651" s="690"/>
      <c r="E5651" s="690"/>
      <c r="F5651" s="690"/>
      <c r="G5651" s="690"/>
      <c r="H5651" s="690"/>
      <c r="I5651" s="690"/>
      <c r="J5651" s="690"/>
      <c r="K5651" s="690"/>
      <c r="L5651" s="704"/>
      <c r="M5651" s="170"/>
    </row>
    <row r="5652" spans="2:13" x14ac:dyDescent="0.2">
      <c r="B5652" s="173"/>
      <c r="C5652" s="703"/>
      <c r="D5652" s="690"/>
      <c r="E5652" s="690"/>
      <c r="F5652" s="690"/>
      <c r="G5652" s="690"/>
      <c r="H5652" s="690"/>
      <c r="I5652" s="690"/>
      <c r="J5652" s="690"/>
      <c r="K5652" s="690"/>
      <c r="L5652" s="704"/>
      <c r="M5652" s="170"/>
    </row>
    <row r="5653" spans="2:13" x14ac:dyDescent="0.2">
      <c r="B5653" s="173"/>
      <c r="C5653" s="703"/>
      <c r="D5653" s="690"/>
      <c r="E5653" s="690"/>
      <c r="F5653" s="690"/>
      <c r="G5653" s="690"/>
      <c r="H5653" s="690"/>
      <c r="I5653" s="690"/>
      <c r="J5653" s="690"/>
      <c r="K5653" s="690"/>
      <c r="L5653" s="704"/>
      <c r="M5653" s="170"/>
    </row>
    <row r="5654" spans="2:13" x14ac:dyDescent="0.2">
      <c r="B5654" s="173"/>
      <c r="C5654" s="703"/>
      <c r="D5654" s="690"/>
      <c r="E5654" s="690"/>
      <c r="F5654" s="690"/>
      <c r="G5654" s="690"/>
      <c r="H5654" s="690"/>
      <c r="I5654" s="690"/>
      <c r="J5654" s="690"/>
      <c r="K5654" s="690"/>
      <c r="L5654" s="704"/>
      <c r="M5654" s="170"/>
    </row>
    <row r="5655" spans="2:13" x14ac:dyDescent="0.2">
      <c r="B5655" s="173"/>
      <c r="C5655" s="703"/>
      <c r="D5655" s="690"/>
      <c r="E5655" s="690"/>
      <c r="F5655" s="690"/>
      <c r="G5655" s="690"/>
      <c r="H5655" s="690"/>
      <c r="I5655" s="690"/>
      <c r="J5655" s="690"/>
      <c r="K5655" s="690"/>
      <c r="L5655" s="704"/>
      <c r="M5655" s="170"/>
    </row>
    <row r="5656" spans="2:13" x14ac:dyDescent="0.2">
      <c r="B5656" s="173"/>
      <c r="C5656" s="703"/>
      <c r="D5656" s="690"/>
      <c r="E5656" s="690"/>
      <c r="F5656" s="690"/>
      <c r="G5656" s="690"/>
      <c r="H5656" s="690"/>
      <c r="I5656" s="690"/>
      <c r="J5656" s="690"/>
      <c r="K5656" s="690"/>
      <c r="L5656" s="704"/>
      <c r="M5656" s="170"/>
    </row>
    <row r="5657" spans="2:13" x14ac:dyDescent="0.2">
      <c r="B5657" s="173"/>
      <c r="C5657" s="703"/>
      <c r="D5657" s="690"/>
      <c r="E5657" s="690"/>
      <c r="F5657" s="690"/>
      <c r="G5657" s="690"/>
      <c r="H5657" s="690"/>
      <c r="I5657" s="690"/>
      <c r="J5657" s="690"/>
      <c r="K5657" s="690"/>
      <c r="L5657" s="704"/>
      <c r="M5657" s="170"/>
    </row>
    <row r="5658" spans="2:13" x14ac:dyDescent="0.2">
      <c r="B5658" s="173"/>
      <c r="C5658" s="703"/>
      <c r="D5658" s="690"/>
      <c r="E5658" s="690"/>
      <c r="F5658" s="690"/>
      <c r="G5658" s="690"/>
      <c r="H5658" s="690"/>
      <c r="I5658" s="690"/>
      <c r="J5658" s="690"/>
      <c r="K5658" s="690"/>
      <c r="L5658" s="704"/>
      <c r="M5658" s="170"/>
    </row>
    <row r="5659" spans="2:13" x14ac:dyDescent="0.2">
      <c r="B5659" s="173"/>
      <c r="C5659" s="703"/>
      <c r="D5659" s="690"/>
      <c r="E5659" s="690"/>
      <c r="F5659" s="690"/>
      <c r="G5659" s="690"/>
      <c r="H5659" s="690"/>
      <c r="I5659" s="690"/>
      <c r="J5659" s="690"/>
      <c r="K5659" s="690"/>
      <c r="L5659" s="704"/>
      <c r="M5659" s="170"/>
    </row>
    <row r="5660" spans="2:13" x14ac:dyDescent="0.2">
      <c r="B5660" s="173"/>
      <c r="C5660" s="703"/>
      <c r="D5660" s="690"/>
      <c r="E5660" s="690"/>
      <c r="F5660" s="690"/>
      <c r="G5660" s="690"/>
      <c r="H5660" s="690"/>
      <c r="I5660" s="690"/>
      <c r="J5660" s="690"/>
      <c r="K5660" s="690"/>
      <c r="L5660" s="704"/>
      <c r="M5660" s="170"/>
    </row>
    <row r="5661" spans="2:13" x14ac:dyDescent="0.2">
      <c r="B5661" s="173"/>
      <c r="C5661" s="703"/>
      <c r="D5661" s="690"/>
      <c r="E5661" s="690"/>
      <c r="F5661" s="690"/>
      <c r="G5661" s="690"/>
      <c r="H5661" s="690"/>
      <c r="I5661" s="690"/>
      <c r="J5661" s="690"/>
      <c r="K5661" s="690"/>
      <c r="L5661" s="704"/>
      <c r="M5661" s="170"/>
    </row>
    <row r="5662" spans="2:13" x14ac:dyDescent="0.2">
      <c r="B5662" s="173"/>
      <c r="C5662" s="703"/>
      <c r="D5662" s="690"/>
      <c r="E5662" s="690"/>
      <c r="F5662" s="690"/>
      <c r="G5662" s="690"/>
      <c r="H5662" s="690"/>
      <c r="I5662" s="690"/>
      <c r="J5662" s="690"/>
      <c r="K5662" s="690"/>
      <c r="L5662" s="704"/>
      <c r="M5662" s="170"/>
    </row>
    <row r="5663" spans="2:13" x14ac:dyDescent="0.2">
      <c r="B5663" s="173"/>
      <c r="C5663" s="703"/>
      <c r="D5663" s="690"/>
      <c r="E5663" s="690"/>
      <c r="F5663" s="690"/>
      <c r="G5663" s="690"/>
      <c r="H5663" s="690"/>
      <c r="I5663" s="690"/>
      <c r="J5663" s="690"/>
      <c r="K5663" s="690"/>
      <c r="L5663" s="704"/>
      <c r="M5663" s="170"/>
    </row>
    <row r="5664" spans="2:13" x14ac:dyDescent="0.2">
      <c r="B5664" s="173"/>
      <c r="C5664" s="703"/>
      <c r="D5664" s="690"/>
      <c r="E5664" s="690"/>
      <c r="F5664" s="690"/>
      <c r="G5664" s="690"/>
      <c r="H5664" s="690"/>
      <c r="I5664" s="690"/>
      <c r="J5664" s="690"/>
      <c r="K5664" s="690"/>
      <c r="L5664" s="704"/>
      <c r="M5664" s="170"/>
    </row>
    <row r="5665" spans="2:13" x14ac:dyDescent="0.2">
      <c r="B5665" s="173"/>
      <c r="C5665" s="703"/>
      <c r="D5665" s="690"/>
      <c r="E5665" s="690"/>
      <c r="F5665" s="690"/>
      <c r="G5665" s="690"/>
      <c r="H5665" s="690"/>
      <c r="I5665" s="690"/>
      <c r="J5665" s="690"/>
      <c r="K5665" s="690"/>
      <c r="L5665" s="704"/>
      <c r="M5665" s="170"/>
    </row>
    <row r="5666" spans="2:13" x14ac:dyDescent="0.2">
      <c r="B5666" s="173"/>
      <c r="C5666" s="703"/>
      <c r="D5666" s="690"/>
      <c r="E5666" s="690"/>
      <c r="F5666" s="690"/>
      <c r="G5666" s="690"/>
      <c r="H5666" s="690"/>
      <c r="I5666" s="690"/>
      <c r="J5666" s="690"/>
      <c r="K5666" s="690"/>
      <c r="L5666" s="704"/>
      <c r="M5666" s="170"/>
    </row>
    <row r="5667" spans="2:13" x14ac:dyDescent="0.2">
      <c r="B5667" s="173"/>
      <c r="C5667" s="703"/>
      <c r="D5667" s="690"/>
      <c r="E5667" s="690"/>
      <c r="F5667" s="690"/>
      <c r="G5667" s="690"/>
      <c r="H5667" s="690"/>
      <c r="I5667" s="690"/>
      <c r="J5667" s="690"/>
      <c r="K5667" s="690"/>
      <c r="L5667" s="704"/>
      <c r="M5667" s="170"/>
    </row>
    <row r="5668" spans="2:13" x14ac:dyDescent="0.2">
      <c r="B5668" s="173"/>
      <c r="C5668" s="703"/>
      <c r="D5668" s="690"/>
      <c r="E5668" s="690"/>
      <c r="F5668" s="690"/>
      <c r="G5668" s="690"/>
      <c r="H5668" s="690"/>
      <c r="I5668" s="690"/>
      <c r="J5668" s="690"/>
      <c r="K5668" s="690"/>
      <c r="L5668" s="704"/>
      <c r="M5668" s="170"/>
    </row>
    <row r="5669" spans="2:13" x14ac:dyDescent="0.2">
      <c r="B5669" s="173"/>
      <c r="C5669" s="703"/>
      <c r="D5669" s="690"/>
      <c r="E5669" s="690"/>
      <c r="F5669" s="690"/>
      <c r="G5669" s="690"/>
      <c r="H5669" s="690"/>
      <c r="I5669" s="690"/>
      <c r="J5669" s="690"/>
      <c r="K5669" s="690"/>
      <c r="L5669" s="704"/>
      <c r="M5669" s="170"/>
    </row>
    <row r="5670" spans="2:13" x14ac:dyDescent="0.2">
      <c r="B5670" s="173"/>
      <c r="C5670" s="703"/>
      <c r="D5670" s="690"/>
      <c r="E5670" s="690"/>
      <c r="F5670" s="690"/>
      <c r="G5670" s="690"/>
      <c r="H5670" s="690"/>
      <c r="I5670" s="690"/>
      <c r="J5670" s="690"/>
      <c r="K5670" s="690"/>
      <c r="L5670" s="704"/>
      <c r="M5670" s="170"/>
    </row>
    <row r="5671" spans="2:13" x14ac:dyDescent="0.2">
      <c r="B5671" s="173"/>
      <c r="C5671" s="703"/>
      <c r="D5671" s="690"/>
      <c r="E5671" s="690"/>
      <c r="F5671" s="690"/>
      <c r="G5671" s="690"/>
      <c r="H5671" s="690"/>
      <c r="I5671" s="690"/>
      <c r="J5671" s="690"/>
      <c r="K5671" s="690"/>
      <c r="L5671" s="704"/>
      <c r="M5671" s="170"/>
    </row>
    <row r="5672" spans="2:13" x14ac:dyDescent="0.2">
      <c r="B5672" s="173"/>
      <c r="C5672" s="703"/>
      <c r="D5672" s="690"/>
      <c r="E5672" s="690"/>
      <c r="F5672" s="690"/>
      <c r="G5672" s="690"/>
      <c r="H5672" s="690"/>
      <c r="I5672" s="690"/>
      <c r="J5672" s="690"/>
      <c r="K5672" s="690"/>
      <c r="L5672" s="704"/>
      <c r="M5672" s="170"/>
    </row>
    <row r="5673" spans="2:13" x14ac:dyDescent="0.2">
      <c r="B5673" s="173"/>
      <c r="C5673" s="703"/>
      <c r="D5673" s="690"/>
      <c r="E5673" s="690"/>
      <c r="F5673" s="690"/>
      <c r="G5673" s="690"/>
      <c r="H5673" s="690"/>
      <c r="I5673" s="690"/>
      <c r="J5673" s="690"/>
      <c r="K5673" s="690"/>
      <c r="L5673" s="704"/>
      <c r="M5673" s="170"/>
    </row>
    <row r="5674" spans="2:13" x14ac:dyDescent="0.2">
      <c r="B5674" s="173"/>
      <c r="C5674" s="703"/>
      <c r="D5674" s="690"/>
      <c r="E5674" s="690"/>
      <c r="F5674" s="690"/>
      <c r="G5674" s="690"/>
      <c r="H5674" s="690"/>
      <c r="I5674" s="690"/>
      <c r="J5674" s="690"/>
      <c r="K5674" s="690"/>
      <c r="L5674" s="704"/>
      <c r="M5674" s="170"/>
    </row>
    <row r="5675" spans="2:13" x14ac:dyDescent="0.2">
      <c r="B5675" s="173"/>
      <c r="C5675" s="703"/>
      <c r="D5675" s="690"/>
      <c r="E5675" s="690"/>
      <c r="F5675" s="690"/>
      <c r="G5675" s="690"/>
      <c r="H5675" s="690"/>
      <c r="I5675" s="690"/>
      <c r="J5675" s="690"/>
      <c r="K5675" s="690"/>
      <c r="L5675" s="704"/>
      <c r="M5675" s="170"/>
    </row>
    <row r="5676" spans="2:13" x14ac:dyDescent="0.2">
      <c r="B5676" s="173"/>
      <c r="C5676" s="703"/>
      <c r="D5676" s="690"/>
      <c r="E5676" s="690"/>
      <c r="F5676" s="690"/>
      <c r="G5676" s="690"/>
      <c r="H5676" s="690"/>
      <c r="I5676" s="690"/>
      <c r="J5676" s="690"/>
      <c r="K5676" s="690"/>
      <c r="L5676" s="704"/>
      <c r="M5676" s="170"/>
    </row>
    <row r="5677" spans="2:13" x14ac:dyDescent="0.2">
      <c r="B5677" s="173"/>
      <c r="C5677" s="703"/>
      <c r="D5677" s="690"/>
      <c r="E5677" s="690"/>
      <c r="F5677" s="690"/>
      <c r="G5677" s="690"/>
      <c r="H5677" s="690"/>
      <c r="I5677" s="690"/>
      <c r="J5677" s="690"/>
      <c r="K5677" s="690"/>
      <c r="L5677" s="704"/>
      <c r="M5677" s="170"/>
    </row>
    <row r="5678" spans="2:13" x14ac:dyDescent="0.2">
      <c r="B5678" s="173"/>
      <c r="C5678" s="703"/>
      <c r="D5678" s="690"/>
      <c r="E5678" s="690"/>
      <c r="F5678" s="690"/>
      <c r="G5678" s="690"/>
      <c r="H5678" s="690"/>
      <c r="I5678" s="690"/>
      <c r="J5678" s="690"/>
      <c r="K5678" s="690"/>
      <c r="L5678" s="704"/>
      <c r="M5678" s="170"/>
    </row>
    <row r="5679" spans="2:13" x14ac:dyDescent="0.2">
      <c r="B5679" s="173"/>
      <c r="C5679" s="703"/>
      <c r="D5679" s="690"/>
      <c r="E5679" s="690"/>
      <c r="F5679" s="690"/>
      <c r="G5679" s="690"/>
      <c r="H5679" s="690"/>
      <c r="I5679" s="690"/>
      <c r="J5679" s="690"/>
      <c r="K5679" s="690"/>
      <c r="L5679" s="704"/>
      <c r="M5679" s="170"/>
    </row>
    <row r="5680" spans="2:13" x14ac:dyDescent="0.2">
      <c r="B5680" s="173"/>
      <c r="C5680" s="703"/>
      <c r="D5680" s="690"/>
      <c r="E5680" s="690"/>
      <c r="F5680" s="690"/>
      <c r="G5680" s="690"/>
      <c r="H5680" s="690"/>
      <c r="I5680" s="690"/>
      <c r="J5680" s="690"/>
      <c r="K5680" s="690"/>
      <c r="L5680" s="704"/>
      <c r="M5680" s="170"/>
    </row>
    <row r="5681" spans="2:13" x14ac:dyDescent="0.2">
      <c r="B5681" s="173"/>
      <c r="C5681" s="703"/>
      <c r="D5681" s="690"/>
      <c r="E5681" s="690"/>
      <c r="F5681" s="690"/>
      <c r="G5681" s="690"/>
      <c r="H5681" s="690"/>
      <c r="I5681" s="690"/>
      <c r="J5681" s="690"/>
      <c r="K5681" s="690"/>
      <c r="L5681" s="704"/>
      <c r="M5681" s="170"/>
    </row>
    <row r="5682" spans="2:13" x14ac:dyDescent="0.2">
      <c r="B5682" s="173"/>
      <c r="C5682" s="703"/>
      <c r="D5682" s="690"/>
      <c r="E5682" s="690"/>
      <c r="F5682" s="690"/>
      <c r="G5682" s="690"/>
      <c r="H5682" s="690"/>
      <c r="I5682" s="690"/>
      <c r="J5682" s="690"/>
      <c r="K5682" s="690"/>
      <c r="L5682" s="704"/>
      <c r="M5682" s="170"/>
    </row>
    <row r="5683" spans="2:13" x14ac:dyDescent="0.2">
      <c r="B5683" s="173"/>
      <c r="C5683" s="703"/>
      <c r="D5683" s="690"/>
      <c r="E5683" s="690"/>
      <c r="F5683" s="690"/>
      <c r="G5683" s="690"/>
      <c r="H5683" s="690"/>
      <c r="I5683" s="690"/>
      <c r="J5683" s="690"/>
      <c r="K5683" s="690"/>
      <c r="L5683" s="704"/>
      <c r="M5683" s="170"/>
    </row>
    <row r="5684" spans="2:13" x14ac:dyDescent="0.2">
      <c r="B5684" s="173"/>
      <c r="C5684" s="703"/>
      <c r="D5684" s="690"/>
      <c r="E5684" s="690"/>
      <c r="F5684" s="690"/>
      <c r="G5684" s="690"/>
      <c r="H5684" s="690"/>
      <c r="I5684" s="690"/>
      <c r="J5684" s="690"/>
      <c r="K5684" s="690"/>
      <c r="L5684" s="704"/>
      <c r="M5684" s="170"/>
    </row>
    <row r="5685" spans="2:13" x14ac:dyDescent="0.2">
      <c r="B5685" s="173"/>
      <c r="C5685" s="703"/>
      <c r="D5685" s="690"/>
      <c r="E5685" s="690"/>
      <c r="F5685" s="690"/>
      <c r="G5685" s="690"/>
      <c r="H5685" s="690"/>
      <c r="I5685" s="690"/>
      <c r="J5685" s="690"/>
      <c r="K5685" s="690"/>
      <c r="L5685" s="704"/>
      <c r="M5685" s="170"/>
    </row>
    <row r="5686" spans="2:13" x14ac:dyDescent="0.2">
      <c r="B5686" s="173"/>
      <c r="C5686" s="703"/>
      <c r="D5686" s="690"/>
      <c r="E5686" s="690"/>
      <c r="F5686" s="690"/>
      <c r="G5686" s="690"/>
      <c r="H5686" s="690"/>
      <c r="I5686" s="690"/>
      <c r="J5686" s="690"/>
      <c r="K5686" s="690"/>
      <c r="L5686" s="704"/>
      <c r="M5686" s="170"/>
    </row>
    <row r="5687" spans="2:13" x14ac:dyDescent="0.2">
      <c r="B5687" s="173"/>
      <c r="C5687" s="703"/>
      <c r="D5687" s="690"/>
      <c r="E5687" s="690"/>
      <c r="F5687" s="690"/>
      <c r="G5687" s="690"/>
      <c r="H5687" s="690"/>
      <c r="I5687" s="690"/>
      <c r="J5687" s="690"/>
      <c r="K5687" s="690"/>
      <c r="L5687" s="704"/>
      <c r="M5687" s="170"/>
    </row>
    <row r="5688" spans="2:13" x14ac:dyDescent="0.2">
      <c r="B5688" s="173"/>
      <c r="C5688" s="703"/>
      <c r="D5688" s="690"/>
      <c r="E5688" s="690"/>
      <c r="F5688" s="690"/>
      <c r="G5688" s="690"/>
      <c r="H5688" s="690"/>
      <c r="I5688" s="690"/>
      <c r="J5688" s="690"/>
      <c r="K5688" s="690"/>
      <c r="L5688" s="704"/>
      <c r="M5688" s="170"/>
    </row>
    <row r="5689" spans="2:13" x14ac:dyDescent="0.2">
      <c r="B5689" s="173"/>
      <c r="C5689" s="703"/>
      <c r="D5689" s="690"/>
      <c r="E5689" s="690"/>
      <c r="F5689" s="690"/>
      <c r="G5689" s="690"/>
      <c r="H5689" s="690"/>
      <c r="I5689" s="690"/>
      <c r="J5689" s="690"/>
      <c r="K5689" s="690"/>
      <c r="L5689" s="704"/>
      <c r="M5689" s="170"/>
    </row>
    <row r="5690" spans="2:13" x14ac:dyDescent="0.2">
      <c r="B5690" s="173"/>
      <c r="C5690" s="703"/>
      <c r="D5690" s="690"/>
      <c r="E5690" s="690"/>
      <c r="F5690" s="690"/>
      <c r="G5690" s="690"/>
      <c r="H5690" s="690"/>
      <c r="I5690" s="690"/>
      <c r="J5690" s="690"/>
      <c r="K5690" s="690"/>
      <c r="L5690" s="704"/>
      <c r="M5690" s="170"/>
    </row>
    <row r="5691" spans="2:13" x14ac:dyDescent="0.2">
      <c r="B5691" s="173"/>
      <c r="C5691" s="703"/>
      <c r="D5691" s="690"/>
      <c r="E5691" s="690"/>
      <c r="F5691" s="690"/>
      <c r="G5691" s="690"/>
      <c r="H5691" s="690"/>
      <c r="I5691" s="690"/>
      <c r="J5691" s="690"/>
      <c r="K5691" s="690"/>
      <c r="L5691" s="704"/>
      <c r="M5691" s="170"/>
    </row>
    <row r="5692" spans="2:13" x14ac:dyDescent="0.2">
      <c r="B5692" s="173"/>
      <c r="C5692" s="703"/>
      <c r="D5692" s="690"/>
      <c r="E5692" s="690"/>
      <c r="F5692" s="690"/>
      <c r="G5692" s="690"/>
      <c r="H5692" s="690"/>
      <c r="I5692" s="690"/>
      <c r="J5692" s="690"/>
      <c r="K5692" s="690"/>
      <c r="L5692" s="704"/>
      <c r="M5692" s="170"/>
    </row>
    <row r="5693" spans="2:13" x14ac:dyDescent="0.2">
      <c r="B5693" s="173"/>
      <c r="C5693" s="703"/>
      <c r="D5693" s="690"/>
      <c r="E5693" s="690"/>
      <c r="F5693" s="690"/>
      <c r="G5693" s="690"/>
      <c r="H5693" s="690"/>
      <c r="I5693" s="690"/>
      <c r="J5693" s="690"/>
      <c r="K5693" s="690"/>
      <c r="L5693" s="704"/>
      <c r="M5693" s="170"/>
    </row>
    <row r="5694" spans="2:13" x14ac:dyDescent="0.2">
      <c r="B5694" s="173"/>
      <c r="C5694" s="703"/>
      <c r="D5694" s="690"/>
      <c r="E5694" s="690"/>
      <c r="F5694" s="690"/>
      <c r="G5694" s="690"/>
      <c r="H5694" s="690"/>
      <c r="I5694" s="690"/>
      <c r="J5694" s="690"/>
      <c r="K5694" s="690"/>
      <c r="L5694" s="704"/>
      <c r="M5694" s="170"/>
    </row>
    <row r="5695" spans="2:13" x14ac:dyDescent="0.2">
      <c r="B5695" s="173"/>
      <c r="C5695" s="703"/>
      <c r="D5695" s="690"/>
      <c r="E5695" s="690"/>
      <c r="F5695" s="690"/>
      <c r="G5695" s="690"/>
      <c r="H5695" s="690"/>
      <c r="I5695" s="690"/>
      <c r="J5695" s="690"/>
      <c r="K5695" s="690"/>
      <c r="L5695" s="704"/>
      <c r="M5695" s="170"/>
    </row>
    <row r="5696" spans="2:13" x14ac:dyDescent="0.2">
      <c r="B5696" s="173"/>
      <c r="C5696" s="703"/>
      <c r="D5696" s="690"/>
      <c r="E5696" s="690"/>
      <c r="F5696" s="690"/>
      <c r="G5696" s="690"/>
      <c r="H5696" s="690"/>
      <c r="I5696" s="690"/>
      <c r="J5696" s="690"/>
      <c r="K5696" s="690"/>
      <c r="L5696" s="704"/>
      <c r="M5696" s="170"/>
    </row>
    <row r="5697" spans="2:13" x14ac:dyDescent="0.2">
      <c r="B5697" s="173"/>
      <c r="C5697" s="703"/>
      <c r="D5697" s="690"/>
      <c r="E5697" s="690"/>
      <c r="F5697" s="690"/>
      <c r="G5697" s="690"/>
      <c r="H5697" s="690"/>
      <c r="I5697" s="690"/>
      <c r="J5697" s="690"/>
      <c r="K5697" s="690"/>
      <c r="L5697" s="704"/>
      <c r="M5697" s="170"/>
    </row>
    <row r="5698" spans="2:13" x14ac:dyDescent="0.2">
      <c r="B5698" s="173"/>
      <c r="C5698" s="703"/>
      <c r="D5698" s="690"/>
      <c r="E5698" s="690"/>
      <c r="F5698" s="690"/>
      <c r="G5698" s="690"/>
      <c r="H5698" s="690"/>
      <c r="I5698" s="690"/>
      <c r="J5698" s="690"/>
      <c r="K5698" s="690"/>
      <c r="L5698" s="704"/>
      <c r="M5698" s="170"/>
    </row>
    <row r="5699" spans="2:13" x14ac:dyDescent="0.2">
      <c r="B5699" s="173"/>
      <c r="C5699" s="703"/>
      <c r="D5699" s="690"/>
      <c r="E5699" s="690"/>
      <c r="F5699" s="690"/>
      <c r="G5699" s="690"/>
      <c r="H5699" s="690"/>
      <c r="I5699" s="690"/>
      <c r="J5699" s="690"/>
      <c r="K5699" s="690"/>
      <c r="L5699" s="704"/>
      <c r="M5699" s="170"/>
    </row>
    <row r="5700" spans="2:13" x14ac:dyDescent="0.2">
      <c r="B5700" s="173"/>
      <c r="C5700" s="703"/>
      <c r="D5700" s="690"/>
      <c r="E5700" s="690"/>
      <c r="F5700" s="690"/>
      <c r="G5700" s="690"/>
      <c r="H5700" s="690"/>
      <c r="I5700" s="690"/>
      <c r="J5700" s="690"/>
      <c r="K5700" s="690"/>
      <c r="L5700" s="704"/>
      <c r="M5700" s="170"/>
    </row>
    <row r="5701" spans="2:13" x14ac:dyDescent="0.2">
      <c r="B5701" s="173"/>
      <c r="C5701" s="703"/>
      <c r="D5701" s="690"/>
      <c r="E5701" s="690"/>
      <c r="F5701" s="690"/>
      <c r="G5701" s="690"/>
      <c r="H5701" s="690"/>
      <c r="I5701" s="690"/>
      <c r="J5701" s="690"/>
      <c r="K5701" s="690"/>
      <c r="L5701" s="704"/>
      <c r="M5701" s="170"/>
    </row>
    <row r="5702" spans="2:13" x14ac:dyDescent="0.2">
      <c r="B5702" s="173"/>
      <c r="C5702" s="703"/>
      <c r="D5702" s="690"/>
      <c r="E5702" s="690"/>
      <c r="F5702" s="690"/>
      <c r="G5702" s="690"/>
      <c r="H5702" s="690"/>
      <c r="I5702" s="690"/>
      <c r="J5702" s="690"/>
      <c r="K5702" s="690"/>
      <c r="L5702" s="704"/>
      <c r="M5702" s="170"/>
    </row>
    <row r="5703" spans="2:13" x14ac:dyDescent="0.2">
      <c r="B5703" s="173"/>
      <c r="C5703" s="703"/>
      <c r="D5703" s="690"/>
      <c r="E5703" s="690"/>
      <c r="F5703" s="690"/>
      <c r="G5703" s="690"/>
      <c r="H5703" s="690"/>
      <c r="I5703" s="690"/>
      <c r="J5703" s="690"/>
      <c r="K5703" s="690"/>
      <c r="L5703" s="704"/>
      <c r="M5703" s="170"/>
    </row>
    <row r="5704" spans="2:13" x14ac:dyDescent="0.2">
      <c r="B5704" s="173"/>
      <c r="C5704" s="703"/>
      <c r="D5704" s="690"/>
      <c r="E5704" s="690"/>
      <c r="F5704" s="690"/>
      <c r="G5704" s="690"/>
      <c r="H5704" s="690"/>
      <c r="I5704" s="690"/>
      <c r="J5704" s="690"/>
      <c r="K5704" s="690"/>
      <c r="L5704" s="704"/>
      <c r="M5704" s="170"/>
    </row>
    <row r="5705" spans="2:13" x14ac:dyDescent="0.2">
      <c r="B5705" s="173"/>
      <c r="C5705" s="703"/>
      <c r="D5705" s="690"/>
      <c r="E5705" s="690"/>
      <c r="F5705" s="690"/>
      <c r="G5705" s="690"/>
      <c r="H5705" s="690"/>
      <c r="I5705" s="690"/>
      <c r="J5705" s="690"/>
      <c r="K5705" s="690"/>
      <c r="L5705" s="704"/>
      <c r="M5705" s="170"/>
    </row>
    <row r="5706" spans="2:13" x14ac:dyDescent="0.2">
      <c r="B5706" s="173"/>
      <c r="C5706" s="703"/>
      <c r="D5706" s="690"/>
      <c r="E5706" s="690"/>
      <c r="F5706" s="690"/>
      <c r="G5706" s="690"/>
      <c r="H5706" s="690"/>
      <c r="I5706" s="690"/>
      <c r="J5706" s="690"/>
      <c r="K5706" s="690"/>
      <c r="L5706" s="704"/>
      <c r="M5706" s="170"/>
    </row>
    <row r="5707" spans="2:13" x14ac:dyDescent="0.2">
      <c r="B5707" s="173"/>
      <c r="C5707" s="703"/>
      <c r="D5707" s="690"/>
      <c r="E5707" s="690"/>
      <c r="F5707" s="690"/>
      <c r="G5707" s="690"/>
      <c r="H5707" s="690"/>
      <c r="I5707" s="690"/>
      <c r="J5707" s="690"/>
      <c r="K5707" s="690"/>
      <c r="L5707" s="704"/>
      <c r="M5707" s="170"/>
    </row>
    <row r="5708" spans="2:13" x14ac:dyDescent="0.2">
      <c r="B5708" s="173"/>
      <c r="C5708" s="703"/>
      <c r="D5708" s="690"/>
      <c r="E5708" s="690"/>
      <c r="F5708" s="690"/>
      <c r="G5708" s="690"/>
      <c r="H5708" s="690"/>
      <c r="I5708" s="690"/>
      <c r="J5708" s="690"/>
      <c r="K5708" s="690"/>
      <c r="L5708" s="704"/>
      <c r="M5708" s="170"/>
    </row>
    <row r="5709" spans="2:13" x14ac:dyDescent="0.2">
      <c r="B5709" s="173"/>
      <c r="C5709" s="703"/>
      <c r="D5709" s="690"/>
      <c r="E5709" s="690"/>
      <c r="F5709" s="690"/>
      <c r="G5709" s="690"/>
      <c r="H5709" s="690"/>
      <c r="I5709" s="690"/>
      <c r="J5709" s="690"/>
      <c r="K5709" s="690"/>
      <c r="L5709" s="704"/>
      <c r="M5709" s="170"/>
    </row>
    <row r="5710" spans="2:13" x14ac:dyDescent="0.2">
      <c r="B5710" s="173"/>
      <c r="C5710" s="703"/>
      <c r="D5710" s="690"/>
      <c r="E5710" s="690"/>
      <c r="F5710" s="690"/>
      <c r="G5710" s="690"/>
      <c r="H5710" s="690"/>
      <c r="I5710" s="690"/>
      <c r="J5710" s="690"/>
      <c r="K5710" s="690"/>
      <c r="L5710" s="704"/>
      <c r="M5710" s="170"/>
    </row>
    <row r="5711" spans="2:13" x14ac:dyDescent="0.2">
      <c r="B5711" s="173"/>
      <c r="C5711" s="703"/>
      <c r="D5711" s="690"/>
      <c r="E5711" s="690"/>
      <c r="F5711" s="690"/>
      <c r="G5711" s="690"/>
      <c r="H5711" s="690"/>
      <c r="I5711" s="690"/>
      <c r="J5711" s="690"/>
      <c r="K5711" s="690"/>
      <c r="L5711" s="704"/>
      <c r="M5711" s="170"/>
    </row>
    <row r="5712" spans="2:13" x14ac:dyDescent="0.2">
      <c r="B5712" s="173"/>
      <c r="C5712" s="703"/>
      <c r="D5712" s="690"/>
      <c r="E5712" s="690"/>
      <c r="F5712" s="690"/>
      <c r="G5712" s="690"/>
      <c r="H5712" s="690"/>
      <c r="I5712" s="690"/>
      <c r="J5712" s="690"/>
      <c r="K5712" s="690"/>
      <c r="L5712" s="704"/>
      <c r="M5712" s="170"/>
    </row>
    <row r="5713" spans="2:13" x14ac:dyDescent="0.2">
      <c r="B5713" s="173"/>
      <c r="C5713" s="703"/>
      <c r="D5713" s="690"/>
      <c r="E5713" s="690"/>
      <c r="F5713" s="690"/>
      <c r="G5713" s="690"/>
      <c r="H5713" s="690"/>
      <c r="I5713" s="690"/>
      <c r="J5713" s="690"/>
      <c r="K5713" s="690"/>
      <c r="L5713" s="704"/>
      <c r="M5713" s="170"/>
    </row>
    <row r="5714" spans="2:13" x14ac:dyDescent="0.2">
      <c r="B5714" s="173"/>
      <c r="C5714" s="703"/>
      <c r="D5714" s="690"/>
      <c r="E5714" s="690"/>
      <c r="F5714" s="690"/>
      <c r="G5714" s="690"/>
      <c r="H5714" s="690"/>
      <c r="I5714" s="690"/>
      <c r="J5714" s="690"/>
      <c r="K5714" s="690"/>
      <c r="L5714" s="704"/>
      <c r="M5714" s="170"/>
    </row>
    <row r="5715" spans="2:13" x14ac:dyDescent="0.2">
      <c r="B5715" s="173"/>
      <c r="C5715" s="703"/>
      <c r="D5715" s="690"/>
      <c r="E5715" s="690"/>
      <c r="F5715" s="690"/>
      <c r="G5715" s="690"/>
      <c r="H5715" s="690"/>
      <c r="I5715" s="690"/>
      <c r="J5715" s="690"/>
      <c r="K5715" s="690"/>
      <c r="L5715" s="704"/>
      <c r="M5715" s="170"/>
    </row>
    <row r="5716" spans="2:13" x14ac:dyDescent="0.2">
      <c r="B5716" s="173"/>
      <c r="C5716" s="703"/>
      <c r="D5716" s="690"/>
      <c r="E5716" s="690"/>
      <c r="F5716" s="690"/>
      <c r="G5716" s="690"/>
      <c r="H5716" s="690"/>
      <c r="I5716" s="690"/>
      <c r="J5716" s="690"/>
      <c r="K5716" s="690"/>
      <c r="L5716" s="704"/>
      <c r="M5716" s="170"/>
    </row>
    <row r="5717" spans="2:13" x14ac:dyDescent="0.2">
      <c r="B5717" s="173"/>
      <c r="C5717" s="703"/>
      <c r="D5717" s="690"/>
      <c r="E5717" s="690"/>
      <c r="F5717" s="690"/>
      <c r="G5717" s="690"/>
      <c r="H5717" s="690"/>
      <c r="I5717" s="690"/>
      <c r="J5717" s="690"/>
      <c r="K5717" s="690"/>
      <c r="L5717" s="704"/>
      <c r="M5717" s="170"/>
    </row>
    <row r="5718" spans="2:13" x14ac:dyDescent="0.2">
      <c r="B5718" s="173"/>
      <c r="C5718" s="703"/>
      <c r="D5718" s="690"/>
      <c r="E5718" s="690"/>
      <c r="F5718" s="690"/>
      <c r="G5718" s="690"/>
      <c r="H5718" s="690"/>
      <c r="I5718" s="690"/>
      <c r="J5718" s="690"/>
      <c r="K5718" s="690"/>
      <c r="L5718" s="704"/>
      <c r="M5718" s="170"/>
    </row>
    <row r="5719" spans="2:13" x14ac:dyDescent="0.2">
      <c r="B5719" s="173"/>
      <c r="C5719" s="703"/>
      <c r="D5719" s="690"/>
      <c r="E5719" s="690"/>
      <c r="F5719" s="690"/>
      <c r="G5719" s="690"/>
      <c r="H5719" s="690"/>
      <c r="I5719" s="690"/>
      <c r="J5719" s="690"/>
      <c r="K5719" s="690"/>
      <c r="L5719" s="704"/>
      <c r="M5719" s="170"/>
    </row>
    <row r="5720" spans="2:13" x14ac:dyDescent="0.2">
      <c r="B5720" s="173"/>
      <c r="C5720" s="703"/>
      <c r="D5720" s="690"/>
      <c r="E5720" s="690"/>
      <c r="F5720" s="690"/>
      <c r="G5720" s="690"/>
      <c r="H5720" s="690"/>
      <c r="I5720" s="690"/>
      <c r="J5720" s="690"/>
      <c r="K5720" s="690"/>
      <c r="L5720" s="704"/>
      <c r="M5720" s="170"/>
    </row>
    <row r="5721" spans="2:13" x14ac:dyDescent="0.2">
      <c r="B5721" s="173"/>
      <c r="C5721" s="703"/>
      <c r="D5721" s="690"/>
      <c r="E5721" s="690"/>
      <c r="F5721" s="690"/>
      <c r="G5721" s="690"/>
      <c r="H5721" s="690"/>
      <c r="I5721" s="690"/>
      <c r="J5721" s="690"/>
      <c r="K5721" s="690"/>
      <c r="L5721" s="704"/>
      <c r="M5721" s="170"/>
    </row>
    <row r="5722" spans="2:13" x14ac:dyDescent="0.2">
      <c r="B5722" s="173"/>
      <c r="C5722" s="703"/>
      <c r="D5722" s="690"/>
      <c r="E5722" s="690"/>
      <c r="F5722" s="690"/>
      <c r="G5722" s="690"/>
      <c r="H5722" s="690"/>
      <c r="I5722" s="690"/>
      <c r="J5722" s="690"/>
      <c r="K5722" s="690"/>
      <c r="L5722" s="704"/>
      <c r="M5722" s="170"/>
    </row>
    <row r="5723" spans="2:13" x14ac:dyDescent="0.2">
      <c r="B5723" s="173"/>
      <c r="C5723" s="703"/>
      <c r="D5723" s="690"/>
      <c r="E5723" s="690"/>
      <c r="F5723" s="690"/>
      <c r="G5723" s="690"/>
      <c r="H5723" s="690"/>
      <c r="I5723" s="690"/>
      <c r="J5723" s="690"/>
      <c r="K5723" s="690"/>
      <c r="L5723" s="704"/>
      <c r="M5723" s="170"/>
    </row>
    <row r="5724" spans="2:13" x14ac:dyDescent="0.2">
      <c r="B5724" s="173"/>
      <c r="C5724" s="703"/>
      <c r="D5724" s="690"/>
      <c r="E5724" s="690"/>
      <c r="F5724" s="690"/>
      <c r="G5724" s="690"/>
      <c r="H5724" s="690"/>
      <c r="I5724" s="690"/>
      <c r="J5724" s="690"/>
      <c r="K5724" s="690"/>
      <c r="L5724" s="704"/>
      <c r="M5724" s="170"/>
    </row>
    <row r="5725" spans="2:13" x14ac:dyDescent="0.2">
      <c r="B5725" s="173"/>
      <c r="C5725" s="703"/>
      <c r="D5725" s="690"/>
      <c r="E5725" s="690"/>
      <c r="F5725" s="690"/>
      <c r="G5725" s="690"/>
      <c r="H5725" s="690"/>
      <c r="I5725" s="690"/>
      <c r="J5725" s="690"/>
      <c r="K5725" s="690"/>
      <c r="L5725" s="704"/>
      <c r="M5725" s="170"/>
    </row>
    <row r="5726" spans="2:13" x14ac:dyDescent="0.2">
      <c r="B5726" s="173"/>
      <c r="C5726" s="703"/>
      <c r="D5726" s="690"/>
      <c r="E5726" s="690"/>
      <c r="F5726" s="690"/>
      <c r="G5726" s="690"/>
      <c r="H5726" s="690"/>
      <c r="I5726" s="690"/>
      <c r="J5726" s="690"/>
      <c r="K5726" s="690"/>
      <c r="L5726" s="704"/>
      <c r="M5726" s="170"/>
    </row>
    <row r="5727" spans="2:13" x14ac:dyDescent="0.2">
      <c r="B5727" s="173"/>
      <c r="C5727" s="703"/>
      <c r="D5727" s="690"/>
      <c r="E5727" s="690"/>
      <c r="F5727" s="690"/>
      <c r="G5727" s="690"/>
      <c r="H5727" s="690"/>
      <c r="I5727" s="690"/>
      <c r="J5727" s="690"/>
      <c r="K5727" s="690"/>
      <c r="L5727" s="704"/>
      <c r="M5727" s="170"/>
    </row>
    <row r="5728" spans="2:13" x14ac:dyDescent="0.2">
      <c r="B5728" s="173"/>
      <c r="C5728" s="703"/>
      <c r="D5728" s="690"/>
      <c r="E5728" s="690"/>
      <c r="F5728" s="690"/>
      <c r="G5728" s="690"/>
      <c r="H5728" s="690"/>
      <c r="I5728" s="690"/>
      <c r="J5728" s="690"/>
      <c r="K5728" s="690"/>
      <c r="L5728" s="704"/>
      <c r="M5728" s="170"/>
    </row>
    <row r="5729" spans="2:13" x14ac:dyDescent="0.2">
      <c r="B5729" s="173"/>
      <c r="C5729" s="703"/>
      <c r="D5729" s="690"/>
      <c r="E5729" s="690"/>
      <c r="F5729" s="690"/>
      <c r="G5729" s="690"/>
      <c r="H5729" s="690"/>
      <c r="I5729" s="690"/>
      <c r="J5729" s="690"/>
      <c r="K5729" s="690"/>
      <c r="L5729" s="704"/>
      <c r="M5729" s="170"/>
    </row>
    <row r="5730" spans="2:13" x14ac:dyDescent="0.2">
      <c r="B5730" s="173"/>
      <c r="C5730" s="703"/>
      <c r="D5730" s="690"/>
      <c r="E5730" s="690"/>
      <c r="F5730" s="690"/>
      <c r="G5730" s="690"/>
      <c r="H5730" s="690"/>
      <c r="I5730" s="690"/>
      <c r="J5730" s="690"/>
      <c r="K5730" s="690"/>
      <c r="L5730" s="704"/>
      <c r="M5730" s="170"/>
    </row>
    <row r="5731" spans="2:13" x14ac:dyDescent="0.2">
      <c r="B5731" s="173"/>
      <c r="C5731" s="703"/>
      <c r="D5731" s="690"/>
      <c r="E5731" s="690"/>
      <c r="F5731" s="690"/>
      <c r="G5731" s="690"/>
      <c r="H5731" s="690"/>
      <c r="I5731" s="690"/>
      <c r="J5731" s="690"/>
      <c r="K5731" s="690"/>
      <c r="L5731" s="704"/>
      <c r="M5731" s="170"/>
    </row>
    <row r="5732" spans="2:13" x14ac:dyDescent="0.2">
      <c r="B5732" s="173"/>
      <c r="C5732" s="703"/>
      <c r="D5732" s="690"/>
      <c r="E5732" s="690"/>
      <c r="F5732" s="690"/>
      <c r="G5732" s="690"/>
      <c r="H5732" s="690"/>
      <c r="I5732" s="690"/>
      <c r="J5732" s="690"/>
      <c r="K5732" s="690"/>
      <c r="L5732" s="704"/>
      <c r="M5732" s="170"/>
    </row>
    <row r="5733" spans="2:13" x14ac:dyDescent="0.2">
      <c r="B5733" s="173"/>
      <c r="C5733" s="703"/>
      <c r="D5733" s="690"/>
      <c r="E5733" s="690"/>
      <c r="F5733" s="690"/>
      <c r="G5733" s="690"/>
      <c r="H5733" s="690"/>
      <c r="I5733" s="690"/>
      <c r="J5733" s="690"/>
      <c r="K5733" s="690"/>
      <c r="L5733" s="704"/>
      <c r="M5733" s="170"/>
    </row>
    <row r="5734" spans="2:13" x14ac:dyDescent="0.2">
      <c r="B5734" s="173"/>
      <c r="C5734" s="703"/>
      <c r="D5734" s="690"/>
      <c r="E5734" s="690"/>
      <c r="F5734" s="690"/>
      <c r="G5734" s="690"/>
      <c r="H5734" s="690"/>
      <c r="I5734" s="690"/>
      <c r="J5734" s="690"/>
      <c r="K5734" s="690"/>
      <c r="L5734" s="704"/>
      <c r="M5734" s="170"/>
    </row>
    <row r="5735" spans="2:13" x14ac:dyDescent="0.2">
      <c r="B5735" s="173"/>
      <c r="C5735" s="703"/>
      <c r="D5735" s="690"/>
      <c r="E5735" s="690"/>
      <c r="F5735" s="690"/>
      <c r="G5735" s="690"/>
      <c r="H5735" s="690"/>
      <c r="I5735" s="690"/>
      <c r="J5735" s="690"/>
      <c r="K5735" s="690"/>
      <c r="L5735" s="704"/>
      <c r="M5735" s="170"/>
    </row>
    <row r="5736" spans="2:13" x14ac:dyDescent="0.2">
      <c r="B5736" s="173"/>
      <c r="C5736" s="703"/>
      <c r="D5736" s="690"/>
      <c r="E5736" s="690"/>
      <c r="F5736" s="690"/>
      <c r="G5736" s="690"/>
      <c r="H5736" s="690"/>
      <c r="I5736" s="690"/>
      <c r="J5736" s="690"/>
      <c r="K5736" s="690"/>
      <c r="L5736" s="704"/>
      <c r="M5736" s="170"/>
    </row>
    <row r="5737" spans="2:13" x14ac:dyDescent="0.2">
      <c r="B5737" s="173"/>
      <c r="C5737" s="703"/>
      <c r="D5737" s="690"/>
      <c r="E5737" s="690"/>
      <c r="F5737" s="690"/>
      <c r="G5737" s="690"/>
      <c r="H5737" s="690"/>
      <c r="I5737" s="690"/>
      <c r="J5737" s="690"/>
      <c r="K5737" s="690"/>
      <c r="L5737" s="704"/>
      <c r="M5737" s="170"/>
    </row>
    <row r="5738" spans="2:13" x14ac:dyDescent="0.2">
      <c r="B5738" s="173"/>
      <c r="C5738" s="703"/>
      <c r="D5738" s="690"/>
      <c r="E5738" s="690"/>
      <c r="F5738" s="690"/>
      <c r="G5738" s="690"/>
      <c r="H5738" s="690"/>
      <c r="I5738" s="690"/>
      <c r="J5738" s="690"/>
      <c r="K5738" s="690"/>
      <c r="L5738" s="704"/>
      <c r="M5738" s="170"/>
    </row>
    <row r="5739" spans="2:13" x14ac:dyDescent="0.2">
      <c r="B5739" s="173"/>
      <c r="C5739" s="703"/>
      <c r="D5739" s="690"/>
      <c r="E5739" s="690"/>
      <c r="F5739" s="690"/>
      <c r="G5739" s="690"/>
      <c r="H5739" s="690"/>
      <c r="I5739" s="690"/>
      <c r="J5739" s="690"/>
      <c r="K5739" s="690"/>
      <c r="L5739" s="704"/>
      <c r="M5739" s="170"/>
    </row>
    <row r="5740" spans="2:13" x14ac:dyDescent="0.2">
      <c r="B5740" s="173"/>
      <c r="C5740" s="703"/>
      <c r="D5740" s="690"/>
      <c r="E5740" s="690"/>
      <c r="F5740" s="690"/>
      <c r="G5740" s="690"/>
      <c r="H5740" s="690"/>
      <c r="I5740" s="690"/>
      <c r="J5740" s="690"/>
      <c r="K5740" s="690"/>
      <c r="L5740" s="704"/>
      <c r="M5740" s="170"/>
    </row>
    <row r="5741" spans="2:13" x14ac:dyDescent="0.2">
      <c r="B5741" s="173"/>
      <c r="C5741" s="703"/>
      <c r="D5741" s="690"/>
      <c r="E5741" s="690"/>
      <c r="F5741" s="690"/>
      <c r="G5741" s="690"/>
      <c r="H5741" s="690"/>
      <c r="I5741" s="690"/>
      <c r="J5741" s="690"/>
      <c r="K5741" s="690"/>
      <c r="L5741" s="704"/>
      <c r="M5741" s="170"/>
    </row>
    <row r="5742" spans="2:13" x14ac:dyDescent="0.2">
      <c r="B5742" s="173"/>
      <c r="C5742" s="703"/>
      <c r="D5742" s="690"/>
      <c r="E5742" s="690"/>
      <c r="F5742" s="690"/>
      <c r="G5742" s="690"/>
      <c r="H5742" s="690"/>
      <c r="I5742" s="690"/>
      <c r="J5742" s="690"/>
      <c r="K5742" s="690"/>
      <c r="L5742" s="704"/>
      <c r="M5742" s="170"/>
    </row>
    <row r="5743" spans="2:13" x14ac:dyDescent="0.2">
      <c r="B5743" s="173"/>
      <c r="C5743" s="703"/>
      <c r="D5743" s="690"/>
      <c r="E5743" s="690"/>
      <c r="F5743" s="690"/>
      <c r="G5743" s="690"/>
      <c r="H5743" s="690"/>
      <c r="I5743" s="690"/>
      <c r="J5743" s="690"/>
      <c r="K5743" s="690"/>
      <c r="L5743" s="704"/>
      <c r="M5743" s="170"/>
    </row>
    <row r="5744" spans="2:13" x14ac:dyDescent="0.2">
      <c r="B5744" s="173"/>
      <c r="C5744" s="703"/>
      <c r="D5744" s="690"/>
      <c r="E5744" s="690"/>
      <c r="F5744" s="690"/>
      <c r="G5744" s="690"/>
      <c r="H5744" s="690"/>
      <c r="I5744" s="690"/>
      <c r="J5744" s="690"/>
      <c r="K5744" s="690"/>
      <c r="L5744" s="704"/>
      <c r="M5744" s="170"/>
    </row>
    <row r="5745" spans="2:13" x14ac:dyDescent="0.2">
      <c r="B5745" s="173"/>
      <c r="C5745" s="703"/>
      <c r="D5745" s="690"/>
      <c r="E5745" s="690"/>
      <c r="F5745" s="690"/>
      <c r="G5745" s="690"/>
      <c r="H5745" s="690"/>
      <c r="I5745" s="690"/>
      <c r="J5745" s="690"/>
      <c r="K5745" s="690"/>
      <c r="L5745" s="704"/>
      <c r="M5745" s="170"/>
    </row>
    <row r="5746" spans="2:13" x14ac:dyDescent="0.2">
      <c r="B5746" s="173"/>
      <c r="C5746" s="703"/>
      <c r="D5746" s="690"/>
      <c r="E5746" s="690"/>
      <c r="F5746" s="690"/>
      <c r="G5746" s="690"/>
      <c r="H5746" s="690"/>
      <c r="I5746" s="690"/>
      <c r="J5746" s="690"/>
      <c r="K5746" s="690"/>
      <c r="L5746" s="704"/>
      <c r="M5746" s="170"/>
    </row>
    <row r="5747" spans="2:13" x14ac:dyDescent="0.2">
      <c r="B5747" s="173"/>
      <c r="C5747" s="703"/>
      <c r="D5747" s="690"/>
      <c r="E5747" s="690"/>
      <c r="F5747" s="690"/>
      <c r="G5747" s="690"/>
      <c r="H5747" s="690"/>
      <c r="I5747" s="690"/>
      <c r="J5747" s="690"/>
      <c r="K5747" s="690"/>
      <c r="L5747" s="704"/>
      <c r="M5747" s="170"/>
    </row>
    <row r="5748" spans="2:13" x14ac:dyDescent="0.2">
      <c r="B5748" s="173"/>
      <c r="C5748" s="703"/>
      <c r="D5748" s="690"/>
      <c r="E5748" s="690"/>
      <c r="F5748" s="690"/>
      <c r="G5748" s="690"/>
      <c r="H5748" s="690"/>
      <c r="I5748" s="690"/>
      <c r="J5748" s="690"/>
      <c r="K5748" s="690"/>
      <c r="L5748" s="704"/>
      <c r="M5748" s="170"/>
    </row>
    <row r="5749" spans="2:13" x14ac:dyDescent="0.2">
      <c r="B5749" s="173"/>
      <c r="C5749" s="703"/>
      <c r="D5749" s="690"/>
      <c r="E5749" s="690"/>
      <c r="F5749" s="690"/>
      <c r="G5749" s="690"/>
      <c r="H5749" s="690"/>
      <c r="I5749" s="690"/>
      <c r="J5749" s="690"/>
      <c r="K5749" s="690"/>
      <c r="L5749" s="704"/>
      <c r="M5749" s="170"/>
    </row>
    <row r="5750" spans="2:13" x14ac:dyDescent="0.2">
      <c r="B5750" s="173"/>
      <c r="C5750" s="703"/>
      <c r="D5750" s="690"/>
      <c r="E5750" s="690"/>
      <c r="F5750" s="690"/>
      <c r="G5750" s="690"/>
      <c r="H5750" s="690"/>
      <c r="I5750" s="690"/>
      <c r="J5750" s="690"/>
      <c r="K5750" s="690"/>
      <c r="L5750" s="704"/>
      <c r="M5750" s="170"/>
    </row>
    <row r="5751" spans="2:13" x14ac:dyDescent="0.2">
      <c r="B5751" s="173"/>
      <c r="C5751" s="703"/>
      <c r="D5751" s="690"/>
      <c r="E5751" s="690"/>
      <c r="F5751" s="690"/>
      <c r="G5751" s="690"/>
      <c r="H5751" s="690"/>
      <c r="I5751" s="690"/>
      <c r="J5751" s="690"/>
      <c r="K5751" s="690"/>
      <c r="L5751" s="704"/>
      <c r="M5751" s="170"/>
    </row>
    <row r="5752" spans="2:13" x14ac:dyDescent="0.2">
      <c r="B5752" s="173"/>
      <c r="C5752" s="703"/>
      <c r="D5752" s="690"/>
      <c r="E5752" s="690"/>
      <c r="F5752" s="690"/>
      <c r="G5752" s="690"/>
      <c r="H5752" s="690"/>
      <c r="I5752" s="690"/>
      <c r="J5752" s="690"/>
      <c r="K5752" s="690"/>
      <c r="L5752" s="704"/>
      <c r="M5752" s="170"/>
    </row>
    <row r="5753" spans="2:13" x14ac:dyDescent="0.2">
      <c r="B5753" s="173"/>
      <c r="C5753" s="703"/>
      <c r="D5753" s="690"/>
      <c r="E5753" s="690"/>
      <c r="F5753" s="690"/>
      <c r="G5753" s="690"/>
      <c r="H5753" s="690"/>
      <c r="I5753" s="690"/>
      <c r="J5753" s="690"/>
      <c r="K5753" s="690"/>
      <c r="L5753" s="704"/>
      <c r="M5753" s="170"/>
    </row>
    <row r="5754" spans="2:13" x14ac:dyDescent="0.2">
      <c r="B5754" s="173"/>
      <c r="C5754" s="703"/>
      <c r="D5754" s="690"/>
      <c r="E5754" s="690"/>
      <c r="F5754" s="690"/>
      <c r="G5754" s="690"/>
      <c r="H5754" s="690"/>
      <c r="I5754" s="690"/>
      <c r="J5754" s="690"/>
      <c r="K5754" s="690"/>
      <c r="L5754" s="704"/>
      <c r="M5754" s="170"/>
    </row>
    <row r="5755" spans="2:13" x14ac:dyDescent="0.2">
      <c r="B5755" s="173"/>
      <c r="C5755" s="703"/>
      <c r="D5755" s="690"/>
      <c r="E5755" s="690"/>
      <c r="F5755" s="690"/>
      <c r="G5755" s="690"/>
      <c r="H5755" s="690"/>
      <c r="I5755" s="690"/>
      <c r="J5755" s="690"/>
      <c r="K5755" s="690"/>
      <c r="L5755" s="704"/>
      <c r="M5755" s="170"/>
    </row>
    <row r="5756" spans="2:13" x14ac:dyDescent="0.2">
      <c r="B5756" s="173"/>
      <c r="C5756" s="703"/>
      <c r="D5756" s="690"/>
      <c r="E5756" s="690"/>
      <c r="F5756" s="690"/>
      <c r="G5756" s="690"/>
      <c r="H5756" s="690"/>
      <c r="I5756" s="690"/>
      <c r="J5756" s="690"/>
      <c r="K5756" s="690"/>
      <c r="L5756" s="704"/>
      <c r="M5756" s="170"/>
    </row>
    <row r="5757" spans="2:13" x14ac:dyDescent="0.2">
      <c r="B5757" s="173"/>
      <c r="C5757" s="703"/>
      <c r="D5757" s="690"/>
      <c r="E5757" s="690"/>
      <c r="F5757" s="690"/>
      <c r="G5757" s="690"/>
      <c r="H5757" s="690"/>
      <c r="I5757" s="690"/>
      <c r="J5757" s="690"/>
      <c r="K5757" s="690"/>
      <c r="L5757" s="704"/>
      <c r="M5757" s="170"/>
    </row>
    <row r="5758" spans="2:13" x14ac:dyDescent="0.2">
      <c r="B5758" s="173"/>
      <c r="C5758" s="703"/>
      <c r="D5758" s="690"/>
      <c r="E5758" s="690"/>
      <c r="F5758" s="690"/>
      <c r="G5758" s="690"/>
      <c r="H5758" s="690"/>
      <c r="I5758" s="690"/>
      <c r="J5758" s="690"/>
      <c r="K5758" s="690"/>
      <c r="L5758" s="704"/>
      <c r="M5758" s="170"/>
    </row>
    <row r="5759" spans="2:13" x14ac:dyDescent="0.2">
      <c r="B5759" s="173"/>
      <c r="C5759" s="703"/>
      <c r="D5759" s="690"/>
      <c r="E5759" s="690"/>
      <c r="F5759" s="690"/>
      <c r="G5759" s="690"/>
      <c r="H5759" s="690"/>
      <c r="I5759" s="690"/>
      <c r="J5759" s="690"/>
      <c r="K5759" s="690"/>
      <c r="L5759" s="704"/>
      <c r="M5759" s="170"/>
    </row>
    <row r="5760" spans="2:13" x14ac:dyDescent="0.2">
      <c r="B5760" s="173"/>
      <c r="C5760" s="703"/>
      <c r="D5760" s="690"/>
      <c r="E5760" s="690"/>
      <c r="F5760" s="690"/>
      <c r="G5760" s="690"/>
      <c r="H5760" s="690"/>
      <c r="I5760" s="690"/>
      <c r="J5760" s="690"/>
      <c r="K5760" s="690"/>
      <c r="L5760" s="704"/>
      <c r="M5760" s="170"/>
    </row>
    <row r="5761" spans="2:13" x14ac:dyDescent="0.2">
      <c r="B5761" s="173"/>
      <c r="C5761" s="703"/>
      <c r="D5761" s="690"/>
      <c r="E5761" s="690"/>
      <c r="F5761" s="690"/>
      <c r="G5761" s="690"/>
      <c r="H5761" s="690"/>
      <c r="I5761" s="690"/>
      <c r="J5761" s="690"/>
      <c r="K5761" s="690"/>
      <c r="L5761" s="704"/>
      <c r="M5761" s="170"/>
    </row>
    <row r="5762" spans="2:13" x14ac:dyDescent="0.2">
      <c r="B5762" s="173"/>
      <c r="C5762" s="703"/>
      <c r="D5762" s="690"/>
      <c r="E5762" s="690"/>
      <c r="F5762" s="690"/>
      <c r="G5762" s="690"/>
      <c r="H5762" s="690"/>
      <c r="I5762" s="690"/>
      <c r="J5762" s="690"/>
      <c r="K5762" s="690"/>
      <c r="L5762" s="704"/>
      <c r="M5762" s="170"/>
    </row>
    <row r="5763" spans="2:13" x14ac:dyDescent="0.2">
      <c r="B5763" s="173"/>
      <c r="C5763" s="703"/>
      <c r="D5763" s="690"/>
      <c r="E5763" s="690"/>
      <c r="F5763" s="690"/>
      <c r="G5763" s="690"/>
      <c r="H5763" s="690"/>
      <c r="I5763" s="690"/>
      <c r="J5763" s="690"/>
      <c r="K5763" s="690"/>
      <c r="L5763" s="704"/>
      <c r="M5763" s="170"/>
    </row>
    <row r="5764" spans="2:13" x14ac:dyDescent="0.2">
      <c r="B5764" s="173"/>
      <c r="C5764" s="703"/>
      <c r="D5764" s="690"/>
      <c r="E5764" s="690"/>
      <c r="F5764" s="690"/>
      <c r="G5764" s="690"/>
      <c r="H5764" s="690"/>
      <c r="I5764" s="690"/>
      <c r="J5764" s="690"/>
      <c r="K5764" s="690"/>
      <c r="L5764" s="704"/>
      <c r="M5764" s="170"/>
    </row>
    <row r="5765" spans="2:13" x14ac:dyDescent="0.2">
      <c r="B5765" s="173"/>
      <c r="C5765" s="703"/>
      <c r="D5765" s="690"/>
      <c r="E5765" s="690"/>
      <c r="F5765" s="690"/>
      <c r="G5765" s="690"/>
      <c r="H5765" s="690"/>
      <c r="I5765" s="690"/>
      <c r="J5765" s="690"/>
      <c r="K5765" s="690"/>
      <c r="L5765" s="704"/>
      <c r="M5765" s="170"/>
    </row>
    <row r="5766" spans="2:13" x14ac:dyDescent="0.2">
      <c r="B5766" s="173"/>
      <c r="C5766" s="703"/>
      <c r="D5766" s="690"/>
      <c r="E5766" s="690"/>
      <c r="F5766" s="690"/>
      <c r="G5766" s="690"/>
      <c r="H5766" s="690"/>
      <c r="I5766" s="690"/>
      <c r="J5766" s="690"/>
      <c r="K5766" s="690"/>
      <c r="L5766" s="704"/>
      <c r="M5766" s="170"/>
    </row>
    <row r="5767" spans="2:13" x14ac:dyDescent="0.2">
      <c r="B5767" s="173"/>
      <c r="C5767" s="703"/>
      <c r="D5767" s="690"/>
      <c r="E5767" s="690"/>
      <c r="F5767" s="690"/>
      <c r="G5767" s="690"/>
      <c r="H5767" s="690"/>
      <c r="I5767" s="690"/>
      <c r="J5767" s="690"/>
      <c r="K5767" s="690"/>
      <c r="L5767" s="704"/>
      <c r="M5767" s="170"/>
    </row>
    <row r="5768" spans="2:13" x14ac:dyDescent="0.2">
      <c r="B5768" s="173"/>
      <c r="C5768" s="703"/>
      <c r="D5768" s="690"/>
      <c r="E5768" s="690"/>
      <c r="F5768" s="690"/>
      <c r="G5768" s="690"/>
      <c r="H5768" s="690"/>
      <c r="I5768" s="690"/>
      <c r="J5768" s="690"/>
      <c r="K5768" s="690"/>
      <c r="L5768" s="704"/>
      <c r="M5768" s="170"/>
    </row>
    <row r="5769" spans="2:13" x14ac:dyDescent="0.2">
      <c r="B5769" s="173"/>
      <c r="C5769" s="703"/>
      <c r="D5769" s="690"/>
      <c r="E5769" s="690"/>
      <c r="F5769" s="690"/>
      <c r="G5769" s="690"/>
      <c r="H5769" s="690"/>
      <c r="I5769" s="690"/>
      <c r="J5769" s="690"/>
      <c r="K5769" s="690"/>
      <c r="L5769" s="704"/>
      <c r="M5769" s="170"/>
    </row>
    <row r="5770" spans="2:13" x14ac:dyDescent="0.2">
      <c r="B5770" s="173"/>
      <c r="C5770" s="703"/>
      <c r="D5770" s="690"/>
      <c r="E5770" s="690"/>
      <c r="F5770" s="690"/>
      <c r="G5770" s="690"/>
      <c r="H5770" s="690"/>
      <c r="I5770" s="690"/>
      <c r="J5770" s="690"/>
      <c r="K5770" s="690"/>
      <c r="L5770" s="704"/>
      <c r="M5770" s="170"/>
    </row>
    <row r="5771" spans="2:13" x14ac:dyDescent="0.2">
      <c r="B5771" s="173"/>
      <c r="C5771" s="703"/>
      <c r="D5771" s="690"/>
      <c r="E5771" s="690"/>
      <c r="F5771" s="690"/>
      <c r="G5771" s="690"/>
      <c r="H5771" s="690"/>
      <c r="I5771" s="690"/>
      <c r="J5771" s="690"/>
      <c r="K5771" s="690"/>
      <c r="L5771" s="704"/>
      <c r="M5771" s="170"/>
    </row>
    <row r="5772" spans="2:13" x14ac:dyDescent="0.2">
      <c r="B5772" s="173"/>
      <c r="C5772" s="703"/>
      <c r="D5772" s="690"/>
      <c r="E5772" s="690"/>
      <c r="F5772" s="690"/>
      <c r="G5772" s="690"/>
      <c r="H5772" s="690"/>
      <c r="I5772" s="690"/>
      <c r="J5772" s="690"/>
      <c r="K5772" s="690"/>
      <c r="L5772" s="704"/>
      <c r="M5772" s="170"/>
    </row>
    <row r="5773" spans="2:13" x14ac:dyDescent="0.2">
      <c r="B5773" s="173"/>
      <c r="C5773" s="703"/>
      <c r="D5773" s="690"/>
      <c r="E5773" s="690"/>
      <c r="F5773" s="690"/>
      <c r="G5773" s="690"/>
      <c r="H5773" s="690"/>
      <c r="I5773" s="690"/>
      <c r="J5773" s="690"/>
      <c r="K5773" s="690"/>
      <c r="L5773" s="704"/>
      <c r="M5773" s="170"/>
    </row>
    <row r="5774" spans="2:13" x14ac:dyDescent="0.2">
      <c r="B5774" s="173"/>
      <c r="C5774" s="703"/>
      <c r="D5774" s="690"/>
      <c r="E5774" s="690"/>
      <c r="F5774" s="690"/>
      <c r="G5774" s="690"/>
      <c r="H5774" s="690"/>
      <c r="I5774" s="690"/>
      <c r="J5774" s="690"/>
      <c r="K5774" s="690"/>
      <c r="L5774" s="704"/>
      <c r="M5774" s="170"/>
    </row>
    <row r="5775" spans="2:13" x14ac:dyDescent="0.2">
      <c r="B5775" s="173"/>
      <c r="C5775" s="703"/>
      <c r="D5775" s="690"/>
      <c r="E5775" s="690"/>
      <c r="F5775" s="690"/>
      <c r="G5775" s="690"/>
      <c r="H5775" s="690"/>
      <c r="I5775" s="690"/>
      <c r="J5775" s="690"/>
      <c r="K5775" s="690"/>
      <c r="L5775" s="704"/>
      <c r="M5775" s="170"/>
    </row>
    <row r="5776" spans="2:13" x14ac:dyDescent="0.2">
      <c r="B5776" s="173"/>
      <c r="C5776" s="703"/>
      <c r="D5776" s="690"/>
      <c r="E5776" s="690"/>
      <c r="F5776" s="690"/>
      <c r="G5776" s="690"/>
      <c r="H5776" s="690"/>
      <c r="I5776" s="690"/>
      <c r="J5776" s="690"/>
      <c r="K5776" s="690"/>
      <c r="L5776" s="704"/>
      <c r="M5776" s="170"/>
    </row>
    <row r="5777" spans="2:13" x14ac:dyDescent="0.2">
      <c r="B5777" s="173"/>
      <c r="C5777" s="703"/>
      <c r="D5777" s="690"/>
      <c r="E5777" s="690"/>
      <c r="F5777" s="690"/>
      <c r="G5777" s="690"/>
      <c r="H5777" s="690"/>
      <c r="I5777" s="690"/>
      <c r="J5777" s="690"/>
      <c r="K5777" s="690"/>
      <c r="L5777" s="704"/>
      <c r="M5777" s="170"/>
    </row>
    <row r="5778" spans="2:13" x14ac:dyDescent="0.2">
      <c r="B5778" s="173"/>
      <c r="C5778" s="703"/>
      <c r="D5778" s="690"/>
      <c r="E5778" s="690"/>
      <c r="F5778" s="690"/>
      <c r="G5778" s="690"/>
      <c r="H5778" s="690"/>
      <c r="I5778" s="690"/>
      <c r="J5778" s="690"/>
      <c r="K5778" s="690"/>
      <c r="L5778" s="704"/>
      <c r="M5778" s="170"/>
    </row>
    <row r="5779" spans="2:13" x14ac:dyDescent="0.2">
      <c r="B5779" s="173"/>
      <c r="C5779" s="703"/>
      <c r="D5779" s="690"/>
      <c r="E5779" s="690"/>
      <c r="F5779" s="690"/>
      <c r="G5779" s="690"/>
      <c r="H5779" s="690"/>
      <c r="I5779" s="690"/>
      <c r="J5779" s="690"/>
      <c r="K5779" s="690"/>
      <c r="L5779" s="704"/>
      <c r="M5779" s="170"/>
    </row>
    <row r="5780" spans="2:13" x14ac:dyDescent="0.2">
      <c r="B5780" s="173"/>
      <c r="C5780" s="703"/>
      <c r="D5780" s="690"/>
      <c r="E5780" s="690"/>
      <c r="F5780" s="690"/>
      <c r="G5780" s="690"/>
      <c r="H5780" s="690"/>
      <c r="I5780" s="690"/>
      <c r="J5780" s="690"/>
      <c r="K5780" s="690"/>
      <c r="L5780" s="704"/>
      <c r="M5780" s="170"/>
    </row>
    <row r="5781" spans="2:13" x14ac:dyDescent="0.2">
      <c r="B5781" s="173"/>
      <c r="C5781" s="703"/>
      <c r="D5781" s="690"/>
      <c r="E5781" s="690"/>
      <c r="F5781" s="690"/>
      <c r="G5781" s="690"/>
      <c r="H5781" s="690"/>
      <c r="I5781" s="690"/>
      <c r="J5781" s="690"/>
      <c r="K5781" s="690"/>
      <c r="L5781" s="704"/>
      <c r="M5781" s="170"/>
    </row>
    <row r="5782" spans="2:13" x14ac:dyDescent="0.2">
      <c r="B5782" s="173"/>
      <c r="C5782" s="703"/>
      <c r="D5782" s="690"/>
      <c r="E5782" s="690"/>
      <c r="F5782" s="690"/>
      <c r="G5782" s="690"/>
      <c r="H5782" s="690"/>
      <c r="I5782" s="690"/>
      <c r="J5782" s="690"/>
      <c r="K5782" s="690"/>
      <c r="L5782" s="704"/>
      <c r="M5782" s="170"/>
    </row>
    <row r="5783" spans="2:13" x14ac:dyDescent="0.2">
      <c r="B5783" s="173"/>
      <c r="C5783" s="703"/>
      <c r="D5783" s="690"/>
      <c r="E5783" s="690"/>
      <c r="F5783" s="690"/>
      <c r="G5783" s="690"/>
      <c r="H5783" s="690"/>
      <c r="I5783" s="690"/>
      <c r="J5783" s="690"/>
      <c r="K5783" s="690"/>
      <c r="L5783" s="704"/>
      <c r="M5783" s="170"/>
    </row>
    <row r="5784" spans="2:13" x14ac:dyDescent="0.2">
      <c r="B5784" s="173"/>
      <c r="C5784" s="703"/>
      <c r="D5784" s="690"/>
      <c r="E5784" s="690"/>
      <c r="F5784" s="690"/>
      <c r="G5784" s="690"/>
      <c r="H5784" s="690"/>
      <c r="I5784" s="690"/>
      <c r="J5784" s="690"/>
      <c r="K5784" s="690"/>
      <c r="L5784" s="704"/>
      <c r="M5784" s="170"/>
    </row>
    <row r="5785" spans="2:13" x14ac:dyDescent="0.2">
      <c r="B5785" s="173"/>
      <c r="C5785" s="703"/>
      <c r="D5785" s="690"/>
      <c r="E5785" s="690"/>
      <c r="F5785" s="690"/>
      <c r="G5785" s="690"/>
      <c r="H5785" s="690"/>
      <c r="I5785" s="690"/>
      <c r="J5785" s="690"/>
      <c r="K5785" s="690"/>
      <c r="L5785" s="704"/>
      <c r="M5785" s="170"/>
    </row>
    <row r="5786" spans="2:13" x14ac:dyDescent="0.2">
      <c r="B5786" s="173"/>
      <c r="C5786" s="703"/>
      <c r="D5786" s="690"/>
      <c r="E5786" s="690"/>
      <c r="F5786" s="690"/>
      <c r="G5786" s="690"/>
      <c r="H5786" s="690"/>
      <c r="I5786" s="690"/>
      <c r="J5786" s="690"/>
      <c r="K5786" s="690"/>
      <c r="L5786" s="704"/>
      <c r="M5786" s="170"/>
    </row>
    <row r="5787" spans="2:13" x14ac:dyDescent="0.2">
      <c r="B5787" s="173"/>
      <c r="C5787" s="703"/>
      <c r="D5787" s="690"/>
      <c r="E5787" s="690"/>
      <c r="F5787" s="690"/>
      <c r="G5787" s="690"/>
      <c r="H5787" s="690"/>
      <c r="I5787" s="690"/>
      <c r="J5787" s="690"/>
      <c r="K5787" s="690"/>
      <c r="L5787" s="704"/>
      <c r="M5787" s="170"/>
    </row>
    <row r="5788" spans="2:13" x14ac:dyDescent="0.2">
      <c r="B5788" s="173"/>
      <c r="C5788" s="703"/>
      <c r="D5788" s="690"/>
      <c r="E5788" s="690"/>
      <c r="F5788" s="690"/>
      <c r="G5788" s="690"/>
      <c r="H5788" s="690"/>
      <c r="I5788" s="690"/>
      <c r="J5788" s="690"/>
      <c r="K5788" s="690"/>
      <c r="L5788" s="704"/>
      <c r="M5788" s="170"/>
    </row>
    <row r="5789" spans="2:13" x14ac:dyDescent="0.2">
      <c r="B5789" s="173"/>
      <c r="C5789" s="703"/>
      <c r="D5789" s="690"/>
      <c r="E5789" s="690"/>
      <c r="F5789" s="690"/>
      <c r="G5789" s="690"/>
      <c r="H5789" s="690"/>
      <c r="I5789" s="690"/>
      <c r="J5789" s="690"/>
      <c r="K5789" s="690"/>
      <c r="L5789" s="704"/>
      <c r="M5789" s="170"/>
    </row>
    <row r="5790" spans="2:13" x14ac:dyDescent="0.2">
      <c r="B5790" s="173"/>
      <c r="C5790" s="703"/>
      <c r="D5790" s="690"/>
      <c r="E5790" s="690"/>
      <c r="F5790" s="690"/>
      <c r="G5790" s="690"/>
      <c r="H5790" s="690"/>
      <c r="I5790" s="690"/>
      <c r="J5790" s="690"/>
      <c r="K5790" s="690"/>
      <c r="L5790" s="704"/>
      <c r="M5790" s="170"/>
    </row>
    <row r="5791" spans="2:13" x14ac:dyDescent="0.2">
      <c r="B5791" s="173"/>
      <c r="C5791" s="703"/>
      <c r="D5791" s="690"/>
      <c r="E5791" s="690"/>
      <c r="F5791" s="690"/>
      <c r="G5791" s="690"/>
      <c r="H5791" s="690"/>
      <c r="I5791" s="690"/>
      <c r="J5791" s="690"/>
      <c r="K5791" s="690"/>
      <c r="L5791" s="704"/>
      <c r="M5791" s="170"/>
    </row>
    <row r="5792" spans="2:13" x14ac:dyDescent="0.2">
      <c r="B5792" s="173"/>
      <c r="C5792" s="703"/>
      <c r="D5792" s="690"/>
      <c r="E5792" s="690"/>
      <c r="F5792" s="690"/>
      <c r="G5792" s="690"/>
      <c r="H5792" s="690"/>
      <c r="I5792" s="690"/>
      <c r="J5792" s="690"/>
      <c r="K5792" s="690"/>
      <c r="L5792" s="704"/>
      <c r="M5792" s="170"/>
    </row>
    <row r="5793" spans="2:13" x14ac:dyDescent="0.2">
      <c r="B5793" s="173"/>
      <c r="C5793" s="703"/>
      <c r="D5793" s="690"/>
      <c r="E5793" s="690"/>
      <c r="F5793" s="690"/>
      <c r="G5793" s="690"/>
      <c r="H5793" s="690"/>
      <c r="I5793" s="690"/>
      <c r="J5793" s="690"/>
      <c r="K5793" s="690"/>
      <c r="L5793" s="704"/>
      <c r="M5793" s="170"/>
    </row>
    <row r="5794" spans="2:13" x14ac:dyDescent="0.2">
      <c r="B5794" s="173"/>
      <c r="C5794" s="703"/>
      <c r="D5794" s="690"/>
      <c r="E5794" s="690"/>
      <c r="F5794" s="690"/>
      <c r="G5794" s="690"/>
      <c r="H5794" s="690"/>
      <c r="I5794" s="690"/>
      <c r="J5794" s="690"/>
      <c r="K5794" s="690"/>
      <c r="L5794" s="704"/>
      <c r="M5794" s="170"/>
    </row>
    <row r="5795" spans="2:13" x14ac:dyDescent="0.2">
      <c r="B5795" s="173"/>
      <c r="C5795" s="703"/>
      <c r="D5795" s="690"/>
      <c r="E5795" s="690"/>
      <c r="F5795" s="690"/>
      <c r="G5795" s="690"/>
      <c r="H5795" s="690"/>
      <c r="I5795" s="690"/>
      <c r="J5795" s="690"/>
      <c r="K5795" s="690"/>
      <c r="L5795" s="704"/>
      <c r="M5795" s="170"/>
    </row>
    <row r="5796" spans="2:13" x14ac:dyDescent="0.2">
      <c r="B5796" s="173"/>
      <c r="C5796" s="703"/>
      <c r="D5796" s="690"/>
      <c r="E5796" s="690"/>
      <c r="F5796" s="690"/>
      <c r="G5796" s="690"/>
      <c r="H5796" s="690"/>
      <c r="I5796" s="690"/>
      <c r="J5796" s="690"/>
      <c r="K5796" s="690"/>
      <c r="L5796" s="704"/>
      <c r="M5796" s="170"/>
    </row>
    <row r="5797" spans="2:13" x14ac:dyDescent="0.2">
      <c r="B5797" s="173"/>
      <c r="C5797" s="703"/>
      <c r="D5797" s="690"/>
      <c r="E5797" s="690"/>
      <c r="F5797" s="690"/>
      <c r="G5797" s="690"/>
      <c r="H5797" s="690"/>
      <c r="I5797" s="690"/>
      <c r="J5797" s="690"/>
      <c r="K5797" s="690"/>
      <c r="L5797" s="704"/>
      <c r="M5797" s="170"/>
    </row>
    <row r="5798" spans="2:13" x14ac:dyDescent="0.2">
      <c r="B5798" s="173"/>
      <c r="C5798" s="703"/>
      <c r="D5798" s="690"/>
      <c r="E5798" s="690"/>
      <c r="F5798" s="690"/>
      <c r="G5798" s="690"/>
      <c r="H5798" s="690"/>
      <c r="I5798" s="690"/>
      <c r="J5798" s="690"/>
      <c r="K5798" s="690"/>
      <c r="L5798" s="704"/>
      <c r="M5798" s="170"/>
    </row>
    <row r="5799" spans="2:13" x14ac:dyDescent="0.2">
      <c r="B5799" s="173"/>
      <c r="C5799" s="703"/>
      <c r="D5799" s="690"/>
      <c r="E5799" s="690"/>
      <c r="F5799" s="690"/>
      <c r="G5799" s="690"/>
      <c r="H5799" s="690"/>
      <c r="I5799" s="690"/>
      <c r="J5799" s="690"/>
      <c r="K5799" s="690"/>
      <c r="L5799" s="704"/>
      <c r="M5799" s="170"/>
    </row>
    <row r="5800" spans="2:13" x14ac:dyDescent="0.2">
      <c r="B5800" s="173"/>
      <c r="C5800" s="703"/>
      <c r="D5800" s="690"/>
      <c r="E5800" s="690"/>
      <c r="F5800" s="690"/>
      <c r="G5800" s="690"/>
      <c r="H5800" s="690"/>
      <c r="I5800" s="690"/>
      <c r="J5800" s="690"/>
      <c r="K5800" s="690"/>
      <c r="L5800" s="704"/>
      <c r="M5800" s="170"/>
    </row>
    <row r="5801" spans="2:13" x14ac:dyDescent="0.2">
      <c r="B5801" s="173"/>
      <c r="C5801" s="703"/>
      <c r="D5801" s="690"/>
      <c r="E5801" s="690"/>
      <c r="F5801" s="690"/>
      <c r="G5801" s="690"/>
      <c r="H5801" s="690"/>
      <c r="I5801" s="690"/>
      <c r="J5801" s="690"/>
      <c r="K5801" s="690"/>
      <c r="L5801" s="704"/>
      <c r="M5801" s="170"/>
    </row>
    <row r="5802" spans="2:13" x14ac:dyDescent="0.2">
      <c r="B5802" s="173"/>
      <c r="C5802" s="703"/>
      <c r="D5802" s="690"/>
      <c r="E5802" s="690"/>
      <c r="F5802" s="690"/>
      <c r="G5802" s="690"/>
      <c r="H5802" s="690"/>
      <c r="I5802" s="690"/>
      <c r="J5802" s="690"/>
      <c r="K5802" s="690"/>
      <c r="L5802" s="704"/>
      <c r="M5802" s="170"/>
    </row>
    <row r="5803" spans="2:13" x14ac:dyDescent="0.2">
      <c r="B5803" s="173"/>
      <c r="C5803" s="703"/>
      <c r="D5803" s="690"/>
      <c r="E5803" s="690"/>
      <c r="F5803" s="690"/>
      <c r="G5803" s="690"/>
      <c r="H5803" s="690"/>
      <c r="I5803" s="690"/>
      <c r="J5803" s="690"/>
      <c r="K5803" s="690"/>
      <c r="L5803" s="704"/>
      <c r="M5803" s="170"/>
    </row>
    <row r="5804" spans="2:13" x14ac:dyDescent="0.2">
      <c r="B5804" s="173"/>
      <c r="C5804" s="703"/>
      <c r="D5804" s="690"/>
      <c r="E5804" s="690"/>
      <c r="F5804" s="690"/>
      <c r="G5804" s="690"/>
      <c r="H5804" s="690"/>
      <c r="I5804" s="690"/>
      <c r="J5804" s="690"/>
      <c r="K5804" s="690"/>
      <c r="L5804" s="704"/>
      <c r="M5804" s="170"/>
    </row>
    <row r="5805" spans="2:13" x14ac:dyDescent="0.2">
      <c r="B5805" s="173"/>
      <c r="C5805" s="703"/>
      <c r="D5805" s="690"/>
      <c r="E5805" s="690"/>
      <c r="F5805" s="690"/>
      <c r="G5805" s="690"/>
      <c r="H5805" s="690"/>
      <c r="I5805" s="690"/>
      <c r="J5805" s="690"/>
      <c r="K5805" s="690"/>
      <c r="L5805" s="704"/>
      <c r="M5805" s="170"/>
    </row>
    <row r="5806" spans="2:13" x14ac:dyDescent="0.2">
      <c r="B5806" s="173"/>
      <c r="C5806" s="703"/>
      <c r="D5806" s="690"/>
      <c r="E5806" s="690"/>
      <c r="F5806" s="690"/>
      <c r="G5806" s="690"/>
      <c r="H5806" s="690"/>
      <c r="I5806" s="690"/>
      <c r="J5806" s="690"/>
      <c r="K5806" s="690"/>
      <c r="L5806" s="704"/>
      <c r="M5806" s="170"/>
    </row>
    <row r="5807" spans="2:13" x14ac:dyDescent="0.2">
      <c r="B5807" s="173"/>
      <c r="C5807" s="703"/>
      <c r="D5807" s="690"/>
      <c r="E5807" s="690"/>
      <c r="F5807" s="690"/>
      <c r="G5807" s="690"/>
      <c r="H5807" s="690"/>
      <c r="I5807" s="690"/>
      <c r="J5807" s="690"/>
      <c r="K5807" s="690"/>
      <c r="L5807" s="704"/>
      <c r="M5807" s="170"/>
    </row>
    <row r="5808" spans="2:13" x14ac:dyDescent="0.2">
      <c r="B5808" s="173"/>
      <c r="C5808" s="703"/>
      <c r="D5808" s="690"/>
      <c r="E5808" s="690"/>
      <c r="F5808" s="690"/>
      <c r="G5808" s="690"/>
      <c r="H5808" s="690"/>
      <c r="I5808" s="690"/>
      <c r="J5808" s="690"/>
      <c r="K5808" s="690"/>
      <c r="L5808" s="704"/>
      <c r="M5808" s="170"/>
    </row>
    <row r="5809" spans="2:13" x14ac:dyDescent="0.2">
      <c r="B5809" s="173"/>
      <c r="C5809" s="703"/>
      <c r="D5809" s="690"/>
      <c r="E5809" s="690"/>
      <c r="F5809" s="690"/>
      <c r="G5809" s="690"/>
      <c r="H5809" s="690"/>
      <c r="I5809" s="690"/>
      <c r="J5809" s="690"/>
      <c r="K5809" s="690"/>
      <c r="L5809" s="704"/>
      <c r="M5809" s="170"/>
    </row>
    <row r="5810" spans="2:13" x14ac:dyDescent="0.2">
      <c r="B5810" s="173"/>
      <c r="C5810" s="703"/>
      <c r="D5810" s="690"/>
      <c r="E5810" s="690"/>
      <c r="F5810" s="690"/>
      <c r="G5810" s="690"/>
      <c r="H5810" s="690"/>
      <c r="I5810" s="690"/>
      <c r="J5810" s="690"/>
      <c r="K5810" s="690"/>
      <c r="L5810" s="704"/>
      <c r="M5810" s="170"/>
    </row>
    <row r="5811" spans="2:13" x14ac:dyDescent="0.2">
      <c r="B5811" s="173"/>
      <c r="C5811" s="703"/>
      <c r="D5811" s="690"/>
      <c r="E5811" s="690"/>
      <c r="F5811" s="690"/>
      <c r="G5811" s="690"/>
      <c r="H5811" s="690"/>
      <c r="I5811" s="690"/>
      <c r="J5811" s="690"/>
      <c r="K5811" s="690"/>
      <c r="L5811" s="704"/>
      <c r="M5811" s="170"/>
    </row>
    <row r="5812" spans="2:13" x14ac:dyDescent="0.2">
      <c r="B5812" s="173"/>
      <c r="C5812" s="703"/>
      <c r="D5812" s="690"/>
      <c r="E5812" s="690"/>
      <c r="F5812" s="690"/>
      <c r="G5812" s="690"/>
      <c r="H5812" s="690"/>
      <c r="I5812" s="690"/>
      <c r="J5812" s="690"/>
      <c r="K5812" s="690"/>
      <c r="L5812" s="704"/>
      <c r="M5812" s="170"/>
    </row>
    <row r="5813" spans="2:13" x14ac:dyDescent="0.2">
      <c r="B5813" s="173"/>
      <c r="C5813" s="703"/>
      <c r="D5813" s="690"/>
      <c r="E5813" s="690"/>
      <c r="F5813" s="690"/>
      <c r="G5813" s="690"/>
      <c r="H5813" s="690"/>
      <c r="I5813" s="690"/>
      <c r="J5813" s="690"/>
      <c r="K5813" s="690"/>
      <c r="L5813" s="704"/>
      <c r="M5813" s="170"/>
    </row>
    <row r="5814" spans="2:13" x14ac:dyDescent="0.2">
      <c r="B5814" s="173"/>
      <c r="C5814" s="703"/>
      <c r="D5814" s="690"/>
      <c r="E5814" s="690"/>
      <c r="F5814" s="690"/>
      <c r="G5814" s="690"/>
      <c r="H5814" s="690"/>
      <c r="I5814" s="690"/>
      <c r="J5814" s="690"/>
      <c r="K5814" s="690"/>
      <c r="L5814" s="704"/>
      <c r="M5814" s="170"/>
    </row>
    <row r="5815" spans="2:13" x14ac:dyDescent="0.2">
      <c r="B5815" s="173"/>
      <c r="C5815" s="703"/>
      <c r="D5815" s="690"/>
      <c r="E5815" s="690"/>
      <c r="F5815" s="690"/>
      <c r="G5815" s="690"/>
      <c r="H5815" s="690"/>
      <c r="I5815" s="690"/>
      <c r="J5815" s="690"/>
      <c r="K5815" s="690"/>
      <c r="L5815" s="704"/>
      <c r="M5815" s="170"/>
    </row>
    <row r="5816" spans="2:13" x14ac:dyDescent="0.2">
      <c r="B5816" s="173"/>
      <c r="C5816" s="703"/>
      <c r="D5816" s="690"/>
      <c r="E5816" s="690"/>
      <c r="F5816" s="690"/>
      <c r="G5816" s="690"/>
      <c r="H5816" s="690"/>
      <c r="I5816" s="690"/>
      <c r="J5816" s="690"/>
      <c r="K5816" s="690"/>
      <c r="L5816" s="704"/>
      <c r="M5816" s="170"/>
    </row>
    <row r="5817" spans="2:13" x14ac:dyDescent="0.2">
      <c r="B5817" s="173"/>
      <c r="C5817" s="703"/>
      <c r="D5817" s="690"/>
      <c r="E5817" s="690"/>
      <c r="F5817" s="690"/>
      <c r="G5817" s="690"/>
      <c r="H5817" s="690"/>
      <c r="I5817" s="690"/>
      <c r="J5817" s="690"/>
      <c r="K5817" s="690"/>
      <c r="L5817" s="704"/>
      <c r="M5817" s="170"/>
    </row>
    <row r="5818" spans="2:13" x14ac:dyDescent="0.2">
      <c r="B5818" s="173"/>
      <c r="C5818" s="703"/>
      <c r="D5818" s="690"/>
      <c r="E5818" s="690"/>
      <c r="F5818" s="690"/>
      <c r="G5818" s="690"/>
      <c r="H5818" s="690"/>
      <c r="I5818" s="690"/>
      <c r="J5818" s="690"/>
      <c r="K5818" s="690"/>
      <c r="L5818" s="704"/>
      <c r="M5818" s="170"/>
    </row>
    <row r="5819" spans="2:13" x14ac:dyDescent="0.2">
      <c r="B5819" s="173"/>
      <c r="C5819" s="703"/>
      <c r="D5819" s="690"/>
      <c r="E5819" s="690"/>
      <c r="F5819" s="690"/>
      <c r="G5819" s="690"/>
      <c r="H5819" s="690"/>
      <c r="I5819" s="690"/>
      <c r="J5819" s="690"/>
      <c r="K5819" s="690"/>
      <c r="L5819" s="704"/>
      <c r="M5819" s="170"/>
    </row>
    <row r="5820" spans="2:13" x14ac:dyDescent="0.2">
      <c r="B5820" s="173"/>
      <c r="C5820" s="703"/>
      <c r="D5820" s="690"/>
      <c r="E5820" s="690"/>
      <c r="F5820" s="690"/>
      <c r="G5820" s="690"/>
      <c r="H5820" s="690"/>
      <c r="I5820" s="690"/>
      <c r="J5820" s="690"/>
      <c r="K5820" s="690"/>
      <c r="L5820" s="704"/>
      <c r="M5820" s="170"/>
    </row>
    <row r="5821" spans="2:13" x14ac:dyDescent="0.2">
      <c r="B5821" s="173"/>
      <c r="C5821" s="703"/>
      <c r="D5821" s="690"/>
      <c r="E5821" s="690"/>
      <c r="F5821" s="690"/>
      <c r="G5821" s="690"/>
      <c r="H5821" s="690"/>
      <c r="I5821" s="690"/>
      <c r="J5821" s="690"/>
      <c r="K5821" s="690"/>
      <c r="L5821" s="704"/>
      <c r="M5821" s="170"/>
    </row>
    <row r="5822" spans="2:13" x14ac:dyDescent="0.2">
      <c r="B5822" s="173"/>
      <c r="C5822" s="703"/>
      <c r="D5822" s="690"/>
      <c r="E5822" s="690"/>
      <c r="F5822" s="690"/>
      <c r="G5822" s="690"/>
      <c r="H5822" s="690"/>
      <c r="I5822" s="690"/>
      <c r="J5822" s="690"/>
      <c r="K5822" s="690"/>
      <c r="L5822" s="704"/>
      <c r="M5822" s="170"/>
    </row>
    <row r="5823" spans="2:13" x14ac:dyDescent="0.2">
      <c r="B5823" s="173"/>
      <c r="C5823" s="703"/>
      <c r="D5823" s="690"/>
      <c r="E5823" s="690"/>
      <c r="F5823" s="690"/>
      <c r="G5823" s="690"/>
      <c r="H5823" s="690"/>
      <c r="I5823" s="690"/>
      <c r="J5823" s="690"/>
      <c r="K5823" s="690"/>
      <c r="L5823" s="704"/>
      <c r="M5823" s="170"/>
    </row>
    <row r="5824" spans="2:13" x14ac:dyDescent="0.2">
      <c r="B5824" s="173"/>
      <c r="C5824" s="703"/>
      <c r="D5824" s="690"/>
      <c r="E5824" s="690"/>
      <c r="F5824" s="690"/>
      <c r="G5824" s="690"/>
      <c r="H5824" s="690"/>
      <c r="I5824" s="690"/>
      <c r="J5824" s="690"/>
      <c r="K5824" s="690"/>
      <c r="L5824" s="704"/>
      <c r="M5824" s="170"/>
    </row>
    <row r="5825" spans="2:13" x14ac:dyDescent="0.2">
      <c r="B5825" s="173"/>
      <c r="C5825" s="703"/>
      <c r="D5825" s="690"/>
      <c r="E5825" s="690"/>
      <c r="F5825" s="690"/>
      <c r="G5825" s="690"/>
      <c r="H5825" s="690"/>
      <c r="I5825" s="690"/>
      <c r="J5825" s="690"/>
      <c r="K5825" s="690"/>
      <c r="L5825" s="704"/>
      <c r="M5825" s="170"/>
    </row>
    <row r="5826" spans="2:13" x14ac:dyDescent="0.2">
      <c r="B5826" s="173"/>
      <c r="C5826" s="703"/>
      <c r="D5826" s="690"/>
      <c r="E5826" s="690"/>
      <c r="F5826" s="690"/>
      <c r="G5826" s="690"/>
      <c r="H5826" s="690"/>
      <c r="I5826" s="690"/>
      <c r="J5826" s="690"/>
      <c r="K5826" s="690"/>
      <c r="L5826" s="704"/>
      <c r="M5826" s="170"/>
    </row>
    <row r="5827" spans="2:13" x14ac:dyDescent="0.2">
      <c r="B5827" s="173"/>
      <c r="C5827" s="703"/>
      <c r="D5827" s="690"/>
      <c r="E5827" s="690"/>
      <c r="F5827" s="690"/>
      <c r="G5827" s="690"/>
      <c r="H5827" s="690"/>
      <c r="I5827" s="690"/>
      <c r="J5827" s="690"/>
      <c r="K5827" s="690"/>
      <c r="L5827" s="704"/>
      <c r="M5827" s="170"/>
    </row>
    <row r="5828" spans="2:13" x14ac:dyDescent="0.2">
      <c r="B5828" s="173"/>
      <c r="C5828" s="703"/>
      <c r="D5828" s="690"/>
      <c r="E5828" s="690"/>
      <c r="F5828" s="690"/>
      <c r="G5828" s="690"/>
      <c r="H5828" s="690"/>
      <c r="I5828" s="690"/>
      <c r="J5828" s="690"/>
      <c r="K5828" s="690"/>
      <c r="L5828" s="704"/>
      <c r="M5828" s="170"/>
    </row>
    <row r="5829" spans="2:13" x14ac:dyDescent="0.2">
      <c r="B5829" s="173"/>
      <c r="C5829" s="703"/>
      <c r="D5829" s="690"/>
      <c r="E5829" s="690"/>
      <c r="F5829" s="690"/>
      <c r="G5829" s="690"/>
      <c r="H5829" s="690"/>
      <c r="I5829" s="690"/>
      <c r="J5829" s="690"/>
      <c r="K5829" s="690"/>
      <c r="L5829" s="704"/>
      <c r="M5829" s="170"/>
    </row>
    <row r="5830" spans="2:13" x14ac:dyDescent="0.2">
      <c r="B5830" s="173"/>
      <c r="C5830" s="703"/>
      <c r="D5830" s="690"/>
      <c r="E5830" s="690"/>
      <c r="F5830" s="690"/>
      <c r="G5830" s="690"/>
      <c r="H5830" s="690"/>
      <c r="I5830" s="690"/>
      <c r="J5830" s="690"/>
      <c r="K5830" s="690"/>
      <c r="L5830" s="704"/>
      <c r="M5830" s="170"/>
    </row>
    <row r="5831" spans="2:13" x14ac:dyDescent="0.2">
      <c r="B5831" s="173"/>
      <c r="C5831" s="703"/>
      <c r="D5831" s="690"/>
      <c r="E5831" s="690"/>
      <c r="F5831" s="690"/>
      <c r="G5831" s="690"/>
      <c r="H5831" s="690"/>
      <c r="I5831" s="690"/>
      <c r="J5831" s="690"/>
      <c r="K5831" s="690"/>
      <c r="L5831" s="704"/>
      <c r="M5831" s="170"/>
    </row>
    <row r="5832" spans="2:13" x14ac:dyDescent="0.2">
      <c r="B5832" s="173"/>
      <c r="C5832" s="703"/>
      <c r="D5832" s="690"/>
      <c r="E5832" s="690"/>
      <c r="F5832" s="690"/>
      <c r="G5832" s="690"/>
      <c r="H5832" s="690"/>
      <c r="I5832" s="690"/>
      <c r="J5832" s="690"/>
      <c r="K5832" s="690"/>
      <c r="L5832" s="704"/>
      <c r="M5832" s="170"/>
    </row>
    <row r="5833" spans="2:13" x14ac:dyDescent="0.2">
      <c r="B5833" s="173"/>
      <c r="C5833" s="703"/>
      <c r="D5833" s="690"/>
      <c r="E5833" s="690"/>
      <c r="F5833" s="690"/>
      <c r="G5833" s="690"/>
      <c r="H5833" s="690"/>
      <c r="I5833" s="690"/>
      <c r="J5833" s="690"/>
      <c r="K5833" s="690"/>
      <c r="L5833" s="704"/>
      <c r="M5833" s="170"/>
    </row>
    <row r="5834" spans="2:13" x14ac:dyDescent="0.2">
      <c r="B5834" s="173"/>
      <c r="C5834" s="703"/>
      <c r="D5834" s="690"/>
      <c r="E5834" s="690"/>
      <c r="F5834" s="690"/>
      <c r="G5834" s="690"/>
      <c r="H5834" s="690"/>
      <c r="I5834" s="690"/>
      <c r="J5834" s="690"/>
      <c r="K5834" s="690"/>
      <c r="L5834" s="704"/>
      <c r="M5834" s="170"/>
    </row>
    <row r="5835" spans="2:13" x14ac:dyDescent="0.2">
      <c r="B5835" s="173"/>
      <c r="C5835" s="703"/>
      <c r="D5835" s="690"/>
      <c r="E5835" s="690"/>
      <c r="F5835" s="690"/>
      <c r="G5835" s="690"/>
      <c r="H5835" s="690"/>
      <c r="I5835" s="690"/>
      <c r="J5835" s="690"/>
      <c r="K5835" s="690"/>
      <c r="L5835" s="704"/>
      <c r="M5835" s="170"/>
    </row>
    <row r="5836" spans="2:13" x14ac:dyDescent="0.2">
      <c r="B5836" s="173"/>
      <c r="C5836" s="703"/>
      <c r="D5836" s="690"/>
      <c r="E5836" s="690"/>
      <c r="F5836" s="690"/>
      <c r="G5836" s="690"/>
      <c r="H5836" s="690"/>
      <c r="I5836" s="690"/>
      <c r="J5836" s="690"/>
      <c r="K5836" s="690"/>
      <c r="L5836" s="704"/>
      <c r="M5836" s="170"/>
    </row>
    <row r="5837" spans="2:13" x14ac:dyDescent="0.2">
      <c r="B5837" s="173"/>
      <c r="C5837" s="703"/>
      <c r="D5837" s="690"/>
      <c r="E5837" s="690"/>
      <c r="F5837" s="690"/>
      <c r="G5837" s="690"/>
      <c r="H5837" s="690"/>
      <c r="I5837" s="690"/>
      <c r="J5837" s="690"/>
      <c r="K5837" s="690"/>
      <c r="L5837" s="704"/>
      <c r="M5837" s="170"/>
    </row>
    <row r="5838" spans="2:13" x14ac:dyDescent="0.2">
      <c r="B5838" s="173"/>
      <c r="C5838" s="703"/>
      <c r="D5838" s="690"/>
      <c r="E5838" s="690"/>
      <c r="F5838" s="690"/>
      <c r="G5838" s="690"/>
      <c r="H5838" s="690"/>
      <c r="I5838" s="690"/>
      <c r="J5838" s="690"/>
      <c r="K5838" s="690"/>
      <c r="L5838" s="704"/>
      <c r="M5838" s="170"/>
    </row>
    <row r="5839" spans="2:13" x14ac:dyDescent="0.2">
      <c r="B5839" s="173"/>
      <c r="C5839" s="703"/>
      <c r="D5839" s="690"/>
      <c r="E5839" s="690"/>
      <c r="F5839" s="690"/>
      <c r="G5839" s="690"/>
      <c r="H5839" s="690"/>
      <c r="I5839" s="690"/>
      <c r="J5839" s="690"/>
      <c r="K5839" s="690"/>
      <c r="L5839" s="704"/>
      <c r="M5839" s="170"/>
    </row>
    <row r="5840" spans="2:13" x14ac:dyDescent="0.2">
      <c r="B5840" s="173"/>
      <c r="C5840" s="703"/>
      <c r="D5840" s="690"/>
      <c r="E5840" s="690"/>
      <c r="F5840" s="690"/>
      <c r="G5840" s="690"/>
      <c r="H5840" s="690"/>
      <c r="I5840" s="690"/>
      <c r="J5840" s="690"/>
      <c r="K5840" s="690"/>
      <c r="L5840" s="704"/>
      <c r="M5840" s="170"/>
    </row>
    <row r="5841" spans="2:13" x14ac:dyDescent="0.2">
      <c r="B5841" s="173"/>
      <c r="C5841" s="703"/>
      <c r="D5841" s="690"/>
      <c r="E5841" s="690"/>
      <c r="F5841" s="690"/>
      <c r="G5841" s="690"/>
      <c r="H5841" s="690"/>
      <c r="I5841" s="690"/>
      <c r="J5841" s="690"/>
      <c r="K5841" s="690"/>
      <c r="L5841" s="704"/>
      <c r="M5841" s="170"/>
    </row>
    <row r="5842" spans="2:13" x14ac:dyDescent="0.2">
      <c r="B5842" s="173"/>
      <c r="C5842" s="703"/>
      <c r="D5842" s="690"/>
      <c r="E5842" s="690"/>
      <c r="F5842" s="690"/>
      <c r="G5842" s="690"/>
      <c r="H5842" s="690"/>
      <c r="I5842" s="690"/>
      <c r="J5842" s="690"/>
      <c r="K5842" s="690"/>
      <c r="L5842" s="704"/>
      <c r="M5842" s="170"/>
    </row>
    <row r="5843" spans="2:13" x14ac:dyDescent="0.2">
      <c r="B5843" s="173"/>
      <c r="C5843" s="703"/>
      <c r="D5843" s="690"/>
      <c r="E5843" s="690"/>
      <c r="F5843" s="690"/>
      <c r="G5843" s="690"/>
      <c r="H5843" s="690"/>
      <c r="I5843" s="690"/>
      <c r="J5843" s="690"/>
      <c r="K5843" s="690"/>
      <c r="L5843" s="704"/>
      <c r="M5843" s="170"/>
    </row>
    <row r="5844" spans="2:13" x14ac:dyDescent="0.2">
      <c r="B5844" s="173"/>
      <c r="C5844" s="703"/>
      <c r="D5844" s="690"/>
      <c r="E5844" s="690"/>
      <c r="F5844" s="690"/>
      <c r="G5844" s="690"/>
      <c r="H5844" s="690"/>
      <c r="I5844" s="690"/>
      <c r="J5844" s="690"/>
      <c r="K5844" s="690"/>
      <c r="L5844" s="704"/>
      <c r="M5844" s="170"/>
    </row>
    <row r="5845" spans="2:13" x14ac:dyDescent="0.2">
      <c r="B5845" s="173"/>
      <c r="C5845" s="703"/>
      <c r="D5845" s="690"/>
      <c r="E5845" s="690"/>
      <c r="F5845" s="690"/>
      <c r="G5845" s="690"/>
      <c r="H5845" s="690"/>
      <c r="I5845" s="690"/>
      <c r="J5845" s="690"/>
      <c r="K5845" s="690"/>
      <c r="L5845" s="704"/>
      <c r="M5845" s="170"/>
    </row>
    <row r="5846" spans="2:13" x14ac:dyDescent="0.2">
      <c r="B5846" s="173"/>
      <c r="C5846" s="703"/>
      <c r="D5846" s="690"/>
      <c r="E5846" s="690"/>
      <c r="F5846" s="690"/>
      <c r="G5846" s="690"/>
      <c r="H5846" s="690"/>
      <c r="I5846" s="690"/>
      <c r="J5846" s="690"/>
      <c r="K5846" s="690"/>
      <c r="L5846" s="704"/>
      <c r="M5846" s="170"/>
    </row>
    <row r="5847" spans="2:13" x14ac:dyDescent="0.2">
      <c r="B5847" s="173"/>
      <c r="C5847" s="703"/>
      <c r="D5847" s="690"/>
      <c r="E5847" s="690"/>
      <c r="F5847" s="690"/>
      <c r="G5847" s="690"/>
      <c r="H5847" s="690"/>
      <c r="I5847" s="690"/>
      <c r="J5847" s="690"/>
      <c r="K5847" s="690"/>
      <c r="L5847" s="704"/>
      <c r="M5847" s="170"/>
    </row>
    <row r="5848" spans="2:13" x14ac:dyDescent="0.2">
      <c r="B5848" s="173"/>
      <c r="C5848" s="703"/>
      <c r="D5848" s="690"/>
      <c r="E5848" s="690"/>
      <c r="F5848" s="690"/>
      <c r="G5848" s="690"/>
      <c r="H5848" s="690"/>
      <c r="I5848" s="690"/>
      <c r="J5848" s="690"/>
      <c r="K5848" s="690"/>
      <c r="L5848" s="704"/>
      <c r="M5848" s="170"/>
    </row>
    <row r="5849" spans="2:13" x14ac:dyDescent="0.2">
      <c r="B5849" s="173"/>
      <c r="C5849" s="703"/>
      <c r="D5849" s="690"/>
      <c r="E5849" s="690"/>
      <c r="F5849" s="690"/>
      <c r="G5849" s="690"/>
      <c r="H5849" s="690"/>
      <c r="I5849" s="690"/>
      <c r="J5849" s="690"/>
      <c r="K5849" s="690"/>
      <c r="L5849" s="704"/>
      <c r="M5849" s="170"/>
    </row>
    <row r="5850" spans="2:13" x14ac:dyDescent="0.2">
      <c r="B5850" s="173"/>
      <c r="C5850" s="703"/>
      <c r="D5850" s="690"/>
      <c r="E5850" s="690"/>
      <c r="F5850" s="690"/>
      <c r="G5850" s="690"/>
      <c r="H5850" s="690"/>
      <c r="I5850" s="690"/>
      <c r="J5850" s="690"/>
      <c r="K5850" s="690"/>
      <c r="L5850" s="704"/>
      <c r="M5850" s="170"/>
    </row>
    <row r="5851" spans="2:13" x14ac:dyDescent="0.2">
      <c r="B5851" s="173"/>
      <c r="C5851" s="703"/>
      <c r="D5851" s="690"/>
      <c r="E5851" s="690"/>
      <c r="F5851" s="690"/>
      <c r="G5851" s="690"/>
      <c r="H5851" s="690"/>
      <c r="I5851" s="690"/>
      <c r="J5851" s="690"/>
      <c r="K5851" s="690"/>
      <c r="L5851" s="704"/>
      <c r="M5851" s="170"/>
    </row>
    <row r="5852" spans="2:13" x14ac:dyDescent="0.2">
      <c r="B5852" s="173"/>
      <c r="C5852" s="703"/>
      <c r="D5852" s="690"/>
      <c r="E5852" s="690"/>
      <c r="F5852" s="690"/>
      <c r="G5852" s="690"/>
      <c r="H5852" s="690"/>
      <c r="I5852" s="690"/>
      <c r="J5852" s="690"/>
      <c r="K5852" s="690"/>
      <c r="L5852" s="704"/>
      <c r="M5852" s="170"/>
    </row>
    <row r="5853" spans="2:13" x14ac:dyDescent="0.2">
      <c r="B5853" s="173"/>
      <c r="C5853" s="703"/>
      <c r="D5853" s="690"/>
      <c r="E5853" s="690"/>
      <c r="F5853" s="690"/>
      <c r="G5853" s="690"/>
      <c r="H5853" s="690"/>
      <c r="I5853" s="690"/>
      <c r="J5853" s="690"/>
      <c r="K5853" s="690"/>
      <c r="L5853" s="704"/>
      <c r="M5853" s="170"/>
    </row>
    <row r="5854" spans="2:13" x14ac:dyDescent="0.2">
      <c r="B5854" s="173"/>
      <c r="C5854" s="703"/>
      <c r="D5854" s="690"/>
      <c r="E5854" s="690"/>
      <c r="F5854" s="690"/>
      <c r="G5854" s="690"/>
      <c r="H5854" s="690"/>
      <c r="I5854" s="690"/>
      <c r="J5854" s="690"/>
      <c r="K5854" s="690"/>
      <c r="L5854" s="704"/>
      <c r="M5854" s="170"/>
    </row>
    <row r="5855" spans="2:13" x14ac:dyDescent="0.2">
      <c r="B5855" s="173"/>
      <c r="C5855" s="703"/>
      <c r="D5855" s="690"/>
      <c r="E5855" s="690"/>
      <c r="F5855" s="690"/>
      <c r="G5855" s="690"/>
      <c r="H5855" s="690"/>
      <c r="I5855" s="690"/>
      <c r="J5855" s="690"/>
      <c r="K5855" s="690"/>
      <c r="L5855" s="704"/>
      <c r="M5855" s="170"/>
    </row>
    <row r="5856" spans="2:13" x14ac:dyDescent="0.2">
      <c r="B5856" s="173"/>
      <c r="C5856" s="703"/>
      <c r="D5856" s="690"/>
      <c r="E5856" s="690"/>
      <c r="F5856" s="690"/>
      <c r="G5856" s="690"/>
      <c r="H5856" s="690"/>
      <c r="I5856" s="690"/>
      <c r="J5856" s="690"/>
      <c r="K5856" s="690"/>
      <c r="L5856" s="704"/>
      <c r="M5856" s="170"/>
    </row>
    <row r="5857" spans="2:13" x14ac:dyDescent="0.2">
      <c r="B5857" s="173"/>
      <c r="C5857" s="703"/>
      <c r="D5857" s="690"/>
      <c r="E5857" s="690"/>
      <c r="F5857" s="690"/>
      <c r="G5857" s="690"/>
      <c r="H5857" s="690"/>
      <c r="I5857" s="690"/>
      <c r="J5857" s="690"/>
      <c r="K5857" s="690"/>
      <c r="L5857" s="704"/>
      <c r="M5857" s="170"/>
    </row>
    <row r="5858" spans="2:13" x14ac:dyDescent="0.2">
      <c r="B5858" s="173"/>
      <c r="C5858" s="703"/>
      <c r="D5858" s="690"/>
      <c r="E5858" s="690"/>
      <c r="F5858" s="690"/>
      <c r="G5858" s="690"/>
      <c r="H5858" s="690"/>
      <c r="I5858" s="690"/>
      <c r="J5858" s="690"/>
      <c r="K5858" s="690"/>
      <c r="L5858" s="704"/>
      <c r="M5858" s="170"/>
    </row>
    <row r="5859" spans="2:13" x14ac:dyDescent="0.2">
      <c r="B5859" s="173"/>
      <c r="C5859" s="703"/>
      <c r="D5859" s="690"/>
      <c r="E5859" s="690"/>
      <c r="F5859" s="690"/>
      <c r="G5859" s="690"/>
      <c r="H5859" s="690"/>
      <c r="I5859" s="690"/>
      <c r="J5859" s="690"/>
      <c r="K5859" s="690"/>
      <c r="L5859" s="704"/>
      <c r="M5859" s="170"/>
    </row>
    <row r="5860" spans="2:13" x14ac:dyDescent="0.2">
      <c r="B5860" s="173"/>
      <c r="C5860" s="703"/>
      <c r="D5860" s="690"/>
      <c r="E5860" s="690"/>
      <c r="F5860" s="690"/>
      <c r="G5860" s="690"/>
      <c r="H5860" s="690"/>
      <c r="I5860" s="690"/>
      <c r="J5860" s="690"/>
      <c r="K5860" s="690"/>
      <c r="L5860" s="704"/>
      <c r="M5860" s="170"/>
    </row>
    <row r="5861" spans="2:13" x14ac:dyDescent="0.2">
      <c r="B5861" s="173"/>
      <c r="C5861" s="703"/>
      <c r="D5861" s="690"/>
      <c r="E5861" s="690"/>
      <c r="F5861" s="690"/>
      <c r="G5861" s="690"/>
      <c r="H5861" s="690"/>
      <c r="I5861" s="690"/>
      <c r="J5861" s="690"/>
      <c r="K5861" s="690"/>
      <c r="L5861" s="704"/>
      <c r="M5861" s="170"/>
    </row>
    <row r="5862" spans="2:13" x14ac:dyDescent="0.2">
      <c r="B5862" s="173"/>
      <c r="C5862" s="703"/>
      <c r="D5862" s="690"/>
      <c r="E5862" s="690"/>
      <c r="F5862" s="690"/>
      <c r="G5862" s="690"/>
      <c r="H5862" s="690"/>
      <c r="I5862" s="690"/>
      <c r="J5862" s="690"/>
      <c r="K5862" s="690"/>
      <c r="L5862" s="704"/>
      <c r="M5862" s="170"/>
    </row>
    <row r="5863" spans="2:13" x14ac:dyDescent="0.2">
      <c r="B5863" s="173"/>
      <c r="C5863" s="703"/>
      <c r="D5863" s="690"/>
      <c r="E5863" s="690"/>
      <c r="F5863" s="690"/>
      <c r="G5863" s="690"/>
      <c r="H5863" s="690"/>
      <c r="I5863" s="690"/>
      <c r="J5863" s="690"/>
      <c r="K5863" s="690"/>
      <c r="L5863" s="704"/>
      <c r="M5863" s="170"/>
    </row>
    <row r="5864" spans="2:13" x14ac:dyDescent="0.2">
      <c r="B5864" s="173"/>
      <c r="C5864" s="703"/>
      <c r="D5864" s="690"/>
      <c r="E5864" s="690"/>
      <c r="F5864" s="690"/>
      <c r="G5864" s="690"/>
      <c r="H5864" s="690"/>
      <c r="I5864" s="690"/>
      <c r="J5864" s="690"/>
      <c r="K5864" s="690"/>
      <c r="L5864" s="704"/>
      <c r="M5864" s="170"/>
    </row>
    <row r="5865" spans="2:13" x14ac:dyDescent="0.2">
      <c r="B5865" s="173"/>
      <c r="C5865" s="703"/>
      <c r="D5865" s="690"/>
      <c r="E5865" s="690"/>
      <c r="F5865" s="690"/>
      <c r="G5865" s="690"/>
      <c r="H5865" s="690"/>
      <c r="I5865" s="690"/>
      <c r="J5865" s="690"/>
      <c r="K5865" s="690"/>
      <c r="L5865" s="704"/>
      <c r="M5865" s="170"/>
    </row>
    <row r="5866" spans="2:13" x14ac:dyDescent="0.2">
      <c r="B5866" s="173"/>
      <c r="C5866" s="703"/>
      <c r="D5866" s="690"/>
      <c r="E5866" s="690"/>
      <c r="F5866" s="690"/>
      <c r="G5866" s="690"/>
      <c r="H5866" s="690"/>
      <c r="I5866" s="690"/>
      <c r="J5866" s="690"/>
      <c r="K5866" s="690"/>
      <c r="L5866" s="704"/>
      <c r="M5866" s="170"/>
    </row>
    <row r="5867" spans="2:13" x14ac:dyDescent="0.2">
      <c r="B5867" s="173"/>
      <c r="C5867" s="703"/>
      <c r="D5867" s="690"/>
      <c r="E5867" s="690"/>
      <c r="F5867" s="690"/>
      <c r="G5867" s="690"/>
      <c r="H5867" s="690"/>
      <c r="I5867" s="690"/>
      <c r="J5867" s="690"/>
      <c r="K5867" s="690"/>
      <c r="L5867" s="704"/>
      <c r="M5867" s="170"/>
    </row>
    <row r="5868" spans="2:13" x14ac:dyDescent="0.2">
      <c r="B5868" s="173"/>
      <c r="C5868" s="703"/>
      <c r="D5868" s="690"/>
      <c r="E5868" s="690"/>
      <c r="F5868" s="690"/>
      <c r="G5868" s="690"/>
      <c r="H5868" s="690"/>
      <c r="I5868" s="690"/>
      <c r="J5868" s="690"/>
      <c r="K5868" s="690"/>
      <c r="L5868" s="704"/>
      <c r="M5868" s="170"/>
    </row>
    <row r="5869" spans="2:13" x14ac:dyDescent="0.2">
      <c r="B5869" s="173"/>
      <c r="C5869" s="703"/>
      <c r="D5869" s="690"/>
      <c r="E5869" s="690"/>
      <c r="F5869" s="690"/>
      <c r="G5869" s="690"/>
      <c r="H5869" s="690"/>
      <c r="I5869" s="690"/>
      <c r="J5869" s="690"/>
      <c r="K5869" s="690"/>
      <c r="L5869" s="704"/>
      <c r="M5869" s="170"/>
    </row>
    <row r="5870" spans="2:13" x14ac:dyDescent="0.2">
      <c r="B5870" s="173"/>
      <c r="C5870" s="703"/>
      <c r="D5870" s="690"/>
      <c r="E5870" s="690"/>
      <c r="F5870" s="690"/>
      <c r="G5870" s="690"/>
      <c r="H5870" s="690"/>
      <c r="I5870" s="690"/>
      <c r="J5870" s="690"/>
      <c r="K5870" s="690"/>
      <c r="L5870" s="704"/>
      <c r="M5870" s="170"/>
    </row>
    <row r="5871" spans="2:13" x14ac:dyDescent="0.2">
      <c r="B5871" s="173"/>
      <c r="C5871" s="703"/>
      <c r="D5871" s="690"/>
      <c r="E5871" s="690"/>
      <c r="F5871" s="690"/>
      <c r="G5871" s="690"/>
      <c r="H5871" s="690"/>
      <c r="I5871" s="690"/>
      <c r="J5871" s="690"/>
      <c r="K5871" s="690"/>
      <c r="L5871" s="704"/>
      <c r="M5871" s="170"/>
    </row>
    <row r="5872" spans="2:13" x14ac:dyDescent="0.2">
      <c r="B5872" s="173"/>
      <c r="C5872" s="703"/>
      <c r="D5872" s="690"/>
      <c r="E5872" s="690"/>
      <c r="F5872" s="690"/>
      <c r="G5872" s="690"/>
      <c r="H5872" s="690"/>
      <c r="I5872" s="690"/>
      <c r="J5872" s="690"/>
      <c r="K5872" s="690"/>
      <c r="L5872" s="704"/>
      <c r="M5872" s="170"/>
    </row>
    <row r="5873" spans="2:13" x14ac:dyDescent="0.2">
      <c r="B5873" s="173"/>
      <c r="C5873" s="703"/>
      <c r="D5873" s="690"/>
      <c r="E5873" s="690"/>
      <c r="F5873" s="690"/>
      <c r="G5873" s="690"/>
      <c r="H5873" s="690"/>
      <c r="I5873" s="690"/>
      <c r="J5873" s="690"/>
      <c r="K5873" s="690"/>
      <c r="L5873" s="704"/>
      <c r="M5873" s="170"/>
    </row>
    <row r="5874" spans="2:13" x14ac:dyDescent="0.2">
      <c r="B5874" s="173"/>
      <c r="C5874" s="703"/>
      <c r="D5874" s="690"/>
      <c r="E5874" s="690"/>
      <c r="F5874" s="690"/>
      <c r="G5874" s="690"/>
      <c r="H5874" s="690"/>
      <c r="I5874" s="690"/>
      <c r="J5874" s="690"/>
      <c r="K5874" s="690"/>
      <c r="L5874" s="704"/>
      <c r="M5874" s="170"/>
    </row>
    <row r="5875" spans="2:13" x14ac:dyDescent="0.2">
      <c r="B5875" s="173"/>
      <c r="C5875" s="703"/>
      <c r="D5875" s="690"/>
      <c r="E5875" s="690"/>
      <c r="F5875" s="690"/>
      <c r="G5875" s="690"/>
      <c r="H5875" s="690"/>
      <c r="I5875" s="690"/>
      <c r="J5875" s="690"/>
      <c r="K5875" s="690"/>
      <c r="L5875" s="704"/>
      <c r="M5875" s="170"/>
    </row>
    <row r="5876" spans="2:13" x14ac:dyDescent="0.2">
      <c r="B5876" s="173"/>
      <c r="C5876" s="703"/>
      <c r="D5876" s="690"/>
      <c r="E5876" s="690"/>
      <c r="F5876" s="690"/>
      <c r="G5876" s="690"/>
      <c r="H5876" s="690"/>
      <c r="I5876" s="690"/>
      <c r="J5876" s="690"/>
      <c r="K5876" s="690"/>
      <c r="L5876" s="704"/>
      <c r="M5876" s="170"/>
    </row>
    <row r="5877" spans="2:13" x14ac:dyDescent="0.2">
      <c r="B5877" s="173"/>
      <c r="C5877" s="703"/>
      <c r="D5877" s="690"/>
      <c r="E5877" s="690"/>
      <c r="F5877" s="690"/>
      <c r="G5877" s="690"/>
      <c r="H5877" s="690"/>
      <c r="I5877" s="690"/>
      <c r="J5877" s="690"/>
      <c r="K5877" s="690"/>
      <c r="L5877" s="704"/>
      <c r="M5877" s="170"/>
    </row>
    <row r="5878" spans="2:13" x14ac:dyDescent="0.2">
      <c r="B5878" s="173"/>
      <c r="C5878" s="703"/>
      <c r="D5878" s="690"/>
      <c r="E5878" s="690"/>
      <c r="F5878" s="690"/>
      <c r="G5878" s="690"/>
      <c r="H5878" s="690"/>
      <c r="I5878" s="690"/>
      <c r="J5878" s="690"/>
      <c r="K5878" s="690"/>
      <c r="L5878" s="704"/>
      <c r="M5878" s="170"/>
    </row>
    <row r="5879" spans="2:13" x14ac:dyDescent="0.2">
      <c r="B5879" s="173"/>
      <c r="C5879" s="703"/>
      <c r="D5879" s="690"/>
      <c r="E5879" s="690"/>
      <c r="F5879" s="690"/>
      <c r="G5879" s="690"/>
      <c r="H5879" s="690"/>
      <c r="I5879" s="690"/>
      <c r="J5879" s="690"/>
      <c r="K5879" s="690"/>
      <c r="L5879" s="704"/>
      <c r="M5879" s="170"/>
    </row>
    <row r="5880" spans="2:13" x14ac:dyDescent="0.2">
      <c r="B5880" s="173"/>
      <c r="C5880" s="703"/>
      <c r="D5880" s="690"/>
      <c r="E5880" s="690"/>
      <c r="F5880" s="690"/>
      <c r="G5880" s="690"/>
      <c r="H5880" s="690"/>
      <c r="I5880" s="690"/>
      <c r="J5880" s="690"/>
      <c r="K5880" s="690"/>
      <c r="L5880" s="704"/>
      <c r="M5880" s="170"/>
    </row>
    <row r="5881" spans="2:13" x14ac:dyDescent="0.2">
      <c r="B5881" s="173"/>
      <c r="C5881" s="703"/>
      <c r="D5881" s="690"/>
      <c r="E5881" s="690"/>
      <c r="F5881" s="690"/>
      <c r="G5881" s="690"/>
      <c r="H5881" s="690"/>
      <c r="I5881" s="690"/>
      <c r="J5881" s="690"/>
      <c r="K5881" s="690"/>
      <c r="L5881" s="704"/>
      <c r="M5881" s="170"/>
    </row>
    <row r="5882" spans="2:13" x14ac:dyDescent="0.2">
      <c r="B5882" s="173"/>
      <c r="C5882" s="703"/>
      <c r="D5882" s="690"/>
      <c r="E5882" s="690"/>
      <c r="F5882" s="690"/>
      <c r="G5882" s="690"/>
      <c r="H5882" s="690"/>
      <c r="I5882" s="690"/>
      <c r="J5882" s="690"/>
      <c r="K5882" s="690"/>
      <c r="L5882" s="704"/>
      <c r="M5882" s="170"/>
    </row>
    <row r="5883" spans="2:13" x14ac:dyDescent="0.2">
      <c r="B5883" s="173"/>
      <c r="C5883" s="703"/>
      <c r="D5883" s="690"/>
      <c r="E5883" s="690"/>
      <c r="F5883" s="690"/>
      <c r="G5883" s="690"/>
      <c r="H5883" s="690"/>
      <c r="I5883" s="690"/>
      <c r="J5883" s="690"/>
      <c r="K5883" s="690"/>
      <c r="L5883" s="704"/>
      <c r="M5883" s="170"/>
    </row>
    <row r="5884" spans="2:13" x14ac:dyDescent="0.2">
      <c r="B5884" s="173"/>
      <c r="C5884" s="703"/>
      <c r="D5884" s="690"/>
      <c r="E5884" s="690"/>
      <c r="F5884" s="690"/>
      <c r="G5884" s="690"/>
      <c r="H5884" s="690"/>
      <c r="I5884" s="690"/>
      <c r="J5884" s="690"/>
      <c r="K5884" s="690"/>
      <c r="L5884" s="704"/>
      <c r="M5884" s="170"/>
    </row>
    <row r="5885" spans="2:13" x14ac:dyDescent="0.2">
      <c r="B5885" s="173"/>
      <c r="C5885" s="703"/>
      <c r="D5885" s="690"/>
      <c r="E5885" s="690"/>
      <c r="F5885" s="690"/>
      <c r="G5885" s="690"/>
      <c r="H5885" s="690"/>
      <c r="I5885" s="690"/>
      <c r="J5885" s="690"/>
      <c r="K5885" s="690"/>
      <c r="L5885" s="704"/>
      <c r="M5885" s="170"/>
    </row>
    <row r="5886" spans="2:13" x14ac:dyDescent="0.2">
      <c r="B5886" s="173"/>
      <c r="C5886" s="703"/>
      <c r="D5886" s="690"/>
      <c r="E5886" s="690"/>
      <c r="F5886" s="690"/>
      <c r="G5886" s="690"/>
      <c r="H5886" s="690"/>
      <c r="I5886" s="690"/>
      <c r="J5886" s="690"/>
      <c r="K5886" s="690"/>
      <c r="L5886" s="704"/>
      <c r="M5886" s="170"/>
    </row>
    <row r="5887" spans="2:13" x14ac:dyDescent="0.2">
      <c r="B5887" s="173"/>
      <c r="C5887" s="703"/>
      <c r="D5887" s="690"/>
      <c r="E5887" s="690"/>
      <c r="F5887" s="690"/>
      <c r="G5887" s="690"/>
      <c r="H5887" s="690"/>
      <c r="I5887" s="690"/>
      <c r="J5887" s="690"/>
      <c r="K5887" s="690"/>
      <c r="L5887" s="704"/>
      <c r="M5887" s="170"/>
    </row>
    <row r="5888" spans="2:13" x14ac:dyDescent="0.2">
      <c r="B5888" s="173"/>
      <c r="C5888" s="703"/>
      <c r="D5888" s="690"/>
      <c r="E5888" s="690"/>
      <c r="F5888" s="690"/>
      <c r="G5888" s="690"/>
      <c r="H5888" s="690"/>
      <c r="I5888" s="690"/>
      <c r="J5888" s="690"/>
      <c r="K5888" s="690"/>
      <c r="L5888" s="704"/>
      <c r="M5888" s="170"/>
    </row>
    <row r="5889" spans="2:13" x14ac:dyDescent="0.2">
      <c r="B5889" s="173"/>
      <c r="C5889" s="703"/>
      <c r="D5889" s="690"/>
      <c r="E5889" s="690"/>
      <c r="F5889" s="690"/>
      <c r="G5889" s="690"/>
      <c r="H5889" s="690"/>
      <c r="I5889" s="690"/>
      <c r="J5889" s="690"/>
      <c r="K5889" s="690"/>
      <c r="L5889" s="704"/>
      <c r="M5889" s="170"/>
    </row>
    <row r="5890" spans="2:13" x14ac:dyDescent="0.2">
      <c r="B5890" s="173"/>
      <c r="C5890" s="703"/>
      <c r="D5890" s="690"/>
      <c r="E5890" s="690"/>
      <c r="F5890" s="690"/>
      <c r="G5890" s="690"/>
      <c r="H5890" s="690"/>
      <c r="I5890" s="690"/>
      <c r="J5890" s="690"/>
      <c r="K5890" s="690"/>
      <c r="L5890" s="704"/>
      <c r="M5890" s="170"/>
    </row>
    <row r="5891" spans="2:13" x14ac:dyDescent="0.2">
      <c r="B5891" s="173"/>
      <c r="C5891" s="703"/>
      <c r="D5891" s="690"/>
      <c r="E5891" s="690"/>
      <c r="F5891" s="690"/>
      <c r="G5891" s="690"/>
      <c r="H5891" s="690"/>
      <c r="I5891" s="690"/>
      <c r="J5891" s="690"/>
      <c r="K5891" s="690"/>
      <c r="L5891" s="704"/>
      <c r="M5891" s="170"/>
    </row>
    <row r="5892" spans="2:13" x14ac:dyDescent="0.2">
      <c r="B5892" s="173"/>
      <c r="C5892" s="703"/>
      <c r="D5892" s="690"/>
      <c r="E5892" s="690"/>
      <c r="F5892" s="690"/>
      <c r="G5892" s="690"/>
      <c r="H5892" s="690"/>
      <c r="I5892" s="690"/>
      <c r="J5892" s="690"/>
      <c r="K5892" s="690"/>
      <c r="L5892" s="704"/>
      <c r="M5892" s="170"/>
    </row>
    <row r="5893" spans="2:13" x14ac:dyDescent="0.2">
      <c r="B5893" s="173"/>
      <c r="C5893" s="703"/>
      <c r="D5893" s="690"/>
      <c r="E5893" s="690"/>
      <c r="F5893" s="690"/>
      <c r="G5893" s="690"/>
      <c r="H5893" s="690"/>
      <c r="I5893" s="690"/>
      <c r="J5893" s="690"/>
      <c r="K5893" s="690"/>
      <c r="L5893" s="704"/>
      <c r="M5893" s="170"/>
    </row>
    <row r="5894" spans="2:13" x14ac:dyDescent="0.2">
      <c r="B5894" s="173"/>
      <c r="C5894" s="703"/>
      <c r="D5894" s="690"/>
      <c r="E5894" s="690"/>
      <c r="F5894" s="690"/>
      <c r="G5894" s="690"/>
      <c r="H5894" s="690"/>
      <c r="I5894" s="690"/>
      <c r="J5894" s="690"/>
      <c r="K5894" s="690"/>
      <c r="L5894" s="704"/>
      <c r="M5894" s="170"/>
    </row>
    <row r="5895" spans="2:13" x14ac:dyDescent="0.2">
      <c r="B5895" s="173"/>
      <c r="C5895" s="703"/>
      <c r="D5895" s="690"/>
      <c r="E5895" s="690"/>
      <c r="F5895" s="690"/>
      <c r="G5895" s="690"/>
      <c r="H5895" s="690"/>
      <c r="I5895" s="690"/>
      <c r="J5895" s="690"/>
      <c r="K5895" s="690"/>
      <c r="L5895" s="704"/>
      <c r="M5895" s="170"/>
    </row>
    <row r="5896" spans="2:13" x14ac:dyDescent="0.2">
      <c r="B5896" s="173"/>
      <c r="C5896" s="703"/>
      <c r="D5896" s="690"/>
      <c r="E5896" s="690"/>
      <c r="F5896" s="690"/>
      <c r="G5896" s="690"/>
      <c r="H5896" s="690"/>
      <c r="I5896" s="690"/>
      <c r="J5896" s="690"/>
      <c r="K5896" s="690"/>
      <c r="L5896" s="704"/>
      <c r="M5896" s="170"/>
    </row>
    <row r="5897" spans="2:13" x14ac:dyDescent="0.2">
      <c r="B5897" s="173"/>
      <c r="C5897" s="703"/>
      <c r="D5897" s="690"/>
      <c r="E5897" s="690"/>
      <c r="F5897" s="690"/>
      <c r="G5897" s="690"/>
      <c r="H5897" s="690"/>
      <c r="I5897" s="690"/>
      <c r="J5897" s="690"/>
      <c r="K5897" s="690"/>
      <c r="L5897" s="704"/>
      <c r="M5897" s="170"/>
    </row>
    <row r="5898" spans="2:13" x14ac:dyDescent="0.2">
      <c r="B5898" s="173"/>
      <c r="C5898" s="703"/>
      <c r="D5898" s="690"/>
      <c r="E5898" s="690"/>
      <c r="F5898" s="690"/>
      <c r="G5898" s="690"/>
      <c r="H5898" s="690"/>
      <c r="I5898" s="690"/>
      <c r="J5898" s="690"/>
      <c r="K5898" s="690"/>
      <c r="L5898" s="704"/>
      <c r="M5898" s="170"/>
    </row>
    <row r="5899" spans="2:13" x14ac:dyDescent="0.2">
      <c r="B5899" s="173"/>
      <c r="C5899" s="703"/>
      <c r="D5899" s="690"/>
      <c r="E5899" s="690"/>
      <c r="F5899" s="690"/>
      <c r="G5899" s="690"/>
      <c r="H5899" s="690"/>
      <c r="I5899" s="690"/>
      <c r="J5899" s="690"/>
      <c r="K5899" s="690"/>
      <c r="L5899" s="704"/>
      <c r="M5899" s="170"/>
    </row>
    <row r="5900" spans="2:13" x14ac:dyDescent="0.2">
      <c r="B5900" s="173"/>
      <c r="C5900" s="703"/>
      <c r="D5900" s="690"/>
      <c r="E5900" s="690"/>
      <c r="F5900" s="690"/>
      <c r="G5900" s="690"/>
      <c r="H5900" s="690"/>
      <c r="I5900" s="690"/>
      <c r="J5900" s="690"/>
      <c r="K5900" s="690"/>
      <c r="L5900" s="704"/>
      <c r="M5900" s="170"/>
    </row>
    <row r="5901" spans="2:13" x14ac:dyDescent="0.2">
      <c r="B5901" s="173"/>
      <c r="C5901" s="703"/>
      <c r="D5901" s="690"/>
      <c r="E5901" s="690"/>
      <c r="F5901" s="690"/>
      <c r="G5901" s="690"/>
      <c r="H5901" s="690"/>
      <c r="I5901" s="690"/>
      <c r="J5901" s="690"/>
      <c r="K5901" s="690"/>
      <c r="L5901" s="704"/>
      <c r="M5901" s="170"/>
    </row>
    <row r="5902" spans="2:13" x14ac:dyDescent="0.2">
      <c r="B5902" s="173"/>
      <c r="C5902" s="703"/>
      <c r="D5902" s="690"/>
      <c r="E5902" s="690"/>
      <c r="F5902" s="690"/>
      <c r="G5902" s="690"/>
      <c r="H5902" s="690"/>
      <c r="I5902" s="690"/>
      <c r="J5902" s="690"/>
      <c r="K5902" s="690"/>
      <c r="L5902" s="704"/>
      <c r="M5902" s="170"/>
    </row>
    <row r="5903" spans="2:13" x14ac:dyDescent="0.2">
      <c r="B5903" s="173"/>
      <c r="C5903" s="703"/>
      <c r="D5903" s="690"/>
      <c r="E5903" s="690"/>
      <c r="F5903" s="690"/>
      <c r="G5903" s="690"/>
      <c r="H5903" s="690"/>
      <c r="I5903" s="690"/>
      <c r="J5903" s="690"/>
      <c r="K5903" s="690"/>
      <c r="L5903" s="704"/>
      <c r="M5903" s="170"/>
    </row>
    <row r="5904" spans="2:13" x14ac:dyDescent="0.2">
      <c r="B5904" s="173"/>
      <c r="C5904" s="703"/>
      <c r="D5904" s="690"/>
      <c r="E5904" s="690"/>
      <c r="F5904" s="690"/>
      <c r="G5904" s="690"/>
      <c r="H5904" s="690"/>
      <c r="I5904" s="690"/>
      <c r="J5904" s="690"/>
      <c r="K5904" s="690"/>
      <c r="L5904" s="704"/>
      <c r="M5904" s="170"/>
    </row>
    <row r="5905" spans="2:13" x14ac:dyDescent="0.2">
      <c r="B5905" s="173"/>
      <c r="C5905" s="703"/>
      <c r="D5905" s="690"/>
      <c r="E5905" s="690"/>
      <c r="F5905" s="690"/>
      <c r="G5905" s="690"/>
      <c r="H5905" s="690"/>
      <c r="I5905" s="690"/>
      <c r="J5905" s="690"/>
      <c r="K5905" s="690"/>
      <c r="L5905" s="704"/>
      <c r="M5905" s="170"/>
    </row>
    <row r="5906" spans="2:13" x14ac:dyDescent="0.2">
      <c r="B5906" s="173"/>
      <c r="C5906" s="703"/>
      <c r="D5906" s="690"/>
      <c r="E5906" s="690"/>
      <c r="F5906" s="690"/>
      <c r="G5906" s="690"/>
      <c r="H5906" s="690"/>
      <c r="I5906" s="690"/>
      <c r="J5906" s="690"/>
      <c r="K5906" s="690"/>
      <c r="L5906" s="704"/>
      <c r="M5906" s="170"/>
    </row>
    <row r="5907" spans="2:13" x14ac:dyDescent="0.2">
      <c r="B5907" s="173"/>
      <c r="C5907" s="703"/>
      <c r="D5907" s="690"/>
      <c r="E5907" s="690"/>
      <c r="F5907" s="690"/>
      <c r="G5907" s="690"/>
      <c r="H5907" s="690"/>
      <c r="I5907" s="690"/>
      <c r="J5907" s="690"/>
      <c r="K5907" s="690"/>
      <c r="L5907" s="704"/>
      <c r="M5907" s="170"/>
    </row>
    <row r="5908" spans="2:13" x14ac:dyDescent="0.2">
      <c r="B5908" s="173"/>
      <c r="C5908" s="703"/>
      <c r="D5908" s="690"/>
      <c r="E5908" s="690"/>
      <c r="F5908" s="690"/>
      <c r="G5908" s="690"/>
      <c r="H5908" s="690"/>
      <c r="I5908" s="690"/>
      <c r="J5908" s="690"/>
      <c r="K5908" s="690"/>
      <c r="L5908" s="704"/>
      <c r="M5908" s="170"/>
    </row>
    <row r="5909" spans="2:13" x14ac:dyDescent="0.2">
      <c r="B5909" s="173"/>
      <c r="C5909" s="703"/>
      <c r="D5909" s="690"/>
      <c r="E5909" s="690"/>
      <c r="F5909" s="690"/>
      <c r="G5909" s="690"/>
      <c r="H5909" s="690"/>
      <c r="I5909" s="690"/>
      <c r="J5909" s="690"/>
      <c r="K5909" s="690"/>
      <c r="L5909" s="704"/>
      <c r="M5909" s="170"/>
    </row>
    <row r="5910" spans="2:13" x14ac:dyDescent="0.2">
      <c r="B5910" s="173"/>
      <c r="C5910" s="703"/>
      <c r="D5910" s="690"/>
      <c r="E5910" s="690"/>
      <c r="F5910" s="690"/>
      <c r="G5910" s="690"/>
      <c r="H5910" s="690"/>
      <c r="I5910" s="690"/>
      <c r="J5910" s="690"/>
      <c r="K5910" s="690"/>
      <c r="L5910" s="704"/>
      <c r="M5910" s="170"/>
    </row>
    <row r="5911" spans="2:13" x14ac:dyDescent="0.2">
      <c r="B5911" s="173"/>
      <c r="C5911" s="703"/>
      <c r="D5911" s="690"/>
      <c r="E5911" s="690"/>
      <c r="F5911" s="690"/>
      <c r="G5911" s="690"/>
      <c r="H5911" s="690"/>
      <c r="I5911" s="690"/>
      <c r="J5911" s="690"/>
      <c r="K5911" s="690"/>
      <c r="L5911" s="704"/>
      <c r="M5911" s="170"/>
    </row>
    <row r="5912" spans="2:13" x14ac:dyDescent="0.2">
      <c r="B5912" s="173"/>
      <c r="C5912" s="703"/>
      <c r="D5912" s="690"/>
      <c r="E5912" s="690"/>
      <c r="F5912" s="690"/>
      <c r="G5912" s="690"/>
      <c r="H5912" s="690"/>
      <c r="I5912" s="690"/>
      <c r="J5912" s="690"/>
      <c r="K5912" s="690"/>
      <c r="L5912" s="704"/>
      <c r="M5912" s="170"/>
    </row>
    <row r="5913" spans="2:13" x14ac:dyDescent="0.2">
      <c r="B5913" s="173"/>
      <c r="C5913" s="703"/>
      <c r="D5913" s="690"/>
      <c r="E5913" s="690"/>
      <c r="F5913" s="690"/>
      <c r="G5913" s="690"/>
      <c r="H5913" s="690"/>
      <c r="I5913" s="690"/>
      <c r="J5913" s="690"/>
      <c r="K5913" s="690"/>
      <c r="L5913" s="704"/>
      <c r="M5913" s="170"/>
    </row>
    <row r="5914" spans="2:13" x14ac:dyDescent="0.2">
      <c r="B5914" s="173"/>
      <c r="C5914" s="703"/>
      <c r="D5914" s="690"/>
      <c r="E5914" s="690"/>
      <c r="F5914" s="690"/>
      <c r="G5914" s="690"/>
      <c r="H5914" s="690"/>
      <c r="I5914" s="690"/>
      <c r="J5914" s="690"/>
      <c r="K5914" s="690"/>
      <c r="L5914" s="704"/>
      <c r="M5914" s="170"/>
    </row>
    <row r="5915" spans="2:13" x14ac:dyDescent="0.2">
      <c r="B5915" s="173"/>
      <c r="C5915" s="703"/>
      <c r="D5915" s="690"/>
      <c r="E5915" s="690"/>
      <c r="F5915" s="690"/>
      <c r="G5915" s="690"/>
      <c r="H5915" s="690"/>
      <c r="I5915" s="690"/>
      <c r="J5915" s="690"/>
      <c r="K5915" s="690"/>
      <c r="L5915" s="704"/>
      <c r="M5915" s="170"/>
    </row>
    <row r="5916" spans="2:13" x14ac:dyDescent="0.2">
      <c r="B5916" s="173"/>
      <c r="C5916" s="703"/>
      <c r="D5916" s="690"/>
      <c r="E5916" s="690"/>
      <c r="F5916" s="690"/>
      <c r="G5916" s="690"/>
      <c r="H5916" s="690"/>
      <c r="I5916" s="690"/>
      <c r="J5916" s="690"/>
      <c r="K5916" s="690"/>
      <c r="L5916" s="704"/>
      <c r="M5916" s="170"/>
    </row>
    <row r="5917" spans="2:13" x14ac:dyDescent="0.2">
      <c r="B5917" s="173"/>
      <c r="C5917" s="703"/>
      <c r="D5917" s="690"/>
      <c r="E5917" s="690"/>
      <c r="F5917" s="690"/>
      <c r="G5917" s="690"/>
      <c r="H5917" s="690"/>
      <c r="I5917" s="690"/>
      <c r="J5917" s="690"/>
      <c r="K5917" s="690"/>
      <c r="L5917" s="704"/>
      <c r="M5917" s="170"/>
    </row>
    <row r="5918" spans="2:13" x14ac:dyDescent="0.2">
      <c r="B5918" s="173"/>
      <c r="C5918" s="703"/>
      <c r="D5918" s="690"/>
      <c r="E5918" s="690"/>
      <c r="F5918" s="690"/>
      <c r="G5918" s="690"/>
      <c r="H5918" s="690"/>
      <c r="I5918" s="690"/>
      <c r="J5918" s="690"/>
      <c r="K5918" s="690"/>
      <c r="L5918" s="704"/>
      <c r="M5918" s="170"/>
    </row>
    <row r="5919" spans="2:13" x14ac:dyDescent="0.2">
      <c r="B5919" s="173"/>
      <c r="C5919" s="703"/>
      <c r="D5919" s="690"/>
      <c r="E5919" s="690"/>
      <c r="F5919" s="690"/>
      <c r="G5919" s="690"/>
      <c r="H5919" s="690"/>
      <c r="I5919" s="690"/>
      <c r="J5919" s="690"/>
      <c r="K5919" s="690"/>
      <c r="L5919" s="704"/>
      <c r="M5919" s="170"/>
    </row>
    <row r="5920" spans="2:13" x14ac:dyDescent="0.2">
      <c r="B5920" s="173"/>
      <c r="C5920" s="703"/>
      <c r="D5920" s="690"/>
      <c r="E5920" s="690"/>
      <c r="F5920" s="690"/>
      <c r="G5920" s="690"/>
      <c r="H5920" s="690"/>
      <c r="I5920" s="690"/>
      <c r="J5920" s="690"/>
      <c r="K5920" s="690"/>
      <c r="L5920" s="704"/>
      <c r="M5920" s="170"/>
    </row>
    <row r="5921" spans="2:13" x14ac:dyDescent="0.2">
      <c r="B5921" s="173"/>
      <c r="C5921" s="703"/>
      <c r="D5921" s="690"/>
      <c r="E5921" s="690"/>
      <c r="F5921" s="690"/>
      <c r="G5921" s="690"/>
      <c r="H5921" s="690"/>
      <c r="I5921" s="690"/>
      <c r="J5921" s="690"/>
      <c r="K5921" s="690"/>
      <c r="L5921" s="704"/>
      <c r="M5921" s="170"/>
    </row>
    <row r="5922" spans="2:13" x14ac:dyDescent="0.2">
      <c r="B5922" s="173"/>
      <c r="C5922" s="703"/>
      <c r="D5922" s="690"/>
      <c r="E5922" s="690"/>
      <c r="F5922" s="690"/>
      <c r="G5922" s="690"/>
      <c r="H5922" s="690"/>
      <c r="I5922" s="690"/>
      <c r="J5922" s="690"/>
      <c r="K5922" s="690"/>
      <c r="L5922" s="704"/>
      <c r="M5922" s="170"/>
    </row>
    <row r="5923" spans="2:13" x14ac:dyDescent="0.2">
      <c r="B5923" s="173"/>
      <c r="C5923" s="703"/>
      <c r="D5923" s="690"/>
      <c r="E5923" s="690"/>
      <c r="F5923" s="690"/>
      <c r="G5923" s="690"/>
      <c r="H5923" s="690"/>
      <c r="I5923" s="690"/>
      <c r="J5923" s="690"/>
      <c r="K5923" s="690"/>
      <c r="L5923" s="704"/>
      <c r="M5923" s="170"/>
    </row>
    <row r="5924" spans="2:13" x14ac:dyDescent="0.2">
      <c r="B5924" s="173"/>
      <c r="C5924" s="703"/>
      <c r="D5924" s="690"/>
      <c r="E5924" s="690"/>
      <c r="F5924" s="690"/>
      <c r="G5924" s="690"/>
      <c r="H5924" s="690"/>
      <c r="I5924" s="690"/>
      <c r="J5924" s="690"/>
      <c r="K5924" s="690"/>
      <c r="L5924" s="704"/>
      <c r="M5924" s="170"/>
    </row>
    <row r="5925" spans="2:13" x14ac:dyDescent="0.2">
      <c r="B5925" s="173"/>
      <c r="C5925" s="703"/>
      <c r="D5925" s="690"/>
      <c r="E5925" s="690"/>
      <c r="F5925" s="690"/>
      <c r="G5925" s="690"/>
      <c r="H5925" s="690"/>
      <c r="I5925" s="690"/>
      <c r="J5925" s="690"/>
      <c r="K5925" s="690"/>
      <c r="L5925" s="704"/>
      <c r="M5925" s="170"/>
    </row>
    <row r="5926" spans="2:13" x14ac:dyDescent="0.2">
      <c r="B5926" s="173"/>
      <c r="C5926" s="703"/>
      <c r="D5926" s="690"/>
      <c r="E5926" s="690"/>
      <c r="F5926" s="690"/>
      <c r="G5926" s="690"/>
      <c r="H5926" s="690"/>
      <c r="I5926" s="690"/>
      <c r="J5926" s="690"/>
      <c r="K5926" s="690"/>
      <c r="L5926" s="704"/>
      <c r="M5926" s="170"/>
    </row>
    <row r="5927" spans="2:13" x14ac:dyDescent="0.2">
      <c r="B5927" s="173"/>
      <c r="C5927" s="703"/>
      <c r="D5927" s="690"/>
      <c r="E5927" s="690"/>
      <c r="F5927" s="690"/>
      <c r="G5927" s="690"/>
      <c r="H5927" s="690"/>
      <c r="I5927" s="690"/>
      <c r="J5927" s="690"/>
      <c r="K5927" s="690"/>
      <c r="L5927" s="704"/>
      <c r="M5927" s="170"/>
    </row>
    <row r="5928" spans="2:13" x14ac:dyDescent="0.2">
      <c r="B5928" s="173"/>
      <c r="C5928" s="703"/>
      <c r="D5928" s="690"/>
      <c r="E5928" s="690"/>
      <c r="F5928" s="690"/>
      <c r="G5928" s="690"/>
      <c r="H5928" s="690"/>
      <c r="I5928" s="690"/>
      <c r="J5928" s="690"/>
      <c r="K5928" s="690"/>
      <c r="L5928" s="704"/>
      <c r="M5928" s="170"/>
    </row>
    <row r="5929" spans="2:13" x14ac:dyDescent="0.2">
      <c r="B5929" s="173"/>
      <c r="C5929" s="703"/>
      <c r="D5929" s="690"/>
      <c r="E5929" s="690"/>
      <c r="F5929" s="690"/>
      <c r="G5929" s="690"/>
      <c r="H5929" s="690"/>
      <c r="I5929" s="690"/>
      <c r="J5929" s="690"/>
      <c r="K5929" s="690"/>
      <c r="L5929" s="704"/>
      <c r="M5929" s="170"/>
    </row>
    <row r="5930" spans="2:13" x14ac:dyDescent="0.2">
      <c r="B5930" s="173"/>
      <c r="C5930" s="703"/>
      <c r="D5930" s="690"/>
      <c r="E5930" s="690"/>
      <c r="F5930" s="690"/>
      <c r="G5930" s="690"/>
      <c r="H5930" s="690"/>
      <c r="I5930" s="690"/>
      <c r="J5930" s="690"/>
      <c r="K5930" s="690"/>
      <c r="L5930" s="704"/>
      <c r="M5930" s="170"/>
    </row>
    <row r="5931" spans="2:13" x14ac:dyDescent="0.2">
      <c r="B5931" s="173"/>
      <c r="C5931" s="703"/>
      <c r="D5931" s="690"/>
      <c r="E5931" s="690"/>
      <c r="F5931" s="690"/>
      <c r="G5931" s="690"/>
      <c r="H5931" s="690"/>
      <c r="I5931" s="690"/>
      <c r="J5931" s="690"/>
      <c r="K5931" s="690"/>
      <c r="L5931" s="704"/>
      <c r="M5931" s="170"/>
    </row>
    <row r="5932" spans="2:13" x14ac:dyDescent="0.2">
      <c r="B5932" s="173"/>
      <c r="C5932" s="703"/>
      <c r="D5932" s="690"/>
      <c r="E5932" s="690"/>
      <c r="F5932" s="690"/>
      <c r="G5932" s="690"/>
      <c r="H5932" s="690"/>
      <c r="I5932" s="690"/>
      <c r="J5932" s="690"/>
      <c r="K5932" s="690"/>
      <c r="L5932" s="704"/>
      <c r="M5932" s="170"/>
    </row>
    <row r="5933" spans="2:13" x14ac:dyDescent="0.2">
      <c r="B5933" s="173"/>
      <c r="C5933" s="703"/>
      <c r="D5933" s="690"/>
      <c r="E5933" s="690"/>
      <c r="F5933" s="690"/>
      <c r="G5933" s="690"/>
      <c r="H5933" s="690"/>
      <c r="I5933" s="690"/>
      <c r="J5933" s="690"/>
      <c r="K5933" s="690"/>
      <c r="L5933" s="704"/>
      <c r="M5933" s="170"/>
    </row>
    <row r="5934" spans="2:13" x14ac:dyDescent="0.2">
      <c r="B5934" s="173"/>
      <c r="C5934" s="703"/>
      <c r="D5934" s="690"/>
      <c r="E5934" s="690"/>
      <c r="F5934" s="690"/>
      <c r="G5934" s="690"/>
      <c r="H5934" s="690"/>
      <c r="I5934" s="690"/>
      <c r="J5934" s="690"/>
      <c r="K5934" s="690"/>
      <c r="L5934" s="704"/>
      <c r="M5934" s="170"/>
    </row>
    <row r="5935" spans="2:13" x14ac:dyDescent="0.2">
      <c r="B5935" s="173"/>
      <c r="C5935" s="703"/>
      <c r="D5935" s="690"/>
      <c r="E5935" s="690"/>
      <c r="F5935" s="690"/>
      <c r="G5935" s="690"/>
      <c r="H5935" s="690"/>
      <c r="I5935" s="690"/>
      <c r="J5935" s="690"/>
      <c r="K5935" s="690"/>
      <c r="L5935" s="704"/>
      <c r="M5935" s="170"/>
    </row>
    <row r="5936" spans="2:13" x14ac:dyDescent="0.2">
      <c r="B5936" s="173"/>
      <c r="C5936" s="703"/>
      <c r="D5936" s="690"/>
      <c r="E5936" s="690"/>
      <c r="F5936" s="690"/>
      <c r="G5936" s="690"/>
      <c r="H5936" s="690"/>
      <c r="I5936" s="690"/>
      <c r="J5936" s="690"/>
      <c r="K5936" s="690"/>
      <c r="L5936" s="704"/>
      <c r="M5936" s="170"/>
    </row>
    <row r="5937" spans="2:13" x14ac:dyDescent="0.2">
      <c r="B5937" s="173"/>
      <c r="C5937" s="703"/>
      <c r="D5937" s="690"/>
      <c r="E5937" s="690"/>
      <c r="F5937" s="690"/>
      <c r="G5937" s="690"/>
      <c r="H5937" s="690"/>
      <c r="I5937" s="690"/>
      <c r="J5937" s="690"/>
      <c r="K5937" s="690"/>
      <c r="L5937" s="704"/>
      <c r="M5937" s="170"/>
    </row>
    <row r="5938" spans="2:13" x14ac:dyDescent="0.2">
      <c r="B5938" s="173"/>
      <c r="C5938" s="703"/>
      <c r="D5938" s="690"/>
      <c r="E5938" s="690"/>
      <c r="F5938" s="690"/>
      <c r="G5938" s="690"/>
      <c r="H5938" s="690"/>
      <c r="I5938" s="690"/>
      <c r="J5938" s="690"/>
      <c r="K5938" s="690"/>
      <c r="L5938" s="704"/>
      <c r="M5938" s="170"/>
    </row>
    <row r="5939" spans="2:13" x14ac:dyDescent="0.2">
      <c r="B5939" s="173"/>
      <c r="C5939" s="703"/>
      <c r="D5939" s="690"/>
      <c r="E5939" s="690"/>
      <c r="F5939" s="690"/>
      <c r="G5939" s="690"/>
      <c r="H5939" s="690"/>
      <c r="I5939" s="690"/>
      <c r="J5939" s="690"/>
      <c r="K5939" s="690"/>
      <c r="L5939" s="704"/>
      <c r="M5939" s="170"/>
    </row>
    <row r="5940" spans="2:13" x14ac:dyDescent="0.2">
      <c r="B5940" s="173"/>
      <c r="C5940" s="703"/>
      <c r="D5940" s="690"/>
      <c r="E5940" s="690"/>
      <c r="F5940" s="690"/>
      <c r="G5940" s="690"/>
      <c r="H5940" s="690"/>
      <c r="I5940" s="690"/>
      <c r="J5940" s="690"/>
      <c r="K5940" s="690"/>
      <c r="L5940" s="704"/>
      <c r="M5940" s="170"/>
    </row>
    <row r="5941" spans="2:13" x14ac:dyDescent="0.2">
      <c r="B5941" s="173"/>
      <c r="C5941" s="703"/>
      <c r="D5941" s="690"/>
      <c r="E5941" s="690"/>
      <c r="F5941" s="690"/>
      <c r="G5941" s="690"/>
      <c r="H5941" s="690"/>
      <c r="I5941" s="690"/>
      <c r="J5941" s="690"/>
      <c r="K5941" s="690"/>
      <c r="L5941" s="704"/>
      <c r="M5941" s="170"/>
    </row>
    <row r="5942" spans="2:13" x14ac:dyDescent="0.2">
      <c r="B5942" s="173"/>
      <c r="C5942" s="703"/>
      <c r="D5942" s="690"/>
      <c r="E5942" s="690"/>
      <c r="F5942" s="690"/>
      <c r="G5942" s="690"/>
      <c r="H5942" s="690"/>
      <c r="I5942" s="690"/>
      <c r="J5942" s="690"/>
      <c r="K5942" s="690"/>
      <c r="L5942" s="704"/>
      <c r="M5942" s="170"/>
    </row>
    <row r="5943" spans="2:13" x14ac:dyDescent="0.2">
      <c r="B5943" s="173"/>
      <c r="C5943" s="703"/>
      <c r="D5943" s="690"/>
      <c r="E5943" s="690"/>
      <c r="F5943" s="690"/>
      <c r="G5943" s="690"/>
      <c r="H5943" s="690"/>
      <c r="I5943" s="690"/>
      <c r="J5943" s="690"/>
      <c r="K5943" s="690"/>
      <c r="L5943" s="704"/>
      <c r="M5943" s="170"/>
    </row>
    <row r="5944" spans="2:13" x14ac:dyDescent="0.2">
      <c r="B5944" s="173"/>
      <c r="C5944" s="703"/>
      <c r="D5944" s="690"/>
      <c r="E5944" s="690"/>
      <c r="F5944" s="690"/>
      <c r="G5944" s="690"/>
      <c r="H5944" s="690"/>
      <c r="I5944" s="690"/>
      <c r="J5944" s="690"/>
      <c r="K5944" s="690"/>
      <c r="L5944" s="704"/>
      <c r="M5944" s="170"/>
    </row>
    <row r="5945" spans="2:13" x14ac:dyDescent="0.2">
      <c r="B5945" s="173"/>
      <c r="C5945" s="703"/>
      <c r="D5945" s="690"/>
      <c r="E5945" s="690"/>
      <c r="F5945" s="690"/>
      <c r="G5945" s="690"/>
      <c r="H5945" s="690"/>
      <c r="I5945" s="690"/>
      <c r="J5945" s="690"/>
      <c r="K5945" s="690"/>
      <c r="L5945" s="704"/>
      <c r="M5945" s="170"/>
    </row>
    <row r="5946" spans="2:13" x14ac:dyDescent="0.2">
      <c r="B5946" s="173"/>
      <c r="C5946" s="703"/>
      <c r="D5946" s="690"/>
      <c r="E5946" s="690"/>
      <c r="F5946" s="690"/>
      <c r="G5946" s="690"/>
      <c r="H5946" s="690"/>
      <c r="I5946" s="690"/>
      <c r="J5946" s="690"/>
      <c r="K5946" s="690"/>
      <c r="L5946" s="704"/>
      <c r="M5946" s="170"/>
    </row>
    <row r="5947" spans="2:13" x14ac:dyDescent="0.2">
      <c r="B5947" s="173"/>
      <c r="C5947" s="703"/>
      <c r="D5947" s="690"/>
      <c r="E5947" s="690"/>
      <c r="F5947" s="690"/>
      <c r="G5947" s="690"/>
      <c r="H5947" s="690"/>
      <c r="I5947" s="690"/>
      <c r="J5947" s="690"/>
      <c r="K5947" s="690"/>
      <c r="L5947" s="704"/>
      <c r="M5947" s="170"/>
    </row>
    <row r="5948" spans="2:13" x14ac:dyDescent="0.2">
      <c r="B5948" s="173"/>
      <c r="C5948" s="703"/>
      <c r="D5948" s="690"/>
      <c r="E5948" s="690"/>
      <c r="F5948" s="690"/>
      <c r="G5948" s="690"/>
      <c r="H5948" s="690"/>
      <c r="I5948" s="690"/>
      <c r="J5948" s="690"/>
      <c r="K5948" s="690"/>
      <c r="L5948" s="704"/>
      <c r="M5948" s="170"/>
    </row>
    <row r="5949" spans="2:13" x14ac:dyDescent="0.2">
      <c r="B5949" s="173"/>
      <c r="C5949" s="703"/>
      <c r="D5949" s="690"/>
      <c r="E5949" s="690"/>
      <c r="F5949" s="690"/>
      <c r="G5949" s="690"/>
      <c r="H5949" s="690"/>
      <c r="I5949" s="690"/>
      <c r="J5949" s="690"/>
      <c r="K5949" s="690"/>
      <c r="L5949" s="704"/>
      <c r="M5949" s="170"/>
    </row>
    <row r="5950" spans="2:13" x14ac:dyDescent="0.2">
      <c r="B5950" s="173"/>
      <c r="C5950" s="703"/>
      <c r="D5950" s="690"/>
      <c r="E5950" s="690"/>
      <c r="F5950" s="690"/>
      <c r="G5950" s="690"/>
      <c r="H5950" s="690"/>
      <c r="I5950" s="690"/>
      <c r="J5950" s="690"/>
      <c r="K5950" s="690"/>
      <c r="L5950" s="704"/>
      <c r="M5950" s="170"/>
    </row>
    <row r="5951" spans="2:13" x14ac:dyDescent="0.2">
      <c r="B5951" s="173"/>
      <c r="C5951" s="703"/>
      <c r="D5951" s="690"/>
      <c r="E5951" s="690"/>
      <c r="F5951" s="690"/>
      <c r="G5951" s="690"/>
      <c r="H5951" s="690"/>
      <c r="I5951" s="690"/>
      <c r="J5951" s="690"/>
      <c r="K5951" s="690"/>
      <c r="L5951" s="704"/>
      <c r="M5951" s="170"/>
    </row>
    <row r="5952" spans="2:13" x14ac:dyDescent="0.2">
      <c r="B5952" s="173"/>
      <c r="C5952" s="703"/>
      <c r="D5952" s="690"/>
      <c r="E5952" s="690"/>
      <c r="F5952" s="690"/>
      <c r="G5952" s="690"/>
      <c r="H5952" s="690"/>
      <c r="I5952" s="690"/>
      <c r="J5952" s="690"/>
      <c r="K5952" s="690"/>
      <c r="L5952" s="704"/>
      <c r="M5952" s="170"/>
    </row>
    <row r="5953" spans="2:13" x14ac:dyDescent="0.2">
      <c r="B5953" s="173"/>
      <c r="C5953" s="703"/>
      <c r="D5953" s="690"/>
      <c r="E5953" s="690"/>
      <c r="F5953" s="690"/>
      <c r="G5953" s="690"/>
      <c r="H5953" s="690"/>
      <c r="I5953" s="690"/>
      <c r="J5953" s="690"/>
      <c r="K5953" s="690"/>
      <c r="L5953" s="704"/>
      <c r="M5953" s="170"/>
    </row>
    <row r="5954" spans="2:13" x14ac:dyDescent="0.2">
      <c r="B5954" s="173"/>
      <c r="C5954" s="703"/>
      <c r="D5954" s="690"/>
      <c r="E5954" s="690"/>
      <c r="F5954" s="690"/>
      <c r="G5954" s="690"/>
      <c r="H5954" s="690"/>
      <c r="I5954" s="690"/>
      <c r="J5954" s="690"/>
      <c r="K5954" s="690"/>
      <c r="L5954" s="704"/>
      <c r="M5954" s="170"/>
    </row>
    <row r="5955" spans="2:13" x14ac:dyDescent="0.2">
      <c r="B5955" s="173"/>
      <c r="C5955" s="703"/>
      <c r="D5955" s="690"/>
      <c r="E5955" s="690"/>
      <c r="F5955" s="690"/>
      <c r="G5955" s="690"/>
      <c r="H5955" s="690"/>
      <c r="I5955" s="690"/>
      <c r="J5955" s="690"/>
      <c r="K5955" s="690"/>
      <c r="L5955" s="704"/>
      <c r="M5955" s="170"/>
    </row>
    <row r="5956" spans="2:13" x14ac:dyDescent="0.2">
      <c r="B5956" s="173"/>
      <c r="C5956" s="703"/>
      <c r="D5956" s="690"/>
      <c r="E5956" s="690"/>
      <c r="F5956" s="690"/>
      <c r="G5956" s="690"/>
      <c r="H5956" s="690"/>
      <c r="I5956" s="690"/>
      <c r="J5956" s="690"/>
      <c r="K5956" s="690"/>
      <c r="L5956" s="704"/>
      <c r="M5956" s="170"/>
    </row>
    <row r="5957" spans="2:13" x14ac:dyDescent="0.2">
      <c r="B5957" s="173"/>
      <c r="C5957" s="703"/>
      <c r="D5957" s="690"/>
      <c r="E5957" s="690"/>
      <c r="F5957" s="690"/>
      <c r="G5957" s="690"/>
      <c r="H5957" s="690"/>
      <c r="I5957" s="690"/>
      <c r="J5957" s="690"/>
      <c r="K5957" s="690"/>
      <c r="L5957" s="704"/>
      <c r="M5957" s="170"/>
    </row>
    <row r="5958" spans="2:13" x14ac:dyDescent="0.2">
      <c r="B5958" s="173"/>
      <c r="C5958" s="703"/>
      <c r="D5958" s="690"/>
      <c r="E5958" s="690"/>
      <c r="F5958" s="690"/>
      <c r="G5958" s="690"/>
      <c r="H5958" s="690"/>
      <c r="I5958" s="690"/>
      <c r="J5958" s="690"/>
      <c r="K5958" s="690"/>
      <c r="L5958" s="704"/>
      <c r="M5958" s="170"/>
    </row>
    <row r="5959" spans="2:13" x14ac:dyDescent="0.2">
      <c r="B5959" s="173"/>
      <c r="C5959" s="703"/>
      <c r="D5959" s="690"/>
      <c r="E5959" s="690"/>
      <c r="F5959" s="690"/>
      <c r="G5959" s="690"/>
      <c r="H5959" s="690"/>
      <c r="I5959" s="690"/>
      <c r="J5959" s="690"/>
      <c r="K5959" s="690"/>
      <c r="L5959" s="704"/>
      <c r="M5959" s="170"/>
    </row>
    <row r="5960" spans="2:13" x14ac:dyDescent="0.2">
      <c r="B5960" s="173"/>
      <c r="C5960" s="703"/>
      <c r="D5960" s="690"/>
      <c r="E5960" s="690"/>
      <c r="F5960" s="690"/>
      <c r="G5960" s="690"/>
      <c r="H5960" s="690"/>
      <c r="I5960" s="690"/>
      <c r="J5960" s="690"/>
      <c r="K5960" s="690"/>
      <c r="L5960" s="704"/>
      <c r="M5960" s="170"/>
    </row>
    <row r="5961" spans="2:13" x14ac:dyDescent="0.2">
      <c r="B5961" s="173"/>
      <c r="C5961" s="703"/>
      <c r="D5961" s="690"/>
      <c r="E5961" s="690"/>
      <c r="F5961" s="690"/>
      <c r="G5961" s="690"/>
      <c r="H5961" s="690"/>
      <c r="I5961" s="690"/>
      <c r="J5961" s="690"/>
      <c r="K5961" s="690"/>
      <c r="L5961" s="704"/>
      <c r="M5961" s="170"/>
    </row>
    <row r="5962" spans="2:13" x14ac:dyDescent="0.2">
      <c r="B5962" s="173"/>
      <c r="C5962" s="703"/>
      <c r="D5962" s="690"/>
      <c r="E5962" s="690"/>
      <c r="F5962" s="690"/>
      <c r="G5962" s="690"/>
      <c r="H5962" s="690"/>
      <c r="I5962" s="690"/>
      <c r="J5962" s="690"/>
      <c r="K5962" s="690"/>
      <c r="L5962" s="704"/>
      <c r="M5962" s="170"/>
    </row>
    <row r="5963" spans="2:13" x14ac:dyDescent="0.2">
      <c r="B5963" s="173"/>
      <c r="C5963" s="703"/>
      <c r="D5963" s="690"/>
      <c r="E5963" s="690"/>
      <c r="F5963" s="690"/>
      <c r="G5963" s="690"/>
      <c r="H5963" s="690"/>
      <c r="I5963" s="690"/>
      <c r="J5963" s="690"/>
      <c r="K5963" s="690"/>
      <c r="L5963" s="704"/>
      <c r="M5963" s="170"/>
    </row>
    <row r="5964" spans="2:13" x14ac:dyDescent="0.2">
      <c r="B5964" s="173"/>
      <c r="C5964" s="703"/>
      <c r="D5964" s="690"/>
      <c r="E5964" s="690"/>
      <c r="F5964" s="690"/>
      <c r="G5964" s="690"/>
      <c r="H5964" s="690"/>
      <c r="I5964" s="690"/>
      <c r="J5964" s="690"/>
      <c r="K5964" s="690"/>
      <c r="L5964" s="704"/>
      <c r="M5964" s="170"/>
    </row>
    <row r="5965" spans="2:13" x14ac:dyDescent="0.2">
      <c r="B5965" s="173"/>
      <c r="C5965" s="703"/>
      <c r="D5965" s="690"/>
      <c r="E5965" s="690"/>
      <c r="F5965" s="690"/>
      <c r="G5965" s="690"/>
      <c r="H5965" s="690"/>
      <c r="I5965" s="690"/>
      <c r="J5965" s="690"/>
      <c r="K5965" s="690"/>
      <c r="L5965" s="704"/>
      <c r="M5965" s="170"/>
    </row>
    <row r="5966" spans="2:13" x14ac:dyDescent="0.2">
      <c r="B5966" s="173"/>
      <c r="C5966" s="703"/>
      <c r="D5966" s="690"/>
      <c r="E5966" s="690"/>
      <c r="F5966" s="690"/>
      <c r="G5966" s="690"/>
      <c r="H5966" s="690"/>
      <c r="I5966" s="690"/>
      <c r="J5966" s="690"/>
      <c r="K5966" s="690"/>
      <c r="L5966" s="704"/>
      <c r="M5966" s="170"/>
    </row>
    <row r="5967" spans="2:13" x14ac:dyDescent="0.2">
      <c r="B5967" s="173"/>
      <c r="C5967" s="703"/>
      <c r="D5967" s="690"/>
      <c r="E5967" s="690"/>
      <c r="F5967" s="690"/>
      <c r="G5967" s="690"/>
      <c r="H5967" s="690"/>
      <c r="I5967" s="690"/>
      <c r="J5967" s="690"/>
      <c r="K5967" s="690"/>
      <c r="L5967" s="704"/>
      <c r="M5967" s="170"/>
    </row>
    <row r="5968" spans="2:13" x14ac:dyDescent="0.2">
      <c r="B5968" s="173"/>
      <c r="C5968" s="703"/>
      <c r="D5968" s="690"/>
      <c r="E5968" s="690"/>
      <c r="F5968" s="690"/>
      <c r="G5968" s="690"/>
      <c r="H5968" s="690"/>
      <c r="I5968" s="690"/>
      <c r="J5968" s="690"/>
      <c r="K5968" s="690"/>
      <c r="L5968" s="704"/>
      <c r="M5968" s="170"/>
    </row>
    <row r="5969" spans="2:13" x14ac:dyDescent="0.2">
      <c r="B5969" s="173"/>
      <c r="C5969" s="703"/>
      <c r="D5969" s="690"/>
      <c r="E5969" s="690"/>
      <c r="F5969" s="690"/>
      <c r="G5969" s="690"/>
      <c r="H5969" s="690"/>
      <c r="I5969" s="690"/>
      <c r="J5969" s="690"/>
      <c r="K5969" s="690"/>
      <c r="L5969" s="704"/>
      <c r="M5969" s="170"/>
    </row>
    <row r="5970" spans="2:13" x14ac:dyDescent="0.2">
      <c r="B5970" s="173"/>
      <c r="C5970" s="703"/>
      <c r="D5970" s="690"/>
      <c r="E5970" s="690"/>
      <c r="F5970" s="690"/>
      <c r="G5970" s="690"/>
      <c r="H5970" s="690"/>
      <c r="I5970" s="690"/>
      <c r="J5970" s="690"/>
      <c r="K5970" s="690"/>
      <c r="L5970" s="704"/>
      <c r="M5970" s="170"/>
    </row>
    <row r="5971" spans="2:13" x14ac:dyDescent="0.2">
      <c r="B5971" s="173"/>
      <c r="C5971" s="703"/>
      <c r="D5971" s="690"/>
      <c r="E5971" s="690"/>
      <c r="F5971" s="690"/>
      <c r="G5971" s="690"/>
      <c r="H5971" s="690"/>
      <c r="I5971" s="690"/>
      <c r="J5971" s="690"/>
      <c r="K5971" s="690"/>
      <c r="L5971" s="704"/>
      <c r="M5971" s="170"/>
    </row>
    <row r="5972" spans="2:13" x14ac:dyDescent="0.2">
      <c r="B5972" s="173"/>
      <c r="C5972" s="703"/>
      <c r="D5972" s="690"/>
      <c r="E5972" s="690"/>
      <c r="F5972" s="690"/>
      <c r="G5972" s="690"/>
      <c r="H5972" s="690"/>
      <c r="I5972" s="690"/>
      <c r="J5972" s="690"/>
      <c r="K5972" s="690"/>
      <c r="L5972" s="704"/>
      <c r="M5972" s="170"/>
    </row>
    <row r="5973" spans="2:13" x14ac:dyDescent="0.2">
      <c r="B5973" s="173"/>
      <c r="C5973" s="703"/>
      <c r="D5973" s="690"/>
      <c r="E5973" s="690"/>
      <c r="F5973" s="690"/>
      <c r="G5973" s="690"/>
      <c r="H5973" s="690"/>
      <c r="I5973" s="690"/>
      <c r="J5973" s="690"/>
      <c r="K5973" s="690"/>
      <c r="L5973" s="704"/>
      <c r="M5973" s="170"/>
    </row>
    <row r="5974" spans="2:13" x14ac:dyDescent="0.2">
      <c r="B5974" s="173"/>
      <c r="C5974" s="703"/>
      <c r="D5974" s="690"/>
      <c r="E5974" s="690"/>
      <c r="F5974" s="690"/>
      <c r="G5974" s="690"/>
      <c r="H5974" s="690"/>
      <c r="I5974" s="690"/>
      <c r="J5974" s="690"/>
      <c r="K5974" s="690"/>
      <c r="L5974" s="704"/>
      <c r="M5974" s="170"/>
    </row>
    <row r="5975" spans="2:13" x14ac:dyDescent="0.2">
      <c r="B5975" s="173"/>
      <c r="C5975" s="703"/>
      <c r="D5975" s="690"/>
      <c r="E5975" s="690"/>
      <c r="F5975" s="690"/>
      <c r="G5975" s="690"/>
      <c r="H5975" s="690"/>
      <c r="I5975" s="690"/>
      <c r="J5975" s="690"/>
      <c r="K5975" s="690"/>
      <c r="L5975" s="704"/>
      <c r="M5975" s="170"/>
    </row>
    <row r="5976" spans="2:13" x14ac:dyDescent="0.2">
      <c r="B5976" s="173"/>
      <c r="C5976" s="703"/>
      <c r="D5976" s="690"/>
      <c r="E5976" s="690"/>
      <c r="F5976" s="690"/>
      <c r="G5976" s="690"/>
      <c r="H5976" s="690"/>
      <c r="I5976" s="690"/>
      <c r="J5976" s="690"/>
      <c r="K5976" s="690"/>
      <c r="L5976" s="704"/>
      <c r="M5976" s="170"/>
    </row>
    <row r="5977" spans="2:13" x14ac:dyDescent="0.2">
      <c r="B5977" s="173"/>
      <c r="C5977" s="703"/>
      <c r="D5977" s="690"/>
      <c r="E5977" s="690"/>
      <c r="F5977" s="690"/>
      <c r="G5977" s="690"/>
      <c r="H5977" s="690"/>
      <c r="I5977" s="690"/>
      <c r="J5977" s="690"/>
      <c r="K5977" s="690"/>
      <c r="L5977" s="704"/>
      <c r="M5977" s="170"/>
    </row>
    <row r="5978" spans="2:13" x14ac:dyDescent="0.2">
      <c r="B5978" s="173"/>
      <c r="C5978" s="703"/>
      <c r="D5978" s="690"/>
      <c r="E5978" s="690"/>
      <c r="F5978" s="690"/>
      <c r="G5978" s="690"/>
      <c r="H5978" s="690"/>
      <c r="I5978" s="690"/>
      <c r="J5978" s="690"/>
      <c r="K5978" s="690"/>
      <c r="L5978" s="704"/>
      <c r="M5978" s="170"/>
    </row>
    <row r="5979" spans="2:13" x14ac:dyDescent="0.2">
      <c r="B5979" s="173"/>
      <c r="C5979" s="703"/>
      <c r="D5979" s="690"/>
      <c r="E5979" s="690"/>
      <c r="F5979" s="690"/>
      <c r="G5979" s="690"/>
      <c r="H5979" s="690"/>
      <c r="I5979" s="690"/>
      <c r="J5979" s="690"/>
      <c r="K5979" s="690"/>
      <c r="L5979" s="704"/>
      <c r="M5979" s="170"/>
    </row>
    <row r="5980" spans="2:13" x14ac:dyDescent="0.2">
      <c r="B5980" s="173"/>
      <c r="C5980" s="703"/>
      <c r="D5980" s="690"/>
      <c r="E5980" s="690"/>
      <c r="F5980" s="690"/>
      <c r="G5980" s="690"/>
      <c r="H5980" s="690"/>
      <c r="I5980" s="690"/>
      <c r="J5980" s="690"/>
      <c r="K5980" s="690"/>
      <c r="L5980" s="704"/>
      <c r="M5980" s="170"/>
    </row>
    <row r="5981" spans="2:13" x14ac:dyDescent="0.2">
      <c r="B5981" s="173"/>
      <c r="C5981" s="703"/>
      <c r="D5981" s="690"/>
      <c r="E5981" s="690"/>
      <c r="F5981" s="690"/>
      <c r="G5981" s="690"/>
      <c r="H5981" s="690"/>
      <c r="I5981" s="690"/>
      <c r="J5981" s="690"/>
      <c r="K5981" s="690"/>
      <c r="L5981" s="704"/>
      <c r="M5981" s="170"/>
    </row>
    <row r="5982" spans="2:13" x14ac:dyDescent="0.2">
      <c r="B5982" s="173"/>
      <c r="C5982" s="703"/>
      <c r="D5982" s="690"/>
      <c r="E5982" s="690"/>
      <c r="F5982" s="690"/>
      <c r="G5982" s="690"/>
      <c r="H5982" s="690"/>
      <c r="I5982" s="690"/>
      <c r="J5982" s="690"/>
      <c r="K5982" s="690"/>
      <c r="L5982" s="704"/>
      <c r="M5982" s="170"/>
    </row>
    <row r="5983" spans="2:13" x14ac:dyDescent="0.2">
      <c r="B5983" s="173"/>
      <c r="C5983" s="703"/>
      <c r="D5983" s="690"/>
      <c r="E5983" s="690"/>
      <c r="F5983" s="690"/>
      <c r="G5983" s="690"/>
      <c r="H5983" s="690"/>
      <c r="I5983" s="690"/>
      <c r="J5983" s="690"/>
      <c r="K5983" s="690"/>
      <c r="L5983" s="704"/>
      <c r="M5983" s="170"/>
    </row>
    <row r="5984" spans="2:13" x14ac:dyDescent="0.2">
      <c r="B5984" s="173"/>
      <c r="C5984" s="703"/>
      <c r="D5984" s="690"/>
      <c r="E5984" s="690"/>
      <c r="F5984" s="690"/>
      <c r="G5984" s="690"/>
      <c r="H5984" s="690"/>
      <c r="I5984" s="690"/>
      <c r="J5984" s="690"/>
      <c r="K5984" s="690"/>
      <c r="L5984" s="704"/>
      <c r="M5984" s="170"/>
    </row>
    <row r="5985" spans="2:13" x14ac:dyDescent="0.2">
      <c r="B5985" s="173"/>
      <c r="C5985" s="703"/>
      <c r="D5985" s="690"/>
      <c r="E5985" s="690"/>
      <c r="F5985" s="690"/>
      <c r="G5985" s="690"/>
      <c r="H5985" s="690"/>
      <c r="I5985" s="690"/>
      <c r="J5985" s="690"/>
      <c r="K5985" s="690"/>
      <c r="L5985" s="704"/>
      <c r="M5985" s="170"/>
    </row>
    <row r="5986" spans="2:13" x14ac:dyDescent="0.2">
      <c r="B5986" s="173"/>
      <c r="C5986" s="703"/>
      <c r="D5986" s="690"/>
      <c r="E5986" s="690"/>
      <c r="F5986" s="690"/>
      <c r="G5986" s="690"/>
      <c r="H5986" s="690"/>
      <c r="I5986" s="690"/>
      <c r="J5986" s="690"/>
      <c r="K5986" s="690"/>
      <c r="L5986" s="704"/>
      <c r="M5986" s="170"/>
    </row>
    <row r="5987" spans="2:13" x14ac:dyDescent="0.2">
      <c r="B5987" s="173"/>
      <c r="C5987" s="703"/>
      <c r="D5987" s="690"/>
      <c r="E5987" s="690"/>
      <c r="F5987" s="690"/>
      <c r="G5987" s="690"/>
      <c r="H5987" s="690"/>
      <c r="I5987" s="690"/>
      <c r="J5987" s="690"/>
      <c r="K5987" s="690"/>
      <c r="L5987" s="704"/>
      <c r="M5987" s="170"/>
    </row>
    <row r="5988" spans="2:13" x14ac:dyDescent="0.2">
      <c r="B5988" s="173"/>
      <c r="C5988" s="703"/>
      <c r="D5988" s="690"/>
      <c r="E5988" s="690"/>
      <c r="F5988" s="690"/>
      <c r="G5988" s="690"/>
      <c r="H5988" s="690"/>
      <c r="I5988" s="690"/>
      <c r="J5988" s="690"/>
      <c r="K5988" s="690"/>
      <c r="L5988" s="704"/>
      <c r="M5988" s="170"/>
    </row>
    <row r="5989" spans="2:13" x14ac:dyDescent="0.2">
      <c r="B5989" s="173"/>
      <c r="C5989" s="703"/>
      <c r="D5989" s="690"/>
      <c r="E5989" s="690"/>
      <c r="F5989" s="690"/>
      <c r="G5989" s="690"/>
      <c r="H5989" s="690"/>
      <c r="I5989" s="690"/>
      <c r="J5989" s="690"/>
      <c r="K5989" s="690"/>
      <c r="L5989" s="704"/>
      <c r="M5989" s="170"/>
    </row>
    <row r="5990" spans="2:13" x14ac:dyDescent="0.2">
      <c r="B5990" s="173"/>
      <c r="C5990" s="703"/>
      <c r="D5990" s="690"/>
      <c r="E5990" s="690"/>
      <c r="F5990" s="690"/>
      <c r="G5990" s="690"/>
      <c r="H5990" s="690"/>
      <c r="I5990" s="690"/>
      <c r="J5990" s="690"/>
      <c r="K5990" s="690"/>
      <c r="L5990" s="704"/>
      <c r="M5990" s="170"/>
    </row>
    <row r="5991" spans="2:13" x14ac:dyDescent="0.2">
      <c r="B5991" s="173"/>
      <c r="C5991" s="703"/>
      <c r="D5991" s="690"/>
      <c r="E5991" s="690"/>
      <c r="F5991" s="690"/>
      <c r="G5991" s="690"/>
      <c r="H5991" s="690"/>
      <c r="I5991" s="690"/>
      <c r="J5991" s="690"/>
      <c r="K5991" s="690"/>
      <c r="L5991" s="704"/>
      <c r="M5991" s="170"/>
    </row>
    <row r="5992" spans="2:13" x14ac:dyDescent="0.2">
      <c r="B5992" s="173"/>
      <c r="C5992" s="703"/>
      <c r="D5992" s="690"/>
      <c r="E5992" s="690"/>
      <c r="F5992" s="690"/>
      <c r="G5992" s="690"/>
      <c r="H5992" s="690"/>
      <c r="I5992" s="690"/>
      <c r="J5992" s="690"/>
      <c r="K5992" s="690"/>
      <c r="L5992" s="704"/>
      <c r="M5992" s="170"/>
    </row>
    <row r="5993" spans="2:13" x14ac:dyDescent="0.2">
      <c r="B5993" s="173"/>
      <c r="C5993" s="703"/>
      <c r="D5993" s="690"/>
      <c r="E5993" s="690"/>
      <c r="F5993" s="690"/>
      <c r="G5993" s="690"/>
      <c r="H5993" s="690"/>
      <c r="I5993" s="690"/>
      <c r="J5993" s="690"/>
      <c r="K5993" s="690"/>
      <c r="L5993" s="704"/>
      <c r="M5993" s="170"/>
    </row>
    <row r="5994" spans="2:13" x14ac:dyDescent="0.2">
      <c r="B5994" s="173"/>
      <c r="C5994" s="703"/>
      <c r="D5994" s="690"/>
      <c r="E5994" s="690"/>
      <c r="F5994" s="690"/>
      <c r="G5994" s="690"/>
      <c r="H5994" s="690"/>
      <c r="I5994" s="690"/>
      <c r="J5994" s="690"/>
      <c r="K5994" s="690"/>
      <c r="L5994" s="704"/>
      <c r="M5994" s="170"/>
    </row>
    <row r="5995" spans="2:13" x14ac:dyDescent="0.2">
      <c r="B5995" s="173"/>
      <c r="C5995" s="703"/>
      <c r="D5995" s="690"/>
      <c r="E5995" s="690"/>
      <c r="F5995" s="690"/>
      <c r="G5995" s="690"/>
      <c r="H5995" s="690"/>
      <c r="I5995" s="690"/>
      <c r="J5995" s="690"/>
      <c r="K5995" s="690"/>
      <c r="L5995" s="704"/>
      <c r="M5995" s="170"/>
    </row>
    <row r="5996" spans="2:13" x14ac:dyDescent="0.2">
      <c r="B5996" s="173"/>
      <c r="C5996" s="703"/>
      <c r="D5996" s="690"/>
      <c r="E5996" s="690"/>
      <c r="F5996" s="690"/>
      <c r="G5996" s="690"/>
      <c r="H5996" s="690"/>
      <c r="I5996" s="690"/>
      <c r="J5996" s="690"/>
      <c r="K5996" s="690"/>
      <c r="L5996" s="704"/>
      <c r="M5996" s="170"/>
    </row>
    <row r="5997" spans="2:13" x14ac:dyDescent="0.2">
      <c r="B5997" s="173"/>
      <c r="C5997" s="703"/>
      <c r="D5997" s="690"/>
      <c r="E5997" s="690"/>
      <c r="F5997" s="690"/>
      <c r="G5997" s="690"/>
      <c r="H5997" s="690"/>
      <c r="I5997" s="690"/>
      <c r="J5997" s="690"/>
      <c r="K5997" s="690"/>
      <c r="L5997" s="704"/>
      <c r="M5997" s="170"/>
    </row>
    <row r="5998" spans="2:13" x14ac:dyDescent="0.2">
      <c r="B5998" s="173"/>
      <c r="C5998" s="703"/>
      <c r="D5998" s="690"/>
      <c r="E5998" s="690"/>
      <c r="F5998" s="690"/>
      <c r="G5998" s="690"/>
      <c r="H5998" s="690"/>
      <c r="I5998" s="690"/>
      <c r="J5998" s="690"/>
      <c r="K5998" s="690"/>
      <c r="L5998" s="704"/>
      <c r="M5998" s="170"/>
    </row>
    <row r="5999" spans="2:13" x14ac:dyDescent="0.2">
      <c r="B5999" s="173"/>
      <c r="C5999" s="703"/>
      <c r="D5999" s="690"/>
      <c r="E5999" s="690"/>
      <c r="F5999" s="690"/>
      <c r="G5999" s="690"/>
      <c r="H5999" s="690"/>
      <c r="I5999" s="690"/>
      <c r="J5999" s="690"/>
      <c r="K5999" s="690"/>
      <c r="L5999" s="704"/>
      <c r="M5999" s="170"/>
    </row>
    <row r="6000" spans="2:13" x14ac:dyDescent="0.2">
      <c r="B6000" s="173"/>
      <c r="C6000" s="703"/>
      <c r="D6000" s="690"/>
      <c r="E6000" s="690"/>
      <c r="F6000" s="690"/>
      <c r="G6000" s="690"/>
      <c r="H6000" s="690"/>
      <c r="I6000" s="690"/>
      <c r="J6000" s="690"/>
      <c r="K6000" s="690"/>
      <c r="L6000" s="704"/>
      <c r="M6000" s="170"/>
    </row>
    <row r="6001" spans="2:13" x14ac:dyDescent="0.2">
      <c r="B6001" s="173"/>
      <c r="C6001" s="703"/>
      <c r="D6001" s="690"/>
      <c r="E6001" s="690"/>
      <c r="F6001" s="690"/>
      <c r="G6001" s="690"/>
      <c r="H6001" s="690"/>
      <c r="I6001" s="690"/>
      <c r="J6001" s="690"/>
      <c r="K6001" s="690"/>
      <c r="L6001" s="704"/>
      <c r="M6001" s="170"/>
    </row>
    <row r="6002" spans="2:13" x14ac:dyDescent="0.2">
      <c r="B6002" s="173"/>
      <c r="C6002" s="703"/>
      <c r="D6002" s="690"/>
      <c r="E6002" s="690"/>
      <c r="F6002" s="690"/>
      <c r="G6002" s="690"/>
      <c r="H6002" s="690"/>
      <c r="I6002" s="690"/>
      <c r="J6002" s="690"/>
      <c r="K6002" s="690"/>
      <c r="L6002" s="704"/>
      <c r="M6002" s="170"/>
    </row>
    <row r="6003" spans="2:13" x14ac:dyDescent="0.2">
      <c r="B6003" s="173"/>
      <c r="C6003" s="703"/>
      <c r="D6003" s="690"/>
      <c r="E6003" s="690"/>
      <c r="F6003" s="690"/>
      <c r="G6003" s="690"/>
      <c r="H6003" s="690"/>
      <c r="I6003" s="690"/>
      <c r="J6003" s="690"/>
      <c r="K6003" s="690"/>
      <c r="L6003" s="704"/>
      <c r="M6003" s="170"/>
    </row>
    <row r="6004" spans="2:13" x14ac:dyDescent="0.2">
      <c r="B6004" s="173"/>
      <c r="C6004" s="703"/>
      <c r="D6004" s="690"/>
      <c r="E6004" s="690"/>
      <c r="F6004" s="690"/>
      <c r="G6004" s="690"/>
      <c r="H6004" s="690"/>
      <c r="I6004" s="690"/>
      <c r="J6004" s="690"/>
      <c r="K6004" s="690"/>
      <c r="L6004" s="704"/>
      <c r="M6004" s="170"/>
    </row>
    <row r="6005" spans="2:13" x14ac:dyDescent="0.2">
      <c r="B6005" s="173"/>
      <c r="C6005" s="703"/>
      <c r="D6005" s="690"/>
      <c r="E6005" s="690"/>
      <c r="F6005" s="690"/>
      <c r="G6005" s="690"/>
      <c r="H6005" s="690"/>
      <c r="I6005" s="690"/>
      <c r="J6005" s="690"/>
      <c r="K6005" s="690"/>
      <c r="L6005" s="704"/>
      <c r="M6005" s="170"/>
    </row>
    <row r="6006" spans="2:13" x14ac:dyDescent="0.2">
      <c r="B6006" s="173"/>
      <c r="C6006" s="703"/>
      <c r="D6006" s="690"/>
      <c r="E6006" s="690"/>
      <c r="F6006" s="690"/>
      <c r="G6006" s="690"/>
      <c r="H6006" s="690"/>
      <c r="I6006" s="690"/>
      <c r="J6006" s="690"/>
      <c r="K6006" s="690"/>
      <c r="L6006" s="704"/>
      <c r="M6006" s="170"/>
    </row>
    <row r="6007" spans="2:13" x14ac:dyDescent="0.2">
      <c r="B6007" s="173"/>
      <c r="C6007" s="703"/>
      <c r="D6007" s="690"/>
      <c r="E6007" s="690"/>
      <c r="F6007" s="690"/>
      <c r="G6007" s="690"/>
      <c r="H6007" s="690"/>
      <c r="I6007" s="690"/>
      <c r="J6007" s="690"/>
      <c r="K6007" s="690"/>
      <c r="L6007" s="704"/>
      <c r="M6007" s="170"/>
    </row>
    <row r="6008" spans="2:13" x14ac:dyDescent="0.2">
      <c r="B6008" s="173"/>
      <c r="C6008" s="703"/>
      <c r="D6008" s="690"/>
      <c r="E6008" s="690"/>
      <c r="F6008" s="690"/>
      <c r="G6008" s="690"/>
      <c r="H6008" s="690"/>
      <c r="I6008" s="690"/>
      <c r="J6008" s="690"/>
      <c r="K6008" s="690"/>
      <c r="L6008" s="704"/>
      <c r="M6008" s="170"/>
    </row>
    <row r="6009" spans="2:13" x14ac:dyDescent="0.2">
      <c r="B6009" s="173"/>
      <c r="C6009" s="703"/>
      <c r="D6009" s="690"/>
      <c r="E6009" s="690"/>
      <c r="F6009" s="690"/>
      <c r="G6009" s="690"/>
      <c r="H6009" s="690"/>
      <c r="I6009" s="690"/>
      <c r="J6009" s="690"/>
      <c r="K6009" s="690"/>
      <c r="L6009" s="704"/>
      <c r="M6009" s="170"/>
    </row>
    <row r="6010" spans="2:13" x14ac:dyDescent="0.2">
      <c r="B6010" s="173"/>
      <c r="C6010" s="703"/>
      <c r="D6010" s="690"/>
      <c r="E6010" s="690"/>
      <c r="F6010" s="690"/>
      <c r="G6010" s="690"/>
      <c r="H6010" s="690"/>
      <c r="I6010" s="690"/>
      <c r="J6010" s="690"/>
      <c r="K6010" s="690"/>
      <c r="L6010" s="704"/>
      <c r="M6010" s="170"/>
    </row>
    <row r="6011" spans="2:13" x14ac:dyDescent="0.2">
      <c r="B6011" s="173"/>
      <c r="C6011" s="703"/>
      <c r="D6011" s="690"/>
      <c r="E6011" s="690"/>
      <c r="F6011" s="690"/>
      <c r="G6011" s="690"/>
      <c r="H6011" s="690"/>
      <c r="I6011" s="690"/>
      <c r="J6011" s="690"/>
      <c r="K6011" s="690"/>
      <c r="L6011" s="704"/>
      <c r="M6011" s="170"/>
    </row>
    <row r="6012" spans="2:13" x14ac:dyDescent="0.2">
      <c r="B6012" s="173"/>
      <c r="C6012" s="703"/>
      <c r="D6012" s="690"/>
      <c r="E6012" s="690"/>
      <c r="F6012" s="690"/>
      <c r="G6012" s="690"/>
      <c r="H6012" s="690"/>
      <c r="I6012" s="690"/>
      <c r="J6012" s="690"/>
      <c r="K6012" s="690"/>
      <c r="L6012" s="704"/>
      <c r="M6012" s="170"/>
    </row>
    <row r="6013" spans="2:13" x14ac:dyDescent="0.2">
      <c r="B6013" s="173"/>
      <c r="C6013" s="703"/>
      <c r="D6013" s="690"/>
      <c r="E6013" s="690"/>
      <c r="F6013" s="690"/>
      <c r="G6013" s="690"/>
      <c r="H6013" s="690"/>
      <c r="I6013" s="690"/>
      <c r="J6013" s="690"/>
      <c r="K6013" s="690"/>
      <c r="L6013" s="704"/>
      <c r="M6013" s="170"/>
    </row>
    <row r="6014" spans="2:13" x14ac:dyDescent="0.2">
      <c r="B6014" s="173"/>
      <c r="C6014" s="703"/>
      <c r="D6014" s="690"/>
      <c r="E6014" s="690"/>
      <c r="F6014" s="690"/>
      <c r="G6014" s="690"/>
      <c r="H6014" s="690"/>
      <c r="I6014" s="690"/>
      <c r="J6014" s="690"/>
      <c r="K6014" s="690"/>
      <c r="L6014" s="704"/>
      <c r="M6014" s="170"/>
    </row>
    <row r="6015" spans="2:13" x14ac:dyDescent="0.2">
      <c r="B6015" s="173"/>
      <c r="C6015" s="703"/>
      <c r="D6015" s="690"/>
      <c r="E6015" s="690"/>
      <c r="F6015" s="690"/>
      <c r="G6015" s="690"/>
      <c r="H6015" s="690"/>
      <c r="I6015" s="690"/>
      <c r="J6015" s="690"/>
      <c r="K6015" s="690"/>
      <c r="L6015" s="704"/>
      <c r="M6015" s="170"/>
    </row>
    <row r="6016" spans="2:13" x14ac:dyDescent="0.2">
      <c r="B6016" s="173"/>
      <c r="C6016" s="703"/>
      <c r="D6016" s="690"/>
      <c r="E6016" s="690"/>
      <c r="F6016" s="690"/>
      <c r="G6016" s="690"/>
      <c r="H6016" s="690"/>
      <c r="I6016" s="690"/>
      <c r="J6016" s="690"/>
      <c r="K6016" s="690"/>
      <c r="L6016" s="704"/>
      <c r="M6016" s="170"/>
    </row>
    <row r="6017" spans="2:13" x14ac:dyDescent="0.2">
      <c r="B6017" s="173"/>
      <c r="C6017" s="703"/>
      <c r="D6017" s="690"/>
      <c r="E6017" s="690"/>
      <c r="F6017" s="690"/>
      <c r="G6017" s="690"/>
      <c r="H6017" s="690"/>
      <c r="I6017" s="690"/>
      <c r="J6017" s="690"/>
      <c r="K6017" s="690"/>
      <c r="L6017" s="704"/>
      <c r="M6017" s="170"/>
    </row>
    <row r="6018" spans="2:13" x14ac:dyDescent="0.2">
      <c r="B6018" s="173"/>
      <c r="C6018" s="703"/>
      <c r="D6018" s="690"/>
      <c r="E6018" s="690"/>
      <c r="F6018" s="690"/>
      <c r="G6018" s="690"/>
      <c r="H6018" s="690"/>
      <c r="I6018" s="690"/>
      <c r="J6018" s="690"/>
      <c r="K6018" s="690"/>
      <c r="L6018" s="704"/>
      <c r="M6018" s="170"/>
    </row>
    <row r="6019" spans="2:13" x14ac:dyDescent="0.2">
      <c r="B6019" s="173"/>
      <c r="C6019" s="703"/>
      <c r="D6019" s="690"/>
      <c r="E6019" s="690"/>
      <c r="F6019" s="690"/>
      <c r="G6019" s="690"/>
      <c r="H6019" s="690"/>
      <c r="I6019" s="690"/>
      <c r="J6019" s="690"/>
      <c r="K6019" s="690"/>
      <c r="L6019" s="704"/>
      <c r="M6019" s="170"/>
    </row>
    <row r="6020" spans="2:13" x14ac:dyDescent="0.2">
      <c r="B6020" s="173"/>
      <c r="C6020" s="703"/>
      <c r="D6020" s="690"/>
      <c r="E6020" s="690"/>
      <c r="F6020" s="690"/>
      <c r="G6020" s="690"/>
      <c r="H6020" s="690"/>
      <c r="I6020" s="690"/>
      <c r="J6020" s="690"/>
      <c r="K6020" s="690"/>
      <c r="L6020" s="704"/>
      <c r="M6020" s="170"/>
    </row>
    <row r="6021" spans="2:13" x14ac:dyDescent="0.2">
      <c r="B6021" s="173"/>
      <c r="C6021" s="703"/>
      <c r="D6021" s="690"/>
      <c r="E6021" s="690"/>
      <c r="F6021" s="690"/>
      <c r="G6021" s="690"/>
      <c r="H6021" s="690"/>
      <c r="I6021" s="690"/>
      <c r="J6021" s="690"/>
      <c r="K6021" s="690"/>
      <c r="L6021" s="704"/>
      <c r="M6021" s="170"/>
    </row>
    <row r="6022" spans="2:13" x14ac:dyDescent="0.2">
      <c r="B6022" s="173"/>
      <c r="C6022" s="703"/>
      <c r="D6022" s="690"/>
      <c r="E6022" s="690"/>
      <c r="F6022" s="690"/>
      <c r="G6022" s="690"/>
      <c r="H6022" s="690"/>
      <c r="I6022" s="690"/>
      <c r="J6022" s="690"/>
      <c r="K6022" s="690"/>
      <c r="L6022" s="704"/>
      <c r="M6022" s="170"/>
    </row>
    <row r="6023" spans="2:13" x14ac:dyDescent="0.2">
      <c r="B6023" s="173"/>
      <c r="C6023" s="703"/>
      <c r="D6023" s="690"/>
      <c r="E6023" s="690"/>
      <c r="F6023" s="690"/>
      <c r="G6023" s="690"/>
      <c r="H6023" s="690"/>
      <c r="I6023" s="690"/>
      <c r="J6023" s="690"/>
      <c r="K6023" s="690"/>
      <c r="L6023" s="704"/>
      <c r="M6023" s="170"/>
    </row>
    <row r="6024" spans="2:13" x14ac:dyDescent="0.2">
      <c r="B6024" s="173"/>
      <c r="C6024" s="703"/>
      <c r="D6024" s="690"/>
      <c r="E6024" s="690"/>
      <c r="F6024" s="690"/>
      <c r="G6024" s="690"/>
      <c r="H6024" s="690"/>
      <c r="I6024" s="690"/>
      <c r="J6024" s="690"/>
      <c r="K6024" s="690"/>
      <c r="L6024" s="704"/>
      <c r="M6024" s="170"/>
    </row>
    <row r="6025" spans="2:13" x14ac:dyDescent="0.2">
      <c r="B6025" s="173"/>
      <c r="C6025" s="703"/>
      <c r="D6025" s="690"/>
      <c r="E6025" s="690"/>
      <c r="F6025" s="690"/>
      <c r="G6025" s="690"/>
      <c r="H6025" s="690"/>
      <c r="I6025" s="690"/>
      <c r="J6025" s="690"/>
      <c r="K6025" s="690"/>
      <c r="L6025" s="704"/>
      <c r="M6025" s="170"/>
    </row>
    <row r="6026" spans="2:13" x14ac:dyDescent="0.2">
      <c r="B6026" s="173"/>
      <c r="C6026" s="703"/>
      <c r="D6026" s="690"/>
      <c r="E6026" s="690"/>
      <c r="F6026" s="690"/>
      <c r="G6026" s="690"/>
      <c r="H6026" s="690"/>
      <c r="I6026" s="690"/>
      <c r="J6026" s="690"/>
      <c r="K6026" s="690"/>
      <c r="L6026" s="704"/>
      <c r="M6026" s="170"/>
    </row>
    <row r="6027" spans="2:13" x14ac:dyDescent="0.2">
      <c r="B6027" s="173"/>
      <c r="C6027" s="703"/>
      <c r="D6027" s="690"/>
      <c r="E6027" s="690"/>
      <c r="F6027" s="690"/>
      <c r="G6027" s="690"/>
      <c r="H6027" s="690"/>
      <c r="I6027" s="690"/>
      <c r="J6027" s="690"/>
      <c r="K6027" s="690"/>
      <c r="L6027" s="704"/>
      <c r="M6027" s="170"/>
    </row>
    <row r="6028" spans="2:13" x14ac:dyDescent="0.2">
      <c r="B6028" s="173"/>
      <c r="C6028" s="703"/>
      <c r="D6028" s="690"/>
      <c r="E6028" s="690"/>
      <c r="F6028" s="690"/>
      <c r="G6028" s="690"/>
      <c r="H6028" s="690"/>
      <c r="I6028" s="690"/>
      <c r="J6028" s="690"/>
      <c r="K6028" s="690"/>
      <c r="L6028" s="704"/>
      <c r="M6028" s="170"/>
    </row>
    <row r="6029" spans="2:13" x14ac:dyDescent="0.2">
      <c r="B6029" s="173"/>
      <c r="C6029" s="703"/>
      <c r="D6029" s="690"/>
      <c r="E6029" s="690"/>
      <c r="F6029" s="690"/>
      <c r="G6029" s="690"/>
      <c r="H6029" s="690"/>
      <c r="I6029" s="690"/>
      <c r="J6029" s="690"/>
      <c r="K6029" s="690"/>
      <c r="L6029" s="704"/>
      <c r="M6029" s="170"/>
    </row>
    <row r="6030" spans="2:13" x14ac:dyDescent="0.2">
      <c r="B6030" s="173"/>
      <c r="C6030" s="703"/>
      <c r="D6030" s="690"/>
      <c r="E6030" s="690"/>
      <c r="F6030" s="690"/>
      <c r="G6030" s="690"/>
      <c r="H6030" s="690"/>
      <c r="I6030" s="690"/>
      <c r="J6030" s="690"/>
      <c r="K6030" s="690"/>
      <c r="L6030" s="704"/>
      <c r="M6030" s="170"/>
    </row>
    <row r="6031" spans="2:13" x14ac:dyDescent="0.2">
      <c r="B6031" s="173"/>
      <c r="C6031" s="703"/>
      <c r="D6031" s="690"/>
      <c r="E6031" s="690"/>
      <c r="F6031" s="690"/>
      <c r="G6031" s="690"/>
      <c r="H6031" s="690"/>
      <c r="I6031" s="690"/>
      <c r="J6031" s="690"/>
      <c r="K6031" s="690"/>
      <c r="L6031" s="704"/>
      <c r="M6031" s="170"/>
    </row>
    <row r="6032" spans="2:13" x14ac:dyDescent="0.2">
      <c r="B6032" s="173"/>
      <c r="C6032" s="703"/>
      <c r="D6032" s="690"/>
      <c r="E6032" s="690"/>
      <c r="F6032" s="690"/>
      <c r="G6032" s="690"/>
      <c r="H6032" s="690"/>
      <c r="I6032" s="690"/>
      <c r="J6032" s="690"/>
      <c r="K6032" s="690"/>
      <c r="L6032" s="704"/>
      <c r="M6032" s="170"/>
    </row>
    <row r="6033" spans="2:13" x14ac:dyDescent="0.2">
      <c r="B6033" s="173"/>
      <c r="C6033" s="703"/>
      <c r="D6033" s="690"/>
      <c r="E6033" s="690"/>
      <c r="F6033" s="690"/>
      <c r="G6033" s="690"/>
      <c r="H6033" s="690"/>
      <c r="I6033" s="690"/>
      <c r="J6033" s="690"/>
      <c r="K6033" s="690"/>
      <c r="L6033" s="704"/>
      <c r="M6033" s="170"/>
    </row>
    <row r="6034" spans="2:13" x14ac:dyDescent="0.2">
      <c r="B6034" s="173"/>
      <c r="C6034" s="703"/>
      <c r="D6034" s="690"/>
      <c r="E6034" s="690"/>
      <c r="F6034" s="690"/>
      <c r="G6034" s="690"/>
      <c r="H6034" s="690"/>
      <c r="I6034" s="690"/>
      <c r="J6034" s="690"/>
      <c r="K6034" s="690"/>
      <c r="L6034" s="704"/>
      <c r="M6034" s="170"/>
    </row>
    <row r="6035" spans="2:13" x14ac:dyDescent="0.2">
      <c r="B6035" s="173"/>
      <c r="C6035" s="703"/>
      <c r="D6035" s="690"/>
      <c r="E6035" s="690"/>
      <c r="F6035" s="690"/>
      <c r="G6035" s="690"/>
      <c r="H6035" s="690"/>
      <c r="I6035" s="690"/>
      <c r="J6035" s="690"/>
      <c r="K6035" s="690"/>
      <c r="L6035" s="704"/>
      <c r="M6035" s="170"/>
    </row>
    <row r="6036" spans="2:13" x14ac:dyDescent="0.2">
      <c r="B6036" s="173"/>
      <c r="C6036" s="703"/>
      <c r="D6036" s="690"/>
      <c r="E6036" s="690"/>
      <c r="F6036" s="690"/>
      <c r="G6036" s="690"/>
      <c r="H6036" s="690"/>
      <c r="I6036" s="690"/>
      <c r="J6036" s="690"/>
      <c r="K6036" s="690"/>
      <c r="L6036" s="704"/>
      <c r="M6036" s="170"/>
    </row>
    <row r="6037" spans="2:13" x14ac:dyDescent="0.2">
      <c r="B6037" s="173"/>
      <c r="C6037" s="703"/>
      <c r="D6037" s="690"/>
      <c r="E6037" s="690"/>
      <c r="F6037" s="690"/>
      <c r="G6037" s="690"/>
      <c r="H6037" s="690"/>
      <c r="I6037" s="690"/>
      <c r="J6037" s="690"/>
      <c r="K6037" s="690"/>
      <c r="L6037" s="704"/>
      <c r="M6037" s="170"/>
    </row>
    <row r="6038" spans="2:13" x14ac:dyDescent="0.2">
      <c r="B6038" s="173"/>
      <c r="C6038" s="703"/>
      <c r="D6038" s="690"/>
      <c r="E6038" s="690"/>
      <c r="F6038" s="690"/>
      <c r="G6038" s="690"/>
      <c r="H6038" s="690"/>
      <c r="I6038" s="690"/>
      <c r="J6038" s="690"/>
      <c r="K6038" s="690"/>
      <c r="L6038" s="704"/>
      <c r="M6038" s="170"/>
    </row>
    <row r="6039" spans="2:13" x14ac:dyDescent="0.2">
      <c r="B6039" s="173"/>
      <c r="C6039" s="703"/>
      <c r="D6039" s="690"/>
      <c r="E6039" s="690"/>
      <c r="F6039" s="690"/>
      <c r="G6039" s="690"/>
      <c r="H6039" s="690"/>
      <c r="I6039" s="690"/>
      <c r="J6039" s="690"/>
      <c r="K6039" s="690"/>
      <c r="L6039" s="704"/>
      <c r="M6039" s="170"/>
    </row>
    <row r="6040" spans="2:13" x14ac:dyDescent="0.2">
      <c r="B6040" s="173"/>
      <c r="C6040" s="703"/>
      <c r="D6040" s="690"/>
      <c r="E6040" s="690"/>
      <c r="F6040" s="690"/>
      <c r="G6040" s="690"/>
      <c r="H6040" s="690"/>
      <c r="I6040" s="690"/>
      <c r="J6040" s="690"/>
      <c r="K6040" s="690"/>
      <c r="L6040" s="704"/>
      <c r="M6040" s="170"/>
    </row>
    <row r="6041" spans="2:13" x14ac:dyDescent="0.2">
      <c r="B6041" s="173"/>
      <c r="C6041" s="703"/>
      <c r="D6041" s="690"/>
      <c r="E6041" s="690"/>
      <c r="F6041" s="690"/>
      <c r="G6041" s="690"/>
      <c r="H6041" s="690"/>
      <c r="I6041" s="690"/>
      <c r="J6041" s="690"/>
      <c r="K6041" s="690"/>
      <c r="L6041" s="704"/>
      <c r="M6041" s="170"/>
    </row>
    <row r="6042" spans="2:13" x14ac:dyDescent="0.2">
      <c r="B6042" s="173"/>
      <c r="C6042" s="703"/>
      <c r="D6042" s="690"/>
      <c r="E6042" s="690"/>
      <c r="F6042" s="690"/>
      <c r="G6042" s="690"/>
      <c r="H6042" s="690"/>
      <c r="I6042" s="690"/>
      <c r="J6042" s="690"/>
      <c r="K6042" s="690"/>
      <c r="L6042" s="704"/>
      <c r="M6042" s="170"/>
    </row>
    <row r="6043" spans="2:13" x14ac:dyDescent="0.2">
      <c r="B6043" s="173"/>
      <c r="C6043" s="703"/>
      <c r="D6043" s="690"/>
      <c r="E6043" s="690"/>
      <c r="F6043" s="690"/>
      <c r="G6043" s="690"/>
      <c r="H6043" s="690"/>
      <c r="I6043" s="690"/>
      <c r="J6043" s="690"/>
      <c r="K6043" s="690"/>
      <c r="L6043" s="704"/>
      <c r="M6043" s="170"/>
    </row>
    <row r="6044" spans="2:13" x14ac:dyDescent="0.2">
      <c r="B6044" s="173"/>
      <c r="C6044" s="703"/>
      <c r="D6044" s="690"/>
      <c r="E6044" s="690"/>
      <c r="F6044" s="690"/>
      <c r="G6044" s="690"/>
      <c r="H6044" s="690"/>
      <c r="I6044" s="690"/>
      <c r="J6044" s="690"/>
      <c r="K6044" s="690"/>
      <c r="L6044" s="704"/>
      <c r="M6044" s="170"/>
    </row>
    <row r="6045" spans="2:13" x14ac:dyDescent="0.2">
      <c r="B6045" s="173"/>
      <c r="C6045" s="703"/>
      <c r="D6045" s="690"/>
      <c r="E6045" s="690"/>
      <c r="F6045" s="690"/>
      <c r="G6045" s="690"/>
      <c r="H6045" s="690"/>
      <c r="I6045" s="690"/>
      <c r="J6045" s="690"/>
      <c r="K6045" s="690"/>
      <c r="L6045" s="704"/>
      <c r="M6045" s="170"/>
    </row>
    <row r="6046" spans="2:13" x14ac:dyDescent="0.2">
      <c r="B6046" s="173"/>
      <c r="C6046" s="703"/>
      <c r="D6046" s="690"/>
      <c r="E6046" s="690"/>
      <c r="F6046" s="690"/>
      <c r="G6046" s="690"/>
      <c r="H6046" s="690"/>
      <c r="I6046" s="690"/>
      <c r="J6046" s="690"/>
      <c r="K6046" s="690"/>
      <c r="L6046" s="704"/>
      <c r="M6046" s="170"/>
    </row>
    <row r="6047" spans="2:13" x14ac:dyDescent="0.2">
      <c r="B6047" s="173"/>
      <c r="C6047" s="703"/>
      <c r="D6047" s="690"/>
      <c r="E6047" s="690"/>
      <c r="F6047" s="690"/>
      <c r="G6047" s="690"/>
      <c r="H6047" s="690"/>
      <c r="I6047" s="690"/>
      <c r="J6047" s="690"/>
      <c r="K6047" s="690"/>
      <c r="L6047" s="704"/>
      <c r="M6047" s="170"/>
    </row>
    <row r="6048" spans="2:13" x14ac:dyDescent="0.2">
      <c r="B6048" s="173"/>
      <c r="C6048" s="703"/>
      <c r="D6048" s="690"/>
      <c r="E6048" s="690"/>
      <c r="F6048" s="690"/>
      <c r="G6048" s="690"/>
      <c r="H6048" s="690"/>
      <c r="I6048" s="690"/>
      <c r="J6048" s="690"/>
      <c r="K6048" s="690"/>
      <c r="L6048" s="704"/>
      <c r="M6048" s="170"/>
    </row>
    <row r="6049" spans="2:13" x14ac:dyDescent="0.2">
      <c r="B6049" s="173"/>
      <c r="C6049" s="703"/>
      <c r="D6049" s="690"/>
      <c r="E6049" s="690"/>
      <c r="F6049" s="690"/>
      <c r="G6049" s="690"/>
      <c r="H6049" s="690"/>
      <c r="I6049" s="690"/>
      <c r="J6049" s="690"/>
      <c r="K6049" s="690"/>
      <c r="L6049" s="704"/>
      <c r="M6049" s="170"/>
    </row>
    <row r="6050" spans="2:13" x14ac:dyDescent="0.2">
      <c r="B6050" s="173"/>
      <c r="C6050" s="703"/>
      <c r="D6050" s="690"/>
      <c r="E6050" s="690"/>
      <c r="F6050" s="690"/>
      <c r="G6050" s="690"/>
      <c r="H6050" s="690"/>
      <c r="I6050" s="690"/>
      <c r="J6050" s="690"/>
      <c r="K6050" s="690"/>
      <c r="L6050" s="704"/>
      <c r="M6050" s="170"/>
    </row>
    <row r="6051" spans="2:13" x14ac:dyDescent="0.2">
      <c r="B6051" s="173"/>
      <c r="C6051" s="703"/>
      <c r="D6051" s="690"/>
      <c r="E6051" s="690"/>
      <c r="F6051" s="690"/>
      <c r="G6051" s="690"/>
      <c r="H6051" s="690"/>
      <c r="I6051" s="690"/>
      <c r="J6051" s="690"/>
      <c r="K6051" s="690"/>
      <c r="L6051" s="704"/>
      <c r="M6051" s="170"/>
    </row>
    <row r="6052" spans="2:13" x14ac:dyDescent="0.2">
      <c r="B6052" s="173"/>
      <c r="C6052" s="703"/>
      <c r="D6052" s="690"/>
      <c r="E6052" s="690"/>
      <c r="F6052" s="690"/>
      <c r="G6052" s="690"/>
      <c r="H6052" s="690"/>
      <c r="I6052" s="690"/>
      <c r="J6052" s="690"/>
      <c r="K6052" s="690"/>
      <c r="L6052" s="704"/>
      <c r="M6052" s="170"/>
    </row>
    <row r="6053" spans="2:13" x14ac:dyDescent="0.2">
      <c r="B6053" s="173"/>
      <c r="C6053" s="703"/>
      <c r="D6053" s="690"/>
      <c r="E6053" s="690"/>
      <c r="F6053" s="690"/>
      <c r="G6053" s="690"/>
      <c r="H6053" s="690"/>
      <c r="I6053" s="690"/>
      <c r="J6053" s="690"/>
      <c r="K6053" s="690"/>
      <c r="L6053" s="704"/>
      <c r="M6053" s="170"/>
    </row>
    <row r="6054" spans="2:13" x14ac:dyDescent="0.2">
      <c r="B6054" s="173"/>
      <c r="C6054" s="703"/>
      <c r="D6054" s="690"/>
      <c r="E6054" s="690"/>
      <c r="F6054" s="690"/>
      <c r="G6054" s="690"/>
      <c r="H6054" s="690"/>
      <c r="I6054" s="690"/>
      <c r="J6054" s="690"/>
      <c r="K6054" s="690"/>
      <c r="L6054" s="704"/>
      <c r="M6054" s="170"/>
    </row>
    <row r="6055" spans="2:13" x14ac:dyDescent="0.2">
      <c r="B6055" s="173"/>
      <c r="C6055" s="703"/>
      <c r="D6055" s="690"/>
      <c r="E6055" s="690"/>
      <c r="F6055" s="690"/>
      <c r="G6055" s="690"/>
      <c r="H6055" s="690"/>
      <c r="I6055" s="690"/>
      <c r="J6055" s="690"/>
      <c r="K6055" s="690"/>
      <c r="L6055" s="704"/>
      <c r="M6055" s="170"/>
    </row>
    <row r="6056" spans="2:13" x14ac:dyDescent="0.2">
      <c r="B6056" s="173"/>
      <c r="C6056" s="703"/>
      <c r="D6056" s="690"/>
      <c r="E6056" s="690"/>
      <c r="F6056" s="690"/>
      <c r="G6056" s="690"/>
      <c r="H6056" s="690"/>
      <c r="I6056" s="690"/>
      <c r="J6056" s="690"/>
      <c r="K6056" s="690"/>
      <c r="L6056" s="704"/>
      <c r="M6056" s="170"/>
    </row>
    <row r="6057" spans="2:13" x14ac:dyDescent="0.2">
      <c r="B6057" s="173"/>
      <c r="C6057" s="703"/>
      <c r="D6057" s="690"/>
      <c r="E6057" s="690"/>
      <c r="F6057" s="690"/>
      <c r="G6057" s="690"/>
      <c r="H6057" s="690"/>
      <c r="I6057" s="690"/>
      <c r="J6057" s="690"/>
      <c r="K6057" s="690"/>
      <c r="L6057" s="704"/>
      <c r="M6057" s="170"/>
    </row>
    <row r="6058" spans="2:13" x14ac:dyDescent="0.2">
      <c r="B6058" s="173"/>
      <c r="C6058" s="703"/>
      <c r="D6058" s="690"/>
      <c r="E6058" s="690"/>
      <c r="F6058" s="690"/>
      <c r="G6058" s="690"/>
      <c r="H6058" s="690"/>
      <c r="I6058" s="690"/>
      <c r="J6058" s="690"/>
      <c r="K6058" s="690"/>
      <c r="L6058" s="704"/>
      <c r="M6058" s="170"/>
    </row>
    <row r="6059" spans="2:13" x14ac:dyDescent="0.2">
      <c r="B6059" s="173"/>
      <c r="C6059" s="703"/>
      <c r="D6059" s="690"/>
      <c r="E6059" s="690"/>
      <c r="F6059" s="690"/>
      <c r="G6059" s="690"/>
      <c r="H6059" s="690"/>
      <c r="I6059" s="690"/>
      <c r="J6059" s="690"/>
      <c r="K6059" s="690"/>
      <c r="L6059" s="704"/>
      <c r="M6059" s="170"/>
    </row>
    <row r="6060" spans="2:13" x14ac:dyDescent="0.2">
      <c r="B6060" s="173"/>
      <c r="C6060" s="703"/>
      <c r="D6060" s="690"/>
      <c r="E6060" s="690"/>
      <c r="F6060" s="690"/>
      <c r="G6060" s="690"/>
      <c r="H6060" s="690"/>
      <c r="I6060" s="690"/>
      <c r="J6060" s="690"/>
      <c r="K6060" s="690"/>
      <c r="L6060" s="704"/>
      <c r="M6060" s="170"/>
    </row>
    <row r="6061" spans="2:13" x14ac:dyDescent="0.2">
      <c r="B6061" s="173"/>
      <c r="C6061" s="703"/>
      <c r="D6061" s="690"/>
      <c r="E6061" s="690"/>
      <c r="F6061" s="690"/>
      <c r="G6061" s="690"/>
      <c r="H6061" s="690"/>
      <c r="I6061" s="690"/>
      <c r="J6061" s="690"/>
      <c r="K6061" s="690"/>
      <c r="L6061" s="704"/>
      <c r="M6061" s="170"/>
    </row>
    <row r="6062" spans="2:13" x14ac:dyDescent="0.2">
      <c r="B6062" s="173"/>
      <c r="C6062" s="703"/>
      <c r="D6062" s="690"/>
      <c r="E6062" s="690"/>
      <c r="F6062" s="690"/>
      <c r="G6062" s="690"/>
      <c r="H6062" s="690"/>
      <c r="I6062" s="690"/>
      <c r="J6062" s="690"/>
      <c r="K6062" s="690"/>
      <c r="L6062" s="704"/>
      <c r="M6062" s="170"/>
    </row>
    <row r="6063" spans="2:13" x14ac:dyDescent="0.2">
      <c r="B6063" s="173"/>
      <c r="C6063" s="703"/>
      <c r="D6063" s="690"/>
      <c r="E6063" s="690"/>
      <c r="F6063" s="690"/>
      <c r="G6063" s="690"/>
      <c r="H6063" s="690"/>
      <c r="I6063" s="690"/>
      <c r="J6063" s="690"/>
      <c r="K6063" s="690"/>
      <c r="L6063" s="704"/>
      <c r="M6063" s="170"/>
    </row>
    <row r="6064" spans="2:13" x14ac:dyDescent="0.2">
      <c r="B6064" s="173"/>
      <c r="C6064" s="703"/>
      <c r="D6064" s="690"/>
      <c r="E6064" s="690"/>
      <c r="F6064" s="690"/>
      <c r="G6064" s="690"/>
      <c r="H6064" s="690"/>
      <c r="I6064" s="690"/>
      <c r="J6064" s="690"/>
      <c r="K6064" s="690"/>
      <c r="L6064" s="704"/>
      <c r="M6064" s="170"/>
    </row>
    <row r="6065" spans="2:13" x14ac:dyDescent="0.2">
      <c r="B6065" s="173"/>
      <c r="C6065" s="703"/>
      <c r="D6065" s="690"/>
      <c r="E6065" s="690"/>
      <c r="F6065" s="690"/>
      <c r="G6065" s="690"/>
      <c r="H6065" s="690"/>
      <c r="I6065" s="690"/>
      <c r="J6065" s="690"/>
      <c r="K6065" s="690"/>
      <c r="L6065" s="704"/>
      <c r="M6065" s="170"/>
    </row>
    <row r="6066" spans="2:13" x14ac:dyDescent="0.2">
      <c r="B6066" s="173"/>
      <c r="C6066" s="703"/>
      <c r="D6066" s="690"/>
      <c r="E6066" s="690"/>
      <c r="F6066" s="690"/>
      <c r="G6066" s="690"/>
      <c r="H6066" s="690"/>
      <c r="I6066" s="690"/>
      <c r="J6066" s="690"/>
      <c r="K6066" s="690"/>
      <c r="L6066" s="704"/>
      <c r="M6066" s="170"/>
    </row>
    <row r="6067" spans="2:13" x14ac:dyDescent="0.2">
      <c r="B6067" s="173"/>
      <c r="C6067" s="703"/>
      <c r="D6067" s="690"/>
      <c r="E6067" s="690"/>
      <c r="F6067" s="690"/>
      <c r="G6067" s="690"/>
      <c r="H6067" s="690"/>
      <c r="I6067" s="690"/>
      <c r="J6067" s="690"/>
      <c r="K6067" s="690"/>
      <c r="L6067" s="704"/>
      <c r="M6067" s="170"/>
    </row>
    <row r="6068" spans="2:13" x14ac:dyDescent="0.2">
      <c r="B6068" s="173"/>
      <c r="C6068" s="703"/>
      <c r="D6068" s="690"/>
      <c r="E6068" s="690"/>
      <c r="F6068" s="690"/>
      <c r="G6068" s="690"/>
      <c r="H6068" s="690"/>
      <c r="I6068" s="690"/>
      <c r="J6068" s="690"/>
      <c r="K6068" s="690"/>
      <c r="L6068" s="704"/>
      <c r="M6068" s="170"/>
    </row>
    <row r="6069" spans="2:13" x14ac:dyDescent="0.2">
      <c r="B6069" s="173"/>
      <c r="C6069" s="703"/>
      <c r="D6069" s="690"/>
      <c r="E6069" s="690"/>
      <c r="F6069" s="690"/>
      <c r="G6069" s="690"/>
      <c r="H6069" s="690"/>
      <c r="I6069" s="690"/>
      <c r="J6069" s="690"/>
      <c r="K6069" s="690"/>
      <c r="L6069" s="704"/>
      <c r="M6069" s="170"/>
    </row>
    <row r="6070" spans="2:13" x14ac:dyDescent="0.2">
      <c r="B6070" s="173"/>
      <c r="C6070" s="703"/>
      <c r="D6070" s="690"/>
      <c r="E6070" s="690"/>
      <c r="F6070" s="690"/>
      <c r="G6070" s="690"/>
      <c r="H6070" s="690"/>
      <c r="I6070" s="690"/>
      <c r="J6070" s="690"/>
      <c r="K6070" s="690"/>
      <c r="L6070" s="704"/>
      <c r="M6070" s="170"/>
    </row>
    <row r="6071" spans="2:13" x14ac:dyDescent="0.2">
      <c r="B6071" s="173"/>
      <c r="C6071" s="703"/>
      <c r="D6071" s="690"/>
      <c r="E6071" s="690"/>
      <c r="F6071" s="690"/>
      <c r="G6071" s="690"/>
      <c r="H6071" s="690"/>
      <c r="I6071" s="690"/>
      <c r="J6071" s="690"/>
      <c r="K6071" s="690"/>
      <c r="L6071" s="704"/>
      <c r="M6071" s="170"/>
    </row>
    <row r="6072" spans="2:13" x14ac:dyDescent="0.2">
      <c r="B6072" s="173"/>
      <c r="C6072" s="703"/>
      <c r="D6072" s="690"/>
      <c r="E6072" s="690"/>
      <c r="F6072" s="690"/>
      <c r="G6072" s="690"/>
      <c r="H6072" s="690"/>
      <c r="I6072" s="690"/>
      <c r="J6072" s="690"/>
      <c r="K6072" s="690"/>
      <c r="L6072" s="704"/>
      <c r="M6072" s="170"/>
    </row>
    <row r="6073" spans="2:13" x14ac:dyDescent="0.2">
      <c r="B6073" s="173"/>
      <c r="C6073" s="703"/>
      <c r="D6073" s="690"/>
      <c r="E6073" s="690"/>
      <c r="F6073" s="690"/>
      <c r="G6073" s="690"/>
      <c r="H6073" s="690"/>
      <c r="I6073" s="690"/>
      <c r="J6073" s="690"/>
      <c r="K6073" s="690"/>
      <c r="L6073" s="704"/>
      <c r="M6073" s="170"/>
    </row>
    <row r="6074" spans="2:13" x14ac:dyDescent="0.2">
      <c r="B6074" s="173"/>
      <c r="C6074" s="703"/>
      <c r="D6074" s="690"/>
      <c r="E6074" s="690"/>
      <c r="F6074" s="690"/>
      <c r="G6074" s="690"/>
      <c r="H6074" s="690"/>
      <c r="I6074" s="690"/>
      <c r="J6074" s="690"/>
      <c r="K6074" s="690"/>
      <c r="L6074" s="704"/>
      <c r="M6074" s="170"/>
    </row>
    <row r="6075" spans="2:13" x14ac:dyDescent="0.2">
      <c r="B6075" s="173"/>
      <c r="C6075" s="703"/>
      <c r="D6075" s="690"/>
      <c r="E6075" s="690"/>
      <c r="F6075" s="690"/>
      <c r="G6075" s="690"/>
      <c r="H6075" s="690"/>
      <c r="I6075" s="690"/>
      <c r="J6075" s="690"/>
      <c r="K6075" s="690"/>
      <c r="L6075" s="704"/>
      <c r="M6075" s="170"/>
    </row>
    <row r="6076" spans="2:13" x14ac:dyDescent="0.2">
      <c r="B6076" s="173"/>
      <c r="C6076" s="703"/>
      <c r="D6076" s="690"/>
      <c r="E6076" s="690"/>
      <c r="F6076" s="690"/>
      <c r="G6076" s="690"/>
      <c r="H6076" s="690"/>
      <c r="I6076" s="690"/>
      <c r="J6076" s="690"/>
      <c r="K6076" s="690"/>
      <c r="L6076" s="704"/>
      <c r="M6076" s="170"/>
    </row>
    <row r="6077" spans="2:13" x14ac:dyDescent="0.2">
      <c r="B6077" s="173"/>
      <c r="C6077" s="703"/>
      <c r="D6077" s="690"/>
      <c r="E6077" s="690"/>
      <c r="F6077" s="690"/>
      <c r="G6077" s="690"/>
      <c r="H6077" s="690"/>
      <c r="I6077" s="690"/>
      <c r="J6077" s="690"/>
      <c r="K6077" s="690"/>
      <c r="L6077" s="704"/>
      <c r="M6077" s="170"/>
    </row>
    <row r="6078" spans="2:13" x14ac:dyDescent="0.2">
      <c r="B6078" s="173"/>
      <c r="C6078" s="703"/>
      <c r="D6078" s="690"/>
      <c r="E6078" s="690"/>
      <c r="F6078" s="690"/>
      <c r="G6078" s="690"/>
      <c r="H6078" s="690"/>
      <c r="I6078" s="690"/>
      <c r="J6078" s="690"/>
      <c r="K6078" s="690"/>
      <c r="L6078" s="704"/>
      <c r="M6078" s="170"/>
    </row>
    <row r="6079" spans="2:13" x14ac:dyDescent="0.2">
      <c r="B6079" s="173"/>
      <c r="C6079" s="703"/>
      <c r="D6079" s="690"/>
      <c r="E6079" s="690"/>
      <c r="F6079" s="690"/>
      <c r="G6079" s="690"/>
      <c r="H6079" s="690"/>
      <c r="I6079" s="690"/>
      <c r="J6079" s="690"/>
      <c r="K6079" s="690"/>
      <c r="L6079" s="704"/>
      <c r="M6079" s="170"/>
    </row>
    <row r="6080" spans="2:13" x14ac:dyDescent="0.2">
      <c r="B6080" s="173"/>
      <c r="C6080" s="703"/>
      <c r="D6080" s="690"/>
      <c r="E6080" s="690"/>
      <c r="F6080" s="690"/>
      <c r="G6080" s="690"/>
      <c r="H6080" s="690"/>
      <c r="I6080" s="690"/>
      <c r="J6080" s="690"/>
      <c r="K6080" s="690"/>
      <c r="L6080" s="704"/>
      <c r="M6080" s="170"/>
    </row>
    <row r="6081" spans="2:13" x14ac:dyDescent="0.2">
      <c r="B6081" s="173"/>
      <c r="C6081" s="703"/>
      <c r="D6081" s="690"/>
      <c r="E6081" s="690"/>
      <c r="F6081" s="690"/>
      <c r="G6081" s="690"/>
      <c r="H6081" s="690"/>
      <c r="I6081" s="690"/>
      <c r="J6081" s="690"/>
      <c r="K6081" s="690"/>
      <c r="L6081" s="704"/>
      <c r="M6081" s="170"/>
    </row>
    <row r="6082" spans="2:13" x14ac:dyDescent="0.2">
      <c r="B6082" s="173"/>
      <c r="C6082" s="703"/>
      <c r="D6082" s="690"/>
      <c r="E6082" s="690"/>
      <c r="F6082" s="690"/>
      <c r="G6082" s="690"/>
      <c r="H6082" s="690"/>
      <c r="I6082" s="690"/>
      <c r="J6082" s="690"/>
      <c r="K6082" s="690"/>
      <c r="L6082" s="704"/>
      <c r="M6082" s="170"/>
    </row>
    <row r="6083" spans="2:13" x14ac:dyDescent="0.2">
      <c r="B6083" s="173"/>
      <c r="C6083" s="703"/>
      <c r="D6083" s="690"/>
      <c r="E6083" s="690"/>
      <c r="F6083" s="690"/>
      <c r="G6083" s="690"/>
      <c r="H6083" s="690"/>
      <c r="I6083" s="690"/>
      <c r="J6083" s="690"/>
      <c r="K6083" s="690"/>
      <c r="L6083" s="704"/>
      <c r="M6083" s="170"/>
    </row>
    <row r="6084" spans="2:13" x14ac:dyDescent="0.2">
      <c r="B6084" s="173"/>
      <c r="C6084" s="703"/>
      <c r="D6084" s="690"/>
      <c r="E6084" s="690"/>
      <c r="F6084" s="690"/>
      <c r="G6084" s="690"/>
      <c r="H6084" s="690"/>
      <c r="I6084" s="690"/>
      <c r="J6084" s="690"/>
      <c r="K6084" s="690"/>
      <c r="L6084" s="704"/>
      <c r="M6084" s="170"/>
    </row>
    <row r="6085" spans="2:13" x14ac:dyDescent="0.2">
      <c r="B6085" s="173"/>
      <c r="C6085" s="703"/>
      <c r="D6085" s="690"/>
      <c r="E6085" s="690"/>
      <c r="F6085" s="690"/>
      <c r="G6085" s="690"/>
      <c r="H6085" s="690"/>
      <c r="I6085" s="690"/>
      <c r="J6085" s="690"/>
      <c r="K6085" s="690"/>
      <c r="L6085" s="704"/>
      <c r="M6085" s="170"/>
    </row>
    <row r="6086" spans="2:13" x14ac:dyDescent="0.2">
      <c r="B6086" s="173"/>
      <c r="C6086" s="703"/>
      <c r="D6086" s="690"/>
      <c r="E6086" s="690"/>
      <c r="F6086" s="690"/>
      <c r="G6086" s="690"/>
      <c r="H6086" s="690"/>
      <c r="I6086" s="690"/>
      <c r="J6086" s="690"/>
      <c r="K6086" s="690"/>
      <c r="L6086" s="704"/>
      <c r="M6086" s="170"/>
    </row>
    <row r="6087" spans="2:13" x14ac:dyDescent="0.2">
      <c r="B6087" s="173"/>
      <c r="C6087" s="703"/>
      <c r="D6087" s="690"/>
      <c r="E6087" s="690"/>
      <c r="F6087" s="690"/>
      <c r="G6087" s="690"/>
      <c r="H6087" s="690"/>
      <c r="I6087" s="690"/>
      <c r="J6087" s="690"/>
      <c r="K6087" s="690"/>
      <c r="L6087" s="704"/>
      <c r="M6087" s="170"/>
    </row>
    <row r="6088" spans="2:13" x14ac:dyDescent="0.2">
      <c r="B6088" s="173"/>
      <c r="C6088" s="703"/>
      <c r="D6088" s="690"/>
      <c r="E6088" s="690"/>
      <c r="F6088" s="690"/>
      <c r="G6088" s="690"/>
      <c r="H6088" s="690"/>
      <c r="I6088" s="690"/>
      <c r="J6088" s="690"/>
      <c r="K6088" s="690"/>
      <c r="L6088" s="704"/>
      <c r="M6088" s="170"/>
    </row>
    <row r="6089" spans="2:13" x14ac:dyDescent="0.2">
      <c r="B6089" s="173"/>
      <c r="C6089" s="703"/>
      <c r="D6089" s="690"/>
      <c r="E6089" s="690"/>
      <c r="F6089" s="690"/>
      <c r="G6089" s="690"/>
      <c r="H6089" s="690"/>
      <c r="I6089" s="690"/>
      <c r="J6089" s="690"/>
      <c r="K6089" s="690"/>
      <c r="L6089" s="704"/>
      <c r="M6089" s="170"/>
    </row>
    <row r="6090" spans="2:13" x14ac:dyDescent="0.2">
      <c r="B6090" s="173"/>
      <c r="C6090" s="703"/>
      <c r="D6090" s="690"/>
      <c r="E6090" s="690"/>
      <c r="F6090" s="690"/>
      <c r="G6090" s="690"/>
      <c r="H6090" s="690"/>
      <c r="I6090" s="690"/>
      <c r="J6090" s="690"/>
      <c r="K6090" s="690"/>
      <c r="L6090" s="704"/>
      <c r="M6090" s="170"/>
    </row>
    <row r="6091" spans="2:13" x14ac:dyDescent="0.2">
      <c r="B6091" s="173"/>
      <c r="C6091" s="703"/>
      <c r="D6091" s="690"/>
      <c r="E6091" s="690"/>
      <c r="F6091" s="690"/>
      <c r="G6091" s="690"/>
      <c r="H6091" s="690"/>
      <c r="I6091" s="690"/>
      <c r="J6091" s="690"/>
      <c r="K6091" s="690"/>
      <c r="L6091" s="704"/>
      <c r="M6091" s="170"/>
    </row>
    <row r="6092" spans="2:13" x14ac:dyDescent="0.2">
      <c r="B6092" s="173"/>
      <c r="C6092" s="703"/>
      <c r="D6092" s="690"/>
      <c r="E6092" s="690"/>
      <c r="F6092" s="690"/>
      <c r="G6092" s="690"/>
      <c r="H6092" s="690"/>
      <c r="I6092" s="690"/>
      <c r="J6092" s="690"/>
      <c r="K6092" s="690"/>
      <c r="L6092" s="704"/>
      <c r="M6092" s="170"/>
    </row>
    <row r="6093" spans="2:13" x14ac:dyDescent="0.2">
      <c r="B6093" s="173"/>
      <c r="C6093" s="703"/>
      <c r="D6093" s="690"/>
      <c r="E6093" s="690"/>
      <c r="F6093" s="690"/>
      <c r="G6093" s="690"/>
      <c r="H6093" s="690"/>
      <c r="I6093" s="690"/>
      <c r="J6093" s="690"/>
      <c r="K6093" s="690"/>
      <c r="L6093" s="704"/>
      <c r="M6093" s="170"/>
    </row>
    <row r="6094" spans="2:13" x14ac:dyDescent="0.2">
      <c r="B6094" s="173"/>
      <c r="C6094" s="703"/>
      <c r="D6094" s="690"/>
      <c r="E6094" s="690"/>
      <c r="F6094" s="690"/>
      <c r="G6094" s="690"/>
      <c r="H6094" s="690"/>
      <c r="I6094" s="690"/>
      <c r="J6094" s="690"/>
      <c r="K6094" s="690"/>
      <c r="L6094" s="704"/>
      <c r="M6094" s="170"/>
    </row>
    <row r="6095" spans="2:13" x14ac:dyDescent="0.2">
      <c r="B6095" s="173"/>
      <c r="C6095" s="703"/>
      <c r="D6095" s="690"/>
      <c r="E6095" s="690"/>
      <c r="F6095" s="690"/>
      <c r="G6095" s="690"/>
      <c r="H6095" s="690"/>
      <c r="I6095" s="690"/>
      <c r="J6095" s="690"/>
      <c r="K6095" s="690"/>
      <c r="L6095" s="704"/>
      <c r="M6095" s="170"/>
    </row>
    <row r="6096" spans="2:13" x14ac:dyDescent="0.2">
      <c r="B6096" s="173"/>
      <c r="C6096" s="703"/>
      <c r="D6096" s="690"/>
      <c r="E6096" s="690"/>
      <c r="F6096" s="690"/>
      <c r="G6096" s="690"/>
      <c r="H6096" s="690"/>
      <c r="I6096" s="690"/>
      <c r="J6096" s="690"/>
      <c r="K6096" s="690"/>
      <c r="L6096" s="704"/>
      <c r="M6096" s="170"/>
    </row>
    <row r="6097" spans="2:13" x14ac:dyDescent="0.2">
      <c r="B6097" s="173"/>
      <c r="C6097" s="703"/>
      <c r="D6097" s="690"/>
      <c r="E6097" s="690"/>
      <c r="F6097" s="690"/>
      <c r="G6097" s="690"/>
      <c r="H6097" s="690"/>
      <c r="I6097" s="690"/>
      <c r="J6097" s="690"/>
      <c r="K6097" s="690"/>
      <c r="L6097" s="704"/>
      <c r="M6097" s="170"/>
    </row>
    <row r="6098" spans="2:13" x14ac:dyDescent="0.2">
      <c r="B6098" s="173"/>
      <c r="C6098" s="703"/>
      <c r="D6098" s="690"/>
      <c r="E6098" s="690"/>
      <c r="F6098" s="690"/>
      <c r="G6098" s="690"/>
      <c r="H6098" s="690"/>
      <c r="I6098" s="690"/>
      <c r="J6098" s="690"/>
      <c r="K6098" s="690"/>
      <c r="L6098" s="704"/>
      <c r="M6098" s="170"/>
    </row>
    <row r="6099" spans="2:13" x14ac:dyDescent="0.2">
      <c r="B6099" s="173"/>
      <c r="C6099" s="703"/>
      <c r="D6099" s="690"/>
      <c r="E6099" s="690"/>
      <c r="F6099" s="690"/>
      <c r="G6099" s="690"/>
      <c r="H6099" s="690"/>
      <c r="I6099" s="690"/>
      <c r="J6099" s="690"/>
      <c r="K6099" s="690"/>
      <c r="L6099" s="704"/>
      <c r="M6099" s="170"/>
    </row>
    <row r="6100" spans="2:13" x14ac:dyDescent="0.2">
      <c r="B6100" s="173"/>
      <c r="C6100" s="703"/>
      <c r="D6100" s="690"/>
      <c r="E6100" s="690"/>
      <c r="F6100" s="690"/>
      <c r="G6100" s="690"/>
      <c r="H6100" s="690"/>
      <c r="I6100" s="690"/>
      <c r="J6100" s="690"/>
      <c r="K6100" s="690"/>
      <c r="L6100" s="704"/>
      <c r="M6100" s="170"/>
    </row>
    <row r="6101" spans="2:13" x14ac:dyDescent="0.2">
      <c r="B6101" s="173"/>
      <c r="C6101" s="703"/>
      <c r="D6101" s="690"/>
      <c r="E6101" s="690"/>
      <c r="F6101" s="690"/>
      <c r="G6101" s="690"/>
      <c r="H6101" s="690"/>
      <c r="I6101" s="690"/>
      <c r="J6101" s="690"/>
      <c r="K6101" s="690"/>
      <c r="L6101" s="704"/>
      <c r="M6101" s="170"/>
    </row>
    <row r="6102" spans="2:13" x14ac:dyDescent="0.2">
      <c r="B6102" s="173"/>
      <c r="C6102" s="703"/>
      <c r="D6102" s="690"/>
      <c r="E6102" s="690"/>
      <c r="F6102" s="690"/>
      <c r="G6102" s="690"/>
      <c r="H6102" s="690"/>
      <c r="I6102" s="690"/>
      <c r="J6102" s="690"/>
      <c r="K6102" s="690"/>
      <c r="L6102" s="704"/>
      <c r="M6102" s="170"/>
    </row>
    <row r="6103" spans="2:13" x14ac:dyDescent="0.2">
      <c r="B6103" s="173"/>
      <c r="C6103" s="703"/>
      <c r="D6103" s="690"/>
      <c r="E6103" s="690"/>
      <c r="F6103" s="690"/>
      <c r="G6103" s="690"/>
      <c r="H6103" s="690"/>
      <c r="I6103" s="690"/>
      <c r="J6103" s="690"/>
      <c r="K6103" s="690"/>
      <c r="L6103" s="704"/>
      <c r="M6103" s="170"/>
    </row>
    <row r="6104" spans="2:13" x14ac:dyDescent="0.2">
      <c r="B6104" s="173"/>
      <c r="C6104" s="703"/>
      <c r="D6104" s="690"/>
      <c r="E6104" s="690"/>
      <c r="F6104" s="690"/>
      <c r="G6104" s="690"/>
      <c r="H6104" s="690"/>
      <c r="I6104" s="690"/>
      <c r="J6104" s="690"/>
      <c r="K6104" s="690"/>
      <c r="L6104" s="704"/>
      <c r="M6104" s="170"/>
    </row>
    <row r="6105" spans="2:13" x14ac:dyDescent="0.2">
      <c r="B6105" s="173"/>
      <c r="C6105" s="703"/>
      <c r="D6105" s="690"/>
      <c r="E6105" s="690"/>
      <c r="F6105" s="690"/>
      <c r="G6105" s="690"/>
      <c r="H6105" s="690"/>
      <c r="I6105" s="690"/>
      <c r="J6105" s="690"/>
      <c r="K6105" s="690"/>
      <c r="L6105" s="704"/>
      <c r="M6105" s="170"/>
    </row>
    <row r="6106" spans="2:13" x14ac:dyDescent="0.2">
      <c r="B6106" s="173"/>
      <c r="C6106" s="703"/>
      <c r="D6106" s="690"/>
      <c r="E6106" s="690"/>
      <c r="F6106" s="690"/>
      <c r="G6106" s="690"/>
      <c r="H6106" s="690"/>
      <c r="I6106" s="690"/>
      <c r="J6106" s="690"/>
      <c r="K6106" s="690"/>
      <c r="L6106" s="704"/>
      <c r="M6106" s="170"/>
    </row>
    <row r="6107" spans="2:13" x14ac:dyDescent="0.2">
      <c r="B6107" s="173"/>
      <c r="C6107" s="703"/>
      <c r="D6107" s="690"/>
      <c r="E6107" s="690"/>
      <c r="F6107" s="690"/>
      <c r="G6107" s="690"/>
      <c r="H6107" s="690"/>
      <c r="I6107" s="690"/>
      <c r="J6107" s="690"/>
      <c r="K6107" s="690"/>
      <c r="L6107" s="704"/>
      <c r="M6107" s="170"/>
    </row>
    <row r="6108" spans="2:13" x14ac:dyDescent="0.2">
      <c r="B6108" s="173"/>
      <c r="C6108" s="703"/>
      <c r="D6108" s="690"/>
      <c r="E6108" s="690"/>
      <c r="F6108" s="690"/>
      <c r="G6108" s="690"/>
      <c r="H6108" s="690"/>
      <c r="I6108" s="690"/>
      <c r="J6108" s="690"/>
      <c r="K6108" s="690"/>
      <c r="L6108" s="704"/>
      <c r="M6108" s="170"/>
    </row>
    <row r="6109" spans="2:13" x14ac:dyDescent="0.2">
      <c r="B6109" s="173"/>
      <c r="C6109" s="703"/>
      <c r="D6109" s="690"/>
      <c r="E6109" s="690"/>
      <c r="F6109" s="690"/>
      <c r="G6109" s="690"/>
      <c r="H6109" s="690"/>
      <c r="I6109" s="690"/>
      <c r="J6109" s="690"/>
      <c r="K6109" s="690"/>
      <c r="L6109" s="704"/>
      <c r="M6109" s="170"/>
    </row>
    <row r="6110" spans="2:13" x14ac:dyDescent="0.2">
      <c r="B6110" s="173"/>
      <c r="C6110" s="703"/>
      <c r="D6110" s="690"/>
      <c r="E6110" s="690"/>
      <c r="F6110" s="690"/>
      <c r="G6110" s="690"/>
      <c r="H6110" s="690"/>
      <c r="I6110" s="690"/>
      <c r="J6110" s="690"/>
      <c r="K6110" s="690"/>
      <c r="L6110" s="704"/>
      <c r="M6110" s="170"/>
    </row>
    <row r="6111" spans="2:13" x14ac:dyDescent="0.2">
      <c r="B6111" s="173"/>
      <c r="C6111" s="703"/>
      <c r="D6111" s="690"/>
      <c r="E6111" s="690"/>
      <c r="F6111" s="690"/>
      <c r="G6111" s="690"/>
      <c r="H6111" s="690"/>
      <c r="I6111" s="690"/>
      <c r="J6111" s="690"/>
      <c r="K6111" s="690"/>
      <c r="L6111" s="704"/>
      <c r="M6111" s="170"/>
    </row>
    <row r="6112" spans="2:13" x14ac:dyDescent="0.2">
      <c r="B6112" s="173"/>
      <c r="C6112" s="703"/>
      <c r="D6112" s="690"/>
      <c r="E6112" s="690"/>
      <c r="F6112" s="690"/>
      <c r="G6112" s="690"/>
      <c r="H6112" s="690"/>
      <c r="I6112" s="690"/>
      <c r="J6112" s="690"/>
      <c r="K6112" s="690"/>
      <c r="L6112" s="704"/>
      <c r="M6112" s="170"/>
    </row>
    <row r="6113" spans="2:13" x14ac:dyDescent="0.2">
      <c r="B6113" s="173"/>
      <c r="C6113" s="703"/>
      <c r="D6113" s="690"/>
      <c r="E6113" s="690"/>
      <c r="F6113" s="690"/>
      <c r="G6113" s="690"/>
      <c r="H6113" s="690"/>
      <c r="I6113" s="690"/>
      <c r="J6113" s="690"/>
      <c r="K6113" s="690"/>
      <c r="L6113" s="704"/>
      <c r="M6113" s="170"/>
    </row>
    <row r="6114" spans="2:13" x14ac:dyDescent="0.2">
      <c r="B6114" s="173"/>
      <c r="C6114" s="703"/>
      <c r="D6114" s="690"/>
      <c r="E6114" s="690"/>
      <c r="F6114" s="690"/>
      <c r="G6114" s="690"/>
      <c r="H6114" s="690"/>
      <c r="I6114" s="690"/>
      <c r="J6114" s="690"/>
      <c r="K6114" s="690"/>
      <c r="L6114" s="704"/>
      <c r="M6114" s="170"/>
    </row>
    <row r="6115" spans="2:13" x14ac:dyDescent="0.2">
      <c r="B6115" s="173"/>
      <c r="C6115" s="703"/>
      <c r="D6115" s="690"/>
      <c r="E6115" s="690"/>
      <c r="F6115" s="690"/>
      <c r="G6115" s="690"/>
      <c r="H6115" s="690"/>
      <c r="I6115" s="690"/>
      <c r="J6115" s="690"/>
      <c r="K6115" s="690"/>
      <c r="L6115" s="704"/>
      <c r="M6115" s="170"/>
    </row>
    <row r="6116" spans="2:13" x14ac:dyDescent="0.2">
      <c r="B6116" s="173"/>
      <c r="C6116" s="703"/>
      <c r="D6116" s="690"/>
      <c r="E6116" s="690"/>
      <c r="F6116" s="690"/>
      <c r="G6116" s="690"/>
      <c r="H6116" s="690"/>
      <c r="I6116" s="690"/>
      <c r="J6116" s="690"/>
      <c r="K6116" s="690"/>
      <c r="L6116" s="704"/>
      <c r="M6116" s="170"/>
    </row>
    <row r="6117" spans="2:13" x14ac:dyDescent="0.2">
      <c r="B6117" s="173"/>
      <c r="C6117" s="703"/>
      <c r="D6117" s="690"/>
      <c r="E6117" s="690"/>
      <c r="F6117" s="690"/>
      <c r="G6117" s="690"/>
      <c r="H6117" s="690"/>
      <c r="I6117" s="690"/>
      <c r="J6117" s="690"/>
      <c r="K6117" s="690"/>
      <c r="L6117" s="704"/>
      <c r="M6117" s="170"/>
    </row>
    <row r="6118" spans="2:13" x14ac:dyDescent="0.2">
      <c r="B6118" s="173"/>
      <c r="C6118" s="703"/>
      <c r="D6118" s="690"/>
      <c r="E6118" s="690"/>
      <c r="F6118" s="690"/>
      <c r="G6118" s="690"/>
      <c r="H6118" s="690"/>
      <c r="I6118" s="690"/>
      <c r="J6118" s="690"/>
      <c r="K6118" s="690"/>
      <c r="L6118" s="704"/>
      <c r="M6118" s="170"/>
    </row>
    <row r="6119" spans="2:13" x14ac:dyDescent="0.2">
      <c r="B6119" s="173"/>
      <c r="C6119" s="703"/>
      <c r="D6119" s="690"/>
      <c r="E6119" s="690"/>
      <c r="F6119" s="690"/>
      <c r="G6119" s="690"/>
      <c r="H6119" s="690"/>
      <c r="I6119" s="690"/>
      <c r="J6119" s="690"/>
      <c r="K6119" s="690"/>
      <c r="L6119" s="704"/>
      <c r="M6119" s="170"/>
    </row>
    <row r="6120" spans="2:13" x14ac:dyDescent="0.2">
      <c r="B6120" s="173"/>
      <c r="C6120" s="703"/>
      <c r="D6120" s="690"/>
      <c r="E6120" s="690"/>
      <c r="F6120" s="690"/>
      <c r="G6120" s="690"/>
      <c r="H6120" s="690"/>
      <c r="I6120" s="690"/>
      <c r="J6120" s="690"/>
      <c r="K6120" s="690"/>
      <c r="L6120" s="704"/>
      <c r="M6120" s="170"/>
    </row>
    <row r="6121" spans="2:13" x14ac:dyDescent="0.2">
      <c r="B6121" s="173"/>
      <c r="C6121" s="703"/>
      <c r="D6121" s="690"/>
      <c r="E6121" s="690"/>
      <c r="F6121" s="690"/>
      <c r="G6121" s="690"/>
      <c r="H6121" s="690"/>
      <c r="I6121" s="690"/>
      <c r="J6121" s="690"/>
      <c r="K6121" s="690"/>
      <c r="L6121" s="704"/>
      <c r="M6121" s="170"/>
    </row>
    <row r="6122" spans="2:13" x14ac:dyDescent="0.2">
      <c r="B6122" s="173"/>
      <c r="C6122" s="703"/>
      <c r="D6122" s="690"/>
      <c r="E6122" s="690"/>
      <c r="F6122" s="690"/>
      <c r="G6122" s="690"/>
      <c r="H6122" s="690"/>
      <c r="I6122" s="690"/>
      <c r="J6122" s="690"/>
      <c r="K6122" s="690"/>
      <c r="L6122" s="704"/>
      <c r="M6122" s="170"/>
    </row>
    <row r="6123" spans="2:13" x14ac:dyDescent="0.2">
      <c r="B6123" s="173"/>
      <c r="C6123" s="703"/>
      <c r="D6123" s="690"/>
      <c r="E6123" s="690"/>
      <c r="F6123" s="690"/>
      <c r="G6123" s="690"/>
      <c r="H6123" s="690"/>
      <c r="I6123" s="690"/>
      <c r="J6123" s="690"/>
      <c r="K6123" s="690"/>
      <c r="L6123" s="704"/>
      <c r="M6123" s="170"/>
    </row>
    <row r="6124" spans="2:13" x14ac:dyDescent="0.2">
      <c r="B6124" s="173"/>
      <c r="C6124" s="703"/>
      <c r="D6124" s="690"/>
      <c r="E6124" s="690"/>
      <c r="F6124" s="690"/>
      <c r="G6124" s="690"/>
      <c r="H6124" s="690"/>
      <c r="I6124" s="690"/>
      <c r="J6124" s="690"/>
      <c r="K6124" s="690"/>
      <c r="L6124" s="704"/>
      <c r="M6124" s="170"/>
    </row>
    <row r="6125" spans="2:13" x14ac:dyDescent="0.2">
      <c r="B6125" s="173"/>
      <c r="C6125" s="703"/>
      <c r="D6125" s="690"/>
      <c r="E6125" s="690"/>
      <c r="F6125" s="690"/>
      <c r="G6125" s="690"/>
      <c r="H6125" s="690"/>
      <c r="I6125" s="690"/>
      <c r="J6125" s="690"/>
      <c r="K6125" s="690"/>
      <c r="L6125" s="704"/>
      <c r="M6125" s="170"/>
    </row>
    <row r="6126" spans="2:13" x14ac:dyDescent="0.2">
      <c r="B6126" s="173"/>
      <c r="C6126" s="703"/>
      <c r="D6126" s="690"/>
      <c r="E6126" s="690"/>
      <c r="F6126" s="690"/>
      <c r="G6126" s="690"/>
      <c r="H6126" s="690"/>
      <c r="I6126" s="690"/>
      <c r="J6126" s="690"/>
      <c r="K6126" s="690"/>
      <c r="L6126" s="704"/>
      <c r="M6126" s="170"/>
    </row>
    <row r="6127" spans="2:13" x14ac:dyDescent="0.2">
      <c r="B6127" s="173"/>
      <c r="C6127" s="703"/>
      <c r="D6127" s="690"/>
      <c r="E6127" s="690"/>
      <c r="F6127" s="690"/>
      <c r="G6127" s="690"/>
      <c r="H6127" s="690"/>
      <c r="I6127" s="690"/>
      <c r="J6127" s="690"/>
      <c r="K6127" s="690"/>
      <c r="L6127" s="704"/>
      <c r="M6127" s="170"/>
    </row>
    <row r="6128" spans="2:13" x14ac:dyDescent="0.2">
      <c r="B6128" s="173"/>
      <c r="C6128" s="703"/>
      <c r="D6128" s="690"/>
      <c r="E6128" s="690"/>
      <c r="F6128" s="690"/>
      <c r="G6128" s="690"/>
      <c r="H6128" s="690"/>
      <c r="I6128" s="690"/>
      <c r="J6128" s="690"/>
      <c r="K6128" s="690"/>
      <c r="L6128" s="704"/>
      <c r="M6128" s="170"/>
    </row>
    <row r="6129" spans="2:13" x14ac:dyDescent="0.2">
      <c r="B6129" s="173"/>
      <c r="C6129" s="703"/>
      <c r="D6129" s="690"/>
      <c r="E6129" s="690"/>
      <c r="F6129" s="690"/>
      <c r="G6129" s="690"/>
      <c r="H6129" s="690"/>
      <c r="I6129" s="690"/>
      <c r="J6129" s="690"/>
      <c r="K6129" s="690"/>
      <c r="L6129" s="704"/>
      <c r="M6129" s="170"/>
    </row>
    <row r="6130" spans="2:13" x14ac:dyDescent="0.2">
      <c r="B6130" s="173"/>
      <c r="C6130" s="703"/>
      <c r="D6130" s="690"/>
      <c r="E6130" s="690"/>
      <c r="F6130" s="690"/>
      <c r="G6130" s="690"/>
      <c r="H6130" s="690"/>
      <c r="I6130" s="690"/>
      <c r="J6130" s="690"/>
      <c r="K6130" s="690"/>
      <c r="L6130" s="704"/>
      <c r="M6130" s="170"/>
    </row>
    <row r="6131" spans="2:13" x14ac:dyDescent="0.2">
      <c r="B6131" s="173"/>
      <c r="C6131" s="703"/>
      <c r="D6131" s="690"/>
      <c r="E6131" s="690"/>
      <c r="F6131" s="690"/>
      <c r="G6131" s="690"/>
      <c r="H6131" s="690"/>
      <c r="I6131" s="690"/>
      <c r="J6131" s="690"/>
      <c r="K6131" s="690"/>
      <c r="L6131" s="704"/>
      <c r="M6131" s="170"/>
    </row>
    <row r="6132" spans="2:13" x14ac:dyDescent="0.2">
      <c r="B6132" s="173"/>
      <c r="C6132" s="703"/>
      <c r="D6132" s="690"/>
      <c r="E6132" s="690"/>
      <c r="F6132" s="690"/>
      <c r="G6132" s="690"/>
      <c r="H6132" s="690"/>
      <c r="I6132" s="690"/>
      <c r="J6132" s="690"/>
      <c r="K6132" s="690"/>
      <c r="L6132" s="704"/>
      <c r="M6132" s="170"/>
    </row>
    <row r="6133" spans="2:13" x14ac:dyDescent="0.2">
      <c r="B6133" s="173"/>
      <c r="C6133" s="703"/>
      <c r="D6133" s="690"/>
      <c r="E6133" s="690"/>
      <c r="F6133" s="690"/>
      <c r="G6133" s="690"/>
      <c r="H6133" s="690"/>
      <c r="I6133" s="690"/>
      <c r="J6133" s="690"/>
      <c r="K6133" s="690"/>
      <c r="L6133" s="704"/>
      <c r="M6133" s="170"/>
    </row>
    <row r="6134" spans="2:13" x14ac:dyDescent="0.2">
      <c r="B6134" s="173"/>
      <c r="C6134" s="703"/>
      <c r="D6134" s="690"/>
      <c r="E6134" s="690"/>
      <c r="F6134" s="690"/>
      <c r="G6134" s="690"/>
      <c r="H6134" s="690"/>
      <c r="I6134" s="690"/>
      <c r="J6134" s="690"/>
      <c r="K6134" s="690"/>
      <c r="L6134" s="704"/>
      <c r="M6134" s="170"/>
    </row>
    <row r="6135" spans="2:13" x14ac:dyDescent="0.2">
      <c r="B6135" s="173"/>
      <c r="C6135" s="703"/>
      <c r="D6135" s="690"/>
      <c r="E6135" s="690"/>
      <c r="F6135" s="690"/>
      <c r="G6135" s="690"/>
      <c r="H6135" s="690"/>
      <c r="I6135" s="690"/>
      <c r="J6135" s="690"/>
      <c r="K6135" s="690"/>
      <c r="L6135" s="704"/>
      <c r="M6135" s="170"/>
    </row>
    <row r="6136" spans="2:13" x14ac:dyDescent="0.2">
      <c r="B6136" s="173"/>
      <c r="C6136" s="703"/>
      <c r="D6136" s="690"/>
      <c r="E6136" s="690"/>
      <c r="F6136" s="690"/>
      <c r="G6136" s="690"/>
      <c r="H6136" s="690"/>
      <c r="I6136" s="690"/>
      <c r="J6136" s="690"/>
      <c r="K6136" s="690"/>
      <c r="L6136" s="704"/>
      <c r="M6136" s="170"/>
    </row>
    <row r="6137" spans="2:13" x14ac:dyDescent="0.2">
      <c r="B6137" s="173"/>
      <c r="C6137" s="703"/>
      <c r="D6137" s="690"/>
      <c r="E6137" s="690"/>
      <c r="F6137" s="690"/>
      <c r="G6137" s="690"/>
      <c r="H6137" s="690"/>
      <c r="I6137" s="690"/>
      <c r="J6137" s="690"/>
      <c r="K6137" s="690"/>
      <c r="L6137" s="704"/>
      <c r="M6137" s="170"/>
    </row>
    <row r="6138" spans="2:13" x14ac:dyDescent="0.2">
      <c r="B6138" s="173"/>
      <c r="C6138" s="703"/>
      <c r="D6138" s="690"/>
      <c r="E6138" s="690"/>
      <c r="F6138" s="690"/>
      <c r="G6138" s="690"/>
      <c r="H6138" s="690"/>
      <c r="I6138" s="690"/>
      <c r="J6138" s="690"/>
      <c r="K6138" s="690"/>
      <c r="L6138" s="704"/>
      <c r="M6138" s="170"/>
    </row>
    <row r="6139" spans="2:13" x14ac:dyDescent="0.2">
      <c r="B6139" s="173"/>
      <c r="C6139" s="703"/>
      <c r="D6139" s="690"/>
      <c r="E6139" s="690"/>
      <c r="F6139" s="690"/>
      <c r="G6139" s="690"/>
      <c r="H6139" s="690"/>
      <c r="I6139" s="690"/>
      <c r="J6139" s="690"/>
      <c r="K6139" s="690"/>
      <c r="L6139" s="704"/>
      <c r="M6139" s="170"/>
    </row>
    <row r="6140" spans="2:13" x14ac:dyDescent="0.2">
      <c r="B6140" s="173"/>
      <c r="C6140" s="703"/>
      <c r="D6140" s="690"/>
      <c r="E6140" s="690"/>
      <c r="F6140" s="690"/>
      <c r="G6140" s="690"/>
      <c r="H6140" s="690"/>
      <c r="I6140" s="690"/>
      <c r="J6140" s="690"/>
      <c r="K6140" s="690"/>
      <c r="L6140" s="704"/>
      <c r="M6140" s="170"/>
    </row>
    <row r="6141" spans="2:13" x14ac:dyDescent="0.2">
      <c r="B6141" s="173"/>
      <c r="C6141" s="703"/>
      <c r="D6141" s="690"/>
      <c r="E6141" s="690"/>
      <c r="F6141" s="690"/>
      <c r="G6141" s="690"/>
      <c r="H6141" s="690"/>
      <c r="I6141" s="690"/>
      <c r="J6141" s="690"/>
      <c r="K6141" s="690"/>
      <c r="L6141" s="704"/>
      <c r="M6141" s="170"/>
    </row>
    <row r="6142" spans="2:13" x14ac:dyDescent="0.2">
      <c r="B6142" s="173"/>
      <c r="C6142" s="703"/>
      <c r="D6142" s="690"/>
      <c r="E6142" s="690"/>
      <c r="F6142" s="690"/>
      <c r="G6142" s="690"/>
      <c r="H6142" s="690"/>
      <c r="I6142" s="690"/>
      <c r="J6142" s="690"/>
      <c r="K6142" s="690"/>
      <c r="L6142" s="704"/>
      <c r="M6142" s="170"/>
    </row>
    <row r="6143" spans="2:13" x14ac:dyDescent="0.2">
      <c r="B6143" s="173"/>
      <c r="C6143" s="703"/>
      <c r="D6143" s="690"/>
      <c r="E6143" s="690"/>
      <c r="F6143" s="690"/>
      <c r="G6143" s="690"/>
      <c r="H6143" s="690"/>
      <c r="I6143" s="690"/>
      <c r="J6143" s="690"/>
      <c r="K6143" s="690"/>
      <c r="L6143" s="704"/>
      <c r="M6143" s="170"/>
    </row>
    <row r="6144" spans="2:13" x14ac:dyDescent="0.2">
      <c r="B6144" s="173"/>
      <c r="C6144" s="703"/>
      <c r="D6144" s="690"/>
      <c r="E6144" s="690"/>
      <c r="F6144" s="690"/>
      <c r="G6144" s="690"/>
      <c r="H6144" s="690"/>
      <c r="I6144" s="690"/>
      <c r="J6144" s="690"/>
      <c r="K6144" s="690"/>
      <c r="L6144" s="704"/>
      <c r="M6144" s="170"/>
    </row>
    <row r="6145" spans="2:13" x14ac:dyDescent="0.2">
      <c r="B6145" s="173"/>
      <c r="C6145" s="703"/>
      <c r="D6145" s="690"/>
      <c r="E6145" s="690"/>
      <c r="F6145" s="690"/>
      <c r="G6145" s="690"/>
      <c r="H6145" s="690"/>
      <c r="I6145" s="690"/>
      <c r="J6145" s="690"/>
      <c r="K6145" s="690"/>
      <c r="L6145" s="704"/>
      <c r="M6145" s="170"/>
    </row>
    <row r="6146" spans="2:13" x14ac:dyDescent="0.2">
      <c r="B6146" s="173"/>
      <c r="C6146" s="703"/>
      <c r="D6146" s="690"/>
      <c r="E6146" s="690"/>
      <c r="F6146" s="690"/>
      <c r="G6146" s="690"/>
      <c r="H6146" s="690"/>
      <c r="I6146" s="690"/>
      <c r="J6146" s="690"/>
      <c r="K6146" s="690"/>
      <c r="L6146" s="704"/>
      <c r="M6146" s="170"/>
    </row>
    <row r="6147" spans="2:13" x14ac:dyDescent="0.2">
      <c r="B6147" s="173"/>
      <c r="C6147" s="703"/>
      <c r="D6147" s="690"/>
      <c r="E6147" s="690"/>
      <c r="F6147" s="690"/>
      <c r="G6147" s="690"/>
      <c r="H6147" s="690"/>
      <c r="I6147" s="690"/>
      <c r="J6147" s="690"/>
      <c r="K6147" s="690"/>
      <c r="L6147" s="704"/>
      <c r="M6147" s="170"/>
    </row>
    <row r="6148" spans="2:13" x14ac:dyDescent="0.2">
      <c r="B6148" s="173"/>
      <c r="C6148" s="703"/>
      <c r="D6148" s="690"/>
      <c r="E6148" s="690"/>
      <c r="F6148" s="690"/>
      <c r="G6148" s="690"/>
      <c r="H6148" s="690"/>
      <c r="I6148" s="690"/>
      <c r="J6148" s="690"/>
      <c r="K6148" s="690"/>
      <c r="L6148" s="704"/>
      <c r="M6148" s="170"/>
    </row>
    <row r="6149" spans="2:13" x14ac:dyDescent="0.2">
      <c r="B6149" s="173"/>
      <c r="C6149" s="703"/>
      <c r="D6149" s="690"/>
      <c r="E6149" s="690"/>
      <c r="F6149" s="690"/>
      <c r="G6149" s="690"/>
      <c r="H6149" s="690"/>
      <c r="I6149" s="690"/>
      <c r="J6149" s="690"/>
      <c r="K6149" s="690"/>
      <c r="L6149" s="704"/>
      <c r="M6149" s="170"/>
    </row>
    <row r="6150" spans="2:13" x14ac:dyDescent="0.2">
      <c r="B6150" s="173"/>
      <c r="C6150" s="703"/>
      <c r="D6150" s="690"/>
      <c r="E6150" s="690"/>
      <c r="F6150" s="690"/>
      <c r="G6150" s="690"/>
      <c r="H6150" s="690"/>
      <c r="I6150" s="690"/>
      <c r="J6150" s="690"/>
      <c r="K6150" s="690"/>
      <c r="L6150" s="704"/>
      <c r="M6150" s="170"/>
    </row>
    <row r="6151" spans="2:13" x14ac:dyDescent="0.2">
      <c r="B6151" s="173"/>
      <c r="C6151" s="703"/>
      <c r="D6151" s="690"/>
      <c r="E6151" s="690"/>
      <c r="F6151" s="690"/>
      <c r="G6151" s="690"/>
      <c r="H6151" s="690"/>
      <c r="I6151" s="690"/>
      <c r="J6151" s="690"/>
      <c r="K6151" s="690"/>
      <c r="L6151" s="704"/>
      <c r="M6151" s="170"/>
    </row>
    <row r="6152" spans="2:13" x14ac:dyDescent="0.2">
      <c r="B6152" s="173"/>
      <c r="C6152" s="703"/>
      <c r="D6152" s="690"/>
      <c r="E6152" s="690"/>
      <c r="F6152" s="690"/>
      <c r="G6152" s="690"/>
      <c r="H6152" s="690"/>
      <c r="I6152" s="690"/>
      <c r="J6152" s="690"/>
      <c r="K6152" s="690"/>
      <c r="L6152" s="704"/>
      <c r="M6152" s="170"/>
    </row>
    <row r="6153" spans="2:13" x14ac:dyDescent="0.2">
      <c r="B6153" s="173"/>
      <c r="C6153" s="703"/>
      <c r="D6153" s="690"/>
      <c r="E6153" s="690"/>
      <c r="F6153" s="690"/>
      <c r="G6153" s="690"/>
      <c r="H6153" s="690"/>
      <c r="I6153" s="690"/>
      <c r="J6153" s="690"/>
      <c r="K6153" s="690"/>
      <c r="L6153" s="704"/>
      <c r="M6153" s="170"/>
    </row>
    <row r="6154" spans="2:13" x14ac:dyDescent="0.2">
      <c r="B6154" s="173"/>
      <c r="C6154" s="703"/>
      <c r="D6154" s="690"/>
      <c r="E6154" s="690"/>
      <c r="F6154" s="690"/>
      <c r="G6154" s="690"/>
      <c r="H6154" s="690"/>
      <c r="I6154" s="690"/>
      <c r="J6154" s="690"/>
      <c r="K6154" s="690"/>
      <c r="L6154" s="704"/>
      <c r="M6154" s="170"/>
    </row>
    <row r="6155" spans="2:13" x14ac:dyDescent="0.2">
      <c r="B6155" s="173"/>
      <c r="C6155" s="703"/>
      <c r="D6155" s="690"/>
      <c r="E6155" s="690"/>
      <c r="F6155" s="690"/>
      <c r="G6155" s="690"/>
      <c r="H6155" s="690"/>
      <c r="I6155" s="690"/>
      <c r="J6155" s="690"/>
      <c r="K6155" s="690"/>
      <c r="L6155" s="704"/>
      <c r="M6155" s="170"/>
    </row>
    <row r="6156" spans="2:13" x14ac:dyDescent="0.2">
      <c r="B6156" s="173"/>
      <c r="C6156" s="703"/>
      <c r="D6156" s="690"/>
      <c r="E6156" s="690"/>
      <c r="F6156" s="690"/>
      <c r="G6156" s="690"/>
      <c r="H6156" s="690"/>
      <c r="I6156" s="690"/>
      <c r="J6156" s="690"/>
      <c r="K6156" s="690"/>
      <c r="L6156" s="704"/>
      <c r="M6156" s="170"/>
    </row>
    <row r="6157" spans="2:13" x14ac:dyDescent="0.2">
      <c r="B6157" s="173"/>
      <c r="C6157" s="703"/>
      <c r="D6157" s="690"/>
      <c r="E6157" s="690"/>
      <c r="F6157" s="690"/>
      <c r="G6157" s="690"/>
      <c r="H6157" s="690"/>
      <c r="I6157" s="690"/>
      <c r="J6157" s="690"/>
      <c r="K6157" s="690"/>
      <c r="L6157" s="704"/>
      <c r="M6157" s="170"/>
    </row>
    <row r="6158" spans="2:13" x14ac:dyDescent="0.2">
      <c r="B6158" s="173"/>
      <c r="C6158" s="703"/>
      <c r="D6158" s="690"/>
      <c r="E6158" s="690"/>
      <c r="F6158" s="690"/>
      <c r="G6158" s="690"/>
      <c r="H6158" s="690"/>
      <c r="I6158" s="690"/>
      <c r="J6158" s="690"/>
      <c r="K6158" s="690"/>
      <c r="L6158" s="704"/>
      <c r="M6158" s="170"/>
    </row>
    <row r="6159" spans="2:13" x14ac:dyDescent="0.2">
      <c r="B6159" s="173"/>
      <c r="C6159" s="703"/>
      <c r="D6159" s="690"/>
      <c r="E6159" s="690"/>
      <c r="F6159" s="690"/>
      <c r="G6159" s="690"/>
      <c r="H6159" s="690"/>
      <c r="I6159" s="690"/>
      <c r="J6159" s="690"/>
      <c r="K6159" s="690"/>
      <c r="L6159" s="704"/>
      <c r="M6159" s="170"/>
    </row>
    <row r="6160" spans="2:13" x14ac:dyDescent="0.2">
      <c r="B6160" s="173"/>
      <c r="C6160" s="703"/>
      <c r="D6160" s="690"/>
      <c r="E6160" s="690"/>
      <c r="F6160" s="690"/>
      <c r="G6160" s="690"/>
      <c r="H6160" s="690"/>
      <c r="I6160" s="690"/>
      <c r="J6160" s="690"/>
      <c r="K6160" s="690"/>
      <c r="L6160" s="704"/>
      <c r="M6160" s="170"/>
    </row>
    <row r="6161" spans="2:13" x14ac:dyDescent="0.2">
      <c r="B6161" s="173"/>
      <c r="C6161" s="703"/>
      <c r="D6161" s="690"/>
      <c r="E6161" s="690"/>
      <c r="F6161" s="690"/>
      <c r="G6161" s="690"/>
      <c r="H6161" s="690"/>
      <c r="I6161" s="690"/>
      <c r="J6161" s="690"/>
      <c r="K6161" s="690"/>
      <c r="L6161" s="704"/>
      <c r="M6161" s="170"/>
    </row>
    <row r="6162" spans="2:13" x14ac:dyDescent="0.2">
      <c r="B6162" s="173"/>
      <c r="C6162" s="703"/>
      <c r="D6162" s="690"/>
      <c r="E6162" s="690"/>
      <c r="F6162" s="690"/>
      <c r="G6162" s="690"/>
      <c r="H6162" s="690"/>
      <c r="I6162" s="690"/>
      <c r="J6162" s="690"/>
      <c r="K6162" s="690"/>
      <c r="L6162" s="704"/>
      <c r="M6162" s="170"/>
    </row>
    <row r="6163" spans="2:13" x14ac:dyDescent="0.2">
      <c r="B6163" s="173"/>
      <c r="C6163" s="703"/>
      <c r="D6163" s="690"/>
      <c r="E6163" s="690"/>
      <c r="F6163" s="690"/>
      <c r="G6163" s="690"/>
      <c r="H6163" s="690"/>
      <c r="I6163" s="690"/>
      <c r="J6163" s="690"/>
      <c r="K6163" s="690"/>
      <c r="L6163" s="704"/>
      <c r="M6163" s="170"/>
    </row>
    <row r="6164" spans="2:13" x14ac:dyDescent="0.2">
      <c r="B6164" s="173"/>
      <c r="C6164" s="703"/>
      <c r="D6164" s="690"/>
      <c r="E6164" s="690"/>
      <c r="F6164" s="690"/>
      <c r="G6164" s="690"/>
      <c r="H6164" s="690"/>
      <c r="I6164" s="690"/>
      <c r="J6164" s="690"/>
      <c r="K6164" s="690"/>
      <c r="L6164" s="704"/>
      <c r="M6164" s="170"/>
    </row>
    <row r="6165" spans="2:13" x14ac:dyDescent="0.2">
      <c r="B6165" s="173"/>
      <c r="C6165" s="703"/>
      <c r="D6165" s="690"/>
      <c r="E6165" s="690"/>
      <c r="F6165" s="690"/>
      <c r="G6165" s="690"/>
      <c r="H6165" s="690"/>
      <c r="I6165" s="690"/>
      <c r="J6165" s="690"/>
      <c r="K6165" s="690"/>
      <c r="L6165" s="704"/>
      <c r="M6165" s="170"/>
    </row>
    <row r="6166" spans="2:13" x14ac:dyDescent="0.2">
      <c r="B6166" s="173"/>
      <c r="C6166" s="703"/>
      <c r="D6166" s="690"/>
      <c r="E6166" s="690"/>
      <c r="F6166" s="690"/>
      <c r="G6166" s="690"/>
      <c r="H6166" s="690"/>
      <c r="I6166" s="690"/>
      <c r="J6166" s="690"/>
      <c r="K6166" s="690"/>
      <c r="L6166" s="704"/>
      <c r="M6166" s="170"/>
    </row>
    <row r="6167" spans="2:13" x14ac:dyDescent="0.2">
      <c r="B6167" s="173"/>
      <c r="C6167" s="703"/>
      <c r="D6167" s="690"/>
      <c r="E6167" s="690"/>
      <c r="F6167" s="690"/>
      <c r="G6167" s="690"/>
      <c r="H6167" s="690"/>
      <c r="I6167" s="690"/>
      <c r="J6167" s="690"/>
      <c r="K6167" s="690"/>
      <c r="L6167" s="704"/>
      <c r="M6167" s="170"/>
    </row>
    <row r="6168" spans="2:13" x14ac:dyDescent="0.2">
      <c r="B6168" s="173"/>
      <c r="C6168" s="703"/>
      <c r="D6168" s="690"/>
      <c r="E6168" s="690"/>
      <c r="F6168" s="690"/>
      <c r="G6168" s="690"/>
      <c r="H6168" s="690"/>
      <c r="I6168" s="690"/>
      <c r="J6168" s="690"/>
      <c r="K6168" s="690"/>
      <c r="L6168" s="704"/>
      <c r="M6168" s="170"/>
    </row>
    <row r="6169" spans="2:13" x14ac:dyDescent="0.2">
      <c r="B6169" s="173"/>
      <c r="C6169" s="703"/>
      <c r="D6169" s="690"/>
      <c r="E6169" s="690"/>
      <c r="F6169" s="690"/>
      <c r="G6169" s="690"/>
      <c r="H6169" s="690"/>
      <c r="I6169" s="690"/>
      <c r="J6169" s="690"/>
      <c r="K6169" s="690"/>
      <c r="L6169" s="704"/>
      <c r="M6169" s="170"/>
    </row>
    <row r="6170" spans="2:13" x14ac:dyDescent="0.2">
      <c r="B6170" s="173"/>
      <c r="C6170" s="703"/>
      <c r="D6170" s="690"/>
      <c r="E6170" s="690"/>
      <c r="F6170" s="690"/>
      <c r="G6170" s="690"/>
      <c r="H6170" s="690"/>
      <c r="I6170" s="690"/>
      <c r="J6170" s="690"/>
      <c r="K6170" s="690"/>
      <c r="L6170" s="704"/>
      <c r="M6170" s="170"/>
    </row>
    <row r="6171" spans="2:13" x14ac:dyDescent="0.2">
      <c r="B6171" s="173"/>
      <c r="C6171" s="703"/>
      <c r="D6171" s="690"/>
      <c r="E6171" s="690"/>
      <c r="F6171" s="690"/>
      <c r="G6171" s="690"/>
      <c r="H6171" s="690"/>
      <c r="I6171" s="690"/>
      <c r="J6171" s="690"/>
      <c r="K6171" s="690"/>
      <c r="L6171" s="704"/>
      <c r="M6171" s="170"/>
    </row>
    <row r="6172" spans="2:13" x14ac:dyDescent="0.2">
      <c r="B6172" s="173"/>
      <c r="C6172" s="703"/>
      <c r="D6172" s="690"/>
      <c r="E6172" s="690"/>
      <c r="F6172" s="690"/>
      <c r="G6172" s="690"/>
      <c r="H6172" s="690"/>
      <c r="I6172" s="690"/>
      <c r="J6172" s="690"/>
      <c r="K6172" s="690"/>
      <c r="L6172" s="704"/>
      <c r="M6172" s="170"/>
    </row>
    <row r="6173" spans="2:13" x14ac:dyDescent="0.2">
      <c r="B6173" s="173"/>
      <c r="C6173" s="703"/>
      <c r="D6173" s="690"/>
      <c r="E6173" s="690"/>
      <c r="F6173" s="690"/>
      <c r="G6173" s="690"/>
      <c r="H6173" s="690"/>
      <c r="I6173" s="690"/>
      <c r="J6173" s="690"/>
      <c r="K6173" s="690"/>
      <c r="L6173" s="704"/>
      <c r="M6173" s="170"/>
    </row>
    <row r="6174" spans="2:13" x14ac:dyDescent="0.2">
      <c r="B6174" s="173"/>
      <c r="C6174" s="703"/>
      <c r="D6174" s="690"/>
      <c r="E6174" s="690"/>
      <c r="F6174" s="690"/>
      <c r="G6174" s="690"/>
      <c r="H6174" s="690"/>
      <c r="I6174" s="690"/>
      <c r="J6174" s="690"/>
      <c r="K6174" s="690"/>
      <c r="L6174" s="704"/>
      <c r="M6174" s="170"/>
    </row>
    <row r="6175" spans="2:13" x14ac:dyDescent="0.2">
      <c r="B6175" s="173"/>
      <c r="C6175" s="703"/>
      <c r="D6175" s="690"/>
      <c r="E6175" s="690"/>
      <c r="F6175" s="690"/>
      <c r="G6175" s="690"/>
      <c r="H6175" s="690"/>
      <c r="I6175" s="690"/>
      <c r="J6175" s="690"/>
      <c r="K6175" s="690"/>
      <c r="L6175" s="704"/>
      <c r="M6175" s="170"/>
    </row>
    <row r="6176" spans="2:13" x14ac:dyDescent="0.2">
      <c r="B6176" s="173"/>
      <c r="C6176" s="703"/>
      <c r="D6176" s="690"/>
      <c r="E6176" s="690"/>
      <c r="F6176" s="690"/>
      <c r="G6176" s="690"/>
      <c r="H6176" s="690"/>
      <c r="I6176" s="690"/>
      <c r="J6176" s="690"/>
      <c r="K6176" s="690"/>
      <c r="L6176" s="704"/>
      <c r="M6176" s="170"/>
    </row>
    <row r="6177" spans="2:13" x14ac:dyDescent="0.2">
      <c r="B6177" s="173"/>
      <c r="C6177" s="703"/>
      <c r="D6177" s="690"/>
      <c r="E6177" s="690"/>
      <c r="F6177" s="690"/>
      <c r="G6177" s="690"/>
      <c r="H6177" s="690"/>
      <c r="I6177" s="690"/>
      <c r="J6177" s="690"/>
      <c r="K6177" s="690"/>
      <c r="L6177" s="704"/>
      <c r="M6177" s="170"/>
    </row>
    <row r="6178" spans="2:13" x14ac:dyDescent="0.2">
      <c r="B6178" s="173"/>
      <c r="C6178" s="703"/>
      <c r="D6178" s="690"/>
      <c r="E6178" s="690"/>
      <c r="F6178" s="690"/>
      <c r="G6178" s="690"/>
      <c r="H6178" s="690"/>
      <c r="I6178" s="690"/>
      <c r="J6178" s="690"/>
      <c r="K6178" s="690"/>
      <c r="L6178" s="704"/>
      <c r="M6178" s="170"/>
    </row>
    <row r="6179" spans="2:13" x14ac:dyDescent="0.2">
      <c r="B6179" s="173"/>
      <c r="C6179" s="703"/>
      <c r="D6179" s="690"/>
      <c r="E6179" s="690"/>
      <c r="F6179" s="690"/>
      <c r="G6179" s="690"/>
      <c r="H6179" s="690"/>
      <c r="I6179" s="690"/>
      <c r="J6179" s="690"/>
      <c r="K6179" s="690"/>
      <c r="L6179" s="704"/>
      <c r="M6179" s="170"/>
    </row>
    <row r="6180" spans="2:13" x14ac:dyDescent="0.2">
      <c r="B6180" s="173"/>
      <c r="C6180" s="703"/>
      <c r="D6180" s="690"/>
      <c r="E6180" s="690"/>
      <c r="F6180" s="690"/>
      <c r="G6180" s="690"/>
      <c r="H6180" s="690"/>
      <c r="I6180" s="690"/>
      <c r="J6180" s="690"/>
      <c r="K6180" s="690"/>
      <c r="L6180" s="704"/>
      <c r="M6180" s="170"/>
    </row>
    <row r="6181" spans="2:13" x14ac:dyDescent="0.2">
      <c r="B6181" s="173"/>
      <c r="C6181" s="703"/>
      <c r="D6181" s="690"/>
      <c r="E6181" s="690"/>
      <c r="F6181" s="690"/>
      <c r="G6181" s="690"/>
      <c r="H6181" s="690"/>
      <c r="I6181" s="690"/>
      <c r="J6181" s="690"/>
      <c r="K6181" s="690"/>
      <c r="L6181" s="704"/>
      <c r="M6181" s="170"/>
    </row>
    <row r="6182" spans="2:13" x14ac:dyDescent="0.2">
      <c r="B6182" s="173"/>
      <c r="C6182" s="703"/>
      <c r="D6182" s="690"/>
      <c r="E6182" s="690"/>
      <c r="F6182" s="690"/>
      <c r="G6182" s="690"/>
      <c r="H6182" s="690"/>
      <c r="I6182" s="690"/>
      <c r="J6182" s="690"/>
      <c r="K6182" s="690"/>
      <c r="L6182" s="704"/>
      <c r="M6182" s="170"/>
    </row>
    <row r="6183" spans="2:13" x14ac:dyDescent="0.2">
      <c r="B6183" s="173"/>
      <c r="C6183" s="703"/>
      <c r="D6183" s="690"/>
      <c r="E6183" s="690"/>
      <c r="F6183" s="690"/>
      <c r="G6183" s="690"/>
      <c r="H6183" s="690"/>
      <c r="I6183" s="690"/>
      <c r="J6183" s="690"/>
      <c r="K6183" s="690"/>
      <c r="L6183" s="704"/>
      <c r="M6183" s="170"/>
    </row>
    <row r="6184" spans="2:13" x14ac:dyDescent="0.2">
      <c r="B6184" s="173"/>
      <c r="C6184" s="703"/>
      <c r="D6184" s="690"/>
      <c r="E6184" s="690"/>
      <c r="F6184" s="690"/>
      <c r="G6184" s="690"/>
      <c r="H6184" s="690"/>
      <c r="I6184" s="690"/>
      <c r="J6184" s="690"/>
      <c r="K6184" s="690"/>
      <c r="L6184" s="704"/>
      <c r="M6184" s="170"/>
    </row>
    <row r="6185" spans="2:13" x14ac:dyDescent="0.2">
      <c r="B6185" s="173"/>
      <c r="C6185" s="703"/>
      <c r="D6185" s="690"/>
      <c r="E6185" s="690"/>
      <c r="F6185" s="690"/>
      <c r="G6185" s="690"/>
      <c r="H6185" s="690"/>
      <c r="I6185" s="690"/>
      <c r="J6185" s="690"/>
      <c r="K6185" s="690"/>
      <c r="L6185" s="704"/>
      <c r="M6185" s="170"/>
    </row>
    <row r="6186" spans="2:13" x14ac:dyDescent="0.2">
      <c r="B6186" s="173"/>
      <c r="C6186" s="703"/>
      <c r="D6186" s="690"/>
      <c r="E6186" s="690"/>
      <c r="F6186" s="690"/>
      <c r="G6186" s="690"/>
      <c r="H6186" s="690"/>
      <c r="I6186" s="690"/>
      <c r="J6186" s="690"/>
      <c r="K6186" s="690"/>
      <c r="L6186" s="704"/>
      <c r="M6186" s="170"/>
    </row>
    <row r="6187" spans="2:13" x14ac:dyDescent="0.2">
      <c r="B6187" s="173"/>
      <c r="C6187" s="703"/>
      <c r="D6187" s="690"/>
      <c r="E6187" s="690"/>
      <c r="F6187" s="690"/>
      <c r="G6187" s="690"/>
      <c r="H6187" s="690"/>
      <c r="I6187" s="690"/>
      <c r="J6187" s="690"/>
      <c r="K6187" s="690"/>
      <c r="L6187" s="704"/>
      <c r="M6187" s="170"/>
    </row>
    <row r="6188" spans="2:13" x14ac:dyDescent="0.2">
      <c r="B6188" s="173"/>
      <c r="C6188" s="703"/>
      <c r="D6188" s="690"/>
      <c r="E6188" s="690"/>
      <c r="F6188" s="690"/>
      <c r="G6188" s="690"/>
      <c r="H6188" s="690"/>
      <c r="I6188" s="690"/>
      <c r="J6188" s="690"/>
      <c r="K6188" s="690"/>
      <c r="L6188" s="704"/>
      <c r="M6188" s="170"/>
    </row>
    <row r="6189" spans="2:13" x14ac:dyDescent="0.2">
      <c r="B6189" s="173"/>
      <c r="C6189" s="703"/>
      <c r="D6189" s="690"/>
      <c r="E6189" s="690"/>
      <c r="F6189" s="690"/>
      <c r="G6189" s="690"/>
      <c r="H6189" s="690"/>
      <c r="I6189" s="690"/>
      <c r="J6189" s="690"/>
      <c r="K6189" s="690"/>
      <c r="L6189" s="704"/>
      <c r="M6189" s="170"/>
    </row>
    <row r="6190" spans="2:13" x14ac:dyDescent="0.2">
      <c r="B6190" s="173"/>
      <c r="C6190" s="703"/>
      <c r="D6190" s="690"/>
      <c r="E6190" s="690"/>
      <c r="F6190" s="690"/>
      <c r="G6190" s="690"/>
      <c r="H6190" s="690"/>
      <c r="I6190" s="690"/>
      <c r="J6190" s="690"/>
      <c r="K6190" s="690"/>
      <c r="L6190" s="704"/>
      <c r="M6190" s="170"/>
    </row>
    <row r="6191" spans="2:13" x14ac:dyDescent="0.2">
      <c r="B6191" s="173"/>
      <c r="C6191" s="703"/>
      <c r="D6191" s="690"/>
      <c r="E6191" s="690"/>
      <c r="F6191" s="690"/>
      <c r="G6191" s="690"/>
      <c r="H6191" s="690"/>
      <c r="I6191" s="690"/>
      <c r="J6191" s="690"/>
      <c r="K6191" s="690"/>
      <c r="L6191" s="704"/>
      <c r="M6191" s="170"/>
    </row>
    <row r="6192" spans="2:13" x14ac:dyDescent="0.2">
      <c r="B6192" s="173"/>
      <c r="C6192" s="703"/>
      <c r="D6192" s="690"/>
      <c r="E6192" s="690"/>
      <c r="F6192" s="690"/>
      <c r="G6192" s="690"/>
      <c r="H6192" s="690"/>
      <c r="I6192" s="690"/>
      <c r="J6192" s="690"/>
      <c r="K6192" s="690"/>
      <c r="L6192" s="704"/>
      <c r="M6192" s="170"/>
    </row>
    <row r="6193" spans="2:13" x14ac:dyDescent="0.2">
      <c r="B6193" s="173"/>
      <c r="C6193" s="703"/>
      <c r="D6193" s="690"/>
      <c r="E6193" s="690"/>
      <c r="F6193" s="690"/>
      <c r="G6193" s="690"/>
      <c r="H6193" s="690"/>
      <c r="I6193" s="690"/>
      <c r="J6193" s="690"/>
      <c r="K6193" s="690"/>
      <c r="L6193" s="704"/>
      <c r="M6193" s="170"/>
    </row>
    <row r="6194" spans="2:13" x14ac:dyDescent="0.2">
      <c r="B6194" s="173"/>
      <c r="C6194" s="703"/>
      <c r="D6194" s="690"/>
      <c r="E6194" s="690"/>
      <c r="F6194" s="690"/>
      <c r="G6194" s="690"/>
      <c r="H6194" s="690"/>
      <c r="I6194" s="690"/>
      <c r="J6194" s="690"/>
      <c r="K6194" s="690"/>
      <c r="L6194" s="704"/>
      <c r="M6194" s="170"/>
    </row>
    <row r="6195" spans="2:13" x14ac:dyDescent="0.2">
      <c r="B6195" s="173"/>
      <c r="C6195" s="703"/>
      <c r="D6195" s="690"/>
      <c r="E6195" s="690"/>
      <c r="F6195" s="690"/>
      <c r="G6195" s="690"/>
      <c r="H6195" s="690"/>
      <c r="I6195" s="690"/>
      <c r="J6195" s="690"/>
      <c r="K6195" s="690"/>
      <c r="L6195" s="704"/>
      <c r="M6195" s="170"/>
    </row>
    <row r="6196" spans="2:13" x14ac:dyDescent="0.2">
      <c r="B6196" s="173"/>
      <c r="C6196" s="703"/>
      <c r="D6196" s="690"/>
      <c r="E6196" s="690"/>
      <c r="F6196" s="690"/>
      <c r="G6196" s="690"/>
      <c r="H6196" s="690"/>
      <c r="I6196" s="690"/>
      <c r="J6196" s="690"/>
      <c r="K6196" s="690"/>
      <c r="L6196" s="704"/>
      <c r="M6196" s="170"/>
    </row>
    <row r="6197" spans="2:13" x14ac:dyDescent="0.2">
      <c r="B6197" s="173"/>
      <c r="C6197" s="703"/>
      <c r="D6197" s="690"/>
      <c r="E6197" s="690"/>
      <c r="F6197" s="690"/>
      <c r="G6197" s="690"/>
      <c r="H6197" s="690"/>
      <c r="I6197" s="690"/>
      <c r="J6197" s="690"/>
      <c r="K6197" s="690"/>
      <c r="L6197" s="704"/>
      <c r="M6197" s="170"/>
    </row>
    <row r="6198" spans="2:13" x14ac:dyDescent="0.2">
      <c r="B6198" s="173"/>
      <c r="C6198" s="703"/>
      <c r="D6198" s="690"/>
      <c r="E6198" s="690"/>
      <c r="F6198" s="690"/>
      <c r="G6198" s="690"/>
      <c r="H6198" s="690"/>
      <c r="I6198" s="690"/>
      <c r="J6198" s="690"/>
      <c r="K6198" s="690"/>
      <c r="L6198" s="704"/>
      <c r="M6198" s="170"/>
    </row>
    <row r="6199" spans="2:13" x14ac:dyDescent="0.2">
      <c r="B6199" s="173"/>
      <c r="C6199" s="703"/>
      <c r="D6199" s="690"/>
      <c r="E6199" s="690"/>
      <c r="F6199" s="690"/>
      <c r="G6199" s="690"/>
      <c r="H6199" s="690"/>
      <c r="I6199" s="690"/>
      <c r="J6199" s="690"/>
      <c r="K6199" s="690"/>
      <c r="L6199" s="704"/>
      <c r="M6199" s="170"/>
    </row>
    <row r="6200" spans="2:13" x14ac:dyDescent="0.2">
      <c r="B6200" s="173"/>
      <c r="C6200" s="703"/>
      <c r="D6200" s="690"/>
      <c r="E6200" s="690"/>
      <c r="F6200" s="690"/>
      <c r="G6200" s="690"/>
      <c r="H6200" s="690"/>
      <c r="I6200" s="690"/>
      <c r="J6200" s="690"/>
      <c r="K6200" s="690"/>
      <c r="L6200" s="704"/>
      <c r="M6200" s="170"/>
    </row>
    <row r="6201" spans="2:13" x14ac:dyDescent="0.2">
      <c r="B6201" s="173"/>
      <c r="C6201" s="703"/>
      <c r="D6201" s="690"/>
      <c r="E6201" s="690"/>
      <c r="F6201" s="690"/>
      <c r="G6201" s="690"/>
      <c r="H6201" s="690"/>
      <c r="I6201" s="690"/>
      <c r="J6201" s="690"/>
      <c r="K6201" s="690"/>
      <c r="L6201" s="704"/>
      <c r="M6201" s="170"/>
    </row>
    <row r="6202" spans="2:13" x14ac:dyDescent="0.2">
      <c r="B6202" s="173"/>
      <c r="C6202" s="703"/>
      <c r="D6202" s="690"/>
      <c r="E6202" s="690"/>
      <c r="F6202" s="690"/>
      <c r="G6202" s="690"/>
      <c r="H6202" s="690"/>
      <c r="I6202" s="690"/>
      <c r="J6202" s="690"/>
      <c r="K6202" s="690"/>
      <c r="L6202" s="704"/>
      <c r="M6202" s="170"/>
    </row>
    <row r="6203" spans="2:13" x14ac:dyDescent="0.2">
      <c r="B6203" s="173"/>
      <c r="C6203" s="703"/>
      <c r="D6203" s="690"/>
      <c r="E6203" s="690"/>
      <c r="F6203" s="690"/>
      <c r="G6203" s="690"/>
      <c r="H6203" s="690"/>
      <c r="I6203" s="690"/>
      <c r="J6203" s="690"/>
      <c r="K6203" s="690"/>
      <c r="L6203" s="704"/>
      <c r="M6203" s="170"/>
    </row>
    <row r="6204" spans="2:13" x14ac:dyDescent="0.2">
      <c r="B6204" s="173"/>
      <c r="C6204" s="703"/>
      <c r="D6204" s="690"/>
      <c r="E6204" s="690"/>
      <c r="F6204" s="690"/>
      <c r="G6204" s="690"/>
      <c r="H6204" s="690"/>
      <c r="I6204" s="690"/>
      <c r="J6204" s="690"/>
      <c r="K6204" s="690"/>
      <c r="L6204" s="704"/>
      <c r="M6204" s="170"/>
    </row>
    <row r="6205" spans="2:13" x14ac:dyDescent="0.2">
      <c r="B6205" s="173"/>
      <c r="C6205" s="703"/>
      <c r="D6205" s="690"/>
      <c r="E6205" s="690"/>
      <c r="F6205" s="690"/>
      <c r="G6205" s="690"/>
      <c r="H6205" s="690"/>
      <c r="I6205" s="690"/>
      <c r="J6205" s="690"/>
      <c r="K6205" s="690"/>
      <c r="L6205" s="704"/>
      <c r="M6205" s="170"/>
    </row>
    <row r="6206" spans="2:13" x14ac:dyDescent="0.2">
      <c r="B6206" s="173"/>
      <c r="C6206" s="703"/>
      <c r="D6206" s="690"/>
      <c r="E6206" s="690"/>
      <c r="F6206" s="690"/>
      <c r="G6206" s="690"/>
      <c r="H6206" s="690"/>
      <c r="I6206" s="690"/>
      <c r="J6206" s="690"/>
      <c r="K6206" s="690"/>
      <c r="L6206" s="704"/>
      <c r="M6206" s="170"/>
    </row>
    <row r="6207" spans="2:13" x14ac:dyDescent="0.2">
      <c r="B6207" s="173"/>
      <c r="C6207" s="703"/>
      <c r="D6207" s="690"/>
      <c r="E6207" s="690"/>
      <c r="F6207" s="690"/>
      <c r="G6207" s="690"/>
      <c r="H6207" s="690"/>
      <c r="I6207" s="690"/>
      <c r="J6207" s="690"/>
      <c r="K6207" s="690"/>
      <c r="L6207" s="704"/>
      <c r="M6207" s="170"/>
    </row>
    <row r="6208" spans="2:13" ht="12" thickBot="1" x14ac:dyDescent="0.25">
      <c r="B6208" s="173"/>
      <c r="C6208" s="705"/>
      <c r="D6208" s="706"/>
      <c r="E6208" s="706"/>
      <c r="F6208" s="706"/>
      <c r="G6208" s="706"/>
      <c r="H6208" s="706"/>
      <c r="I6208" s="706"/>
      <c r="J6208" s="706"/>
      <c r="K6208" s="706"/>
      <c r="L6208" s="707"/>
      <c r="M6208" s="170"/>
    </row>
    <row r="6209" spans="2:13" ht="12" thickBot="1" x14ac:dyDescent="0.25">
      <c r="B6209" s="175"/>
      <c r="C6209" s="171"/>
      <c r="D6209" s="171"/>
      <c r="E6209" s="171"/>
      <c r="F6209" s="171"/>
      <c r="G6209" s="171"/>
      <c r="H6209" s="171"/>
      <c r="I6209" s="171"/>
      <c r="J6209" s="171"/>
      <c r="K6209" s="171"/>
      <c r="L6209" s="171"/>
      <c r="M6209" s="172"/>
    </row>
    <row r="6210" spans="2:13" ht="12" thickTop="1" x14ac:dyDescent="0.2"/>
  </sheetData>
  <sheetProtection password="CB18" sheet="1" objects="1" scenarios="1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G93"/>
  <sheetViews>
    <sheetView showRowColHeaders="0" topLeftCell="C41" zoomScale="130" zoomScaleNormal="130" workbookViewId="0">
      <selection activeCell="C7" sqref="C7:D58"/>
    </sheetView>
  </sheetViews>
  <sheetFormatPr defaultColWidth="2.7109375" defaultRowHeight="15" customHeight="1" x14ac:dyDescent="0.2"/>
  <cols>
    <col min="1" max="2" width="2.7109375" style="235" customWidth="1"/>
    <col min="3" max="3" width="9.140625" style="235" customWidth="1"/>
    <col min="4" max="4" width="38.7109375" style="235" customWidth="1"/>
    <col min="5" max="5" width="9.140625" style="235" customWidth="1"/>
    <col min="6" max="6" width="38.7109375" style="235" customWidth="1"/>
    <col min="7" max="16384" width="2.7109375" style="235"/>
  </cols>
  <sheetData>
    <row r="2" spans="2:7" ht="15" customHeight="1" thickBot="1" x14ac:dyDescent="0.25"/>
    <row r="3" spans="2:7" ht="15" customHeight="1" thickTop="1" thickBot="1" x14ac:dyDescent="0.25">
      <c r="B3" s="4207"/>
      <c r="C3" s="4208"/>
      <c r="D3" s="4208"/>
      <c r="E3" s="4208"/>
      <c r="F3" s="4208"/>
      <c r="G3" s="4209"/>
    </row>
    <row r="4" spans="2:7" ht="15" customHeight="1" thickBot="1" x14ac:dyDescent="0.25">
      <c r="B4" s="4210"/>
      <c r="C4" s="4213" t="s">
        <v>7884</v>
      </c>
      <c r="D4" s="4214"/>
      <c r="E4" s="4214"/>
      <c r="F4" s="4215"/>
      <c r="G4" s="4216"/>
    </row>
    <row r="5" spans="2:7" ht="15" customHeight="1" thickBot="1" x14ac:dyDescent="0.25">
      <c r="B5" s="4211"/>
      <c r="C5" s="4219" t="s">
        <v>7885</v>
      </c>
      <c r="D5" s="4220"/>
      <c r="E5" s="4221" t="s">
        <v>7886</v>
      </c>
      <c r="F5" s="4222"/>
      <c r="G5" s="4217"/>
    </row>
    <row r="6" spans="2:7" ht="15" customHeight="1" thickBot="1" x14ac:dyDescent="0.25">
      <c r="B6" s="4211"/>
      <c r="C6" s="236" t="s">
        <v>7887</v>
      </c>
      <c r="D6" s="237" t="s">
        <v>7888</v>
      </c>
      <c r="E6" s="238" t="s">
        <v>7887</v>
      </c>
      <c r="F6" s="239" t="s">
        <v>7888</v>
      </c>
      <c r="G6" s="4217"/>
    </row>
    <row r="7" spans="2:7" ht="15" customHeight="1" x14ac:dyDescent="0.2">
      <c r="B7" s="4211"/>
      <c r="C7" s="240">
        <v>20700</v>
      </c>
      <c r="D7" s="241" t="s">
        <v>7889</v>
      </c>
      <c r="E7" s="240">
        <v>8000</v>
      </c>
      <c r="F7" s="242" t="s">
        <v>7889</v>
      </c>
      <c r="G7" s="4217"/>
    </row>
    <row r="8" spans="2:7" ht="15" customHeight="1" x14ac:dyDescent="0.2">
      <c r="B8" s="4211"/>
      <c r="C8" s="243">
        <v>20007</v>
      </c>
      <c r="D8" s="244" t="s">
        <v>7890</v>
      </c>
      <c r="E8" s="243">
        <v>10000</v>
      </c>
      <c r="F8" s="245" t="s">
        <v>7891</v>
      </c>
      <c r="G8" s="4217"/>
    </row>
    <row r="9" spans="2:7" ht="15" customHeight="1" x14ac:dyDescent="0.2">
      <c r="B9" s="4211"/>
      <c r="C9" s="243">
        <v>20000</v>
      </c>
      <c r="D9" s="244" t="s">
        <v>7891</v>
      </c>
      <c r="E9" s="243">
        <v>10000</v>
      </c>
      <c r="F9" s="245" t="s">
        <v>7891</v>
      </c>
      <c r="G9" s="4217"/>
    </row>
    <row r="10" spans="2:7" ht="15" customHeight="1" x14ac:dyDescent="0.2">
      <c r="B10" s="4211"/>
      <c r="C10" s="243">
        <v>20007</v>
      </c>
      <c r="D10" s="244" t="s">
        <v>7890</v>
      </c>
      <c r="E10" s="243">
        <v>10005</v>
      </c>
      <c r="F10" s="245" t="s">
        <v>7892</v>
      </c>
      <c r="G10" s="4217"/>
    </row>
    <row r="11" spans="2:7" ht="15" customHeight="1" x14ac:dyDescent="0.2">
      <c r="B11" s="4211"/>
      <c r="C11" s="243">
        <v>20000</v>
      </c>
      <c r="D11" s="244" t="s">
        <v>7891</v>
      </c>
      <c r="E11" s="243">
        <v>10007</v>
      </c>
      <c r="F11" s="245" t="s">
        <v>7893</v>
      </c>
      <c r="G11" s="4217"/>
    </row>
    <row r="12" spans="2:7" ht="15" customHeight="1" x14ac:dyDescent="0.2">
      <c r="B12" s="4211"/>
      <c r="C12" s="243">
        <v>20007</v>
      </c>
      <c r="D12" s="244" t="s">
        <v>7890</v>
      </c>
      <c r="E12" s="243">
        <v>10007</v>
      </c>
      <c r="F12" s="245" t="s">
        <v>7893</v>
      </c>
      <c r="G12" s="4217"/>
    </row>
    <row r="13" spans="2:7" ht="15" customHeight="1" x14ac:dyDescent="0.2">
      <c r="B13" s="4211"/>
      <c r="C13" s="243">
        <v>20006</v>
      </c>
      <c r="D13" s="244" t="s">
        <v>7894</v>
      </c>
      <c r="E13" s="243">
        <v>10007</v>
      </c>
      <c r="F13" s="245" t="s">
        <v>7893</v>
      </c>
      <c r="G13" s="4217"/>
    </row>
    <row r="14" spans="2:7" ht="15" customHeight="1" x14ac:dyDescent="0.2">
      <c r="B14" s="4211"/>
      <c r="C14" s="243">
        <v>20008</v>
      </c>
      <c r="D14" s="244" t="s">
        <v>7895</v>
      </c>
      <c r="E14" s="243">
        <v>10007</v>
      </c>
      <c r="F14" s="245" t="s">
        <v>7893</v>
      </c>
      <c r="G14" s="4217"/>
    </row>
    <row r="15" spans="2:7" ht="15" customHeight="1" x14ac:dyDescent="0.2">
      <c r="B15" s="4211"/>
      <c r="C15" s="243">
        <v>20100</v>
      </c>
      <c r="D15" s="244" t="s">
        <v>7896</v>
      </c>
      <c r="E15" s="243">
        <v>10100</v>
      </c>
      <c r="F15" s="245" t="s">
        <v>7896</v>
      </c>
      <c r="G15" s="4217"/>
    </row>
    <row r="16" spans="2:7" ht="15" customHeight="1" x14ac:dyDescent="0.2">
      <c r="B16" s="4211"/>
      <c r="C16" s="243">
        <v>20109</v>
      </c>
      <c r="D16" s="244" t="s">
        <v>7897</v>
      </c>
      <c r="E16" s="243">
        <v>10100</v>
      </c>
      <c r="F16" s="245" t="s">
        <v>7896</v>
      </c>
      <c r="G16" s="4217"/>
    </row>
    <row r="17" spans="2:7" ht="15" customHeight="1" x14ac:dyDescent="0.2">
      <c r="B17" s="4211"/>
      <c r="C17" s="243">
        <v>91200</v>
      </c>
      <c r="D17" s="244" t="s">
        <v>7898</v>
      </c>
      <c r="E17" s="243">
        <v>10200</v>
      </c>
      <c r="F17" s="245" t="s">
        <v>7899</v>
      </c>
      <c r="G17" s="4217"/>
    </row>
    <row r="18" spans="2:7" ht="15" customHeight="1" x14ac:dyDescent="0.2">
      <c r="B18" s="4211"/>
      <c r="C18" s="243">
        <v>20600</v>
      </c>
      <c r="D18" s="244" t="s">
        <v>7900</v>
      </c>
      <c r="E18" s="243">
        <v>10200</v>
      </c>
      <c r="F18" s="245" t="s">
        <v>7899</v>
      </c>
      <c r="G18" s="4217"/>
    </row>
    <row r="19" spans="2:7" ht="15" customHeight="1" x14ac:dyDescent="0.2">
      <c r="B19" s="4211"/>
      <c r="C19" s="243">
        <v>92600</v>
      </c>
      <c r="D19" s="244" t="s">
        <v>7901</v>
      </c>
      <c r="E19" s="243">
        <v>10200</v>
      </c>
      <c r="F19" s="245" t="s">
        <v>7899</v>
      </c>
      <c r="G19" s="4217"/>
    </row>
    <row r="20" spans="2:7" ht="15" customHeight="1" x14ac:dyDescent="0.2">
      <c r="B20" s="4211"/>
      <c r="C20" s="243">
        <v>20600</v>
      </c>
      <c r="D20" s="244" t="s">
        <v>7900</v>
      </c>
      <c r="E20" s="243">
        <v>10219</v>
      </c>
      <c r="F20" s="245" t="s">
        <v>7902</v>
      </c>
      <c r="G20" s="4217"/>
    </row>
    <row r="21" spans="2:7" ht="15" customHeight="1" x14ac:dyDescent="0.2">
      <c r="B21" s="4211"/>
      <c r="C21" s="243">
        <v>91200</v>
      </c>
      <c r="D21" s="244" t="s">
        <v>7903</v>
      </c>
      <c r="E21" s="243">
        <v>10220</v>
      </c>
      <c r="F21" s="245" t="s">
        <v>7902</v>
      </c>
      <c r="G21" s="4217"/>
    </row>
    <row r="22" spans="2:7" ht="15" customHeight="1" x14ac:dyDescent="0.2">
      <c r="B22" s="4211"/>
      <c r="C22" s="243">
        <v>20200</v>
      </c>
      <c r="D22" s="244" t="s">
        <v>7904</v>
      </c>
      <c r="E22" s="243">
        <v>10300</v>
      </c>
      <c r="F22" s="245" t="s">
        <v>7904</v>
      </c>
      <c r="G22" s="4217"/>
    </row>
    <row r="23" spans="2:7" ht="15" customHeight="1" x14ac:dyDescent="0.2">
      <c r="B23" s="4211"/>
      <c r="C23" s="243">
        <v>8000</v>
      </c>
      <c r="D23" s="244" t="s">
        <v>7889</v>
      </c>
      <c r="E23" s="243">
        <v>10400</v>
      </c>
      <c r="F23" s="245" t="s">
        <v>7889</v>
      </c>
      <c r="G23" s="4217"/>
    </row>
    <row r="24" spans="2:7" ht="15" customHeight="1" x14ac:dyDescent="0.2">
      <c r="B24" s="4211"/>
      <c r="C24" s="243">
        <v>20700</v>
      </c>
      <c r="D24" s="244" t="s">
        <v>7889</v>
      </c>
      <c r="E24" s="243">
        <v>10400</v>
      </c>
      <c r="F24" s="245" t="s">
        <v>7889</v>
      </c>
      <c r="G24" s="4217"/>
    </row>
    <row r="25" spans="2:7" ht="15" customHeight="1" x14ac:dyDescent="0.2">
      <c r="B25" s="4211"/>
      <c r="C25" s="243">
        <v>20300</v>
      </c>
      <c r="D25" s="244" t="s">
        <v>7905</v>
      </c>
      <c r="E25" s="243">
        <v>10500</v>
      </c>
      <c r="F25" s="245" t="s">
        <v>7905</v>
      </c>
      <c r="G25" s="4217"/>
    </row>
    <row r="26" spans="2:7" ht="15" customHeight="1" x14ac:dyDescent="0.2">
      <c r="B26" s="4211"/>
      <c r="C26" s="243">
        <v>20800</v>
      </c>
      <c r="D26" s="244" t="s">
        <v>7906</v>
      </c>
      <c r="E26" s="243">
        <v>10600</v>
      </c>
      <c r="F26" s="245" t="s">
        <v>7907</v>
      </c>
      <c r="G26" s="4217"/>
    </row>
    <row r="27" spans="2:7" ht="15" customHeight="1" x14ac:dyDescent="0.2">
      <c r="B27" s="4211"/>
      <c r="C27" s="243">
        <v>1700</v>
      </c>
      <c r="D27" s="244" t="s">
        <v>7908</v>
      </c>
      <c r="E27" s="243">
        <v>10700</v>
      </c>
      <c r="F27" s="245" t="s">
        <v>7908</v>
      </c>
      <c r="G27" s="4217"/>
    </row>
    <row r="28" spans="2:7" ht="15" customHeight="1" x14ac:dyDescent="0.2">
      <c r="B28" s="4211"/>
      <c r="C28" s="243">
        <v>20900</v>
      </c>
      <c r="D28" s="244" t="s">
        <v>7909</v>
      </c>
      <c r="E28" s="243">
        <v>10800</v>
      </c>
      <c r="F28" s="245" t="s">
        <v>7909</v>
      </c>
      <c r="G28" s="4217"/>
    </row>
    <row r="29" spans="2:7" ht="15" customHeight="1" x14ac:dyDescent="0.2">
      <c r="B29" s="4211"/>
      <c r="C29" s="243">
        <v>11600</v>
      </c>
      <c r="D29" s="244" t="s">
        <v>7942</v>
      </c>
      <c r="E29" s="243">
        <v>23600</v>
      </c>
      <c r="F29" s="245" t="s">
        <v>7942</v>
      </c>
      <c r="G29" s="4217"/>
    </row>
    <row r="30" spans="2:7" ht="15" customHeight="1" x14ac:dyDescent="0.2">
      <c r="B30" s="4211"/>
      <c r="C30" s="243">
        <v>10005</v>
      </c>
      <c r="D30" s="244" t="s">
        <v>7892</v>
      </c>
      <c r="E30" s="243">
        <v>20000</v>
      </c>
      <c r="F30" s="245" t="s">
        <v>7891</v>
      </c>
      <c r="G30" s="4217"/>
    </row>
    <row r="31" spans="2:7" ht="15" customHeight="1" x14ac:dyDescent="0.2">
      <c r="B31" s="4211"/>
      <c r="C31" s="243">
        <v>10006</v>
      </c>
      <c r="D31" s="244" t="s">
        <v>7910</v>
      </c>
      <c r="E31" s="243">
        <v>20000</v>
      </c>
      <c r="F31" s="245" t="s">
        <v>7891</v>
      </c>
      <c r="G31" s="4217"/>
    </row>
    <row r="32" spans="2:7" ht="15" customHeight="1" x14ac:dyDescent="0.2">
      <c r="B32" s="4211"/>
      <c r="C32" s="243">
        <v>10004</v>
      </c>
      <c r="D32" s="244" t="s">
        <v>7894</v>
      </c>
      <c r="E32" s="243">
        <v>20000</v>
      </c>
      <c r="F32" s="245" t="s">
        <v>7891</v>
      </c>
      <c r="G32" s="4217"/>
    </row>
    <row r="33" spans="2:7" ht="15" customHeight="1" x14ac:dyDescent="0.2">
      <c r="B33" s="4211"/>
      <c r="C33" s="243">
        <v>10005</v>
      </c>
      <c r="D33" s="244" t="s">
        <v>7892</v>
      </c>
      <c r="E33" s="243">
        <v>20006</v>
      </c>
      <c r="F33" s="245" t="s">
        <v>7894</v>
      </c>
      <c r="G33" s="4217"/>
    </row>
    <row r="34" spans="2:7" ht="15" customHeight="1" x14ac:dyDescent="0.2">
      <c r="B34" s="4211"/>
      <c r="C34" s="243">
        <v>10000</v>
      </c>
      <c r="D34" s="244" t="s">
        <v>7891</v>
      </c>
      <c r="E34" s="243">
        <v>20006</v>
      </c>
      <c r="F34" s="245" t="s">
        <v>7894</v>
      </c>
      <c r="G34" s="4217"/>
    </row>
    <row r="35" spans="2:7" ht="15" customHeight="1" x14ac:dyDescent="0.2">
      <c r="B35" s="4211"/>
      <c r="C35" s="243">
        <v>10004</v>
      </c>
      <c r="D35" s="244" t="s">
        <v>7894</v>
      </c>
      <c r="E35" s="243">
        <v>20006</v>
      </c>
      <c r="F35" s="245" t="s">
        <v>7894</v>
      </c>
      <c r="G35" s="4217"/>
    </row>
    <row r="36" spans="2:7" ht="15" customHeight="1" x14ac:dyDescent="0.2">
      <c r="B36" s="4211"/>
      <c r="C36" s="243">
        <v>10000</v>
      </c>
      <c r="D36" s="244" t="s">
        <v>7891</v>
      </c>
      <c r="E36" s="243">
        <v>20008</v>
      </c>
      <c r="F36" s="245" t="s">
        <v>7895</v>
      </c>
      <c r="G36" s="4217"/>
    </row>
    <row r="37" spans="2:7" ht="15" customHeight="1" x14ac:dyDescent="0.2">
      <c r="B37" s="4211"/>
      <c r="C37" s="243">
        <v>10005</v>
      </c>
      <c r="D37" s="244" t="s">
        <v>7892</v>
      </c>
      <c r="E37" s="243">
        <v>20008</v>
      </c>
      <c r="F37" s="245" t="s">
        <v>7895</v>
      </c>
      <c r="G37" s="4217"/>
    </row>
    <row r="38" spans="2:7" ht="15" customHeight="1" x14ac:dyDescent="0.2">
      <c r="B38" s="4211"/>
      <c r="C38" s="243">
        <v>10000</v>
      </c>
      <c r="D38" s="244" t="s">
        <v>7891</v>
      </c>
      <c r="E38" s="243">
        <v>20010</v>
      </c>
      <c r="F38" s="245" t="s">
        <v>7892</v>
      </c>
      <c r="G38" s="4217"/>
    </row>
    <row r="39" spans="2:7" ht="15" customHeight="1" x14ac:dyDescent="0.2">
      <c r="B39" s="4211"/>
      <c r="C39" s="243">
        <v>10005</v>
      </c>
      <c r="D39" s="244" t="s">
        <v>7892</v>
      </c>
      <c r="E39" s="243">
        <v>20010</v>
      </c>
      <c r="F39" s="245" t="s">
        <v>7892</v>
      </c>
      <c r="G39" s="4217"/>
    </row>
    <row r="40" spans="2:7" ht="15" customHeight="1" x14ac:dyDescent="0.2">
      <c r="B40" s="4211"/>
      <c r="C40" s="243">
        <v>10000</v>
      </c>
      <c r="D40" s="244" t="s">
        <v>7891</v>
      </c>
      <c r="E40" s="243">
        <v>20013</v>
      </c>
      <c r="F40" s="245" t="s">
        <v>7893</v>
      </c>
      <c r="G40" s="4217"/>
    </row>
    <row r="41" spans="2:7" ht="15" customHeight="1" x14ac:dyDescent="0.2">
      <c r="B41" s="4211"/>
      <c r="C41" s="243">
        <v>10005</v>
      </c>
      <c r="D41" s="244" t="s">
        <v>7892</v>
      </c>
      <c r="E41" s="243">
        <v>20013</v>
      </c>
      <c r="F41" s="245" t="s">
        <v>7893</v>
      </c>
      <c r="G41" s="4217"/>
    </row>
    <row r="42" spans="2:7" ht="15" customHeight="1" x14ac:dyDescent="0.2">
      <c r="B42" s="4211"/>
      <c r="C42" s="243">
        <v>10016</v>
      </c>
      <c r="D42" s="244" t="s">
        <v>7943</v>
      </c>
      <c r="E42" s="243">
        <v>20027</v>
      </c>
      <c r="F42" s="245" t="s">
        <v>7943</v>
      </c>
      <c r="G42" s="4217"/>
    </row>
    <row r="43" spans="2:7" ht="15" customHeight="1" x14ac:dyDescent="0.2">
      <c r="B43" s="4211"/>
      <c r="C43" s="243">
        <v>10101</v>
      </c>
      <c r="D43" s="244" t="s">
        <v>7911</v>
      </c>
      <c r="E43" s="243">
        <v>20100</v>
      </c>
      <c r="F43" s="245" t="s">
        <v>7896</v>
      </c>
      <c r="G43" s="4217"/>
    </row>
    <row r="44" spans="2:7" ht="15" customHeight="1" x14ac:dyDescent="0.2">
      <c r="B44" s="4211"/>
      <c r="C44" s="243">
        <v>10102</v>
      </c>
      <c r="D44" s="244" t="s">
        <v>7897</v>
      </c>
      <c r="E44" s="243">
        <v>20100</v>
      </c>
      <c r="F44" s="245" t="s">
        <v>7896</v>
      </c>
      <c r="G44" s="4217"/>
    </row>
    <row r="45" spans="2:7" ht="15" customHeight="1" x14ac:dyDescent="0.2">
      <c r="B45" s="4211"/>
      <c r="C45" s="243">
        <v>92600</v>
      </c>
      <c r="D45" s="244" t="s">
        <v>7901</v>
      </c>
      <c r="E45" s="243">
        <v>20600</v>
      </c>
      <c r="F45" s="245" t="s">
        <v>7900</v>
      </c>
      <c r="G45" s="4217"/>
    </row>
    <row r="46" spans="2:7" ht="15" customHeight="1" x14ac:dyDescent="0.2">
      <c r="B46" s="4211"/>
      <c r="C46" s="243">
        <v>91200</v>
      </c>
      <c r="D46" s="244" t="s">
        <v>7898</v>
      </c>
      <c r="E46" s="243">
        <v>20600</v>
      </c>
      <c r="F46" s="245" t="s">
        <v>7900</v>
      </c>
      <c r="G46" s="4217"/>
    </row>
    <row r="47" spans="2:7" ht="15" customHeight="1" x14ac:dyDescent="0.2">
      <c r="B47" s="4211"/>
      <c r="C47" s="243"/>
      <c r="D47" s="244"/>
      <c r="E47" s="243">
        <v>22000</v>
      </c>
      <c r="F47" s="245" t="s">
        <v>7944</v>
      </c>
      <c r="G47" s="4217"/>
    </row>
    <row r="48" spans="2:7" ht="15" customHeight="1" x14ac:dyDescent="0.2">
      <c r="B48" s="4211"/>
      <c r="C48" s="243">
        <v>50833</v>
      </c>
      <c r="D48" s="244" t="s">
        <v>7912</v>
      </c>
      <c r="E48" s="243">
        <v>50001</v>
      </c>
      <c r="F48" s="245" t="s">
        <v>7913</v>
      </c>
      <c r="G48" s="4217"/>
    </row>
    <row r="49" spans="2:7" ht="15" customHeight="1" x14ac:dyDescent="0.2">
      <c r="B49" s="4211"/>
      <c r="C49" s="243">
        <v>50833</v>
      </c>
      <c r="D49" s="244" t="s">
        <v>7912</v>
      </c>
      <c r="E49" s="243">
        <v>50101</v>
      </c>
      <c r="F49" s="245" t="s">
        <v>7914</v>
      </c>
      <c r="G49" s="4217"/>
    </row>
    <row r="50" spans="2:7" ht="15" customHeight="1" x14ac:dyDescent="0.2">
      <c r="B50" s="4211"/>
      <c r="C50" s="243">
        <v>50833</v>
      </c>
      <c r="D50" s="244" t="s">
        <v>7912</v>
      </c>
      <c r="E50" s="243">
        <v>50103</v>
      </c>
      <c r="F50" s="245" t="s">
        <v>7915</v>
      </c>
      <c r="G50" s="4217"/>
    </row>
    <row r="51" spans="2:7" ht="15" customHeight="1" x14ac:dyDescent="0.2">
      <c r="B51" s="4211"/>
      <c r="C51" s="243">
        <v>50833</v>
      </c>
      <c r="D51" s="244" t="s">
        <v>7912</v>
      </c>
      <c r="E51" s="243">
        <v>50201</v>
      </c>
      <c r="F51" s="245" t="s">
        <v>7916</v>
      </c>
      <c r="G51" s="4217"/>
    </row>
    <row r="52" spans="2:7" ht="15" customHeight="1" x14ac:dyDescent="0.2">
      <c r="B52" s="4211"/>
      <c r="C52" s="243">
        <v>50833</v>
      </c>
      <c r="D52" s="244" t="s">
        <v>7912</v>
      </c>
      <c r="E52" s="243">
        <v>50302</v>
      </c>
      <c r="F52" s="245" t="s">
        <v>7917</v>
      </c>
      <c r="G52" s="4217"/>
    </row>
    <row r="53" spans="2:7" ht="15" customHeight="1" x14ac:dyDescent="0.2">
      <c r="B53" s="4211"/>
      <c r="C53" s="243">
        <v>50314</v>
      </c>
      <c r="D53" s="244" t="s">
        <v>7918</v>
      </c>
      <c r="E53" s="243">
        <v>50833</v>
      </c>
      <c r="F53" s="245" t="s">
        <v>7912</v>
      </c>
      <c r="G53" s="4217"/>
    </row>
    <row r="54" spans="2:7" ht="15" customHeight="1" x14ac:dyDescent="0.2">
      <c r="B54" s="4211"/>
      <c r="C54" s="243">
        <v>92600</v>
      </c>
      <c r="D54" s="244" t="s">
        <v>7901</v>
      </c>
      <c r="E54" s="243">
        <v>91200</v>
      </c>
      <c r="F54" s="245" t="s">
        <v>7898</v>
      </c>
      <c r="G54" s="4217"/>
    </row>
    <row r="55" spans="2:7" ht="15" customHeight="1" x14ac:dyDescent="0.2">
      <c r="B55" s="4211"/>
      <c r="C55" s="246">
        <v>1200</v>
      </c>
      <c r="D55" s="247" t="s">
        <v>7945</v>
      </c>
      <c r="E55" s="246">
        <v>12000</v>
      </c>
      <c r="F55" s="248" t="s">
        <v>7945</v>
      </c>
      <c r="G55" s="4217"/>
    </row>
    <row r="56" spans="2:7" ht="15" customHeight="1" x14ac:dyDescent="0.2">
      <c r="B56" s="4211"/>
      <c r="C56" s="246">
        <v>12000</v>
      </c>
      <c r="D56" s="247" t="s">
        <v>7945</v>
      </c>
      <c r="E56" s="246">
        <v>21900</v>
      </c>
      <c r="F56" s="248" t="s">
        <v>7945</v>
      </c>
      <c r="G56" s="4217"/>
    </row>
    <row r="57" spans="2:7" ht="15" customHeight="1" x14ac:dyDescent="0.2">
      <c r="B57" s="4211"/>
      <c r="C57" s="246">
        <v>11900</v>
      </c>
      <c r="D57" s="247" t="s">
        <v>7946</v>
      </c>
      <c r="E57" s="246">
        <v>21800</v>
      </c>
      <c r="F57" s="248" t="s">
        <v>7946</v>
      </c>
      <c r="G57" s="4217"/>
    </row>
    <row r="58" spans="2:7" ht="15" customHeight="1" x14ac:dyDescent="0.2">
      <c r="B58" s="4211"/>
      <c r="C58" s="246">
        <v>11500</v>
      </c>
      <c r="D58" s="247" t="s">
        <v>7947</v>
      </c>
      <c r="E58" s="246">
        <v>22400</v>
      </c>
      <c r="F58" s="248" t="s">
        <v>7947</v>
      </c>
      <c r="G58" s="4217"/>
    </row>
    <row r="59" spans="2:7" ht="15" customHeight="1" x14ac:dyDescent="0.2">
      <c r="B59" s="4211"/>
      <c r="C59" s="246"/>
      <c r="D59" s="247"/>
      <c r="E59" s="246">
        <v>21200</v>
      </c>
      <c r="F59" s="248" t="s">
        <v>7948</v>
      </c>
      <c r="G59" s="4217"/>
    </row>
    <row r="60" spans="2:7" ht="15" customHeight="1" x14ac:dyDescent="0.2">
      <c r="B60" s="4211"/>
      <c r="C60" s="246"/>
      <c r="D60" s="247"/>
      <c r="E60" s="246">
        <v>21300</v>
      </c>
      <c r="F60" s="248" t="s">
        <v>7949</v>
      </c>
      <c r="G60" s="4217"/>
    </row>
    <row r="61" spans="2:7" ht="15" customHeight="1" x14ac:dyDescent="0.2">
      <c r="B61" s="4211"/>
      <c r="C61" s="246"/>
      <c r="D61" s="247"/>
      <c r="E61" s="246">
        <v>21600</v>
      </c>
      <c r="F61" s="248" t="s">
        <v>7950</v>
      </c>
      <c r="G61" s="4217"/>
    </row>
    <row r="62" spans="2:7" ht="15" customHeight="1" x14ac:dyDescent="0.2">
      <c r="B62" s="4211"/>
      <c r="C62" s="246"/>
      <c r="D62" s="247"/>
      <c r="E62" s="246">
        <v>20400</v>
      </c>
      <c r="F62" s="248" t="s">
        <v>7951</v>
      </c>
      <c r="G62" s="4217"/>
    </row>
    <row r="63" spans="2:7" ht="15" customHeight="1" x14ac:dyDescent="0.2">
      <c r="B63" s="4211"/>
      <c r="C63" s="246"/>
      <c r="D63" s="247"/>
      <c r="E63" s="246">
        <v>20500</v>
      </c>
      <c r="F63" s="248" t="s">
        <v>7952</v>
      </c>
      <c r="G63" s="4217"/>
    </row>
    <row r="64" spans="2:7" ht="15" customHeight="1" x14ac:dyDescent="0.2">
      <c r="B64" s="4211"/>
      <c r="C64" s="246"/>
      <c r="D64" s="247"/>
      <c r="E64" s="246">
        <v>20600</v>
      </c>
      <c r="F64" s="248" t="s">
        <v>7900</v>
      </c>
      <c r="G64" s="4217"/>
    </row>
    <row r="65" spans="2:7" ht="15" customHeight="1" x14ac:dyDescent="0.2">
      <c r="B65" s="4211"/>
      <c r="C65" s="249"/>
      <c r="D65" s="211"/>
      <c r="E65" s="249"/>
      <c r="F65" s="212"/>
      <c r="G65" s="4217"/>
    </row>
    <row r="66" spans="2:7" ht="15" customHeight="1" x14ac:dyDescent="0.2">
      <c r="B66" s="4211"/>
      <c r="C66" s="249"/>
      <c r="D66" s="211"/>
      <c r="E66" s="249"/>
      <c r="F66" s="212"/>
      <c r="G66" s="4217"/>
    </row>
    <row r="67" spans="2:7" ht="15" customHeight="1" x14ac:dyDescent="0.2">
      <c r="B67" s="4211"/>
      <c r="C67" s="249"/>
      <c r="D67" s="211"/>
      <c r="E67" s="249"/>
      <c r="F67" s="212"/>
      <c r="G67" s="4217"/>
    </row>
    <row r="68" spans="2:7" ht="15" customHeight="1" x14ac:dyDescent="0.2">
      <c r="B68" s="4211"/>
      <c r="C68" s="249"/>
      <c r="D68" s="211"/>
      <c r="E68" s="249"/>
      <c r="F68" s="212"/>
      <c r="G68" s="4217"/>
    </row>
    <row r="69" spans="2:7" ht="15" customHeight="1" x14ac:dyDescent="0.2">
      <c r="B69" s="4211"/>
      <c r="C69" s="249"/>
      <c r="D69" s="211"/>
      <c r="E69" s="249"/>
      <c r="F69" s="212"/>
      <c r="G69" s="4217"/>
    </row>
    <row r="70" spans="2:7" ht="15" customHeight="1" x14ac:dyDescent="0.2">
      <c r="B70" s="4211"/>
      <c r="C70" s="249"/>
      <c r="D70" s="211"/>
      <c r="E70" s="249"/>
      <c r="F70" s="212"/>
      <c r="G70" s="4217"/>
    </row>
    <row r="71" spans="2:7" ht="15" customHeight="1" x14ac:dyDescent="0.2">
      <c r="B71" s="4211"/>
      <c r="C71" s="249"/>
      <c r="D71" s="211"/>
      <c r="E71" s="249"/>
      <c r="F71" s="212"/>
      <c r="G71" s="4217"/>
    </row>
    <row r="72" spans="2:7" ht="15" customHeight="1" x14ac:dyDescent="0.2">
      <c r="B72" s="4211"/>
      <c r="C72" s="249"/>
      <c r="D72" s="211"/>
      <c r="E72" s="249"/>
      <c r="F72" s="212"/>
      <c r="G72" s="4217"/>
    </row>
    <row r="73" spans="2:7" ht="15" customHeight="1" x14ac:dyDescent="0.2">
      <c r="B73" s="4211"/>
      <c r="C73" s="249"/>
      <c r="D73" s="211"/>
      <c r="E73" s="249"/>
      <c r="F73" s="212"/>
      <c r="G73" s="4217"/>
    </row>
    <row r="74" spans="2:7" ht="15" customHeight="1" x14ac:dyDescent="0.2">
      <c r="B74" s="4211"/>
      <c r="C74" s="249"/>
      <c r="D74" s="211"/>
      <c r="E74" s="249"/>
      <c r="F74" s="212"/>
      <c r="G74" s="4217"/>
    </row>
    <row r="75" spans="2:7" ht="15" customHeight="1" x14ac:dyDescent="0.2">
      <c r="B75" s="4211"/>
      <c r="C75" s="249"/>
      <c r="D75" s="211"/>
      <c r="E75" s="249"/>
      <c r="F75" s="212"/>
      <c r="G75" s="4217"/>
    </row>
    <row r="76" spans="2:7" ht="15" customHeight="1" x14ac:dyDescent="0.2">
      <c r="B76" s="4211"/>
      <c r="C76" s="249"/>
      <c r="D76" s="211"/>
      <c r="E76" s="249"/>
      <c r="F76" s="212"/>
      <c r="G76" s="4217"/>
    </row>
    <row r="77" spans="2:7" ht="15" customHeight="1" x14ac:dyDescent="0.2">
      <c r="B77" s="4211"/>
      <c r="C77" s="249"/>
      <c r="D77" s="211"/>
      <c r="E77" s="249"/>
      <c r="F77" s="212"/>
      <c r="G77" s="4217"/>
    </row>
    <row r="78" spans="2:7" ht="15" customHeight="1" x14ac:dyDescent="0.2">
      <c r="B78" s="4211"/>
      <c r="C78" s="249"/>
      <c r="D78" s="211"/>
      <c r="E78" s="249"/>
      <c r="F78" s="212"/>
      <c r="G78" s="4217"/>
    </row>
    <row r="79" spans="2:7" ht="15" customHeight="1" x14ac:dyDescent="0.2">
      <c r="B79" s="4211"/>
      <c r="C79" s="249"/>
      <c r="D79" s="211"/>
      <c r="E79" s="249"/>
      <c r="F79" s="212"/>
      <c r="G79" s="4217"/>
    </row>
    <row r="80" spans="2:7" ht="15" customHeight="1" x14ac:dyDescent="0.2">
      <c r="B80" s="4211"/>
      <c r="C80" s="249"/>
      <c r="D80" s="211"/>
      <c r="E80" s="249"/>
      <c r="F80" s="212"/>
      <c r="G80" s="4217"/>
    </row>
    <row r="81" spans="2:7" ht="15" customHeight="1" x14ac:dyDescent="0.2">
      <c r="B81" s="4211"/>
      <c r="C81" s="249"/>
      <c r="D81" s="211"/>
      <c r="E81" s="249"/>
      <c r="F81" s="212"/>
      <c r="G81" s="4217"/>
    </row>
    <row r="82" spans="2:7" ht="15" customHeight="1" x14ac:dyDescent="0.2">
      <c r="B82" s="4211"/>
      <c r="C82" s="249"/>
      <c r="D82" s="211"/>
      <c r="E82" s="249"/>
      <c r="F82" s="212"/>
      <c r="G82" s="4217"/>
    </row>
    <row r="83" spans="2:7" ht="15" customHeight="1" x14ac:dyDescent="0.2">
      <c r="B83" s="4211"/>
      <c r="C83" s="249"/>
      <c r="D83" s="211"/>
      <c r="E83" s="249"/>
      <c r="F83" s="212"/>
      <c r="G83" s="4217"/>
    </row>
    <row r="84" spans="2:7" ht="15" customHeight="1" x14ac:dyDescent="0.2">
      <c r="B84" s="4211"/>
      <c r="C84" s="249"/>
      <c r="D84" s="211"/>
      <c r="E84" s="249"/>
      <c r="F84" s="212"/>
      <c r="G84" s="4217"/>
    </row>
    <row r="85" spans="2:7" ht="15" customHeight="1" x14ac:dyDescent="0.2">
      <c r="B85" s="4211"/>
      <c r="C85" s="249"/>
      <c r="D85" s="211"/>
      <c r="E85" s="249"/>
      <c r="F85" s="212"/>
      <c r="G85" s="4217"/>
    </row>
    <row r="86" spans="2:7" ht="15" customHeight="1" x14ac:dyDescent="0.2">
      <c r="B86" s="4211"/>
      <c r="C86" s="249"/>
      <c r="D86" s="211"/>
      <c r="E86" s="249"/>
      <c r="F86" s="212"/>
      <c r="G86" s="4217"/>
    </row>
    <row r="87" spans="2:7" ht="15" customHeight="1" x14ac:dyDescent="0.2">
      <c r="B87" s="4211"/>
      <c r="C87" s="249"/>
      <c r="D87" s="211"/>
      <c r="E87" s="249"/>
      <c r="F87" s="212"/>
      <c r="G87" s="4217"/>
    </row>
    <row r="88" spans="2:7" ht="15" customHeight="1" x14ac:dyDescent="0.2">
      <c r="B88" s="4211"/>
      <c r="C88" s="249"/>
      <c r="D88" s="211"/>
      <c r="E88" s="249"/>
      <c r="F88" s="212"/>
      <c r="G88" s="4217"/>
    </row>
    <row r="89" spans="2:7" ht="15" customHeight="1" x14ac:dyDescent="0.2">
      <c r="B89" s="4211"/>
      <c r="C89" s="249"/>
      <c r="D89" s="211"/>
      <c r="E89" s="249"/>
      <c r="F89" s="212"/>
      <c r="G89" s="4217"/>
    </row>
    <row r="90" spans="2:7" ht="15" customHeight="1" x14ac:dyDescent="0.2">
      <c r="B90" s="4211"/>
      <c r="C90" s="249"/>
      <c r="D90" s="211"/>
      <c r="E90" s="249"/>
      <c r="F90" s="212"/>
      <c r="G90" s="4217"/>
    </row>
    <row r="91" spans="2:7" ht="15" customHeight="1" thickBot="1" x14ac:dyDescent="0.25">
      <c r="B91" s="4212"/>
      <c r="C91" s="250"/>
      <c r="D91" s="213"/>
      <c r="E91" s="250"/>
      <c r="F91" s="214"/>
      <c r="G91" s="4218"/>
    </row>
    <row r="92" spans="2:7" ht="15" customHeight="1" thickBot="1" x14ac:dyDescent="0.25">
      <c r="B92" s="251"/>
      <c r="C92" s="4204"/>
      <c r="D92" s="4205"/>
      <c r="E92" s="4205"/>
      <c r="F92" s="4206"/>
      <c r="G92" s="252"/>
    </row>
    <row r="93" spans="2:7" ht="15" customHeight="1" thickTop="1" x14ac:dyDescent="0.2"/>
  </sheetData>
  <sheetProtection algorithmName="SHA-512" hashValue="RoKJRdXyVe6g/kKWWFf8pYstQa8ch/JXH8GeQSr+/4k/NMeqVqt+Sgeo3B+4uNziuf132ZGOf+KS0Oo0trgaUg==" saltValue="ySISW+gRsZjIdYbwhmoCLw==" spinCount="100000" sheet="1" objects="1" scenarios="1"/>
  <mergeCells count="7">
    <mergeCell ref="C92:F92"/>
    <mergeCell ref="B3:G3"/>
    <mergeCell ref="B4:B91"/>
    <mergeCell ref="C4:F4"/>
    <mergeCell ref="G4:G91"/>
    <mergeCell ref="C5:D5"/>
    <mergeCell ref="E5:F5"/>
  </mergeCells>
  <pageMargins left="0.51181102362204722" right="0.51181102362204722" top="0.19685039370078741" bottom="0.39370078740157483" header="0.31496062992125984" footer="0.31496062992125984"/>
  <pageSetup paperSize="9" scale="96" orientation="portrait" horizontalDpi="4294967294" verticalDpi="4294967294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J51"/>
  <sheetViews>
    <sheetView showGridLines="0" showRowColHeaders="0" zoomScale="124" zoomScaleNormal="124" workbookViewId="0">
      <selection activeCell="Z19" sqref="Z19"/>
    </sheetView>
  </sheetViews>
  <sheetFormatPr defaultColWidth="2.7109375" defaultRowHeight="15.95" customHeight="1" x14ac:dyDescent="0.4"/>
  <cols>
    <col min="1" max="2" width="2.7109375" style="1" customWidth="1"/>
    <col min="3" max="3" width="18.7109375" style="2" customWidth="1"/>
    <col min="4" max="4" width="15.7109375" style="1" customWidth="1"/>
    <col min="5" max="5" width="9.7109375" style="1" customWidth="1"/>
    <col min="6" max="6" width="3.28515625" style="1" customWidth="1"/>
    <col min="7" max="7" width="18.7109375" style="1" customWidth="1"/>
    <col min="8" max="8" width="15.7109375" style="1" customWidth="1"/>
    <col min="9" max="9" width="9.7109375" style="1" customWidth="1"/>
    <col min="10" max="27" width="2.7109375" style="1" customWidth="1"/>
    <col min="28" max="16384" width="2.7109375" style="1"/>
  </cols>
  <sheetData>
    <row r="2" spans="2:10" ht="15.95" customHeight="1" thickBot="1" x14ac:dyDescent="0.45"/>
    <row r="3" spans="2:10" ht="15.95" customHeight="1" thickTop="1" x14ac:dyDescent="0.4">
      <c r="B3" s="4223"/>
      <c r="C3" s="4224"/>
      <c r="D3" s="4224"/>
      <c r="E3" s="4224"/>
      <c r="F3" s="4224"/>
      <c r="G3" s="4224"/>
      <c r="H3" s="4224"/>
      <c r="I3" s="4224"/>
      <c r="J3" s="4225"/>
    </row>
    <row r="4" spans="2:10" ht="15.95" customHeight="1" x14ac:dyDescent="0.4">
      <c r="B4" s="480"/>
      <c r="C4" s="4227" t="s">
        <v>8087</v>
      </c>
      <c r="D4" s="4227"/>
      <c r="E4" s="4227"/>
      <c r="F4" s="4227"/>
      <c r="G4" s="4227"/>
      <c r="H4" s="4227"/>
      <c r="I4" s="4227"/>
      <c r="J4" s="482"/>
    </row>
    <row r="5" spans="2:10" ht="5.0999999999999996" customHeight="1" thickBot="1" x14ac:dyDescent="0.45">
      <c r="B5" s="480"/>
      <c r="C5" s="481"/>
      <c r="D5" s="481"/>
      <c r="E5" s="481"/>
      <c r="F5" s="481"/>
      <c r="G5" s="481"/>
      <c r="H5" s="481"/>
      <c r="I5" s="481"/>
      <c r="J5" s="482"/>
    </row>
    <row r="6" spans="2:10" ht="15.95" customHeight="1" thickBot="1" x14ac:dyDescent="0.45">
      <c r="B6" s="480"/>
      <c r="C6" s="4229" t="s">
        <v>396</v>
      </c>
      <c r="D6" s="4229"/>
      <c r="E6" s="1827"/>
      <c r="F6" s="4230"/>
      <c r="G6" s="4229" t="s">
        <v>397</v>
      </c>
      <c r="H6" s="4229"/>
      <c r="I6" s="4229"/>
      <c r="J6" s="482"/>
    </row>
    <row r="7" spans="2:10" ht="15.95" customHeight="1" thickBot="1" x14ac:dyDescent="0.45">
      <c r="B7" s="135"/>
      <c r="C7" s="140" t="s">
        <v>393</v>
      </c>
      <c r="D7" s="130" t="s">
        <v>398</v>
      </c>
      <c r="E7" s="141" t="s">
        <v>395</v>
      </c>
      <c r="F7" s="4231"/>
      <c r="G7" s="140" t="s">
        <v>393</v>
      </c>
      <c r="H7" s="142" t="s">
        <v>394</v>
      </c>
      <c r="I7" s="14" t="s">
        <v>395</v>
      </c>
      <c r="J7" s="136"/>
    </row>
    <row r="8" spans="2:10" ht="15.95" customHeight="1" x14ac:dyDescent="0.4">
      <c r="B8" s="44"/>
      <c r="C8" s="143">
        <v>1</v>
      </c>
      <c r="D8" s="137">
        <v>7</v>
      </c>
      <c r="E8" s="146">
        <f>D8/30</f>
        <v>0.23333333333333334</v>
      </c>
      <c r="F8" s="4231"/>
      <c r="G8" s="143">
        <v>1</v>
      </c>
      <c r="H8" s="137">
        <v>7</v>
      </c>
      <c r="I8" s="149">
        <f>H8/30</f>
        <v>0.23333333333333334</v>
      </c>
      <c r="J8" s="131"/>
    </row>
    <row r="9" spans="2:10" ht="15.95" customHeight="1" x14ac:dyDescent="0.4">
      <c r="B9" s="44"/>
      <c r="C9" s="144">
        <v>2</v>
      </c>
      <c r="D9" s="138">
        <v>14</v>
      </c>
      <c r="E9" s="147">
        <f t="shared" ref="E9:E23" si="0">D9/30</f>
        <v>0.46666666666666667</v>
      </c>
      <c r="F9" s="4231"/>
      <c r="G9" s="144">
        <v>2</v>
      </c>
      <c r="H9" s="138">
        <v>14</v>
      </c>
      <c r="I9" s="150">
        <f>H9/30</f>
        <v>0.46666666666666667</v>
      </c>
      <c r="J9" s="131"/>
    </row>
    <row r="10" spans="2:10" ht="15.95" customHeight="1" x14ac:dyDescent="0.4">
      <c r="B10" s="44"/>
      <c r="C10" s="144">
        <v>3</v>
      </c>
      <c r="D10" s="138">
        <v>20</v>
      </c>
      <c r="E10" s="147">
        <f t="shared" si="0"/>
        <v>0.66666666666666663</v>
      </c>
      <c r="F10" s="4231"/>
      <c r="G10" s="144">
        <v>3</v>
      </c>
      <c r="H10" s="138">
        <v>20</v>
      </c>
      <c r="I10" s="150">
        <f>H10/30</f>
        <v>0.66666666666666663</v>
      </c>
      <c r="J10" s="131"/>
    </row>
    <row r="11" spans="2:10" ht="15.95" customHeight="1" x14ac:dyDescent="0.4">
      <c r="B11" s="44"/>
      <c r="C11" s="144">
        <v>4</v>
      </c>
      <c r="D11" s="138">
        <v>27</v>
      </c>
      <c r="E11" s="147">
        <f t="shared" si="0"/>
        <v>0.9</v>
      </c>
      <c r="F11" s="4231"/>
      <c r="G11" s="144">
        <v>4</v>
      </c>
      <c r="H11" s="138">
        <v>27</v>
      </c>
      <c r="I11" s="150">
        <f>H11/30</f>
        <v>0.9</v>
      </c>
      <c r="J11" s="131"/>
    </row>
    <row r="12" spans="2:10" ht="15.95" customHeight="1" x14ac:dyDescent="0.4">
      <c r="B12" s="44"/>
      <c r="C12" s="144">
        <v>5</v>
      </c>
      <c r="D12" s="138">
        <v>36</v>
      </c>
      <c r="E12" s="147">
        <f t="shared" si="0"/>
        <v>1.2</v>
      </c>
      <c r="F12" s="4231"/>
      <c r="G12" s="144">
        <v>5</v>
      </c>
      <c r="H12" s="138">
        <v>36</v>
      </c>
      <c r="I12" s="150">
        <f>H12/30</f>
        <v>1.2</v>
      </c>
      <c r="J12" s="131"/>
    </row>
    <row r="13" spans="2:10" ht="15.95" customHeight="1" x14ac:dyDescent="0.4">
      <c r="B13" s="44"/>
      <c r="C13" s="144">
        <v>6</v>
      </c>
      <c r="D13" s="138">
        <v>41</v>
      </c>
      <c r="E13" s="147">
        <f t="shared" si="0"/>
        <v>1.3666666666666667</v>
      </c>
      <c r="F13" s="4231"/>
      <c r="G13" s="144"/>
      <c r="H13" s="138"/>
      <c r="I13" s="150"/>
      <c r="J13" s="131"/>
    </row>
    <row r="14" spans="2:10" ht="15.95" customHeight="1" x14ac:dyDescent="0.4">
      <c r="B14" s="44"/>
      <c r="C14" s="144">
        <v>7</v>
      </c>
      <c r="D14" s="138">
        <v>50</v>
      </c>
      <c r="E14" s="147">
        <f t="shared" si="0"/>
        <v>1.6666666666666667</v>
      </c>
      <c r="F14" s="4231"/>
      <c r="G14" s="144"/>
      <c r="H14" s="138"/>
      <c r="I14" s="150"/>
      <c r="J14" s="131"/>
    </row>
    <row r="15" spans="2:10" ht="15.95" customHeight="1" x14ac:dyDescent="0.4">
      <c r="B15" s="44"/>
      <c r="C15" s="144">
        <v>8</v>
      </c>
      <c r="D15" s="138">
        <v>54</v>
      </c>
      <c r="E15" s="147">
        <f t="shared" si="0"/>
        <v>1.8</v>
      </c>
      <c r="F15" s="4231"/>
      <c r="G15" s="144"/>
      <c r="H15" s="138"/>
      <c r="I15" s="150"/>
      <c r="J15" s="131"/>
    </row>
    <row r="16" spans="2:10" ht="15.95" customHeight="1" x14ac:dyDescent="0.4">
      <c r="B16" s="44"/>
      <c r="C16" s="144">
        <v>9</v>
      </c>
      <c r="D16" s="138">
        <v>61</v>
      </c>
      <c r="E16" s="147">
        <f t="shared" si="0"/>
        <v>2.0333333333333332</v>
      </c>
      <c r="F16" s="4231"/>
      <c r="G16" s="144"/>
      <c r="H16" s="138"/>
      <c r="I16" s="150"/>
      <c r="J16" s="131"/>
    </row>
    <row r="17" spans="2:10" ht="15.95" customHeight="1" x14ac:dyDescent="0.4">
      <c r="B17" s="44"/>
      <c r="C17" s="144">
        <v>10</v>
      </c>
      <c r="D17" s="138">
        <v>68</v>
      </c>
      <c r="E17" s="147">
        <f t="shared" si="0"/>
        <v>2.2666666666666666</v>
      </c>
      <c r="F17" s="4231"/>
      <c r="G17" s="144"/>
      <c r="H17" s="138"/>
      <c r="I17" s="150"/>
      <c r="J17" s="131"/>
    </row>
    <row r="18" spans="2:10" ht="15.95" customHeight="1" x14ac:dyDescent="0.4">
      <c r="B18" s="44"/>
      <c r="C18" s="144">
        <v>11</v>
      </c>
      <c r="D18" s="138">
        <v>74</v>
      </c>
      <c r="E18" s="147">
        <f t="shared" si="0"/>
        <v>2.4666666666666668</v>
      </c>
      <c r="F18" s="4231"/>
      <c r="G18" s="144"/>
      <c r="H18" s="138"/>
      <c r="I18" s="150"/>
      <c r="J18" s="131"/>
    </row>
    <row r="19" spans="2:10" ht="15.95" customHeight="1" x14ac:dyDescent="0.4">
      <c r="B19" s="44"/>
      <c r="C19" s="144">
        <v>12</v>
      </c>
      <c r="D19" s="138">
        <v>81</v>
      </c>
      <c r="E19" s="147">
        <f t="shared" si="0"/>
        <v>2.7</v>
      </c>
      <c r="F19" s="4231"/>
      <c r="G19" s="144"/>
      <c r="H19" s="138"/>
      <c r="I19" s="150"/>
      <c r="J19" s="131"/>
    </row>
    <row r="20" spans="2:10" ht="15.95" customHeight="1" x14ac:dyDescent="0.4">
      <c r="B20" s="44"/>
      <c r="C20" s="144">
        <v>13</v>
      </c>
      <c r="D20" s="138">
        <v>88</v>
      </c>
      <c r="E20" s="147">
        <f t="shared" si="0"/>
        <v>2.9333333333333331</v>
      </c>
      <c r="F20" s="4231"/>
      <c r="G20" s="144"/>
      <c r="H20" s="138"/>
      <c r="I20" s="150"/>
      <c r="J20" s="131"/>
    </row>
    <row r="21" spans="2:10" ht="15.95" customHeight="1" x14ac:dyDescent="0.4">
      <c r="B21" s="44"/>
      <c r="C21" s="144">
        <v>14</v>
      </c>
      <c r="D21" s="138">
        <v>95</v>
      </c>
      <c r="E21" s="147">
        <f t="shared" si="0"/>
        <v>3.1666666666666665</v>
      </c>
      <c r="F21" s="4231"/>
      <c r="G21" s="144"/>
      <c r="H21" s="138"/>
      <c r="I21" s="150"/>
      <c r="J21" s="131"/>
    </row>
    <row r="22" spans="2:10" ht="15.95" customHeight="1" x14ac:dyDescent="0.4">
      <c r="B22" s="44"/>
      <c r="C22" s="144">
        <v>15</v>
      </c>
      <c r="D22" s="138">
        <v>101</v>
      </c>
      <c r="E22" s="147">
        <f t="shared" si="0"/>
        <v>3.3666666666666667</v>
      </c>
      <c r="F22" s="4231"/>
      <c r="G22" s="144"/>
      <c r="H22" s="138"/>
      <c r="I22" s="150"/>
      <c r="J22" s="131"/>
    </row>
    <row r="23" spans="2:10" ht="15.95" customHeight="1" x14ac:dyDescent="0.4">
      <c r="B23" s="44"/>
      <c r="C23" s="144">
        <v>16</v>
      </c>
      <c r="D23" s="138">
        <v>108</v>
      </c>
      <c r="E23" s="147">
        <f t="shared" si="0"/>
        <v>3.6</v>
      </c>
      <c r="F23" s="4231"/>
      <c r="G23" s="144"/>
      <c r="H23" s="138"/>
      <c r="I23" s="150"/>
      <c r="J23" s="131"/>
    </row>
    <row r="24" spans="2:10" ht="15.95" customHeight="1" x14ac:dyDescent="0.4">
      <c r="B24" s="44"/>
      <c r="C24" s="144"/>
      <c r="D24" s="138"/>
      <c r="E24" s="147"/>
      <c r="F24" s="4231"/>
      <c r="G24" s="144"/>
      <c r="H24" s="138"/>
      <c r="I24" s="150"/>
      <c r="J24" s="131"/>
    </row>
    <row r="25" spans="2:10" ht="15.95" customHeight="1" thickBot="1" x14ac:dyDescent="0.45">
      <c r="B25" s="44"/>
      <c r="C25" s="145"/>
      <c r="D25" s="139"/>
      <c r="E25" s="148"/>
      <c r="F25" s="4232"/>
      <c r="G25" s="145"/>
      <c r="H25" s="139"/>
      <c r="I25" s="151"/>
      <c r="J25" s="131"/>
    </row>
    <row r="26" spans="2:10" ht="15.95" customHeight="1" thickBot="1" x14ac:dyDescent="0.45">
      <c r="B26" s="50"/>
      <c r="C26" s="132"/>
      <c r="D26" s="133"/>
      <c r="E26" s="133"/>
      <c r="F26" s="133"/>
      <c r="G26" s="133"/>
      <c r="H26" s="133"/>
      <c r="I26" s="133"/>
      <c r="J26" s="134"/>
    </row>
    <row r="27" spans="2:10" ht="15.95" customHeight="1" thickTop="1" x14ac:dyDescent="0.4">
      <c r="B27" s="4223"/>
      <c r="C27" s="4224"/>
      <c r="D27" s="4224"/>
      <c r="E27" s="4224"/>
      <c r="F27" s="4224"/>
      <c r="G27" s="4224"/>
      <c r="H27" s="4224"/>
      <c r="I27" s="4224"/>
      <c r="J27" s="4225"/>
    </row>
    <row r="28" spans="2:10" ht="15.95" customHeight="1" x14ac:dyDescent="0.4">
      <c r="B28" s="4226" t="s">
        <v>8088</v>
      </c>
      <c r="C28" s="4227"/>
      <c r="D28" s="4227"/>
      <c r="E28" s="4227"/>
      <c r="F28" s="4227"/>
      <c r="G28" s="4227"/>
      <c r="H28" s="4227"/>
      <c r="I28" s="4227"/>
      <c r="J28" s="4228"/>
    </row>
    <row r="29" spans="2:10" ht="5.0999999999999996" customHeight="1" thickBot="1" x14ac:dyDescent="0.45">
      <c r="B29" s="480"/>
      <c r="C29" s="481"/>
      <c r="D29" s="481"/>
      <c r="E29" s="481"/>
      <c r="F29" s="481"/>
      <c r="G29" s="481"/>
      <c r="H29" s="481"/>
      <c r="I29" s="481"/>
      <c r="J29" s="482"/>
    </row>
    <row r="30" spans="2:10" ht="15.95" customHeight="1" thickBot="1" x14ac:dyDescent="0.45">
      <c r="B30" s="480"/>
      <c r="C30" s="4229" t="s">
        <v>396</v>
      </c>
      <c r="D30" s="4229"/>
      <c r="E30" s="1827"/>
      <c r="F30" s="4230"/>
      <c r="G30" s="4229" t="s">
        <v>397</v>
      </c>
      <c r="H30" s="4229"/>
      <c r="I30" s="4229"/>
      <c r="J30" s="482"/>
    </row>
    <row r="31" spans="2:10" ht="15.95" customHeight="1" thickBot="1" x14ac:dyDescent="0.45">
      <c r="B31" s="135"/>
      <c r="C31" s="140" t="s">
        <v>393</v>
      </c>
      <c r="D31" s="130" t="s">
        <v>398</v>
      </c>
      <c r="E31" s="141" t="s">
        <v>395</v>
      </c>
      <c r="F31" s="4231"/>
      <c r="G31" s="140" t="s">
        <v>393</v>
      </c>
      <c r="H31" s="142" t="s">
        <v>394</v>
      </c>
      <c r="I31" s="14" t="s">
        <v>395</v>
      </c>
      <c r="J31" s="136"/>
    </row>
    <row r="32" spans="2:10" ht="15.95" customHeight="1" x14ac:dyDescent="0.4">
      <c r="B32" s="44"/>
      <c r="C32" s="143">
        <v>1</v>
      </c>
      <c r="D32" s="137">
        <v>16</v>
      </c>
      <c r="E32" s="146">
        <f>D32/30</f>
        <v>0.53333333333333333</v>
      </c>
      <c r="F32" s="4231"/>
      <c r="G32" s="143">
        <v>1</v>
      </c>
      <c r="H32" s="137">
        <v>7</v>
      </c>
      <c r="I32" s="149">
        <f>H32/30</f>
        <v>0.23333333333333334</v>
      </c>
      <c r="J32" s="131"/>
    </row>
    <row r="33" spans="2:10" ht="15.95" customHeight="1" x14ac:dyDescent="0.4">
      <c r="B33" s="44"/>
      <c r="C33" s="144">
        <v>2</v>
      </c>
      <c r="D33" s="138">
        <v>20</v>
      </c>
      <c r="E33" s="440">
        <f t="shared" ref="E33:E49" si="1">D33/30</f>
        <v>0.66666666666666663</v>
      </c>
      <c r="F33" s="4231"/>
      <c r="G33" s="144">
        <v>2</v>
      </c>
      <c r="H33" s="138">
        <v>11</v>
      </c>
      <c r="I33" s="150">
        <f>H33/30</f>
        <v>0.36666666666666664</v>
      </c>
      <c r="J33" s="131"/>
    </row>
    <row r="34" spans="2:10" ht="15.95" customHeight="1" x14ac:dyDescent="0.4">
      <c r="B34" s="44"/>
      <c r="C34" s="144">
        <v>3</v>
      </c>
      <c r="D34" s="138">
        <v>27</v>
      </c>
      <c r="E34" s="440">
        <f t="shared" si="1"/>
        <v>0.9</v>
      </c>
      <c r="F34" s="4231"/>
      <c r="G34" s="144">
        <v>3</v>
      </c>
      <c r="H34" s="138">
        <v>18</v>
      </c>
      <c r="I34" s="150">
        <f>H34/30</f>
        <v>0.6</v>
      </c>
      <c r="J34" s="131"/>
    </row>
    <row r="35" spans="2:10" ht="15.95" customHeight="1" x14ac:dyDescent="0.4">
      <c r="B35" s="44"/>
      <c r="C35" s="144">
        <v>4</v>
      </c>
      <c r="D35" s="138">
        <v>32</v>
      </c>
      <c r="E35" s="440">
        <f t="shared" si="1"/>
        <v>1.0666666666666667</v>
      </c>
      <c r="F35" s="4231"/>
      <c r="G35" s="144">
        <v>4</v>
      </c>
      <c r="H35" s="138">
        <v>23</v>
      </c>
      <c r="I35" s="150">
        <f>H35/30</f>
        <v>0.76666666666666672</v>
      </c>
      <c r="J35" s="131"/>
    </row>
    <row r="36" spans="2:10" ht="15.95" customHeight="1" x14ac:dyDescent="0.4">
      <c r="B36" s="44"/>
      <c r="C36" s="144">
        <v>5</v>
      </c>
      <c r="D36" s="138">
        <v>36</v>
      </c>
      <c r="E36" s="440">
        <f t="shared" si="1"/>
        <v>1.2</v>
      </c>
      <c r="F36" s="4231"/>
      <c r="G36" s="144">
        <v>5</v>
      </c>
      <c r="H36" s="138">
        <v>27</v>
      </c>
      <c r="I36" s="150">
        <f>H36/30</f>
        <v>0.9</v>
      </c>
      <c r="J36" s="131"/>
    </row>
    <row r="37" spans="2:10" ht="15.95" customHeight="1" x14ac:dyDescent="0.4">
      <c r="B37" s="44"/>
      <c r="C37" s="144">
        <v>6</v>
      </c>
      <c r="D37" s="138">
        <v>41</v>
      </c>
      <c r="E37" s="440">
        <f t="shared" si="1"/>
        <v>1.3666666666666667</v>
      </c>
      <c r="F37" s="4231"/>
      <c r="G37" s="144"/>
      <c r="H37" s="138"/>
      <c r="I37" s="150"/>
      <c r="J37" s="131"/>
    </row>
    <row r="38" spans="2:10" ht="15.95" customHeight="1" x14ac:dyDescent="0.4">
      <c r="B38" s="44"/>
      <c r="C38" s="144">
        <v>7</v>
      </c>
      <c r="D38" s="138">
        <v>50</v>
      </c>
      <c r="E38" s="440">
        <f t="shared" si="1"/>
        <v>1.6666666666666667</v>
      </c>
      <c r="F38" s="4231"/>
      <c r="G38" s="144"/>
      <c r="H38" s="138"/>
      <c r="I38" s="150"/>
      <c r="J38" s="131"/>
    </row>
    <row r="39" spans="2:10" ht="15.95" customHeight="1" x14ac:dyDescent="0.4">
      <c r="B39" s="44"/>
      <c r="C39" s="144">
        <v>8</v>
      </c>
      <c r="D39" s="138">
        <v>54</v>
      </c>
      <c r="E39" s="440">
        <f t="shared" si="1"/>
        <v>1.8</v>
      </c>
      <c r="F39" s="4231"/>
      <c r="G39" s="144"/>
      <c r="H39" s="138"/>
      <c r="I39" s="150"/>
      <c r="J39" s="131"/>
    </row>
    <row r="40" spans="2:10" ht="15.95" customHeight="1" x14ac:dyDescent="0.4">
      <c r="B40" s="44"/>
      <c r="C40" s="144">
        <v>9</v>
      </c>
      <c r="D40" s="138">
        <v>59</v>
      </c>
      <c r="E40" s="440">
        <f t="shared" si="1"/>
        <v>1.9666666666666666</v>
      </c>
      <c r="F40" s="4231"/>
      <c r="G40" s="144"/>
      <c r="H40" s="138"/>
      <c r="I40" s="150"/>
      <c r="J40" s="131"/>
    </row>
    <row r="41" spans="2:10" ht="15.95" customHeight="1" x14ac:dyDescent="0.4">
      <c r="B41" s="44"/>
      <c r="C41" s="144">
        <v>10</v>
      </c>
      <c r="D41" s="138">
        <v>63</v>
      </c>
      <c r="E41" s="440">
        <f t="shared" si="1"/>
        <v>2.1</v>
      </c>
      <c r="F41" s="4231"/>
      <c r="G41" s="144"/>
      <c r="H41" s="138"/>
      <c r="I41" s="150"/>
      <c r="J41" s="131"/>
    </row>
    <row r="42" spans="2:10" ht="15.95" customHeight="1" x14ac:dyDescent="0.4">
      <c r="B42" s="44"/>
      <c r="C42" s="144">
        <v>11</v>
      </c>
      <c r="D42" s="138">
        <v>72</v>
      </c>
      <c r="E42" s="440">
        <f t="shared" si="1"/>
        <v>2.4</v>
      </c>
      <c r="F42" s="4231"/>
      <c r="G42" s="144"/>
      <c r="H42" s="138"/>
      <c r="I42" s="150"/>
      <c r="J42" s="131"/>
    </row>
    <row r="43" spans="2:10" ht="15.95" customHeight="1" x14ac:dyDescent="0.4">
      <c r="B43" s="44"/>
      <c r="C43" s="144">
        <v>12</v>
      </c>
      <c r="D43" s="138">
        <v>77</v>
      </c>
      <c r="E43" s="440">
        <f t="shared" si="1"/>
        <v>2.5666666666666669</v>
      </c>
      <c r="F43" s="4231"/>
      <c r="G43" s="144"/>
      <c r="H43" s="138"/>
      <c r="I43" s="150"/>
      <c r="J43" s="131"/>
    </row>
    <row r="44" spans="2:10" ht="15.95" customHeight="1" x14ac:dyDescent="0.4">
      <c r="B44" s="44"/>
      <c r="C44" s="144">
        <v>13</v>
      </c>
      <c r="D44" s="138">
        <v>81</v>
      </c>
      <c r="E44" s="440">
        <f t="shared" si="1"/>
        <v>2.7</v>
      </c>
      <c r="F44" s="4231"/>
      <c r="G44" s="144"/>
      <c r="H44" s="138"/>
      <c r="I44" s="150"/>
      <c r="J44" s="131"/>
    </row>
    <row r="45" spans="2:10" ht="15.95" customHeight="1" x14ac:dyDescent="0.4">
      <c r="B45" s="44"/>
      <c r="C45" s="144">
        <v>14</v>
      </c>
      <c r="D45" s="138">
        <v>86</v>
      </c>
      <c r="E45" s="440">
        <f t="shared" si="1"/>
        <v>2.8666666666666667</v>
      </c>
      <c r="F45" s="4231"/>
      <c r="G45" s="144"/>
      <c r="H45" s="138"/>
      <c r="I45" s="150"/>
      <c r="J45" s="131"/>
    </row>
    <row r="46" spans="2:10" ht="15.95" customHeight="1" x14ac:dyDescent="0.4">
      <c r="B46" s="44"/>
      <c r="C46" s="144">
        <v>15</v>
      </c>
      <c r="D46" s="138">
        <v>95</v>
      </c>
      <c r="E46" s="440">
        <f t="shared" si="1"/>
        <v>3.1666666666666665</v>
      </c>
      <c r="F46" s="4231"/>
      <c r="G46" s="144"/>
      <c r="H46" s="138"/>
      <c r="I46" s="150"/>
      <c r="J46" s="131"/>
    </row>
    <row r="47" spans="2:10" ht="15.95" customHeight="1" x14ac:dyDescent="0.4">
      <c r="B47" s="44"/>
      <c r="C47" s="144">
        <v>16</v>
      </c>
      <c r="D47" s="138">
        <v>99</v>
      </c>
      <c r="E47" s="440">
        <f t="shared" si="1"/>
        <v>3.3</v>
      </c>
      <c r="F47" s="4231"/>
      <c r="G47" s="144"/>
      <c r="H47" s="138"/>
      <c r="I47" s="150"/>
      <c r="J47" s="131"/>
    </row>
    <row r="48" spans="2:10" ht="15.95" customHeight="1" x14ac:dyDescent="0.4">
      <c r="B48" s="44"/>
      <c r="C48" s="144">
        <v>17</v>
      </c>
      <c r="D48" s="138">
        <v>104</v>
      </c>
      <c r="E48" s="440">
        <f t="shared" si="1"/>
        <v>3.4666666666666668</v>
      </c>
      <c r="F48" s="4231"/>
      <c r="G48" s="144"/>
      <c r="H48" s="138"/>
      <c r="I48" s="150"/>
      <c r="J48" s="131"/>
    </row>
    <row r="49" spans="2:10" ht="15.95" customHeight="1" thickBot="1" x14ac:dyDescent="0.45">
      <c r="B49" s="44"/>
      <c r="C49" s="145">
        <v>18</v>
      </c>
      <c r="D49" s="139">
        <v>108</v>
      </c>
      <c r="E49" s="148">
        <f t="shared" si="1"/>
        <v>3.6</v>
      </c>
      <c r="F49" s="4232"/>
      <c r="G49" s="145"/>
      <c r="H49" s="139"/>
      <c r="I49" s="151"/>
      <c r="J49" s="131"/>
    </row>
    <row r="50" spans="2:10" ht="15.95" customHeight="1" thickBot="1" x14ac:dyDescent="0.45">
      <c r="B50" s="50"/>
      <c r="C50" s="132"/>
      <c r="D50" s="133"/>
      <c r="E50" s="133"/>
      <c r="F50" s="133"/>
      <c r="G50" s="133"/>
      <c r="H50" s="133"/>
      <c r="I50" s="133"/>
      <c r="J50" s="134"/>
    </row>
    <row r="51" spans="2:10" ht="15.95" customHeight="1" thickTop="1" x14ac:dyDescent="0.4"/>
  </sheetData>
  <sheetProtection password="CB18" sheet="1" objects="1" scenarios="1" selectLockedCells="1" selectUnlockedCells="1"/>
  <mergeCells count="10">
    <mergeCell ref="F6:F25"/>
    <mergeCell ref="B3:J3"/>
    <mergeCell ref="C6:E6"/>
    <mergeCell ref="G6:I6"/>
    <mergeCell ref="C4:I4"/>
    <mergeCell ref="B27:J27"/>
    <mergeCell ref="B28:J28"/>
    <mergeCell ref="C30:E30"/>
    <mergeCell ref="F30:F49"/>
    <mergeCell ref="G30:I30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14"/>
  <sheetViews>
    <sheetView workbookViewId="0">
      <selection activeCell="A14" sqref="A14"/>
    </sheetView>
  </sheetViews>
  <sheetFormatPr defaultRowHeight="12.75" x14ac:dyDescent="0.2"/>
  <cols>
    <col min="1" max="1" width="30.5703125" style="29" bestFit="1" customWidth="1"/>
    <col min="2" max="2" width="15.7109375" style="29" customWidth="1"/>
    <col min="3" max="8" width="16.140625" style="29" customWidth="1"/>
    <col min="9" max="9" width="20" style="29" customWidth="1"/>
    <col min="10" max="11" width="16.140625" style="29" customWidth="1"/>
    <col min="12" max="12" width="30.7109375" style="29" customWidth="1"/>
    <col min="13" max="13" width="16.140625" style="29" customWidth="1"/>
    <col min="14" max="14" width="50.7109375" style="29" customWidth="1"/>
    <col min="15" max="15" width="30.85546875" style="29" customWidth="1"/>
    <col min="16" max="20" width="16.140625" style="29" customWidth="1"/>
    <col min="21" max="21" width="32.85546875" style="29" customWidth="1"/>
    <col min="22" max="26" width="16.140625" style="29" customWidth="1"/>
    <col min="27" max="27" width="28.7109375" style="29" customWidth="1"/>
    <col min="28" max="28" width="10.7109375" style="29" customWidth="1"/>
    <col min="29" max="29" width="14.85546875" style="29" customWidth="1"/>
    <col min="30" max="30" width="17.5703125" style="29" customWidth="1"/>
    <col min="31" max="31" width="16.85546875" style="29" bestFit="1" customWidth="1"/>
    <col min="32" max="32" width="9.140625" style="29"/>
    <col min="33" max="33" width="25.7109375" style="29" bestFit="1" customWidth="1"/>
    <col min="34" max="16384" width="9.140625" style="29"/>
  </cols>
  <sheetData>
    <row r="1" spans="1:14" ht="13.5" thickBot="1" x14ac:dyDescent="0.25"/>
    <row r="2" spans="1:14" ht="13.5" thickBot="1" x14ac:dyDescent="0.25">
      <c r="B2" s="4233" t="s">
        <v>327</v>
      </c>
      <c r="C2" s="4234"/>
      <c r="D2" s="4234"/>
      <c r="E2" s="4234"/>
      <c r="F2" s="4235"/>
      <c r="G2" s="4236" t="s">
        <v>328</v>
      </c>
      <c r="H2" s="4237"/>
      <c r="I2" s="4237"/>
      <c r="J2" s="4237"/>
      <c r="K2" s="4238"/>
      <c r="L2" s="4239" t="s">
        <v>329</v>
      </c>
      <c r="M2" s="4239" t="s">
        <v>330</v>
      </c>
      <c r="N2" s="4239" t="s">
        <v>331</v>
      </c>
    </row>
    <row r="3" spans="1:14" ht="13.5" thickBot="1" x14ac:dyDescent="0.25">
      <c r="A3" s="30" t="s">
        <v>332</v>
      </c>
      <c r="B3" s="31" t="s">
        <v>333</v>
      </c>
      <c r="C3" s="32" t="s">
        <v>334</v>
      </c>
      <c r="D3" s="32" t="s">
        <v>335</v>
      </c>
      <c r="E3" s="32" t="s">
        <v>336</v>
      </c>
      <c r="F3" s="33" t="s">
        <v>337</v>
      </c>
      <c r="G3" s="31" t="s">
        <v>333</v>
      </c>
      <c r="H3" s="32" t="s">
        <v>334</v>
      </c>
      <c r="I3" s="32" t="s">
        <v>335</v>
      </c>
      <c r="J3" s="32" t="s">
        <v>336</v>
      </c>
      <c r="K3" s="33" t="s">
        <v>337</v>
      </c>
      <c r="L3" s="4240"/>
      <c r="M3" s="4240"/>
      <c r="N3" s="4240"/>
    </row>
    <row r="4" spans="1:14" x14ac:dyDescent="0.2">
      <c r="A4" s="34" t="str">
        <f>'Acerto - Designação'!S33</f>
        <v>Aguard. Dados</v>
      </c>
      <c r="B4" s="29" t="e">
        <f t="array" ref="B4:F4">TRUNC(($A4-((10^{15,12,9,6,3})*INT($A4/(10^{15,12,9,6,3}))))/10^{12,9,6,3,0})</f>
        <v>#VALUE!</v>
      </c>
      <c r="C4" s="29" t="e">
        <v>#VALUE!</v>
      </c>
      <c r="D4" s="29" t="e">
        <v>#VALUE!</v>
      </c>
      <c r="E4" s="29" t="e">
        <v>#VALUE!</v>
      </c>
      <c r="F4" s="29" t="e">
        <v>#VALUE!</v>
      </c>
      <c r="G4" s="29" t="e">
        <f t="shared" ref="G4:G10" si="0">IF($A4&lt;10^15,"",IF(OR(B4=1,AND(B4&gt;=100,MOD(B4,100)=0)),IF(TRUNC(($A4-(10^12*INT($A4/(10^12)))))=0,_e_,_sp_),IF(B4&lt;100,"",_sp_)))&amp;IF(B4=1,INDEX(Sng,1,5),IF(B4&lt;100,"",IF(B4=100,OCem,INDEX(Cem,1,TRUNC(B4/100)))))&amp;IF(MOD(B4,100)=0,"",IF(B4=1,"",IF(OR(MOD(B4,100)&gt;=20,MOD(B4,100)=10),IF(OR(B4&gt;100,AND($A4&gt;10^15,TRUNC(($A4-(10^12*INT($A4/(10^12)))))=0)),_e_,IF($A4&gt;10^15,_sp_,"")),"")))&amp;IF(MOD(B4,100)=0,"",IF(B4=1,"",IF(OR(MOD(B4,100)&gt;=20,MOD(B4,100)=10),INDEX(Dez,1,TRUNC(MOD(B4,100)/10)),"")))&amp;IF(MOD(B4,100)=0,"",IF(B4=1,"",IF(MOD(MOD(B4,100),10)&lt;&gt;0,IF(OR(B4&gt;20,AND($A4&gt;10^15,TRUNC(($A4-(10^12*INT($A4/(10^12)))))=0)),_e_,IF($A4&gt;10^15,_sp_,"")),"")))&amp;IF(B4=0,"",IF(B4=1,"",IF(MOD(MOD(B4,100),10)=0,"",IF(MOD(B4,100)&lt;20,INDEX(Sml,1,MOD(B4,100)),INDEX(Sml,1,MOD(MOD(B4,100),10)))))) &amp; IF(B4&lt;=1,"",INDEX(Plu,1,5))</f>
        <v>#VALUE!</v>
      </c>
      <c r="H4" s="29" t="e">
        <f t="shared" ref="H4:H10" si="1">IF($A4&lt;10^12,"",IF(OR(C4=1,AND(C4&gt;=100,MOD(C4,100)=0)),IF(TRUNC(($A4-(10^9*INT($A4/(10^9)))))=0,_e_,_sp_),IF(C4&lt;100,"",_sp_)))&amp;IF(C4=1,INDEX(Sng,1,4),IF(C4&lt;100,"",IF(C4=100,OCem,INDEX(Cem,1,TRUNC(C4/100)))))&amp;IF(MOD(C4,100)=0,"",IF(C4=1,"",IF(OR(MOD(C4,100)&gt;=20,MOD(C4,100)=10),IF(OR(C4&gt;100,AND($A4&gt;10^12,TRUNC(($A4-(10^9*INT($A4/(10^9)))))=0)),_e_,IF($A4&gt;10^12,_sp_,"")),"")))&amp;IF(MOD(C4,100)=0,"",IF(C4=1,"",IF(OR(MOD(C4,100)&gt;=20,MOD(C4,100)=10),INDEX(Dez,1,TRUNC(MOD(C4,100)/10)),"")))&amp;IF(MOD(C4,100)=0,"",IF(C4=1,"",IF(MOD(MOD(C4,100),10)&lt;&gt;0,IF(OR(C4&gt;20,AND($A4&gt;10^12,TRUNC(($A4-(10^9*INT($A4/(10^9)))))=0)),_e_,IF($A4&gt;10^12,_sp_,"")),"")))&amp;IF(C4=0,"",IF(C4=1,"",IF(MOD(MOD(C4,100),10)=0,"",IF(MOD(C4,100)&lt;20,INDEX(Sml,1,MOD(C4,100)),INDEX(Sml,1,MOD(MOD(C4,100),10)))))) &amp; IF(C4&lt;=1,"",INDEX(Plu,1,4))</f>
        <v>#VALUE!</v>
      </c>
      <c r="I4" s="29" t="e">
        <f t="shared" ref="I4:I10" si="2">IF($A4&lt;10^9,"",IF(OR(D4=1,AND(D4&gt;=100,MOD(D4,100)=0)),IF(TRUNC(($A4-(10^6*INT($A4/(10^6)))))=0,_e_,_sp_),IF(D4&lt;100,"",_sp_)))&amp;IF(D4=1,INDEX(Sng,1,3),IF(D4&lt;100,"",IF(D4=100,OCem,INDEX(Cem,1,TRUNC(D4/100)))))&amp;IF(MOD(D4,100)=0,"",IF(D4=1,"",IF(OR(MOD(D4,100)&gt;=20,MOD(D4,100)=10),IF(OR(D4&gt;100,AND($A4&gt;10^9,TRUNC(($A4-(10^6*INT($A4/(10^6)))))=0)),_e_,IF($A4&gt;10^9,_sp_,"")),"")))&amp;IF(MOD(D4,100)=0,"",IF(D4=1,"",IF(OR(MOD(D4,100)&gt;=20,MOD(D4,100)=10),INDEX(Dez,1,TRUNC(MOD(D4,100)/10)),"")))&amp;IF(MOD(D4,100)=0,"",IF(D4=1,"",IF(MOD(MOD(D4,100),10)&lt;&gt;0,IF(OR(D4&gt;20,AND($A4&gt;10^9,TRUNC(($A4-(10^6*INT($A4/(10^6)))))=0)),_e_,IF($A4&gt;10^9,_sp_,"")),"")))&amp;IF(D4=0,"",IF(D4=1,"",IF(MOD(MOD(D4,100),10)=0,"",IF(MOD(D4,100)&lt;20,INDEX(Sml,1,MOD(D4,100)),INDEX(Sml,1,MOD(MOD(D4,100),10)))))) &amp; IF(D4&lt;=1,"",INDEX(Plu,1,3))</f>
        <v>#VALUE!</v>
      </c>
      <c r="J4" s="29" t="e">
        <f t="shared" ref="J4:J10" si="3">IF($A4&lt;10^6,"",IF(OR(E4=1,AND(E4&gt;=100,MOD(E4,100)=0)),IF(TRUNC(($A4-(10^3*INT($A4/(10^3)))))=0,_e_,_sp_),IF(E4&lt;100,"",_sp_)))&amp;IF(E4=1,INDEX(Sng,1,2),IF(E4&lt;100,"",IF(E4=100,OCem,INDEX(Cem,1,TRUNC(E4/100)))))&amp;IF(MOD(E4,100)=0,"",IF(E4=1,"",IF(OR(MOD(E4,100)&gt;=20,MOD(E4,100)=10),IF(OR(E4&gt;100,AND($A4&gt;10^6,TRUNC(($A4-(10^3*INT($A4/(10^3)))))=0)),_e_,IF($A4&gt;10^6,_sp_,"")),"")))&amp;IF(MOD(E4,100)=0,"",IF(E4=1,"",IF(OR(MOD(E4,100)&gt;=20,MOD(E4,100)=10),INDEX(Dez,1,TRUNC(MOD(E4,100)/10)),"")))&amp;IF(MOD(E4,100)=0,"",IF(E4=1,"",IF(MOD(MOD(E4,100),10)&lt;&gt;0,IF(OR(E4&gt;20,AND($A4&gt;10^6,TRUNC(($A4-(10^3*INT($A4/(10^3)))))=0)),_e_,IF($A4&gt;10^6,_sp_,"")),"")))&amp;IF(E4=0,"",IF(E4=1,"",IF(MOD(MOD(E4,100),10)=0,"",IF(MOD(E4,100)&lt;20,INDEX(Sml,1,MOD(E4,100)),INDEX(Sml,1,MOD(MOD(E4,100),10)))))) &amp; IF(E4&lt;=1,"",INDEX(Plu,1,2))</f>
        <v>#VALUE!</v>
      </c>
      <c r="K4" s="29" t="e">
        <f t="shared" ref="K4:K10" si="4">IF($A4&lt;10^3,"",IF(OR(F4=1,AND(F4&gt;=100,MOD(F4,100)=0)),IF(TRUNC(($A4-(10^0*INT($A4/(10^0)))))=0,_e_,_sp_),IF(F4&lt;100,"",_sp_)))&amp;IF(F4=1,INDEX(Sng,1,1),IF(F4&lt;100,"",IF(F4=100,OCem,INDEX(Cem,1,TRUNC(F4/100)))))&amp;IF(MOD(F4,100)=0,"",IF(F4=1,"",IF(OR(MOD(F4,100)&gt;=20,MOD(F4,100)=10),IF(OR(F4&gt;100,AND($A4&gt;10^3,TRUNC(($A4-(10^0*INT($A4/(10^0)))))=0)),_e_,IF($A4&gt;10^3,_sp_,"")),"")))&amp;IF(MOD(F4,100)=0,"",IF(F4=1,"",IF(OR(MOD(F4,100)&gt;=20,MOD(F4,100)=10),INDEX(Dez,1,TRUNC(MOD(F4,100)/10)),"")))&amp;IF(MOD(F4,100)=0,"",IF(F4=1,"",IF(MOD(MOD(F4,100),10)&lt;&gt;0,IF(OR(F4&gt;20,AND($A4&gt;10^3,TRUNC(($A4-(10^0*INT($A4/(10^0)))))=0)),_e_,IF($A4&gt;10^3,_sp_,"")),"")))&amp;IF(F4=0,"",IF(F4=1,"",IF(MOD(MOD(F4,100),10)=0,"",IF(MOD(F4,100)&lt;20,INDEX(Sml,1,MOD(F4,100)),INDEX(Sml,1,MOD(MOD(F4,100),10)))))) &amp; IF(F4&lt;=1,"",INDEX(Plu,1,1))</f>
        <v>#VALUE!</v>
      </c>
      <c r="L4" s="29" t="e">
        <f t="shared" ref="L4:L11" si="5">IF($A4&lt;1,"",IF(TRUNC($A4)=1," real",IF(AND($A4&gt;=10^6,TRUNC($A4-10^6*INT($A4/10^6))=0)," de","") &amp; " reais"))</f>
        <v>#VALUE!</v>
      </c>
      <c r="M4" s="29" t="e">
        <f t="shared" ref="M4:M14" si="6">IF((ROUND($A4-TRUNC($A4),2)*100)=0,"",IF($A4&gt;=1,_e_,"") &amp; IF((ROUND($A4-TRUNC($A4),2)*100)=1,"um centavo",IF((ROUND($A4-TRUNC($A4),2)*100)&gt;=20,INDEX(Dez,1,TRUNC((ROUND($A4-TRUNC($A4),2)*100)/10)) &amp; IF(MOD((ROUND($A4-TRUNC($A4),2)*100),10)&lt;&gt;0,_e_ &amp; INDEX(Sml,1,MOD((ROUND($A4-TRUNC($A4),2)*100),10)),""),INDEX(Sml,1,(ROUND($A4-TRUNC($A4),2)*100))) &amp; " centavos"))</f>
        <v>#VALUE!</v>
      </c>
      <c r="N4" s="29" t="e">
        <f t="shared" ref="N4:N10" si="7">G4&amp;H4&amp;I4&amp;J4&amp;K4&amp;L4&amp;M4</f>
        <v>#VALUE!</v>
      </c>
    </row>
    <row r="5" spans="1:14" x14ac:dyDescent="0.2">
      <c r="A5" s="34" t="str">
        <f>'Acerto - Designação'!C52</f>
        <v>Aguard. Dados</v>
      </c>
      <c r="B5" s="29" t="e">
        <f t="array" ref="B5:F5">TRUNC(($A5-((10^{15,12,9,6,3})*INT($A5/(10^{15,12,9,6,3}))))/10^{12,9,6,3,0})</f>
        <v>#VALUE!</v>
      </c>
      <c r="C5" s="29" t="e">
        <v>#VALUE!</v>
      </c>
      <c r="D5" s="29" t="e">
        <v>#VALUE!</v>
      </c>
      <c r="E5" s="29" t="e">
        <v>#VALUE!</v>
      </c>
      <c r="F5" s="29" t="e">
        <v>#VALUE!</v>
      </c>
      <c r="G5" s="29" t="e">
        <f>IF($A5&lt;10^15,"",IF(OR(B5=1,AND(B5&gt;=100,MOD(B5,100)=0)),IF(TRUNC(($A5-(10^12*INT($A5/(10^12)))))=0,_e_,_sp_),IF(B5&lt;100,"",_sp_)))&amp;IF(B5=1,INDEX(Sng,1,5),IF(B5&lt;100,"",IF(B5=100,OCem,INDEX(Cem,1,TRUNC(B5/100)))))&amp;IF(MOD(B5,100)=0,"",IF(B5=1,"",IF(OR(MOD(B5,100)&gt;=20,MOD(B5,100)=10),IF(OR(B5&gt;100,AND($A5&gt;10^15,TRUNC(($A5-(10^12*INT($A5/(10^12)))))=0)),_e_,IF($A5&gt;10^15,_sp_,"")),"")))&amp;IF(MOD(B5,100)=0,"",IF(B5=1,"",IF(OR(MOD(B5,100)&gt;=20,MOD(B5,100)=10),INDEX(Dez,1,TRUNC(MOD(B5,100)/10)),"")))&amp;IF(MOD(B5,100)=0,"",IF(B5=1,"",IF(MOD(MOD(B5,100),10)&lt;&gt;0,IF(OR(B5&gt;20,AND($A5&gt;10^15,TRUNC(($A5-(10^12*INT($A5/(10^12)))))=0)),_e_,IF($A5&gt;10^15,_sp_,"")),"")))&amp;IF(B5=0,"",IF(B5=1,"",IF(MOD(MOD(B5,100),10)=0,"",IF(MOD(B5,100)&lt;20,INDEX(Sml,1,MOD(B5,100)),INDEX(Sml,1,MOD(MOD(B5,100),10)))))) &amp; IF(B5&lt;=1,"",INDEX(Plu,1,5))</f>
        <v>#VALUE!</v>
      </c>
      <c r="H5" s="29" t="e">
        <f>IF($A5&lt;10^12,"",IF(OR(C5=1,AND(C5&gt;=100,MOD(C5,100)=0)),IF(TRUNC(($A5-(10^9*INT($A5/(10^9)))))=0,_e_,_sp_),IF(C5&lt;100,"",_sp_)))&amp;IF(C5=1,INDEX(Sng,1,4),IF(C5&lt;100,"",IF(C5=100,OCem,INDEX(Cem,1,TRUNC(C5/100)))))&amp;IF(MOD(C5,100)=0,"",IF(C5=1,"",IF(OR(MOD(C5,100)&gt;=20,MOD(C5,100)=10),IF(OR(C5&gt;100,AND($A5&gt;10^12,TRUNC(($A5-(10^9*INT($A5/(10^9)))))=0)),_e_,IF($A5&gt;10^12,_sp_,"")),"")))&amp;IF(MOD(C5,100)=0,"",IF(C5=1,"",IF(OR(MOD(C5,100)&gt;=20,MOD(C5,100)=10),INDEX(Dez,1,TRUNC(MOD(C5,100)/10)),"")))&amp;IF(MOD(C5,100)=0,"",IF(C5=1,"",IF(MOD(MOD(C5,100),10)&lt;&gt;0,IF(OR(C5&gt;20,AND($A5&gt;10^12,TRUNC(($A5-(10^9*INT($A5/(10^9)))))=0)),_e_,IF($A5&gt;10^12,_sp_,"")),"")))&amp;IF(C5=0,"",IF(C5=1,"",IF(MOD(MOD(C5,100),10)=0,"",IF(MOD(C5,100)&lt;20,INDEX(Sml,1,MOD(C5,100)),INDEX(Sml,1,MOD(MOD(C5,100),10)))))) &amp; IF(C5&lt;=1,"",INDEX(Plu,1,4))</f>
        <v>#VALUE!</v>
      </c>
      <c r="I5" s="29" t="e">
        <f>IF($A5&lt;10^9,"",IF(OR(D5=1,AND(D5&gt;=100,MOD(D5,100)=0)),IF(TRUNC(($A5-(10^6*INT($A5/(10^6)))))=0,_e_,_sp_),IF(D5&lt;100,"",_sp_)))&amp;IF(D5=1,INDEX(Sng,1,3),IF(D5&lt;100,"",IF(D5=100,OCem,INDEX(Cem,1,TRUNC(D5/100)))))&amp;IF(MOD(D5,100)=0,"",IF(D5=1,"",IF(OR(MOD(D5,100)&gt;=20,MOD(D5,100)=10),IF(OR(D5&gt;100,AND($A5&gt;10^9,TRUNC(($A5-(10^6*INT($A5/(10^6)))))=0)),_e_,IF($A5&gt;10^9,_sp_,"")),"")))&amp;IF(MOD(D5,100)=0,"",IF(D5=1,"",IF(OR(MOD(D5,100)&gt;=20,MOD(D5,100)=10),INDEX(Dez,1,TRUNC(MOD(D5,100)/10)),"")))&amp;IF(MOD(D5,100)=0,"",IF(D5=1,"",IF(MOD(MOD(D5,100),10)&lt;&gt;0,IF(OR(D5&gt;20,AND($A5&gt;10^9,TRUNC(($A5-(10^6*INT($A5/(10^6)))))=0)),_e_,IF($A5&gt;10^9,_sp_,"")),"")))&amp;IF(D5=0,"",IF(D5=1,"",IF(MOD(MOD(D5,100),10)=0,"",IF(MOD(D5,100)&lt;20,INDEX(Sml,1,MOD(D5,100)),INDEX(Sml,1,MOD(MOD(D5,100),10)))))) &amp; IF(D5&lt;=1,"",INDEX(Plu,1,3))</f>
        <v>#VALUE!</v>
      </c>
      <c r="J5" s="29" t="e">
        <f>IF($A5&lt;10^6,"",IF(OR(E5=1,AND(E5&gt;=100,MOD(E5,100)=0)),IF(TRUNC(($A5-(10^3*INT($A5/(10^3)))))=0,_e_,_sp_),IF(E5&lt;100,"",_sp_)))&amp;IF(E5=1,INDEX(Sng,1,2),IF(E5&lt;100,"",IF(E5=100,OCem,INDEX(Cem,1,TRUNC(E5/100)))))&amp;IF(MOD(E5,100)=0,"",IF(E5=1,"",IF(OR(MOD(E5,100)&gt;=20,MOD(E5,100)=10),IF(OR(E5&gt;100,AND($A5&gt;10^6,TRUNC(($A5-(10^3*INT($A5/(10^3)))))=0)),_e_,IF($A5&gt;10^6,_sp_,"")),"")))&amp;IF(MOD(E5,100)=0,"",IF(E5=1,"",IF(OR(MOD(E5,100)&gt;=20,MOD(E5,100)=10),INDEX(Dez,1,TRUNC(MOD(E5,100)/10)),"")))&amp;IF(MOD(E5,100)=0,"",IF(E5=1,"",IF(MOD(MOD(E5,100),10)&lt;&gt;0,IF(OR(E5&gt;20,AND($A5&gt;10^6,TRUNC(($A5-(10^3*INT($A5/(10^3)))))=0)),_e_,IF($A5&gt;10^6,_sp_,"")),"")))&amp;IF(E5=0,"",IF(E5=1,"",IF(MOD(MOD(E5,100),10)=0,"",IF(MOD(E5,100)&lt;20,INDEX(Sml,1,MOD(E5,100)),INDEX(Sml,1,MOD(MOD(E5,100),10)))))) &amp; IF(E5&lt;=1,"",INDEX(Plu,1,2))</f>
        <v>#VALUE!</v>
      </c>
      <c r="K5" s="29" t="e">
        <f>IF($A5&lt;10^3,"",IF(OR(F5=1,AND(F5&gt;=100,MOD(F5,100)=0)),IF(TRUNC(($A5-(10^0*INT($A5/(10^0)))))=0,_e_,_sp_),IF(F5&lt;100,"",_sp_)))&amp;IF(F5=1,INDEX(Sng,1,1),IF(F5&lt;100,"",IF(F5=100,OCem,INDEX(Cem,1,TRUNC(F5/100)))))&amp;IF(MOD(F5,100)=0,"",IF(F5=1,"",IF(OR(MOD(F5,100)&gt;=20,MOD(F5,100)=10),IF(OR(F5&gt;100,AND($A5&gt;10^3,TRUNC(($A5-(10^0*INT($A5/(10^0)))))=0)),_e_,IF($A5&gt;10^3,_sp_,"")),"")))&amp;IF(MOD(F5,100)=0,"",IF(F5=1,"",IF(OR(MOD(F5,100)&gt;=20,MOD(F5,100)=10),INDEX(Dez,1,TRUNC(MOD(F5,100)/10)),"")))&amp;IF(MOD(F5,100)=0,"",IF(F5=1,"",IF(MOD(MOD(F5,100),10)&lt;&gt;0,IF(OR(F5&gt;20,AND($A5&gt;10^3,TRUNC(($A5-(10^0*INT($A5/(10^0)))))=0)),_e_,IF($A5&gt;10^3,_sp_,"")),"")))&amp;IF(F5=0,"",IF(F5=1,"",IF(MOD(MOD(F5,100),10)=0,"",IF(MOD(F5,100)&lt;20,INDEX(Sml,1,MOD(F5,100)),INDEX(Sml,1,MOD(MOD(F5,100),10)))))) &amp; IF(F5&lt;=1,"",INDEX(Plu,1,1))</f>
        <v>#VALUE!</v>
      </c>
      <c r="L5" s="29" t="e">
        <f t="shared" si="5"/>
        <v>#VALUE!</v>
      </c>
      <c r="M5" s="29" t="e">
        <f t="shared" si="6"/>
        <v>#VALUE!</v>
      </c>
      <c r="N5" s="29" t="e">
        <f>G5&amp;H5&amp;I5&amp;J5&amp;K5&amp;L5&amp;M5</f>
        <v>#VALUE!</v>
      </c>
    </row>
    <row r="6" spans="1:14" x14ac:dyDescent="0.2">
      <c r="A6" s="34">
        <f>A.Pgto!C12</f>
        <v>1296.5</v>
      </c>
      <c r="B6" s="29">
        <f t="array" ref="B6:F6">TRUNC(($A6-((10^{15,12,9,6,3})*INT($A6/(10^{15,12,9,6,3}))))/10^{12,9,6,3,0})</f>
        <v>0</v>
      </c>
      <c r="C6" s="29">
        <v>0</v>
      </c>
      <c r="D6" s="29">
        <v>0</v>
      </c>
      <c r="E6" s="29">
        <v>1</v>
      </c>
      <c r="F6" s="29">
        <v>296</v>
      </c>
      <c r="G6" s="29" t="str">
        <f t="shared" si="0"/>
        <v/>
      </c>
      <c r="H6" s="29" t="str">
        <f t="shared" si="1"/>
        <v/>
      </c>
      <c r="I6" s="29" t="str">
        <f t="shared" si="2"/>
        <v/>
      </c>
      <c r="J6" s="29" t="str">
        <f t="shared" si="3"/>
        <v>mil</v>
      </c>
      <c r="K6" s="29" t="str">
        <f t="shared" si="4"/>
        <v xml:space="preserve"> duzentos e noventa e seis</v>
      </c>
      <c r="L6" s="29" t="str">
        <f t="shared" si="5"/>
        <v xml:space="preserve"> reais</v>
      </c>
      <c r="M6" s="29" t="str">
        <f t="shared" si="6"/>
        <v xml:space="preserve"> e cinquenta centavos</v>
      </c>
      <c r="N6" s="29" t="str">
        <f t="shared" si="7"/>
        <v>mil duzentos e noventa e seis reais e cinquenta centavos</v>
      </c>
    </row>
    <row r="7" spans="1:14" x14ac:dyDescent="0.2">
      <c r="A7" s="34">
        <f>Certif!F17</f>
        <v>969.57</v>
      </c>
      <c r="B7" s="29">
        <f t="array" ref="B7:F7">TRUNC(($A7-((10^{15,12,9,6,3})*INT($A7/(10^{15,12,9,6,3}))))/10^{12,9,6,3,0})</f>
        <v>0</v>
      </c>
      <c r="C7" s="29">
        <v>0</v>
      </c>
      <c r="D7" s="29">
        <v>0</v>
      </c>
      <c r="E7" s="29">
        <v>0</v>
      </c>
      <c r="F7" s="29">
        <v>969</v>
      </c>
      <c r="G7" s="29" t="str">
        <f t="shared" si="0"/>
        <v/>
      </c>
      <c r="H7" s="29" t="str">
        <f t="shared" si="1"/>
        <v/>
      </c>
      <c r="I7" s="29" t="str">
        <f t="shared" si="2"/>
        <v/>
      </c>
      <c r="J7" s="29" t="str">
        <f t="shared" si="3"/>
        <v/>
      </c>
      <c r="K7" s="29" t="str">
        <f t="shared" si="4"/>
        <v>novecentos e sessenta e nove</v>
      </c>
      <c r="L7" s="29" t="str">
        <f t="shared" si="5"/>
        <v xml:space="preserve"> reais</v>
      </c>
      <c r="M7" s="29" t="str">
        <f t="shared" si="6"/>
        <v xml:space="preserve"> e cinquenta e sete centavos</v>
      </c>
      <c r="N7" s="29" t="str">
        <f t="shared" si="7"/>
        <v>novecentos e sessenta e nove reais e cinquenta e sete centavos</v>
      </c>
    </row>
    <row r="8" spans="1:14" x14ac:dyDescent="0.2">
      <c r="A8" s="34">
        <f>T.Ciência!C21</f>
        <v>690.12</v>
      </c>
      <c r="B8" s="29">
        <f t="array" ref="B8:F8">TRUNC(($A8-((10^{15,12,9,6,3})*INT($A8/(10^{15,12,9,6,3}))))/10^{12,9,6,3,0})</f>
        <v>0</v>
      </c>
      <c r="C8" s="29">
        <v>0</v>
      </c>
      <c r="D8" s="29">
        <v>0</v>
      </c>
      <c r="E8" s="29">
        <v>0</v>
      </c>
      <c r="F8" s="29">
        <v>690</v>
      </c>
      <c r="G8" s="29" t="str">
        <f t="shared" si="0"/>
        <v/>
      </c>
      <c r="H8" s="29" t="str">
        <f t="shared" si="1"/>
        <v/>
      </c>
      <c r="I8" s="29" t="str">
        <f t="shared" si="2"/>
        <v/>
      </c>
      <c r="J8" s="29" t="str">
        <f t="shared" si="3"/>
        <v/>
      </c>
      <c r="K8" s="29" t="str">
        <f t="shared" si="4"/>
        <v>seiscentos e noventa</v>
      </c>
      <c r="L8" s="29" t="str">
        <f t="shared" si="5"/>
        <v xml:space="preserve"> reais</v>
      </c>
      <c r="M8" s="29" t="str">
        <f t="shared" si="6"/>
        <v xml:space="preserve"> e doze centavos</v>
      </c>
      <c r="N8" s="29" t="str">
        <f t="shared" si="7"/>
        <v>seiscentos e noventa reais e doze centavos</v>
      </c>
    </row>
    <row r="9" spans="1:14" x14ac:dyDescent="0.2">
      <c r="A9" s="34">
        <f>T.Ciência!R23</f>
        <v>115.02</v>
      </c>
      <c r="B9" s="29">
        <f t="array" ref="B9:F9">TRUNC(($A9-((10^{15,12,9,6,3})*INT($A9/(10^{15,12,9,6,3}))))/10^{12,9,6,3,0})</f>
        <v>0</v>
      </c>
      <c r="C9" s="29">
        <v>0</v>
      </c>
      <c r="D9" s="29">
        <v>0</v>
      </c>
      <c r="E9" s="29">
        <v>0</v>
      </c>
      <c r="F9" s="29">
        <v>115</v>
      </c>
      <c r="G9" s="29" t="str">
        <f t="shared" si="0"/>
        <v/>
      </c>
      <c r="H9" s="29" t="str">
        <f t="shared" si="1"/>
        <v/>
      </c>
      <c r="I9" s="29" t="str">
        <f t="shared" si="2"/>
        <v/>
      </c>
      <c r="J9" s="29" t="str">
        <f t="shared" si="3"/>
        <v/>
      </c>
      <c r="K9" s="29" t="str">
        <f t="shared" si="4"/>
        <v>cento e quinze</v>
      </c>
      <c r="L9" s="29" t="str">
        <f t="shared" si="5"/>
        <v xml:space="preserve"> reais</v>
      </c>
      <c r="M9" s="29" t="str">
        <f t="shared" si="6"/>
        <v xml:space="preserve"> e dois centavos</v>
      </c>
      <c r="N9" s="29" t="str">
        <f t="shared" si="7"/>
        <v>cento e quinze reais e dois centavos</v>
      </c>
    </row>
    <row r="10" spans="1:14" x14ac:dyDescent="0.2">
      <c r="A10" s="387">
        <f>Prêm!C30</f>
        <v>0</v>
      </c>
      <c r="B10" s="29">
        <f t="array" ref="B10:F10">TRUNC(($A10-((10^{15,12,9,6,3})*INT($A10/(10^{15,12,9,6,3}))))/10^{12,9,6,3,0})</f>
        <v>0</v>
      </c>
      <c r="C10" s="29">
        <v>0</v>
      </c>
      <c r="D10" s="29">
        <v>0</v>
      </c>
      <c r="E10" s="29">
        <v>0</v>
      </c>
      <c r="F10" s="29">
        <v>0</v>
      </c>
      <c r="G10" s="29" t="str">
        <f t="shared" si="0"/>
        <v/>
      </c>
      <c r="H10" s="29" t="str">
        <f t="shared" si="1"/>
        <v/>
      </c>
      <c r="I10" s="29" t="str">
        <f t="shared" si="2"/>
        <v/>
      </c>
      <c r="J10" s="29" t="str">
        <f t="shared" si="3"/>
        <v/>
      </c>
      <c r="K10" s="29" t="str">
        <f t="shared" si="4"/>
        <v/>
      </c>
      <c r="L10" s="29" t="str">
        <f t="shared" si="5"/>
        <v/>
      </c>
      <c r="M10" s="29" t="str">
        <f t="shared" si="6"/>
        <v/>
      </c>
      <c r="N10" s="29" t="str">
        <f t="shared" si="7"/>
        <v/>
      </c>
    </row>
    <row r="11" spans="1:14" x14ac:dyDescent="0.2">
      <c r="A11" s="387">
        <f>FP!C11</f>
        <v>0</v>
      </c>
      <c r="B11" s="29">
        <f t="array" ref="B11:F11">TRUNC(($A11-((10^{15,12,9,6,3})*INT($A11/(10^{15,12,9,6,3}))))/10^{12,9,6,3,0})</f>
        <v>0</v>
      </c>
      <c r="C11" s="29">
        <v>0</v>
      </c>
      <c r="D11" s="29">
        <v>0</v>
      </c>
      <c r="E11" s="29">
        <v>0</v>
      </c>
      <c r="F11" s="29">
        <v>0</v>
      </c>
      <c r="G11" s="29" t="str">
        <f>IF($A11&lt;10^15,"",IF(OR(B11=1,AND(B11&gt;=100,MOD(B11,100)=0)),IF(TRUNC(($A11-(10^12*INT($A11/(10^12)))))=0,_e_,_sp_),IF(B11&lt;100,"",_sp_)))&amp;IF(B11=1,INDEX(Sng,1,5),IF(B11&lt;100,"",IF(B11=100,OCem,INDEX(Cem,1,TRUNC(B11/100)))))&amp;IF(MOD(B11,100)=0,"",IF(B11=1,"",IF(OR(MOD(B11,100)&gt;=20,MOD(B11,100)=10),IF(OR(B11&gt;100,AND($A11&gt;10^15,TRUNC(($A11-(10^12*INT($A11/(10^12)))))=0)),_e_,IF($A11&gt;10^15,_sp_,"")),"")))&amp;IF(MOD(B11,100)=0,"",IF(B11=1,"",IF(OR(MOD(B11,100)&gt;=20,MOD(B11,100)=10),INDEX(Dez,1,TRUNC(MOD(B11,100)/10)),"")))&amp;IF(MOD(B11,100)=0,"",IF(B11=1,"",IF(MOD(MOD(B11,100),10)&lt;&gt;0,IF(OR(B11&gt;20,AND($A11&gt;10^15,TRUNC(($A11-(10^12*INT($A11/(10^12)))))=0)),_e_,IF($A11&gt;10^15,_sp_,"")),"")))&amp;IF(B11=0,"",IF(B11=1,"",IF(MOD(MOD(B11,100),10)=0,"",IF(MOD(B11,100)&lt;20,INDEX(Sml,1,MOD(B11,100)),INDEX(Sml,1,MOD(MOD(B11,100),10)))))) &amp; IF(B11&lt;=1,"",INDEX(Plu,1,5))</f>
        <v/>
      </c>
      <c r="H11" s="29" t="str">
        <f>IF($A11&lt;10^12,"",IF(OR(C11=1,AND(C11&gt;=100,MOD(C11,100)=0)),IF(TRUNC(($A11-(10^9*INT($A11/(10^9)))))=0,_e_,_sp_),IF(C11&lt;100,"",_sp_)))&amp;IF(C11=1,INDEX(Sng,1,4),IF(C11&lt;100,"",IF(C11=100,OCem,INDEX(Cem,1,TRUNC(C11/100)))))&amp;IF(MOD(C11,100)=0,"",IF(C11=1,"",IF(OR(MOD(C11,100)&gt;=20,MOD(C11,100)=10),IF(OR(C11&gt;100,AND($A11&gt;10^12,TRUNC(($A11-(10^9*INT($A11/(10^9)))))=0)),_e_,IF($A11&gt;10^12,_sp_,"")),"")))&amp;IF(MOD(C11,100)=0,"",IF(C11=1,"",IF(OR(MOD(C11,100)&gt;=20,MOD(C11,100)=10),INDEX(Dez,1,TRUNC(MOD(C11,100)/10)),"")))&amp;IF(MOD(C11,100)=0,"",IF(C11=1,"",IF(MOD(MOD(C11,100),10)&lt;&gt;0,IF(OR(C11&gt;20,AND($A11&gt;10^12,TRUNC(($A11-(10^9*INT($A11/(10^9)))))=0)),_e_,IF($A11&gt;10^12,_sp_,"")),"")))&amp;IF(C11=0,"",IF(C11=1,"",IF(MOD(MOD(C11,100),10)=0,"",IF(MOD(C11,100)&lt;20,INDEX(Sml,1,MOD(C11,100)),INDEX(Sml,1,MOD(MOD(C11,100),10)))))) &amp; IF(C11&lt;=1,"",INDEX(Plu,1,4))</f>
        <v/>
      </c>
      <c r="I11" s="29" t="str">
        <f>IF($A11&lt;10^9,"",IF(OR(D11=1,AND(D11&gt;=100,MOD(D11,100)=0)),IF(TRUNC(($A11-(10^6*INT($A11/(10^6)))))=0,_e_,_sp_),IF(D11&lt;100,"",_sp_)))&amp;IF(D11=1,INDEX(Sng,1,3),IF(D11&lt;100,"",IF(D11=100,OCem,INDEX(Cem,1,TRUNC(D11/100)))))&amp;IF(MOD(D11,100)=0,"",IF(D11=1,"",IF(OR(MOD(D11,100)&gt;=20,MOD(D11,100)=10),IF(OR(D11&gt;100,AND($A11&gt;10^9,TRUNC(($A11-(10^6*INT($A11/(10^6)))))=0)),_e_,IF($A11&gt;10^9,_sp_,"")),"")))&amp;IF(MOD(D11,100)=0,"",IF(D11=1,"",IF(OR(MOD(D11,100)&gt;=20,MOD(D11,100)=10),INDEX(Dez,1,TRUNC(MOD(D11,100)/10)),"")))&amp;IF(MOD(D11,100)=0,"",IF(D11=1,"",IF(MOD(MOD(D11,100),10)&lt;&gt;0,IF(OR(D11&gt;20,AND($A11&gt;10^9,TRUNC(($A11-(10^6*INT($A11/(10^6)))))=0)),_e_,IF($A11&gt;10^9,_sp_,"")),"")))&amp;IF(D11=0,"",IF(D11=1,"",IF(MOD(MOD(D11,100),10)=0,"",IF(MOD(D11,100)&lt;20,INDEX(Sml,1,MOD(D11,100)),INDEX(Sml,1,MOD(MOD(D11,100),10)))))) &amp; IF(D11&lt;=1,"",INDEX(Plu,1,3))</f>
        <v/>
      </c>
      <c r="J11" s="29" t="str">
        <f>IF($A11&lt;10^6,"",IF(OR(E11=1,AND(E11&gt;=100,MOD(E11,100)=0)),IF(TRUNC(($A11-(10^3*INT($A11/(10^3)))))=0,_e_,_sp_),IF(E11&lt;100,"",_sp_)))&amp;IF(E11=1,INDEX(Sng,1,2),IF(E11&lt;100,"",IF(E11=100,OCem,INDEX(Cem,1,TRUNC(E11/100)))))&amp;IF(MOD(E11,100)=0,"",IF(E11=1,"",IF(OR(MOD(E11,100)&gt;=20,MOD(E11,100)=10),IF(OR(E11&gt;100,AND($A11&gt;10^6,TRUNC(($A11-(10^3*INT($A11/(10^3)))))=0)),_e_,IF($A11&gt;10^6,_sp_,"")),"")))&amp;IF(MOD(E11,100)=0,"",IF(E11=1,"",IF(OR(MOD(E11,100)&gt;=20,MOD(E11,100)=10),INDEX(Dez,1,TRUNC(MOD(E11,100)/10)),"")))&amp;IF(MOD(E11,100)=0,"",IF(E11=1,"",IF(MOD(MOD(E11,100),10)&lt;&gt;0,IF(OR(E11&gt;20,AND($A11&gt;10^6,TRUNC(($A11-(10^3*INT($A11/(10^3)))))=0)),_e_,IF($A11&gt;10^6,_sp_,"")),"")))&amp;IF(E11=0,"",IF(E11=1,"",IF(MOD(MOD(E11,100),10)=0,"",IF(MOD(E11,100)&lt;20,INDEX(Sml,1,MOD(E11,100)),INDEX(Sml,1,MOD(MOD(E11,100),10)))))) &amp; IF(E11&lt;=1,"",INDEX(Plu,1,2))</f>
        <v/>
      </c>
      <c r="K11" s="29" t="str">
        <f>IF($A11&lt;10^3,"",IF(OR(F11=1,AND(F11&gt;=100,MOD(F11,100)=0)),IF(TRUNC(($A11-(10^0*INT($A11/(10^0)))))=0,_e_,_sp_),IF(F11&lt;100,"",_sp_)))&amp;IF(F11=1,INDEX(Sng,1,1),IF(F11&lt;100,"",IF(F11=100,OCem,INDEX(Cem,1,TRUNC(F11/100)))))&amp;IF(MOD(F11,100)=0,"",IF(F11=1,"",IF(OR(MOD(F11,100)&gt;=20,MOD(F11,100)=10),IF(OR(F11&gt;100,AND($A11&gt;10^3,TRUNC(($A11-(10^0*INT($A11/(10^0)))))=0)),_e_,IF($A11&gt;10^3,_sp_,"")),"")))&amp;IF(MOD(F11,100)=0,"",IF(F11=1,"",IF(OR(MOD(F11,100)&gt;=20,MOD(F11,100)=10),INDEX(Dez,1,TRUNC(MOD(F11,100)/10)),"")))&amp;IF(MOD(F11,100)=0,"",IF(F11=1,"",IF(MOD(MOD(F11,100),10)&lt;&gt;0,IF(OR(F11&gt;20,AND($A11&gt;10^3,TRUNC(($A11-(10^0*INT($A11/(10^0)))))=0)),_e_,IF($A11&gt;10^3,_sp_,"")),"")))&amp;IF(F11=0,"",IF(F11=1,"",IF(MOD(MOD(F11,100),10)=0,"",IF(MOD(F11,100)&lt;20,INDEX(Sml,1,MOD(F11,100)),INDEX(Sml,1,MOD(MOD(F11,100),10)))))) &amp; IF(F11&lt;=1,"",INDEX(Plu,1,1))</f>
        <v/>
      </c>
      <c r="L11" s="29" t="str">
        <f t="shared" si="5"/>
        <v/>
      </c>
      <c r="M11" s="29" t="str">
        <f t="shared" si="6"/>
        <v/>
      </c>
      <c r="N11" s="29" t="str">
        <f>G11&amp;H11&amp;I11&amp;J11&amp;K11&amp;L11&amp;M11</f>
        <v/>
      </c>
    </row>
    <row r="12" spans="1:14" x14ac:dyDescent="0.2">
      <c r="A12" s="438">
        <f>FP!R10</f>
        <v>0</v>
      </c>
      <c r="B12" s="29">
        <f t="array" ref="B12:F12">TRUNC(($A12-((10^{15,12,9,6,3})*INT($A12/(10^{15,12,9,6,3}))))/10^{12,9,6,3,0})</f>
        <v>0</v>
      </c>
      <c r="C12" s="29">
        <v>0</v>
      </c>
      <c r="D12" s="29">
        <v>0</v>
      </c>
      <c r="E12" s="29">
        <v>0</v>
      </c>
      <c r="F12" s="29">
        <v>0</v>
      </c>
      <c r="G12" s="29" t="str">
        <f>IF($A12&lt;10^15,"",IF(OR(B12=1,AND(B12&gt;=100,MOD(B12,100)=0)),IF(TRUNC(($A12-(10^12*INT($A12/(10^12)))))=0,_e_,_sp_),IF(B12&lt;100,"",_sp_)))&amp;IF(B12=1,INDEX(Sng,1,5),IF(B12&lt;100,"",IF(B12=100,OCem,INDEX(Cem,1,TRUNC(B12/100)))))&amp;IF(MOD(B12,100)=0,"",IF(B12=1,"",IF(OR(MOD(B12,100)&gt;=20,MOD(B12,100)=10),IF(OR(B12&gt;100,AND($A12&gt;10^15,TRUNC(($A12-(10^12*INT($A12/(10^12)))))=0)),_e_,IF($A12&gt;10^15,_sp_,"")),"")))&amp;IF(MOD(B12,100)=0,"",IF(B12=1,"",IF(OR(MOD(B12,100)&gt;=20,MOD(B12,100)=10),INDEX(Dez,1,TRUNC(MOD(B12,100)/10)),"")))&amp;IF(MOD(B12,100)=0,"",IF(B12=1,"",IF(MOD(MOD(B12,100),10)&lt;&gt;0,IF(OR(B12&gt;20,AND($A12&gt;10^15,TRUNC(($A12-(10^12*INT($A12/(10^12)))))=0)),_e_,IF($A12&gt;10^15,_sp_,"")),"")))&amp;IF(B12=0,"",IF(B12=1,"",IF(MOD(MOD(B12,100),10)=0,"",IF(MOD(B12,100)&lt;20,INDEX(Sml,1,MOD(B12,100)),INDEX(Sml,1,MOD(MOD(B12,100),10)))))) &amp; IF(B12&lt;=1,"",INDEX(Plu,1,5))</f>
        <v/>
      </c>
      <c r="H12" s="29" t="str">
        <f>IF($A12&lt;10^12,"",IF(OR(C12=1,AND(C12&gt;=100,MOD(C12,100)=0)),IF(TRUNC(($A12-(10^9*INT($A12/(10^9)))))=0,_e_,_sp_),IF(C12&lt;100,"",_sp_)))&amp;IF(C12=1,INDEX(Sng,1,4),IF(C12&lt;100,"",IF(C12=100,OCem,INDEX(Cem,1,TRUNC(C12/100)))))&amp;IF(MOD(C12,100)=0,"",IF(C12=1,"",IF(OR(MOD(C12,100)&gt;=20,MOD(C12,100)=10),IF(OR(C12&gt;100,AND($A12&gt;10^12,TRUNC(($A12-(10^9*INT($A12/(10^9)))))=0)),_e_,IF($A12&gt;10^12,_sp_,"")),"")))&amp;IF(MOD(C12,100)=0,"",IF(C12=1,"",IF(OR(MOD(C12,100)&gt;=20,MOD(C12,100)=10),INDEX(Dez,1,TRUNC(MOD(C12,100)/10)),"")))&amp;IF(MOD(C12,100)=0,"",IF(C12=1,"",IF(MOD(MOD(C12,100),10)&lt;&gt;0,IF(OR(C12&gt;20,AND($A12&gt;10^12,TRUNC(($A12-(10^9*INT($A12/(10^9)))))=0)),_e_,IF($A12&gt;10^12,_sp_,"")),"")))&amp;IF(C12=0,"",IF(C12=1,"",IF(MOD(MOD(C12,100),10)=0,"",IF(MOD(C12,100)&lt;20,INDEX(Sml,1,MOD(C12,100)),INDEX(Sml,1,MOD(MOD(C12,100),10)))))) &amp; IF(C12&lt;=1,"",INDEX(Plu,1,4))</f>
        <v/>
      </c>
      <c r="I12" s="29" t="str">
        <f>IF($A12&lt;10^9,"",IF(OR(D12=1,AND(D12&gt;=100,MOD(D12,100)=0)),IF(TRUNC(($A12-(10^6*INT($A12/(10^6)))))=0,_e_,_sp_),IF(D12&lt;100,"",_sp_)))&amp;IF(D12=1,INDEX(Sng,1,3),IF(D12&lt;100,"",IF(D12=100,OCem,INDEX(Cem,1,TRUNC(D12/100)))))&amp;IF(MOD(D12,100)=0,"",IF(D12=1,"",IF(OR(MOD(D12,100)&gt;=20,MOD(D12,100)=10),IF(OR(D12&gt;100,AND($A12&gt;10^9,TRUNC(($A12-(10^6*INT($A12/(10^6)))))=0)),_e_,IF($A12&gt;10^9,_sp_,"")),"")))&amp;IF(MOD(D12,100)=0,"",IF(D12=1,"",IF(OR(MOD(D12,100)&gt;=20,MOD(D12,100)=10),INDEX(Dez,1,TRUNC(MOD(D12,100)/10)),"")))&amp;IF(MOD(D12,100)=0,"",IF(D12=1,"",IF(MOD(MOD(D12,100),10)&lt;&gt;0,IF(OR(D12&gt;20,AND($A12&gt;10^9,TRUNC(($A12-(10^6*INT($A12/(10^6)))))=0)),_e_,IF($A12&gt;10^9,_sp_,"")),"")))&amp;IF(D12=0,"",IF(D12=1,"",IF(MOD(MOD(D12,100),10)=0,"",IF(MOD(D12,100)&lt;20,INDEX(Sml,1,MOD(D12,100)),INDEX(Sml,1,MOD(MOD(D12,100),10)))))) &amp; IF(D12&lt;=1,"",INDEX(Plu,1,3))</f>
        <v/>
      </c>
      <c r="J12" s="29" t="str">
        <f>IF($A12&lt;10^6,"",IF(OR(E12=1,AND(E12&gt;=100,MOD(E12,100)=0)),IF(TRUNC(($A12-(10^3*INT($A12/(10^3)))))=0,_e_,_sp_),IF(E12&lt;100,"",_sp_)))&amp;IF(E12=1,INDEX(Sng,1,2),IF(E12&lt;100,"",IF(E12=100,OCem,INDEX(Cem,1,TRUNC(E12/100)))))&amp;IF(MOD(E12,100)=0,"",IF(E12=1,"",IF(OR(MOD(E12,100)&gt;=20,MOD(E12,100)=10),IF(OR(E12&gt;100,AND($A12&gt;10^6,TRUNC(($A12-(10^3*INT($A12/(10^3)))))=0)),_e_,IF($A12&gt;10^6,_sp_,"")),"")))&amp;IF(MOD(E12,100)=0,"",IF(E12=1,"",IF(OR(MOD(E12,100)&gt;=20,MOD(E12,100)=10),INDEX(Dez,1,TRUNC(MOD(E12,100)/10)),"")))&amp;IF(MOD(E12,100)=0,"",IF(E12=1,"",IF(MOD(MOD(E12,100),10)&lt;&gt;0,IF(OR(E12&gt;20,AND($A12&gt;10^6,TRUNC(($A12-(10^3*INT($A12/(10^3)))))=0)),_e_,IF($A12&gt;10^6,_sp_,"")),"")))&amp;IF(E12=0,"",IF(E12=1,"",IF(MOD(MOD(E12,100),10)=0,"",IF(MOD(E12,100)&lt;20,INDEX(Sml,1,MOD(E12,100)),INDEX(Sml,1,MOD(MOD(E12,100),10)))))) &amp; IF(E12&lt;=1,"",INDEX(Plu,1,2))</f>
        <v/>
      </c>
      <c r="K12" s="29" t="str">
        <f>IF($A12&lt;10^3,"",IF(OR(F12=1,AND(F12&gt;=100,MOD(F12,100)=0)),IF(TRUNC(($A12-(10^0*INT($A12/(10^0)))))=0,_e_,_sp_),IF(F12&lt;100,"",_sp_)))&amp;IF(F12=1,INDEX(Sng,1,1),IF(F12&lt;100,"",IF(F12=100,OCem,INDEX(Cem,1,TRUNC(F12/100)))))&amp;IF(MOD(F12,100)=0,"",IF(F12=1,"",IF(OR(MOD(F12,100)&gt;=20,MOD(F12,100)=10),IF(OR(F12&gt;100,AND($A12&gt;10^3,TRUNC(($A12-(10^0*INT($A12/(10^0)))))=0)),_e_,IF($A12&gt;10^3,_sp_,"")),"")))&amp;IF(MOD(F12,100)=0,"",IF(F12=1,"",IF(OR(MOD(F12,100)&gt;=20,MOD(F12,100)=10),INDEX(Dez,1,TRUNC(MOD(F12,100)/10)),"")))&amp;IF(MOD(F12,100)=0,"",IF(F12=1,"",IF(MOD(MOD(F12,100),10)&lt;&gt;0,IF(OR(F12&gt;20,AND($A12&gt;10^3,TRUNC(($A12-(10^0*INT($A12/(10^0)))))=0)),_e_,IF($A12&gt;10^3,_sp_,"")),"")))&amp;IF(F12=0,"",IF(F12=1,"",IF(MOD(MOD(F12,100),10)=0,"",IF(MOD(F12,100)&lt;20,INDEX(Sml,1,MOD(F12,100)),INDEX(Sml,1,MOD(MOD(F12,100),10)))))) &amp; IF(F12&lt;=1,"",INDEX(Plu,1,1))</f>
        <v/>
      </c>
      <c r="M12" s="29" t="str">
        <f t="shared" si="6"/>
        <v/>
      </c>
      <c r="N12" s="29" t="str">
        <f>G12&amp;H12&amp;I12&amp;J12&amp;K12&amp;L12&amp;M12</f>
        <v/>
      </c>
    </row>
    <row r="13" spans="1:14" x14ac:dyDescent="0.2">
      <c r="A13" s="438">
        <f>FP!U10</f>
        <v>0</v>
      </c>
      <c r="B13" s="29">
        <f t="array" ref="B13:F13">TRUNC(($A13-((10^{15,12,9,6,3})*INT($A13/(10^{15,12,9,6,3}))))/10^{12,9,6,3,0})</f>
        <v>0</v>
      </c>
      <c r="C13" s="29">
        <v>0</v>
      </c>
      <c r="D13" s="29">
        <v>0</v>
      </c>
      <c r="E13" s="29">
        <v>0</v>
      </c>
      <c r="F13" s="29">
        <v>0</v>
      </c>
      <c r="G13" s="29" t="str">
        <f>IF($A13&lt;10^15,"",IF(OR(B13=1,AND(B13&gt;=100,MOD(B13,100)=0)),IF(TRUNC(($A13-(10^12*INT($A13/(10^12)))))=0,_e_,_sp_),IF(B13&lt;100,"",_sp_)))&amp;IF(B13=1,INDEX(Sng,1,5),IF(B13&lt;100,"",IF(B13=100,OCem,INDEX(Cem,1,TRUNC(B13/100)))))&amp;IF(MOD(B13,100)=0,"",IF(B13=1,"",IF(OR(MOD(B13,100)&gt;=20,MOD(B13,100)=10),IF(OR(B13&gt;100,AND($A13&gt;10^15,TRUNC(($A13-(10^12*INT($A13/(10^12)))))=0)),_e_,IF($A13&gt;10^15,_sp_,"")),"")))&amp;IF(MOD(B13,100)=0,"",IF(B13=1,"",IF(OR(MOD(B13,100)&gt;=20,MOD(B13,100)=10),INDEX(Dez,1,TRUNC(MOD(B13,100)/10)),"")))&amp;IF(MOD(B13,100)=0,"",IF(B13=1,"",IF(MOD(MOD(B13,100),10)&lt;&gt;0,IF(OR(B13&gt;20,AND($A13&gt;10^15,TRUNC(($A13-(10^12*INT($A13/(10^12)))))=0)),_e_,IF($A13&gt;10^15,_sp_,"")),"")))&amp;IF(B13=0,"",IF(B13=1,"",IF(MOD(MOD(B13,100),10)=0,"",IF(MOD(B13,100)&lt;20,INDEX(Sml,1,MOD(B13,100)),INDEX(Sml,1,MOD(MOD(B13,100),10)))))) &amp; IF(B13&lt;=1,"",INDEX(Plu,1,5))</f>
        <v/>
      </c>
      <c r="H13" s="29" t="str">
        <f>IF($A13&lt;10^12,"",IF(OR(C13=1,AND(C13&gt;=100,MOD(C13,100)=0)),IF(TRUNC(($A13-(10^9*INT($A13/(10^9)))))=0,_e_,_sp_),IF(C13&lt;100,"",_sp_)))&amp;IF(C13=1,INDEX(Sng,1,4),IF(C13&lt;100,"",IF(C13=100,OCem,INDEX(Cem,1,TRUNC(C13/100)))))&amp;IF(MOD(C13,100)=0,"",IF(C13=1,"",IF(OR(MOD(C13,100)&gt;=20,MOD(C13,100)=10),IF(OR(C13&gt;100,AND($A13&gt;10^12,TRUNC(($A13-(10^9*INT($A13/(10^9)))))=0)),_e_,IF($A13&gt;10^12,_sp_,"")),"")))&amp;IF(MOD(C13,100)=0,"",IF(C13=1,"",IF(OR(MOD(C13,100)&gt;=20,MOD(C13,100)=10),INDEX(Dez,1,TRUNC(MOD(C13,100)/10)),"")))&amp;IF(MOD(C13,100)=0,"",IF(C13=1,"",IF(MOD(MOD(C13,100),10)&lt;&gt;0,IF(OR(C13&gt;20,AND($A13&gt;10^12,TRUNC(($A13-(10^9*INT($A13/(10^9)))))=0)),_e_,IF($A13&gt;10^12,_sp_,"")),"")))&amp;IF(C13=0,"",IF(C13=1,"",IF(MOD(MOD(C13,100),10)=0,"",IF(MOD(C13,100)&lt;20,INDEX(Sml,1,MOD(C13,100)),INDEX(Sml,1,MOD(MOD(C13,100),10)))))) &amp; IF(C13&lt;=1,"",INDEX(Plu,1,4))</f>
        <v/>
      </c>
      <c r="I13" s="29" t="str">
        <f>IF($A13&lt;10^9,"",IF(OR(D13=1,AND(D13&gt;=100,MOD(D13,100)=0)),IF(TRUNC(($A13-(10^6*INT($A13/(10^6)))))=0,_e_,_sp_),IF(D13&lt;100,"",_sp_)))&amp;IF(D13=1,INDEX(Sng,1,3),IF(D13&lt;100,"",IF(D13=100,OCem,INDEX(Cem,1,TRUNC(D13/100)))))&amp;IF(MOD(D13,100)=0,"",IF(D13=1,"",IF(OR(MOD(D13,100)&gt;=20,MOD(D13,100)=10),IF(OR(D13&gt;100,AND($A13&gt;10^9,TRUNC(($A13-(10^6*INT($A13/(10^6)))))=0)),_e_,IF($A13&gt;10^9,_sp_,"")),"")))&amp;IF(MOD(D13,100)=0,"",IF(D13=1,"",IF(OR(MOD(D13,100)&gt;=20,MOD(D13,100)=10),INDEX(Dez,1,TRUNC(MOD(D13,100)/10)),"")))&amp;IF(MOD(D13,100)=0,"",IF(D13=1,"",IF(MOD(MOD(D13,100),10)&lt;&gt;0,IF(OR(D13&gt;20,AND($A13&gt;10^9,TRUNC(($A13-(10^6*INT($A13/(10^6)))))=0)),_e_,IF($A13&gt;10^9,_sp_,"")),"")))&amp;IF(D13=0,"",IF(D13=1,"",IF(MOD(MOD(D13,100),10)=0,"",IF(MOD(D13,100)&lt;20,INDEX(Sml,1,MOD(D13,100)),INDEX(Sml,1,MOD(MOD(D13,100),10)))))) &amp; IF(D13&lt;=1,"",INDEX(Plu,1,3))</f>
        <v/>
      </c>
      <c r="J13" s="29" t="str">
        <f>IF($A13&lt;10^6,"",IF(OR(E13=1,AND(E13&gt;=100,MOD(E13,100)=0)),IF(TRUNC(($A13-(10^3*INT($A13/(10^3)))))=0,_e_,_sp_),IF(E13&lt;100,"",_sp_)))&amp;IF(E13=1,INDEX(Sng,1,2),IF(E13&lt;100,"",IF(E13=100,OCem,INDEX(Cem,1,TRUNC(E13/100)))))&amp;IF(MOD(E13,100)=0,"",IF(E13=1,"",IF(OR(MOD(E13,100)&gt;=20,MOD(E13,100)=10),IF(OR(E13&gt;100,AND($A13&gt;10^6,TRUNC(($A13-(10^3*INT($A13/(10^3)))))=0)),_e_,IF($A13&gt;10^6,_sp_,"")),"")))&amp;IF(MOD(E13,100)=0,"",IF(E13=1,"",IF(OR(MOD(E13,100)&gt;=20,MOD(E13,100)=10),INDEX(Dez,1,TRUNC(MOD(E13,100)/10)),"")))&amp;IF(MOD(E13,100)=0,"",IF(E13=1,"",IF(MOD(MOD(E13,100),10)&lt;&gt;0,IF(OR(E13&gt;20,AND($A13&gt;10^6,TRUNC(($A13-(10^3*INT($A13/(10^3)))))=0)),_e_,IF($A13&gt;10^6,_sp_,"")),"")))&amp;IF(E13=0,"",IF(E13=1,"",IF(MOD(MOD(E13,100),10)=0,"",IF(MOD(E13,100)&lt;20,INDEX(Sml,1,MOD(E13,100)),INDEX(Sml,1,MOD(MOD(E13,100),10)))))) &amp; IF(E13&lt;=1,"",INDEX(Plu,1,2))</f>
        <v/>
      </c>
      <c r="K13" s="29" t="str">
        <f>IF($A13&lt;10^3,"",IF(OR(F13=1,AND(F13&gt;=100,MOD(F13,100)=0)),IF(TRUNC(($A13-(10^0*INT($A13/(10^0)))))=0,_e_,_sp_),IF(F13&lt;100,"",_sp_)))&amp;IF(F13=1,INDEX(Sng,1,1),IF(F13&lt;100,"",IF(F13=100,OCem,INDEX(Cem,1,TRUNC(F13/100)))))&amp;IF(MOD(F13,100)=0,"",IF(F13=1,"",IF(OR(MOD(F13,100)&gt;=20,MOD(F13,100)=10),IF(OR(F13&gt;100,AND($A13&gt;10^3,TRUNC(($A13-(10^0*INT($A13/(10^0)))))=0)),_e_,IF($A13&gt;10^3,_sp_,"")),"")))&amp;IF(MOD(F13,100)=0,"",IF(F13=1,"",IF(OR(MOD(F13,100)&gt;=20,MOD(F13,100)=10),INDEX(Dez,1,TRUNC(MOD(F13,100)/10)),"")))&amp;IF(MOD(F13,100)=0,"",IF(F13=1,"",IF(MOD(MOD(F13,100),10)&lt;&gt;0,IF(OR(F13&gt;20,AND($A13&gt;10^3,TRUNC(($A13-(10^0*INT($A13/(10^0)))))=0)),_e_,IF($A13&gt;10^3,_sp_,"")),"")))&amp;IF(F13=0,"",IF(F13=1,"",IF(MOD(MOD(F13,100),10)=0,"",IF(MOD(F13,100)&lt;20,INDEX(Sml,1,MOD(F13,100)),INDEX(Sml,1,MOD(MOD(F13,100),10)))))) &amp; IF(F13&lt;=1,"",INDEX(Plu,1,1))</f>
        <v/>
      </c>
      <c r="M13" s="29" t="str">
        <f t="shared" si="6"/>
        <v/>
      </c>
      <c r="N13" s="29" t="str">
        <f>G13&amp;H13&amp;I13&amp;J13&amp;K13&amp;L13&amp;M13</f>
        <v/>
      </c>
    </row>
    <row r="14" spans="1:14" x14ac:dyDescent="0.2">
      <c r="A14" s="387">
        <f>'&gt;10'!C12</f>
        <v>197853.33</v>
      </c>
      <c r="B14" s="29">
        <f t="array" ref="B14:F14">TRUNC(($A14-((10^{15,12,9,6,3})*INT($A14/(10^{15,12,9,6,3}))))/10^{12,9,6,3,0})</f>
        <v>0</v>
      </c>
      <c r="C14" s="29">
        <v>0</v>
      </c>
      <c r="D14" s="29">
        <v>0</v>
      </c>
      <c r="E14" s="29">
        <v>197</v>
      </c>
      <c r="F14" s="29">
        <v>853</v>
      </c>
      <c r="G14" s="29" t="str">
        <f>IF($A14&lt;10^15,"",IF(OR(B14=1,AND(B14&gt;=100,MOD(B14,100)=0)),IF(TRUNC(($A14-(10^12*INT($A14/(10^12)))))=0,_e_,_sp_),IF(B14&lt;100,"",_sp_)))&amp;IF(B14=1,INDEX(Sng,1,5),IF(B14&lt;100,"",IF(B14=100,OCem,INDEX(Cem,1,TRUNC(B14/100)))))&amp;IF(MOD(B14,100)=0,"",IF(B14=1,"",IF(OR(MOD(B14,100)&gt;=20,MOD(B14,100)=10),IF(OR(B14&gt;100,AND($A14&gt;10^15,TRUNC(($A14-(10^12*INT($A14/(10^12)))))=0)),_e_,IF($A14&gt;10^15,_sp_,"")),"")))&amp;IF(MOD(B14,100)=0,"",IF(B14=1,"",IF(OR(MOD(B14,100)&gt;=20,MOD(B14,100)=10),INDEX(Dez,1,TRUNC(MOD(B14,100)/10)),"")))&amp;IF(MOD(B14,100)=0,"",IF(B14=1,"",IF(MOD(MOD(B14,100),10)&lt;&gt;0,IF(OR(B14&gt;20,AND($A14&gt;10^15,TRUNC(($A14-(10^12*INT($A14/(10^12)))))=0)),_e_,IF($A14&gt;10^15,_sp_,"")),"")))&amp;IF(B14=0,"",IF(B14=1,"",IF(MOD(MOD(B14,100),10)=0,"",IF(MOD(B14,100)&lt;20,INDEX(Sml,1,MOD(B14,100)),INDEX(Sml,1,MOD(MOD(B14,100),10)))))) &amp; IF(B14&lt;=1,"",INDEX(Plu,1,5))</f>
        <v/>
      </c>
      <c r="H14" s="29" t="str">
        <f>IF($A14&lt;10^12,"",IF(OR(C14=1,AND(C14&gt;=100,MOD(C14,100)=0)),IF(TRUNC(($A14-(10^9*INT($A14/(10^9)))))=0,_e_,_sp_),IF(C14&lt;100,"",_sp_)))&amp;IF(C14=1,INDEX(Sng,1,4),IF(C14&lt;100,"",IF(C14=100,OCem,INDEX(Cem,1,TRUNC(C14/100)))))&amp;IF(MOD(C14,100)=0,"",IF(C14=1,"",IF(OR(MOD(C14,100)&gt;=20,MOD(C14,100)=10),IF(OR(C14&gt;100,AND($A14&gt;10^12,TRUNC(($A14-(10^9*INT($A14/(10^9)))))=0)),_e_,IF($A14&gt;10^12,_sp_,"")),"")))&amp;IF(MOD(C14,100)=0,"",IF(C14=1,"",IF(OR(MOD(C14,100)&gt;=20,MOD(C14,100)=10),INDEX(Dez,1,TRUNC(MOD(C14,100)/10)),"")))&amp;IF(MOD(C14,100)=0,"",IF(C14=1,"",IF(MOD(MOD(C14,100),10)&lt;&gt;0,IF(OR(C14&gt;20,AND($A14&gt;10^12,TRUNC(($A14-(10^9*INT($A14/(10^9)))))=0)),_e_,IF($A14&gt;10^12,_sp_,"")),"")))&amp;IF(C14=0,"",IF(C14=1,"",IF(MOD(MOD(C14,100),10)=0,"",IF(MOD(C14,100)&lt;20,INDEX(Sml,1,MOD(C14,100)),INDEX(Sml,1,MOD(MOD(C14,100),10)))))) &amp; IF(C14&lt;=1,"",INDEX(Plu,1,4))</f>
        <v/>
      </c>
      <c r="I14" s="29" t="str">
        <f>IF($A14&lt;10^9,"",IF(OR(D14=1,AND(D14&gt;=100,MOD(D14,100)=0)),IF(TRUNC(($A14-(10^6*INT($A14/(10^6)))))=0,_e_,_sp_),IF(D14&lt;100,"",_sp_)))&amp;IF(D14=1,INDEX(Sng,1,3),IF(D14&lt;100,"",IF(D14=100,OCem,INDEX(Cem,1,TRUNC(D14/100)))))&amp;IF(MOD(D14,100)=0,"",IF(D14=1,"",IF(OR(MOD(D14,100)&gt;=20,MOD(D14,100)=10),IF(OR(D14&gt;100,AND($A14&gt;10^9,TRUNC(($A14-(10^6*INT($A14/(10^6)))))=0)),_e_,IF($A14&gt;10^9,_sp_,"")),"")))&amp;IF(MOD(D14,100)=0,"",IF(D14=1,"",IF(OR(MOD(D14,100)&gt;=20,MOD(D14,100)=10),INDEX(Dez,1,TRUNC(MOD(D14,100)/10)),"")))&amp;IF(MOD(D14,100)=0,"",IF(D14=1,"",IF(MOD(MOD(D14,100),10)&lt;&gt;0,IF(OR(D14&gt;20,AND($A14&gt;10^9,TRUNC(($A14-(10^6*INT($A14/(10^6)))))=0)),_e_,IF($A14&gt;10^9,_sp_,"")),"")))&amp;IF(D14=0,"",IF(D14=1,"",IF(MOD(MOD(D14,100),10)=0,"",IF(MOD(D14,100)&lt;20,INDEX(Sml,1,MOD(D14,100)),INDEX(Sml,1,MOD(MOD(D14,100),10)))))) &amp; IF(D14&lt;=1,"",INDEX(Plu,1,3))</f>
        <v/>
      </c>
      <c r="J14" s="29" t="str">
        <f>IF($A14&lt;10^6,"",IF(OR(E14=1,AND(E14&gt;=100,MOD(E14,100)=0)),IF(TRUNC(($A14-(10^3*INT($A14/(10^3)))))=0,_e_,_sp_),IF(E14&lt;100,"",_sp_)))&amp;IF(E14=1,INDEX(Sng,1,2),IF(E14&lt;100,"",IF(E14=100,OCem,INDEX(Cem,1,TRUNC(E14/100)))))&amp;IF(MOD(E14,100)=0,"",IF(E14=1,"",IF(OR(MOD(E14,100)&gt;=20,MOD(E14,100)=10),IF(OR(E14&gt;100,AND($A14&gt;10^6,TRUNC(($A14-(10^3*INT($A14/(10^3)))))=0)),_e_,IF($A14&gt;10^6,_sp_,"")),"")))&amp;IF(MOD(E14,100)=0,"",IF(E14=1,"",IF(OR(MOD(E14,100)&gt;=20,MOD(E14,100)=10),INDEX(Dez,1,TRUNC(MOD(E14,100)/10)),"")))&amp;IF(MOD(E14,100)=0,"",IF(E14=1,"",IF(MOD(MOD(E14,100),10)&lt;&gt;0,IF(OR(E14&gt;20,AND($A14&gt;10^6,TRUNC(($A14-(10^3*INT($A14/(10^3)))))=0)),_e_,IF($A14&gt;10^6,_sp_,"")),"")))&amp;IF(E14=0,"",IF(E14=1,"",IF(MOD(MOD(E14,100),10)=0,"",IF(MOD(E14,100)&lt;20,INDEX(Sml,1,MOD(E14,100)),INDEX(Sml,1,MOD(MOD(E14,100),10)))))) &amp; IF(E14&lt;=1,"",INDEX(Plu,1,2))</f>
        <v>cento e noventa e sete mil</v>
      </c>
      <c r="K14" s="29" t="str">
        <f>IF($A14&lt;10^3,"",IF(OR(F14=1,AND(F14&gt;=100,MOD(F14,100)=0)),IF(TRUNC(($A14-(10^0*INT($A14/(10^0)))))=0,_e_,_sp_),IF(F14&lt;100,"",_sp_)))&amp;IF(F14=1,INDEX(Sng,1,1),IF(F14&lt;100,"",IF(F14=100,OCem,INDEX(Cem,1,TRUNC(F14/100)))))&amp;IF(MOD(F14,100)=0,"",IF(F14=1,"",IF(OR(MOD(F14,100)&gt;=20,MOD(F14,100)=10),IF(OR(F14&gt;100,AND($A14&gt;10^3,TRUNC(($A14-(10^0*INT($A14/(10^0)))))=0)),_e_,IF($A14&gt;10^3,_sp_,"")),"")))&amp;IF(MOD(F14,100)=0,"",IF(F14=1,"",IF(OR(MOD(F14,100)&gt;=20,MOD(F14,100)=10),INDEX(Dez,1,TRUNC(MOD(F14,100)/10)),"")))&amp;IF(MOD(F14,100)=0,"",IF(F14=1,"",IF(MOD(MOD(F14,100),10)&lt;&gt;0,IF(OR(F14&gt;20,AND($A14&gt;10^3,TRUNC(($A14-(10^0*INT($A14/(10^0)))))=0)),_e_,IF($A14&gt;10^3,_sp_,"")),"")))&amp;IF(F14=0,"",IF(F14=1,"",IF(MOD(MOD(F14,100),10)=0,"",IF(MOD(F14,100)&lt;20,INDEX(Sml,1,MOD(F14,100)),INDEX(Sml,1,MOD(MOD(F14,100),10)))))) &amp; IF(F14&lt;=1,"",INDEX(Plu,1,1))</f>
        <v xml:space="preserve"> oitocentos e cinquenta e três</v>
      </c>
      <c r="L14" s="29" t="str">
        <f>IF($A14&lt;1,"",IF(TRUNC($A14)=1," real",IF(AND($A14&gt;=10^6,TRUNC($A14-10^6*INT($A14/10^6))=0)," de","") &amp; " reais"))</f>
        <v xml:space="preserve"> reais</v>
      </c>
      <c r="M14" s="29" t="str">
        <f t="shared" si="6"/>
        <v xml:space="preserve"> e trinta e três centavos</v>
      </c>
      <c r="N14" s="29" t="str">
        <f>G14&amp;H14&amp;I14&amp;J14&amp;K14&amp;L14&amp;M14</f>
        <v>cento e noventa e sete mil oitocentos e cinquenta e três reais e trinta e três centavos</v>
      </c>
    </row>
  </sheetData>
  <sheetProtection sheet="1" objects="1" scenarios="1"/>
  <mergeCells count="5">
    <mergeCell ref="B2:F2"/>
    <mergeCell ref="G2:K2"/>
    <mergeCell ref="L2:L3"/>
    <mergeCell ref="M2:M3"/>
    <mergeCell ref="N2:N3"/>
  </mergeCells>
  <pageMargins left="0.78740157499999996" right="0.78740157499999996" top="0.984251969" bottom="0.984251969" header="0.49212598499999999" footer="0.49212598499999999"/>
  <pageSetup paperSize="9" orientation="portrait" horizontalDpi="200" verticalDpi="200" copies="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B45"/>
  <sheetViews>
    <sheetView showRowColHeaders="0" workbookViewId="0"/>
  </sheetViews>
  <sheetFormatPr defaultRowHeight="15" x14ac:dyDescent="0.25"/>
  <cols>
    <col min="1" max="1" width="18.5703125" style="45" customWidth="1"/>
    <col min="2" max="2" width="12.5703125" style="47" customWidth="1"/>
  </cols>
  <sheetData>
    <row r="1" spans="1:2" x14ac:dyDescent="0.25">
      <c r="A1" s="48">
        <v>32202</v>
      </c>
      <c r="B1" s="46">
        <v>32202</v>
      </c>
    </row>
    <row r="2" spans="1:2" x14ac:dyDescent="0.25">
      <c r="A2" s="49">
        <v>32567</v>
      </c>
      <c r="B2" s="47">
        <v>32567</v>
      </c>
    </row>
    <row r="3" spans="1:2" x14ac:dyDescent="0.25">
      <c r="A3" s="49">
        <v>32932</v>
      </c>
      <c r="B3" s="47">
        <v>32932</v>
      </c>
    </row>
    <row r="4" spans="1:2" x14ac:dyDescent="0.25">
      <c r="A4" s="49">
        <v>33297</v>
      </c>
      <c r="B4" s="47">
        <v>33297</v>
      </c>
    </row>
    <row r="5" spans="1:2" x14ac:dyDescent="0.25">
      <c r="A5" s="48">
        <v>33663</v>
      </c>
      <c r="B5" s="46">
        <v>33663</v>
      </c>
    </row>
    <row r="6" spans="1:2" x14ac:dyDescent="0.25">
      <c r="A6" s="49">
        <v>34028</v>
      </c>
      <c r="B6" s="47">
        <v>34028</v>
      </c>
    </row>
    <row r="7" spans="1:2" x14ac:dyDescent="0.25">
      <c r="A7" s="49">
        <v>34393</v>
      </c>
      <c r="B7" s="47">
        <v>34393</v>
      </c>
    </row>
    <row r="8" spans="1:2" x14ac:dyDescent="0.25">
      <c r="A8" s="49">
        <v>34758</v>
      </c>
      <c r="B8" s="47">
        <v>34758</v>
      </c>
    </row>
    <row r="9" spans="1:2" x14ac:dyDescent="0.25">
      <c r="A9" s="48">
        <v>35124</v>
      </c>
      <c r="B9" s="46">
        <v>35124</v>
      </c>
    </row>
    <row r="10" spans="1:2" x14ac:dyDescent="0.25">
      <c r="A10" s="49">
        <v>35489</v>
      </c>
      <c r="B10" s="47">
        <v>35489</v>
      </c>
    </row>
    <row r="11" spans="1:2" x14ac:dyDescent="0.25">
      <c r="A11" s="49">
        <v>35854</v>
      </c>
      <c r="B11" s="47">
        <v>35854</v>
      </c>
    </row>
    <row r="12" spans="1:2" x14ac:dyDescent="0.25">
      <c r="A12" s="49">
        <v>36219</v>
      </c>
      <c r="B12" s="47">
        <v>36219</v>
      </c>
    </row>
    <row r="13" spans="1:2" x14ac:dyDescent="0.25">
      <c r="A13" s="48">
        <v>36585</v>
      </c>
      <c r="B13" s="46">
        <v>36585</v>
      </c>
    </row>
    <row r="14" spans="1:2" x14ac:dyDescent="0.25">
      <c r="A14" s="49">
        <v>36950</v>
      </c>
      <c r="B14" s="47">
        <v>36950</v>
      </c>
    </row>
    <row r="15" spans="1:2" x14ac:dyDescent="0.25">
      <c r="A15" s="49">
        <v>37315</v>
      </c>
      <c r="B15" s="47">
        <v>37315</v>
      </c>
    </row>
    <row r="16" spans="1:2" x14ac:dyDescent="0.25">
      <c r="A16" s="49">
        <v>37680</v>
      </c>
      <c r="B16" s="47">
        <v>37680</v>
      </c>
    </row>
    <row r="17" spans="1:2" x14ac:dyDescent="0.25">
      <c r="A17" s="48">
        <v>38046</v>
      </c>
      <c r="B17" s="46">
        <v>38046</v>
      </c>
    </row>
    <row r="18" spans="1:2" x14ac:dyDescent="0.25">
      <c r="A18" s="49">
        <v>38411</v>
      </c>
      <c r="B18" s="47">
        <v>38411</v>
      </c>
    </row>
    <row r="19" spans="1:2" x14ac:dyDescent="0.25">
      <c r="A19" s="49">
        <v>38776</v>
      </c>
      <c r="B19" s="47">
        <v>38776</v>
      </c>
    </row>
    <row r="20" spans="1:2" x14ac:dyDescent="0.25">
      <c r="A20" s="49">
        <v>39141</v>
      </c>
      <c r="B20" s="47">
        <v>39141</v>
      </c>
    </row>
    <row r="21" spans="1:2" x14ac:dyDescent="0.25">
      <c r="A21" s="48">
        <v>39507</v>
      </c>
      <c r="B21" s="46">
        <v>39507</v>
      </c>
    </row>
    <row r="22" spans="1:2" x14ac:dyDescent="0.25">
      <c r="A22" s="49">
        <v>39872</v>
      </c>
      <c r="B22" s="47">
        <v>39872</v>
      </c>
    </row>
    <row r="23" spans="1:2" x14ac:dyDescent="0.25">
      <c r="A23" s="49">
        <v>40237</v>
      </c>
      <c r="B23" s="47">
        <v>40237</v>
      </c>
    </row>
    <row r="24" spans="1:2" x14ac:dyDescent="0.25">
      <c r="A24" s="49">
        <v>40602</v>
      </c>
      <c r="B24" s="47">
        <v>40602</v>
      </c>
    </row>
    <row r="25" spans="1:2" x14ac:dyDescent="0.25">
      <c r="A25" s="48">
        <v>40968</v>
      </c>
      <c r="B25" s="46">
        <v>40968</v>
      </c>
    </row>
    <row r="26" spans="1:2" x14ac:dyDescent="0.25">
      <c r="A26" s="49">
        <v>41333</v>
      </c>
      <c r="B26" s="47">
        <v>41333</v>
      </c>
    </row>
    <row r="27" spans="1:2" x14ac:dyDescent="0.25">
      <c r="A27" s="49">
        <v>41698</v>
      </c>
      <c r="B27" s="47">
        <v>41698</v>
      </c>
    </row>
    <row r="28" spans="1:2" x14ac:dyDescent="0.25">
      <c r="A28" s="49">
        <v>42063</v>
      </c>
      <c r="B28" s="47">
        <v>42063</v>
      </c>
    </row>
    <row r="29" spans="1:2" x14ac:dyDescent="0.25">
      <c r="A29" s="48">
        <v>42429</v>
      </c>
      <c r="B29" s="46">
        <v>42429</v>
      </c>
    </row>
    <row r="30" spans="1:2" x14ac:dyDescent="0.25">
      <c r="A30" s="49">
        <v>42794</v>
      </c>
      <c r="B30" s="47">
        <v>42794</v>
      </c>
    </row>
    <row r="31" spans="1:2" x14ac:dyDescent="0.25">
      <c r="A31" s="49">
        <v>43159</v>
      </c>
      <c r="B31" s="47">
        <v>43159</v>
      </c>
    </row>
    <row r="32" spans="1:2" x14ac:dyDescent="0.25">
      <c r="A32" s="49">
        <v>43524</v>
      </c>
      <c r="B32" s="47">
        <v>43524</v>
      </c>
    </row>
    <row r="33" spans="1:2" x14ac:dyDescent="0.25">
      <c r="A33" s="48">
        <v>43890</v>
      </c>
      <c r="B33" s="46">
        <v>43890</v>
      </c>
    </row>
    <row r="34" spans="1:2" x14ac:dyDescent="0.25">
      <c r="A34" s="49">
        <v>44255</v>
      </c>
      <c r="B34" s="47">
        <v>44255</v>
      </c>
    </row>
    <row r="35" spans="1:2" x14ac:dyDescent="0.25">
      <c r="A35" s="49">
        <v>44620</v>
      </c>
      <c r="B35" s="47">
        <v>44620</v>
      </c>
    </row>
    <row r="36" spans="1:2" x14ac:dyDescent="0.25">
      <c r="A36" s="49">
        <v>44985</v>
      </c>
      <c r="B36" s="47">
        <v>44985</v>
      </c>
    </row>
    <row r="37" spans="1:2" x14ac:dyDescent="0.25">
      <c r="A37" s="48">
        <v>45351</v>
      </c>
      <c r="B37" s="46">
        <v>45351</v>
      </c>
    </row>
    <row r="38" spans="1:2" x14ac:dyDescent="0.25">
      <c r="A38" s="49">
        <v>45716</v>
      </c>
      <c r="B38" s="47">
        <v>45716</v>
      </c>
    </row>
    <row r="39" spans="1:2" x14ac:dyDescent="0.25">
      <c r="A39" s="49">
        <v>46081</v>
      </c>
      <c r="B39" s="47">
        <v>46081</v>
      </c>
    </row>
    <row r="40" spans="1:2" x14ac:dyDescent="0.25">
      <c r="A40" s="49">
        <v>46446</v>
      </c>
      <c r="B40" s="47">
        <v>46446</v>
      </c>
    </row>
    <row r="41" spans="1:2" x14ac:dyDescent="0.25">
      <c r="A41" s="48">
        <v>46812</v>
      </c>
      <c r="B41" s="46">
        <v>46812</v>
      </c>
    </row>
    <row r="42" spans="1:2" x14ac:dyDescent="0.25">
      <c r="A42" s="49">
        <v>47177</v>
      </c>
      <c r="B42" s="47">
        <v>47177</v>
      </c>
    </row>
    <row r="43" spans="1:2" x14ac:dyDescent="0.25">
      <c r="A43" s="49">
        <v>47542</v>
      </c>
      <c r="B43" s="47">
        <v>47542</v>
      </c>
    </row>
    <row r="44" spans="1:2" x14ac:dyDescent="0.25">
      <c r="A44" s="49">
        <v>47907</v>
      </c>
      <c r="B44" s="47">
        <v>47907</v>
      </c>
    </row>
    <row r="45" spans="1:2" x14ac:dyDescent="0.25">
      <c r="A45" s="48">
        <v>48273</v>
      </c>
      <c r="B45" s="46">
        <v>48273</v>
      </c>
    </row>
  </sheetData>
  <sheetProtection password="CB18" sheet="1" objects="1" scenarios="1" selectLockedCells="1"/>
  <pageMargins left="0.51181102362204722" right="0.51181102362204722" top="0.39370078740157483" bottom="0.39370078740157483" header="0.31496062992125984" footer="0.31496062992125984"/>
  <pageSetup paperSize="9" scale="120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34</vt:i4>
      </vt:variant>
      <vt:variant>
        <vt:lpstr>Intervalos nomeados</vt:lpstr>
      </vt:variant>
      <vt:variant>
        <vt:i4>127</vt:i4>
      </vt:variant>
    </vt:vector>
  </HeadingPairs>
  <TitlesOfParts>
    <vt:vector size="161" baseType="lpstr">
      <vt:lpstr>Início</vt:lpstr>
      <vt:lpstr>Cálc</vt:lpstr>
      <vt:lpstr>Geral</vt:lpstr>
      <vt:lpstr>Pesquisa Rápida</vt:lpstr>
      <vt:lpstr>Dados do Servidor</vt:lpstr>
      <vt:lpstr>Dados de Formulários</vt:lpstr>
      <vt:lpstr>Designação</vt:lpstr>
      <vt:lpstr>Acerto - Designação</vt:lpstr>
      <vt:lpstr>FP</vt:lpstr>
      <vt:lpstr>Acerto - Vantagens</vt:lpstr>
      <vt:lpstr>Acerto - Descontos</vt:lpstr>
      <vt:lpstr>Faltas Histórico</vt:lpstr>
      <vt:lpstr>Faltas Consolidadas</vt:lpstr>
      <vt:lpstr>Mapa Menus Sisap</vt:lpstr>
      <vt:lpstr>Rateio</vt:lpstr>
      <vt:lpstr>A.Pgto</vt:lpstr>
      <vt:lpstr>AI</vt:lpstr>
      <vt:lpstr>M.Quinq</vt:lpstr>
      <vt:lpstr>G2</vt:lpstr>
      <vt:lpstr>Siged</vt:lpstr>
      <vt:lpstr>Certif</vt:lpstr>
      <vt:lpstr>T.Ciência</vt:lpstr>
      <vt:lpstr>ÚltRem.</vt:lpstr>
      <vt:lpstr>&gt;10</vt:lpstr>
      <vt:lpstr>Prêm</vt:lpstr>
      <vt:lpstr>Escolas</vt:lpstr>
      <vt:lpstr>Mun.</vt:lpstr>
      <vt:lpstr>Materias</vt:lpstr>
      <vt:lpstr>InstEns</vt:lpstr>
      <vt:lpstr>Cursos</vt:lpstr>
      <vt:lpstr>Mat</vt:lpstr>
      <vt:lpstr>C Horária</vt:lpstr>
      <vt:lpstr>Extenso</vt:lpstr>
      <vt:lpstr>Fev</vt:lpstr>
      <vt:lpstr>Acerto.Vantagem.LinhaFormulario</vt:lpstr>
      <vt:lpstr>'&gt;10'!Area_de_impressao</vt:lpstr>
      <vt:lpstr>A.Pgto!Area_de_impressao</vt:lpstr>
      <vt:lpstr>'Acerto - Designação'!Area_de_impressao</vt:lpstr>
      <vt:lpstr>AI!Area_de_impressao</vt:lpstr>
      <vt:lpstr>'C Horária'!Area_de_impressao</vt:lpstr>
      <vt:lpstr>Cálc!Area_de_impressao</vt:lpstr>
      <vt:lpstr>Certif!Area_de_impressao</vt:lpstr>
      <vt:lpstr>Escolas!Area_de_impressao</vt:lpstr>
      <vt:lpstr>'Faltas Consolidadas'!Area_de_impressao</vt:lpstr>
      <vt:lpstr>'Faltas Histórico'!Area_de_impressao</vt:lpstr>
      <vt:lpstr>FP!Area_de_impressao</vt:lpstr>
      <vt:lpstr>'G2'!Area_de_impressao</vt:lpstr>
      <vt:lpstr>Geral!Area_de_impressao</vt:lpstr>
      <vt:lpstr>Início!Area_de_impressao</vt:lpstr>
      <vt:lpstr>InstEns!Area_de_impressao</vt:lpstr>
      <vt:lpstr>M.Quinq!Area_de_impressao</vt:lpstr>
      <vt:lpstr>Mat!Area_de_impressao</vt:lpstr>
      <vt:lpstr>Mun.!Area_de_impressao</vt:lpstr>
      <vt:lpstr>Prêm!Area_de_impressao</vt:lpstr>
      <vt:lpstr>Rateio!Area_de_impressao</vt:lpstr>
      <vt:lpstr>Siged!Area_de_impressao</vt:lpstr>
      <vt:lpstr>T.Ciência!Area_de_impressao</vt:lpstr>
      <vt:lpstr>ÚltRem.!Area_de_impressao</vt:lpstr>
      <vt:lpstr>Categorias.Profissional.ASBD1A</vt:lpstr>
      <vt:lpstr>Categorias.Profissional.ATBD1A</vt:lpstr>
      <vt:lpstr>Categorias.Profissional.EEBD1A</vt:lpstr>
      <vt:lpstr>Categorias.Profissional.PEBD1A</vt:lpstr>
      <vt:lpstr>'Faltas Histórico'!Categorias.Profissional.PEBS1A</vt:lpstr>
      <vt:lpstr>Categorias.Profissional.PEBS1A</vt:lpstr>
      <vt:lpstr>Designacao.Acerto.DescontoValeTransporte</vt:lpstr>
      <vt:lpstr>Designacao.Acerto.DescontoValeTransporte.Valor</vt:lpstr>
      <vt:lpstr>Designacao.Acerto.DiasAuxilioTransporte</vt:lpstr>
      <vt:lpstr>Designacao.Acerto.Ocorrencia</vt:lpstr>
      <vt:lpstr>Designacao.Acerto.PagaementoTotal</vt:lpstr>
      <vt:lpstr>Designacao.Acerto.TotalAulasEC</vt:lpstr>
      <vt:lpstr>Designacao.Acerto.TotalAulasRB</vt:lpstr>
      <vt:lpstr>Designacao.Acerto.VerbaAbonoEC</vt:lpstr>
      <vt:lpstr>Designacao.Acerto.VerbaAbonoEC.Valor</vt:lpstr>
      <vt:lpstr>Designacao.Acerto.VerbaAbonoRB</vt:lpstr>
      <vt:lpstr>Designacao.Acerto.VerbaAbonoRB.Valor</vt:lpstr>
      <vt:lpstr>Designacao.Acerto.VerbaEC</vt:lpstr>
      <vt:lpstr>Designacao.Acerto.VerbaEC.Valor</vt:lpstr>
      <vt:lpstr>Designacao.Acerto.VerbaRB</vt:lpstr>
      <vt:lpstr>Designacao.Acerto.VerbaRB.Valor</vt:lpstr>
      <vt:lpstr>Designacao.Acerto.VerbaValeTransporte</vt:lpstr>
      <vt:lpstr>Designacao.Acerto.VerbaValeTransporte.Valor</vt:lpstr>
      <vt:lpstr>Designacao.Cargo</vt:lpstr>
      <vt:lpstr>Designacao.CategoriaProfisisonal</vt:lpstr>
      <vt:lpstr>Designacao.DataFinal</vt:lpstr>
      <vt:lpstr>Designacao.DataInicial</vt:lpstr>
      <vt:lpstr>Designacao.Municipio</vt:lpstr>
      <vt:lpstr>Designacao.SituacaoExercicio</vt:lpstr>
      <vt:lpstr>Designacao.SubstituidoAdmissao</vt:lpstr>
      <vt:lpstr>Designacao.SubstituidoGrupoNatureza</vt:lpstr>
      <vt:lpstr>Designacao.SubstituidoMaspDv</vt:lpstr>
      <vt:lpstr>Designacao.UnidadeAdministrativa</vt:lpstr>
      <vt:lpstr>Designacao.UnidadeAdministrativa.ZonaRural</vt:lpstr>
      <vt:lpstr>Designacao.Validacao.Cargos</vt:lpstr>
      <vt:lpstr>Escolas.Municipios</vt:lpstr>
      <vt:lpstr>Escolas.Municipios.CodEscolas</vt:lpstr>
      <vt:lpstr>FPConversaoEspecie.CargaHorariaEC</vt:lpstr>
      <vt:lpstr>FPConversaoEspecie.CargaHorariaECEX</vt:lpstr>
      <vt:lpstr>FPConversaoEspecie.CargaHorariaEX</vt:lpstr>
      <vt:lpstr>FPConversaoEspecie.CargaHorariaRB</vt:lpstr>
      <vt:lpstr>FPConversaoEspecie.Cargo.DataAposentadoria</vt:lpstr>
      <vt:lpstr>FPConversaoEspecie.DataAposentadoria</vt:lpstr>
      <vt:lpstr>FPConversaoEspecie.DataAposentadoria.Campo</vt:lpstr>
      <vt:lpstr>FPConversaoEspecie.DataPublicacao</vt:lpstr>
      <vt:lpstr>FPConversaoEspecie.OutosCampos.Funcao</vt:lpstr>
      <vt:lpstr>FPConversaoEspecie.OutosCampos.OutrasVant</vt:lpstr>
      <vt:lpstr>FPConversaoEspecie.OutosCampos.OutrasVant.Verba</vt:lpstr>
      <vt:lpstr>FPConversaoEspecie.OutosCampos.Porcentagem</vt:lpstr>
      <vt:lpstr>FPConversaoEspecie.OutosCampos.Quant</vt:lpstr>
      <vt:lpstr>FPConversaoEspecie.OutosCampos.Valores</vt:lpstr>
      <vt:lpstr>FPConversaoEspecie.OutosCampos.Verbas</vt:lpstr>
      <vt:lpstr>FPConversaoEspecie.OutrosCampos</vt:lpstr>
      <vt:lpstr>FPConversaoEspecie.Publicacao.Ano</vt:lpstr>
      <vt:lpstr>FPConversaoEspecie.Publicacao.Dia</vt:lpstr>
      <vt:lpstr>FPConversaoEspecie.Publicacao.Mes</vt:lpstr>
      <vt:lpstr>FPConversaoEspecie.Saldo.Dias</vt:lpstr>
      <vt:lpstr>FPConversaoEspecie.Saldo.Meses</vt:lpstr>
      <vt:lpstr>FPConversaoEspecie.SaldoTotalEmDias</vt:lpstr>
      <vt:lpstr>FPConversaoEspecie.VencimentoRB</vt:lpstr>
      <vt:lpstr>frmDesignacao.Left</vt:lpstr>
      <vt:lpstr>frmDesignacao.Top</vt:lpstr>
      <vt:lpstr>frmFaltasConsolidadas.Left</vt:lpstr>
      <vt:lpstr>frmFaltasConsolidadas.Top</vt:lpstr>
      <vt:lpstr>frmFeriasPremioConversao.Left</vt:lpstr>
      <vt:lpstr>frmFeriasPremioConversao.Top</vt:lpstr>
      <vt:lpstr>frmLogin.Impressora</vt:lpstr>
      <vt:lpstr>frmLogin.Left</vt:lpstr>
      <vt:lpstr>frmLogin.LembrarSenha</vt:lpstr>
      <vt:lpstr>frmLogin.Masp</vt:lpstr>
      <vt:lpstr>frmLogin.PID</vt:lpstr>
      <vt:lpstr>frmLogin.Senha</vt:lpstr>
      <vt:lpstr>frmLogin.Top</vt:lpstr>
      <vt:lpstr>frmMapaMenus.Left</vt:lpstr>
      <vt:lpstr>frmMapaMenus.Top</vt:lpstr>
      <vt:lpstr>frmPesquisasRapidas.Adm</vt:lpstr>
      <vt:lpstr>frmPesquisasRapidas.Left</vt:lpstr>
      <vt:lpstr>frmPesquisasRapidas.MaspDv</vt:lpstr>
      <vt:lpstr>frmPesquisasRapidas.Top</vt:lpstr>
      <vt:lpstr>frmServidor.Left</vt:lpstr>
      <vt:lpstr>frmServidor.Top</vt:lpstr>
      <vt:lpstr>'Faltas Histórico'!Materias.Cod</vt:lpstr>
      <vt:lpstr>Materias.Cod</vt:lpstr>
      <vt:lpstr>'Faltas Histórico'!NaturezaFaltas.Codigo</vt:lpstr>
      <vt:lpstr>NaturezaFaltas.Codigo</vt:lpstr>
      <vt:lpstr>FP!Servidor.Admissao</vt:lpstr>
      <vt:lpstr>Servidor.Admissao</vt:lpstr>
      <vt:lpstr>FP!Servidor.Cargo</vt:lpstr>
      <vt:lpstr>Servidor.Cargo</vt:lpstr>
      <vt:lpstr>Servidor.CodSituacaoFuncional</vt:lpstr>
      <vt:lpstr>Servidor.CodSituacaoServidor</vt:lpstr>
      <vt:lpstr>Servidor.DataAposentadoria</vt:lpstr>
      <vt:lpstr>Servidor.Exercicio</vt:lpstr>
      <vt:lpstr>FP!Servidor.Lotacao</vt:lpstr>
      <vt:lpstr>Servidor.Lotacao</vt:lpstr>
      <vt:lpstr>FP!Servidor.MaspDv</vt:lpstr>
      <vt:lpstr>Servidor.MaspDv</vt:lpstr>
      <vt:lpstr>FP!Servidor.Nome</vt:lpstr>
      <vt:lpstr>Servidor.Nome</vt:lpstr>
      <vt:lpstr>Servidor.SituacaoFuncional</vt:lpstr>
      <vt:lpstr>Servidor.SituacaoServidor</vt:lpstr>
      <vt:lpstr>'Faltas Histórico'!TiposFalta.Codigo</vt:lpstr>
      <vt:lpstr>TiposFalta.Codigo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Gilson;Flávio</dc:creator>
  <cp:lastModifiedBy>SEEMG</cp:lastModifiedBy>
  <cp:lastPrinted>2018-05-15T18:26:54Z</cp:lastPrinted>
  <dcterms:created xsi:type="dcterms:W3CDTF">2012-07-02T17:40:39Z</dcterms:created>
  <dcterms:modified xsi:type="dcterms:W3CDTF">2018-05-18T13:37:33Z</dcterms:modified>
</cp:coreProperties>
</file>